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2.xml" ContentType="application/vnd.openxmlformats-officedocument.spreadsheetml.comments+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3.xml" ContentType="application/vnd.openxmlformats-officedocument.spreadsheetml.comments+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omments4.xml" ContentType="application/vnd.openxmlformats-officedocument.spreadsheetml.comments+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omments5.xml" ContentType="application/vnd.openxmlformats-officedocument.spreadsheetml.comments+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6.xml" ContentType="application/vnd.openxmlformats-officedocument.spreadsheetml.comments+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omments7.xml" ContentType="application/vnd.openxmlformats-officedocument.spreadsheetml.comments+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omments8.xml" ContentType="application/vnd.openxmlformats-officedocument.spreadsheetml.comments+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omments9.xml" ContentType="application/vnd.openxmlformats-officedocument.spreadsheetml.comments+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omments10.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E:\My Frame Work\My Libraries\Finance Library\Accountng Files Packages\Audit Templets\"/>
    </mc:Choice>
  </mc:AlternateContent>
  <xr:revisionPtr revIDLastSave="0" documentId="13_ncr:1_{53D5C82E-B8CA-42B1-8C48-D02E16696A50}" xr6:coauthVersionLast="47" xr6:coauthVersionMax="47" xr10:uidLastSave="{00000000-0000-0000-0000-000000000000}"/>
  <bookViews>
    <workbookView xWindow="-120" yWindow="-120" windowWidth="20730" windowHeight="11160" firstSheet="5" activeTab="19" xr2:uid="{00000000-000D-0000-FFFF-FFFF00000000}"/>
  </bookViews>
  <sheets>
    <sheet name="Product Of" sheetId="18" r:id="rId1"/>
    <sheet name="P&amp;L COA" sheetId="1" r:id="rId2"/>
    <sheet name="BST COA" sheetId="2" r:id="rId3"/>
    <sheet name="CF COA" sheetId="3" r:id="rId4"/>
    <sheet name="CE COA" sheetId="4" r:id="rId5"/>
    <sheet name="PPE" sheetId="17" r:id="rId6"/>
    <sheet name="1" sheetId="6" r:id="rId7"/>
    <sheet name="2" sheetId="7" state="hidden" r:id="rId8"/>
    <sheet name="3" sheetId="8" state="hidden" r:id="rId9"/>
    <sheet name="4" sheetId="9" state="hidden" r:id="rId10"/>
    <sheet name="5" sheetId="10" state="hidden" r:id="rId11"/>
    <sheet name="6" sheetId="11" state="hidden" r:id="rId12"/>
    <sheet name="7" sheetId="12" state="hidden" r:id="rId13"/>
    <sheet name="8" sheetId="13" state="hidden" r:id="rId14"/>
    <sheet name="9" sheetId="14" state="hidden" r:id="rId15"/>
    <sheet name="10" sheetId="15" state="hidden" r:id="rId16"/>
    <sheet name="Cover Pages" sheetId="16" r:id="rId17"/>
    <sheet name="N1" sheetId="19" r:id="rId18"/>
    <sheet name="Statement Generator" sheetId="5" r:id="rId19"/>
    <sheet name="3 Financal Statement Forecast" sheetId="30" r:id="rId20"/>
    <sheet name="N2" sheetId="21" state="hidden" r:id="rId21"/>
    <sheet name="N3" sheetId="22" state="hidden" r:id="rId22"/>
    <sheet name="N4" sheetId="23" state="hidden" r:id="rId23"/>
    <sheet name="N5" sheetId="24" state="hidden" r:id="rId24"/>
    <sheet name="N6" sheetId="25" state="hidden" r:id="rId25"/>
    <sheet name="N7" sheetId="26" state="hidden" r:id="rId26"/>
    <sheet name="N8" sheetId="27" state="hidden" r:id="rId27"/>
    <sheet name="N9" sheetId="28" state="hidden" r:id="rId28"/>
    <sheet name="N10" sheetId="29" state="hidden" r:id="rId29"/>
  </sheets>
  <externalReferences>
    <externalReference r:id="rId30"/>
  </externalReferences>
  <definedNames>
    <definedName name="P_LAccount_Name">OFFSET('P&amp;L COA'!$B$3,1,,COUNTA('P&amp;L COA'!$B$3:'P&amp;L COA'!$B$1000)-1,1)</definedName>
    <definedName name="P_LGroup">OFFSET('P&amp;L COA'!$A$3,1,,COUNTA('P&amp;L COA'!$A$3:'P&amp;L COA'!$A$1005)-1,1)</definedName>
    <definedName name="P_LSub_Group">OFFSET('P&amp;L COA'!$C$3,1,,COUNTA('P&amp;L COA'!$C$3:'P&amp;L COA'!$C$1004)-1,1)</definedName>
    <definedName name="_xlnm.Print_Area" localSheetId="16">'Cover Pages'!$A$1:$F$360</definedName>
    <definedName name="_xlnm.Print_Area" localSheetId="17">'N1'!$A$3:$J$356</definedName>
    <definedName name="_xlnm.Print_Area" localSheetId="28">'N10'!$A$1:$J$356</definedName>
    <definedName name="_xlnm.Print_Area" localSheetId="20">'N2'!$A$1:$J$356</definedName>
    <definedName name="_xlnm.Print_Area" localSheetId="21">'N3'!$A$1:$J$357</definedName>
    <definedName name="_xlnm.Print_Area" localSheetId="22">'N4'!$A$1:$J$356</definedName>
    <definedName name="_xlnm.Print_Area" localSheetId="23">'N5'!$A$1:$J$354</definedName>
    <definedName name="_xlnm.Print_Area" localSheetId="24">'N6'!$A$1:$J$355</definedName>
    <definedName name="_xlnm.Print_Area" localSheetId="25">'N7'!$A$1:$J$356</definedName>
    <definedName name="_xlnm.Print_Area" localSheetId="18">'Statement Generator'!$A$1:$GE$342</definedName>
    <definedName name="Year">'P&amp;L COA'!$Z$2:$Z$101</definedName>
  </definedNames>
  <calcPr calcId="191029"/>
  <pivotCaches>
    <pivotCache cacheId="0" r:id="rId31"/>
    <pivotCache cacheId="1" r:id="rId32"/>
    <pivotCache cacheId="2" r:id="rId33"/>
    <pivotCache cacheId="3" r:id="rId34"/>
    <pivotCache cacheId="4" r:id="rId3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0" i="30" l="1"/>
  <c r="H81" i="30"/>
  <c r="A1" i="30" l="1"/>
  <c r="I80" i="30"/>
  <c r="I81" i="30"/>
  <c r="G124" i="30" l="1"/>
  <c r="H124" i="30"/>
  <c r="I124" i="30"/>
  <c r="J124" i="30"/>
  <c r="K124" i="30"/>
  <c r="G60" i="30" l="1"/>
  <c r="H60" i="30"/>
  <c r="I60" i="30"/>
  <c r="J60" i="30"/>
  <c r="J84" i="30" s="1"/>
  <c r="K60" i="30"/>
  <c r="F60" i="30"/>
  <c r="F94" i="30"/>
  <c r="E94" i="30"/>
  <c r="G94" i="30"/>
  <c r="H94" i="30"/>
  <c r="I94" i="30"/>
  <c r="J94" i="30"/>
  <c r="K94" i="30"/>
  <c r="G95" i="30"/>
  <c r="H95" i="30"/>
  <c r="I95" i="30"/>
  <c r="J95" i="30"/>
  <c r="K95" i="30"/>
  <c r="G96" i="30"/>
  <c r="H96" i="30"/>
  <c r="I96" i="30"/>
  <c r="J96" i="30"/>
  <c r="K96" i="30"/>
  <c r="G97" i="30"/>
  <c r="H97" i="30"/>
  <c r="I97" i="30"/>
  <c r="J97" i="30"/>
  <c r="K97" i="30"/>
  <c r="G98" i="30"/>
  <c r="H98" i="30"/>
  <c r="I98" i="30"/>
  <c r="J98" i="30"/>
  <c r="K98" i="30"/>
  <c r="G99" i="30"/>
  <c r="H99" i="30"/>
  <c r="I99" i="30"/>
  <c r="J99" i="30"/>
  <c r="K99" i="30"/>
  <c r="F95" i="30"/>
  <c r="F96" i="30"/>
  <c r="F97" i="30"/>
  <c r="F98" i="30"/>
  <c r="F99" i="30"/>
  <c r="G89" i="30"/>
  <c r="H89" i="30"/>
  <c r="I89" i="30"/>
  <c r="J89" i="30"/>
  <c r="K89" i="30"/>
  <c r="G83" i="30"/>
  <c r="H83" i="30"/>
  <c r="I83" i="30"/>
  <c r="J83" i="30"/>
  <c r="K83" i="30"/>
  <c r="G84" i="30"/>
  <c r="H84" i="30"/>
  <c r="I84" i="30"/>
  <c r="K84" i="30"/>
  <c r="F89" i="30"/>
  <c r="F83" i="30"/>
  <c r="F84" i="30"/>
  <c r="G90" i="30"/>
  <c r="H90" i="30"/>
  <c r="I90" i="30"/>
  <c r="J90" i="30"/>
  <c r="K90" i="30"/>
  <c r="G91" i="30"/>
  <c r="H91" i="30"/>
  <c r="I91" i="30"/>
  <c r="J91" i="30"/>
  <c r="K91" i="30"/>
  <c r="F91" i="30"/>
  <c r="F90" i="30"/>
  <c r="G86" i="30"/>
  <c r="H86" i="30"/>
  <c r="I86" i="30"/>
  <c r="J86" i="30"/>
  <c r="K86" i="30"/>
  <c r="G87" i="30"/>
  <c r="H87" i="30"/>
  <c r="I87" i="30"/>
  <c r="J87" i="30"/>
  <c r="K87" i="30"/>
  <c r="G88" i="30"/>
  <c r="H88" i="30"/>
  <c r="I88" i="30"/>
  <c r="J88" i="30"/>
  <c r="K88" i="30"/>
  <c r="F88" i="30"/>
  <c r="F87" i="30"/>
  <c r="F86" i="30"/>
  <c r="G80" i="30"/>
  <c r="J80" i="30"/>
  <c r="K80" i="30"/>
  <c r="G81" i="30"/>
  <c r="J81" i="30"/>
  <c r="K81" i="30"/>
  <c r="G82" i="30"/>
  <c r="H82" i="30"/>
  <c r="I82" i="30"/>
  <c r="J82" i="30"/>
  <c r="K82" i="30"/>
  <c r="F81" i="30"/>
  <c r="F82" i="30"/>
  <c r="F80" i="30"/>
  <c r="F104" i="30" s="1"/>
  <c r="F85" i="30"/>
  <c r="E80" i="30"/>
  <c r="D81" i="30"/>
  <c r="E81" i="30"/>
  <c r="D82" i="30"/>
  <c r="E82" i="30"/>
  <c r="D89" i="30"/>
  <c r="E89" i="30"/>
  <c r="D90" i="30"/>
  <c r="E90" i="30"/>
  <c r="D95" i="30"/>
  <c r="E95" i="30"/>
  <c r="D106" i="30"/>
  <c r="D112" i="30" s="1"/>
  <c r="D115" i="30" s="1"/>
  <c r="D118" i="30" s="1"/>
  <c r="E106" i="30"/>
  <c r="E112" i="30" s="1"/>
  <c r="E115" i="30" s="1"/>
  <c r="E118" i="30" s="1"/>
  <c r="F108" i="30" l="1"/>
  <c r="G104" i="30"/>
  <c r="H104" i="30" s="1"/>
  <c r="H108" i="30" s="1"/>
  <c r="E4" i="30"/>
  <c r="F4" i="30"/>
  <c r="G4" i="30"/>
  <c r="H4" i="30"/>
  <c r="I4" i="30"/>
  <c r="J4" i="30"/>
  <c r="K4" i="30"/>
  <c r="D4" i="30"/>
  <c r="I104" i="30" l="1"/>
  <c r="I108" i="30" s="1"/>
  <c r="G108" i="30"/>
  <c r="J104" i="30" l="1"/>
  <c r="J108" i="30" s="1"/>
  <c r="G110" i="30"/>
  <c r="H110" i="30"/>
  <c r="I110" i="30"/>
  <c r="J110" i="30"/>
  <c r="K110" i="30"/>
  <c r="F110" i="30"/>
  <c r="K104" i="30" l="1"/>
  <c r="K108" i="30" s="1"/>
  <c r="E191" i="30"/>
  <c r="E188" i="30"/>
  <c r="E154" i="30" s="1"/>
  <c r="D163" i="30"/>
  <c r="E159" i="30"/>
  <c r="F159" i="30"/>
  <c r="G159" i="30"/>
  <c r="H159" i="30"/>
  <c r="I159" i="30"/>
  <c r="J159" i="30"/>
  <c r="K159" i="30"/>
  <c r="D159" i="30"/>
  <c r="D154" i="30"/>
  <c r="F154" i="30"/>
  <c r="G154" i="30"/>
  <c r="H154" i="30"/>
  <c r="I154" i="30"/>
  <c r="J154" i="30"/>
  <c r="K154" i="30"/>
  <c r="K156" i="30" s="1"/>
  <c r="E147" i="30"/>
  <c r="D147" i="30"/>
  <c r="E146" i="30"/>
  <c r="D146" i="30"/>
  <c r="D194" i="30"/>
  <c r="E182" i="30" s="1"/>
  <c r="E196" i="30"/>
  <c r="D195" i="30"/>
  <c r="E183" i="30" s="1"/>
  <c r="D196" i="30"/>
  <c r="E184" i="30" s="1"/>
  <c r="E177" i="30"/>
  <c r="D177" i="30"/>
  <c r="E176" i="30"/>
  <c r="D176" i="30"/>
  <c r="D149" i="30" s="1"/>
  <c r="E173" i="30"/>
  <c r="E174" i="30" s="1"/>
  <c r="E150" i="30" s="1"/>
  <c r="D173" i="30"/>
  <c r="D174" i="30" s="1"/>
  <c r="D150" i="30" s="1"/>
  <c r="E178" i="30" l="1"/>
  <c r="D197" i="30"/>
  <c r="D127" i="30" s="1"/>
  <c r="F184" i="30"/>
  <c r="F196" i="30" s="1"/>
  <c r="G184" i="30" s="1"/>
  <c r="E194" i="30"/>
  <c r="F182" i="30" s="1"/>
  <c r="E195" i="30"/>
  <c r="F183" i="30" s="1"/>
  <c r="D178" i="30"/>
  <c r="E149" i="30"/>
  <c r="D160" i="30"/>
  <c r="E160" i="30"/>
  <c r="F160" i="30"/>
  <c r="G160" i="30"/>
  <c r="H160" i="30"/>
  <c r="I160" i="30"/>
  <c r="J160" i="30"/>
  <c r="K160" i="30"/>
  <c r="E156" i="30"/>
  <c r="F156" i="30"/>
  <c r="G156" i="30"/>
  <c r="H156" i="30"/>
  <c r="I156" i="30"/>
  <c r="J156" i="30"/>
  <c r="D156" i="30"/>
  <c r="F194" i="30" l="1"/>
  <c r="E197" i="30"/>
  <c r="E127" i="30" s="1"/>
  <c r="F195" i="30"/>
  <c r="G183" i="30" s="1"/>
  <c r="G196" i="30"/>
  <c r="E98" i="30"/>
  <c r="E199" i="30" s="1"/>
  <c r="D98" i="30"/>
  <c r="E96" i="30"/>
  <c r="D96" i="30"/>
  <c r="E138" i="30"/>
  <c r="D138" i="30"/>
  <c r="E133" i="30"/>
  <c r="D133" i="30"/>
  <c r="D126" i="30"/>
  <c r="D94" i="30" s="1"/>
  <c r="G111" i="30"/>
  <c r="H111" i="30"/>
  <c r="I111" i="30"/>
  <c r="J111" i="30"/>
  <c r="K111" i="30"/>
  <c r="F111" i="30"/>
  <c r="T50" i="5"/>
  <c r="U49" i="5"/>
  <c r="I59" i="1"/>
  <c r="I132" i="30" l="1"/>
  <c r="J132" i="30"/>
  <c r="G132" i="30"/>
  <c r="G182" i="30"/>
  <c r="F113" i="30"/>
  <c r="F146" i="30" s="1"/>
  <c r="D199" i="30"/>
  <c r="K199" i="30" s="1"/>
  <c r="E128" i="30"/>
  <c r="F197" i="30"/>
  <c r="F127" i="30" s="1"/>
  <c r="I109" i="30"/>
  <c r="H184" i="30"/>
  <c r="H196" i="30" s="1"/>
  <c r="G195" i="30"/>
  <c r="H183" i="30" s="1"/>
  <c r="F109" i="30"/>
  <c r="K109" i="30"/>
  <c r="D139" i="30"/>
  <c r="K132" i="30"/>
  <c r="F132" i="30"/>
  <c r="H109" i="30"/>
  <c r="G105" i="30"/>
  <c r="G106" i="30" s="1"/>
  <c r="G109" i="30"/>
  <c r="E139" i="30"/>
  <c r="H132" i="30"/>
  <c r="D128" i="30"/>
  <c r="J109" i="30"/>
  <c r="F105" i="30"/>
  <c r="F106" i="30" s="1"/>
  <c r="H105" i="30"/>
  <c r="H106" i="30" s="1"/>
  <c r="J105" i="30"/>
  <c r="J106" i="30" s="1"/>
  <c r="I105" i="30"/>
  <c r="I106" i="30" s="1"/>
  <c r="K105" i="30"/>
  <c r="K106" i="30" s="1"/>
  <c r="K112" i="30" l="1"/>
  <c r="I112" i="30"/>
  <c r="K114" i="30"/>
  <c r="H112" i="30"/>
  <c r="J112" i="30"/>
  <c r="F112" i="30"/>
  <c r="I199" i="30"/>
  <c r="I114" i="30" s="1"/>
  <c r="G199" i="30"/>
  <c r="G114" i="30" s="1"/>
  <c r="F199" i="30"/>
  <c r="F114" i="30" s="1"/>
  <c r="J199" i="30"/>
  <c r="J114" i="30" s="1"/>
  <c r="H199" i="30"/>
  <c r="H114" i="30" s="1"/>
  <c r="G112" i="30"/>
  <c r="I184" i="30"/>
  <c r="H195" i="30"/>
  <c r="I183" i="30" s="1"/>
  <c r="G194" i="30"/>
  <c r="G113" i="30" s="1"/>
  <c r="I66" i="1"/>
  <c r="I68" i="1" s="1"/>
  <c r="D145" i="30"/>
  <c r="D151" i="30" s="1"/>
  <c r="D162" i="30" s="1"/>
  <c r="D164" i="30" s="1"/>
  <c r="E163" i="30" s="1"/>
  <c r="U30" i="5"/>
  <c r="W12" i="5"/>
  <c r="V12" i="5"/>
  <c r="E3" i="30"/>
  <c r="F3" i="30" s="1"/>
  <c r="G3" i="30" l="1"/>
  <c r="H3" i="30" s="1"/>
  <c r="I3" i="30" s="1"/>
  <c r="J3" i="30" s="1"/>
  <c r="K3" i="30" s="1"/>
  <c r="F210" i="30"/>
  <c r="A212" i="30"/>
  <c r="A213" i="30"/>
  <c r="F115" i="30"/>
  <c r="F117" i="30" s="1"/>
  <c r="F118" i="30" s="1"/>
  <c r="G115" i="30"/>
  <c r="H182" i="30"/>
  <c r="H194" i="30" s="1"/>
  <c r="H113" i="30" s="1"/>
  <c r="H115" i="30" s="1"/>
  <c r="G146" i="30"/>
  <c r="I195" i="30"/>
  <c r="J183" i="30" s="1"/>
  <c r="I196" i="30"/>
  <c r="G197" i="30"/>
  <c r="G127" i="30" s="1"/>
  <c r="S14" i="5"/>
  <c r="U14" i="5" s="1"/>
  <c r="U18" i="5"/>
  <c r="U13" i="5"/>
  <c r="U15" i="5"/>
  <c r="U16" i="5"/>
  <c r="U17" i="5"/>
  <c r="U20" i="5"/>
  <c r="U21" i="5"/>
  <c r="U22" i="5"/>
  <c r="U23" i="5"/>
  <c r="U24" i="5"/>
  <c r="U25" i="5"/>
  <c r="U26" i="5"/>
  <c r="U27" i="5"/>
  <c r="U29" i="5"/>
  <c r="U31" i="5"/>
  <c r="U32" i="5"/>
  <c r="U33" i="5"/>
  <c r="U34" i="5"/>
  <c r="U35" i="5"/>
  <c r="U36" i="5"/>
  <c r="U37" i="5"/>
  <c r="U38" i="5"/>
  <c r="U39" i="5"/>
  <c r="U40" i="5"/>
  <c r="U41" i="5"/>
  <c r="U42" i="5"/>
  <c r="U43" i="5"/>
  <c r="U44" i="5"/>
  <c r="U45" i="5"/>
  <c r="U46" i="5"/>
  <c r="U47" i="5"/>
  <c r="U48" i="5"/>
  <c r="U52" i="5"/>
  <c r="U53" i="5"/>
  <c r="U12" i="5"/>
  <c r="U119" i="5"/>
  <c r="U120" i="5"/>
  <c r="U121" i="5"/>
  <c r="U122" i="5"/>
  <c r="U123" i="5"/>
  <c r="U124" i="5"/>
  <c r="U125" i="5"/>
  <c r="U127" i="5"/>
  <c r="U128" i="5"/>
  <c r="U129" i="5"/>
  <c r="U131" i="5"/>
  <c r="U132" i="5"/>
  <c r="U118" i="5"/>
  <c r="U76" i="5"/>
  <c r="U77" i="5"/>
  <c r="U78" i="5"/>
  <c r="U79" i="5"/>
  <c r="U80" i="5"/>
  <c r="U81" i="5"/>
  <c r="U84" i="5"/>
  <c r="U85" i="5"/>
  <c r="U86" i="5"/>
  <c r="U87" i="5"/>
  <c r="U89" i="5"/>
  <c r="U90" i="5"/>
  <c r="U91" i="5"/>
  <c r="U92" i="5"/>
  <c r="U75" i="5"/>
  <c r="S126" i="5"/>
  <c r="U126" i="5" s="1"/>
  <c r="S135" i="5"/>
  <c r="U135" i="5" s="1"/>
  <c r="S133" i="5"/>
  <c r="S130" i="5"/>
  <c r="U130" i="5" s="1"/>
  <c r="U113" i="5"/>
  <c r="S93" i="5"/>
  <c r="U93" i="5" s="1"/>
  <c r="S88" i="5"/>
  <c r="U88" i="5" s="1"/>
  <c r="S82" i="5"/>
  <c r="S83" i="5" s="1"/>
  <c r="U83" i="5" s="1"/>
  <c r="U71" i="5"/>
  <c r="S54" i="5"/>
  <c r="U54" i="5" s="1"/>
  <c r="S50" i="5"/>
  <c r="S28" i="5"/>
  <c r="U28" i="5" s="1"/>
  <c r="S19" i="5"/>
  <c r="U9" i="5"/>
  <c r="D237" i="5"/>
  <c r="D182" i="5"/>
  <c r="D109" i="5"/>
  <c r="D6" i="5"/>
  <c r="D66" i="5"/>
  <c r="F26" i="3"/>
  <c r="F29" i="3" s="1"/>
  <c r="F31" i="3" s="1"/>
  <c r="F4" i="3"/>
  <c r="I70" i="1"/>
  <c r="I37" i="1"/>
  <c r="I26" i="1"/>
  <c r="E210" i="30" l="1"/>
  <c r="D210" i="30" s="1"/>
  <c r="G210" i="30"/>
  <c r="H210" i="30" s="1"/>
  <c r="H117" i="30"/>
  <c r="H118" i="30" s="1"/>
  <c r="G117" i="30"/>
  <c r="G118" i="30" s="1"/>
  <c r="E145" i="30"/>
  <c r="E151" i="30" s="1"/>
  <c r="E162" i="30" s="1"/>
  <c r="E164" i="30" s="1"/>
  <c r="F163" i="30" s="1"/>
  <c r="I182" i="30"/>
  <c r="H146" i="30"/>
  <c r="J184" i="30"/>
  <c r="J196" i="30" s="1"/>
  <c r="J195" i="30"/>
  <c r="H197" i="30"/>
  <c r="H127" i="30" s="1"/>
  <c r="S51" i="5"/>
  <c r="V13" i="5" s="1"/>
  <c r="U19" i="5"/>
  <c r="U50" i="5"/>
  <c r="S134" i="5"/>
  <c r="U133" i="5"/>
  <c r="U82" i="5"/>
  <c r="S94" i="5"/>
  <c r="U94" i="5" s="1"/>
  <c r="K184" i="30" l="1"/>
  <c r="K196" i="30" s="1"/>
  <c r="K183" i="30"/>
  <c r="K195" i="30" s="1"/>
  <c r="I194" i="30"/>
  <c r="I113" i="30" s="1"/>
  <c r="I115" i="30" s="1"/>
  <c r="U51" i="5"/>
  <c r="S136" i="5"/>
  <c r="U136" i="5" s="1"/>
  <c r="U134" i="5"/>
  <c r="C295" i="19"/>
  <c r="C227" i="19"/>
  <c r="C193" i="19"/>
  <c r="C148" i="19"/>
  <c r="C95" i="19"/>
  <c r="C54" i="19"/>
  <c r="I117" i="30" l="1"/>
  <c r="I118" i="30" s="1"/>
  <c r="J182" i="30"/>
  <c r="J194" i="30" s="1"/>
  <c r="J113" i="30" s="1"/>
  <c r="J115" i="30" s="1"/>
  <c r="I146" i="30"/>
  <c r="I197" i="30"/>
  <c r="I127" i="30" s="1"/>
  <c r="E323" i="23"/>
  <c r="G322" i="23"/>
  <c r="E322" i="23"/>
  <c r="E324" i="23" s="1"/>
  <c r="H321" i="23"/>
  <c r="F320" i="23"/>
  <c r="F322" i="23" s="1"/>
  <c r="H319" i="23"/>
  <c r="D300" i="23"/>
  <c r="E206" i="23"/>
  <c r="F201" i="23"/>
  <c r="F206" i="23" s="1"/>
  <c r="E201" i="23"/>
  <c r="G182" i="23"/>
  <c r="E182" i="23"/>
  <c r="F181" i="23"/>
  <c r="F180" i="23"/>
  <c r="F179" i="23"/>
  <c r="F182" i="23" s="1"/>
  <c r="H176" i="23"/>
  <c r="H175" i="23"/>
  <c r="G175" i="23"/>
  <c r="F172" i="23" s="1"/>
  <c r="F175" i="23" s="1"/>
  <c r="H174" i="23"/>
  <c r="G170" i="23"/>
  <c r="F170" i="23"/>
  <c r="G166" i="23"/>
  <c r="F166" i="23"/>
  <c r="I165" i="23"/>
  <c r="G162" i="23"/>
  <c r="F162" i="23"/>
  <c r="G158" i="23"/>
  <c r="F157" i="23"/>
  <c r="F158" i="23" s="1"/>
  <c r="H156" i="23"/>
  <c r="F155" i="23"/>
  <c r="G153" i="23"/>
  <c r="F153" i="23"/>
  <c r="H137" i="23"/>
  <c r="H135" i="23"/>
  <c r="I118" i="23"/>
  <c r="G117" i="23"/>
  <c r="I117" i="23" s="1"/>
  <c r="I116" i="23"/>
  <c r="H111" i="23"/>
  <c r="H122" i="23" s="1"/>
  <c r="G111" i="23"/>
  <c r="F111" i="23"/>
  <c r="F122" i="23" s="1"/>
  <c r="E111" i="23"/>
  <c r="E122" i="23" s="1"/>
  <c r="I107" i="23"/>
  <c r="H104" i="23"/>
  <c r="H106" i="23" s="1"/>
  <c r="G104" i="23"/>
  <c r="G106" i="23" s="1"/>
  <c r="F104" i="23"/>
  <c r="F106" i="23" s="1"/>
  <c r="E104" i="23"/>
  <c r="I102" i="23"/>
  <c r="C54" i="23"/>
  <c r="C6" i="23"/>
  <c r="E323" i="29"/>
  <c r="G322" i="29"/>
  <c r="E322" i="29"/>
  <c r="H321" i="29"/>
  <c r="F320" i="29"/>
  <c r="H320" i="29" s="1"/>
  <c r="H319" i="29"/>
  <c r="D300" i="29"/>
  <c r="F201" i="29"/>
  <c r="F206" i="29" s="1"/>
  <c r="E201" i="29"/>
  <c r="E206" i="29" s="1"/>
  <c r="G182" i="29"/>
  <c r="E182" i="29"/>
  <c r="F181" i="29"/>
  <c r="F180" i="29"/>
  <c r="F179" i="29"/>
  <c r="H175" i="29"/>
  <c r="H176" i="29" s="1"/>
  <c r="G175" i="29"/>
  <c r="F172" i="29" s="1"/>
  <c r="F175" i="29" s="1"/>
  <c r="H174" i="29"/>
  <c r="G170" i="29"/>
  <c r="F170" i="29"/>
  <c r="G166" i="29"/>
  <c r="F166" i="29"/>
  <c r="I165" i="29"/>
  <c r="G162" i="29"/>
  <c r="F162" i="29"/>
  <c r="G158" i="29"/>
  <c r="F157" i="29"/>
  <c r="H156" i="29"/>
  <c r="F155" i="29"/>
  <c r="G153" i="29"/>
  <c r="F153" i="29"/>
  <c r="H137" i="29"/>
  <c r="H135" i="29"/>
  <c r="I118" i="29"/>
  <c r="G117" i="29"/>
  <c r="I117" i="29" s="1"/>
  <c r="I116" i="29"/>
  <c r="H111" i="29"/>
  <c r="H122" i="29" s="1"/>
  <c r="G111" i="29"/>
  <c r="G122" i="29" s="1"/>
  <c r="F111" i="29"/>
  <c r="F122" i="29" s="1"/>
  <c r="E111" i="29"/>
  <c r="E122" i="29" s="1"/>
  <c r="I107" i="29"/>
  <c r="H104" i="29"/>
  <c r="H106" i="29" s="1"/>
  <c r="G104" i="29"/>
  <c r="G106" i="29" s="1"/>
  <c r="F104" i="29"/>
  <c r="F106" i="29" s="1"/>
  <c r="E104" i="29"/>
  <c r="I102" i="29"/>
  <c r="C54" i="29"/>
  <c r="C6" i="29"/>
  <c r="E323" i="28"/>
  <c r="G322" i="28"/>
  <c r="E322" i="28"/>
  <c r="E324" i="28" s="1"/>
  <c r="H321" i="28"/>
  <c r="F320" i="28"/>
  <c r="H320" i="28" s="1"/>
  <c r="H319" i="28"/>
  <c r="H322" i="28" s="1"/>
  <c r="D300" i="28"/>
  <c r="F201" i="28"/>
  <c r="F206" i="28" s="1"/>
  <c r="E201" i="28"/>
  <c r="E206" i="28" s="1"/>
  <c r="G182" i="28"/>
  <c r="E182" i="28"/>
  <c r="F181" i="28"/>
  <c r="F180" i="28"/>
  <c r="F179" i="28"/>
  <c r="F182" i="28" s="1"/>
  <c r="H175" i="28"/>
  <c r="H176" i="28" s="1"/>
  <c r="G175" i="28"/>
  <c r="F172" i="28" s="1"/>
  <c r="F175" i="28" s="1"/>
  <c r="H174" i="28"/>
  <c r="G170" i="28"/>
  <c r="F170" i="28"/>
  <c r="G166" i="28"/>
  <c r="F166" i="28"/>
  <c r="I165" i="28"/>
  <c r="G162" i="28"/>
  <c r="F162" i="28"/>
  <c r="G158" i="28"/>
  <c r="F157" i="28"/>
  <c r="F158" i="28" s="1"/>
  <c r="H156" i="28"/>
  <c r="F155" i="28"/>
  <c r="G153" i="28"/>
  <c r="F153" i="28"/>
  <c r="H137" i="28"/>
  <c r="H135" i="28"/>
  <c r="G122" i="28"/>
  <c r="I118" i="28"/>
  <c r="G117" i="28"/>
  <c r="I117" i="28" s="1"/>
  <c r="I116" i="28"/>
  <c r="H111" i="28"/>
  <c r="H122" i="28" s="1"/>
  <c r="G111" i="28"/>
  <c r="F111" i="28"/>
  <c r="F122" i="28" s="1"/>
  <c r="E111" i="28"/>
  <c r="E122" i="28" s="1"/>
  <c r="I107" i="28"/>
  <c r="H106" i="28"/>
  <c r="H104" i="28"/>
  <c r="G104" i="28"/>
  <c r="G106" i="28" s="1"/>
  <c r="F104" i="28"/>
  <c r="F106" i="28" s="1"/>
  <c r="E104" i="28"/>
  <c r="I102" i="28"/>
  <c r="C54" i="28"/>
  <c r="C6" i="28"/>
  <c r="E323" i="27"/>
  <c r="G322" i="27"/>
  <c r="E322" i="27"/>
  <c r="E324" i="27" s="1"/>
  <c r="H321" i="27"/>
  <c r="F320" i="27"/>
  <c r="H320" i="27" s="1"/>
  <c r="H319" i="27"/>
  <c r="D300" i="27"/>
  <c r="E206" i="27"/>
  <c r="F201" i="27"/>
  <c r="F206" i="27" s="1"/>
  <c r="E201" i="27"/>
  <c r="G182" i="27"/>
  <c r="E182" i="27"/>
  <c r="F181" i="27"/>
  <c r="F180" i="27"/>
  <c r="F179" i="27"/>
  <c r="F182" i="27" s="1"/>
  <c r="H175" i="27"/>
  <c r="H176" i="27" s="1"/>
  <c r="G175" i="27"/>
  <c r="F172" i="27" s="1"/>
  <c r="F175" i="27" s="1"/>
  <c r="H174" i="27"/>
  <c r="G170" i="27"/>
  <c r="F170" i="27"/>
  <c r="G166" i="27"/>
  <c r="F166" i="27"/>
  <c r="I165" i="27"/>
  <c r="G162" i="27"/>
  <c r="F162" i="27"/>
  <c r="G158" i="27"/>
  <c r="F157" i="27"/>
  <c r="F158" i="27" s="1"/>
  <c r="H156" i="27"/>
  <c r="F155" i="27"/>
  <c r="G153" i="27"/>
  <c r="F153" i="27"/>
  <c r="H137" i="27"/>
  <c r="H135" i="27"/>
  <c r="H122" i="27"/>
  <c r="G122" i="27"/>
  <c r="I118" i="27"/>
  <c r="G117" i="27"/>
  <c r="I117" i="27" s="1"/>
  <c r="I116" i="27"/>
  <c r="H111" i="27"/>
  <c r="G111" i="27"/>
  <c r="F111" i="27"/>
  <c r="F122" i="27" s="1"/>
  <c r="E111" i="27"/>
  <c r="E122" i="27" s="1"/>
  <c r="I107" i="27"/>
  <c r="H106" i="27"/>
  <c r="H108" i="27" s="1"/>
  <c r="H112" i="27" s="1"/>
  <c r="H113" i="27" s="1"/>
  <c r="H115" i="27" s="1"/>
  <c r="H104" i="27"/>
  <c r="G104" i="27"/>
  <c r="G106" i="27" s="1"/>
  <c r="F104" i="27"/>
  <c r="F106" i="27" s="1"/>
  <c r="E104" i="27"/>
  <c r="I102" i="27"/>
  <c r="C54" i="27"/>
  <c r="C6" i="27"/>
  <c r="E323" i="26"/>
  <c r="G322" i="26"/>
  <c r="E322" i="26"/>
  <c r="H321" i="26"/>
  <c r="F320" i="26"/>
  <c r="H320" i="26" s="1"/>
  <c r="H319" i="26"/>
  <c r="D300" i="26"/>
  <c r="F201" i="26"/>
  <c r="F206" i="26" s="1"/>
  <c r="E201" i="26"/>
  <c r="E206" i="26" s="1"/>
  <c r="G182" i="26"/>
  <c r="E182" i="26"/>
  <c r="F181" i="26"/>
  <c r="F180" i="26"/>
  <c r="F179" i="26"/>
  <c r="H175" i="26"/>
  <c r="H176" i="26" s="1"/>
  <c r="G175" i="26"/>
  <c r="F172" i="26" s="1"/>
  <c r="F175" i="26" s="1"/>
  <c r="H174" i="26"/>
  <c r="G170" i="26"/>
  <c r="F170" i="26"/>
  <c r="G166" i="26"/>
  <c r="F166" i="26"/>
  <c r="I165" i="26"/>
  <c r="G162" i="26"/>
  <c r="F162" i="26"/>
  <c r="G158" i="26"/>
  <c r="F157" i="26"/>
  <c r="H156" i="26"/>
  <c r="F155" i="26"/>
  <c r="G153" i="26"/>
  <c r="F153" i="26"/>
  <c r="H137" i="26"/>
  <c r="H135" i="26"/>
  <c r="I118" i="26"/>
  <c r="G117" i="26"/>
  <c r="I117" i="26" s="1"/>
  <c r="I116" i="26"/>
  <c r="H111" i="26"/>
  <c r="H122" i="26" s="1"/>
  <c r="G111" i="26"/>
  <c r="G122" i="26" s="1"/>
  <c r="F111" i="26"/>
  <c r="F122" i="26" s="1"/>
  <c r="E111" i="26"/>
  <c r="E122" i="26" s="1"/>
  <c r="I107" i="26"/>
  <c r="H104" i="26"/>
  <c r="H106" i="26" s="1"/>
  <c r="G104" i="26"/>
  <c r="G106" i="26" s="1"/>
  <c r="F104" i="26"/>
  <c r="F106" i="26" s="1"/>
  <c r="E104" i="26"/>
  <c r="E106" i="26" s="1"/>
  <c r="I102" i="26"/>
  <c r="C54" i="26"/>
  <c r="C6" i="26"/>
  <c r="E323" i="25"/>
  <c r="G322" i="25"/>
  <c r="E322" i="25"/>
  <c r="H321" i="25"/>
  <c r="F320" i="25"/>
  <c r="F322" i="25" s="1"/>
  <c r="H319" i="25"/>
  <c r="D300" i="25"/>
  <c r="F201" i="25"/>
  <c r="F206" i="25" s="1"/>
  <c r="E201" i="25"/>
  <c r="E206" i="25" s="1"/>
  <c r="G182" i="25"/>
  <c r="E182" i="25"/>
  <c r="F181" i="25"/>
  <c r="F180" i="25"/>
  <c r="F179" i="25"/>
  <c r="H175" i="25"/>
  <c r="H176" i="25" s="1"/>
  <c r="G175" i="25"/>
  <c r="F172" i="25" s="1"/>
  <c r="F175" i="25" s="1"/>
  <c r="H174" i="25"/>
  <c r="G170" i="25"/>
  <c r="F170" i="25"/>
  <c r="G166" i="25"/>
  <c r="F166" i="25"/>
  <c r="I165" i="25"/>
  <c r="G162" i="25"/>
  <c r="F162" i="25"/>
  <c r="G158" i="25"/>
  <c r="F157" i="25"/>
  <c r="H156" i="25"/>
  <c r="F155" i="25"/>
  <c r="G153" i="25"/>
  <c r="F153" i="25"/>
  <c r="H137" i="25"/>
  <c r="H135" i="25"/>
  <c r="I118" i="25"/>
  <c r="G117" i="25"/>
  <c r="I117" i="25" s="1"/>
  <c r="I116" i="25"/>
  <c r="H111" i="25"/>
  <c r="H122" i="25" s="1"/>
  <c r="G111" i="25"/>
  <c r="G122" i="25" s="1"/>
  <c r="F111" i="25"/>
  <c r="F122" i="25" s="1"/>
  <c r="E111" i="25"/>
  <c r="I107" i="25"/>
  <c r="H104" i="25"/>
  <c r="H106" i="25" s="1"/>
  <c r="G104" i="25"/>
  <c r="G106" i="25" s="1"/>
  <c r="F104" i="25"/>
  <c r="F106" i="25" s="1"/>
  <c r="E104" i="25"/>
  <c r="E106" i="25" s="1"/>
  <c r="I102" i="25"/>
  <c r="C54" i="25"/>
  <c r="C6" i="25"/>
  <c r="E323" i="24"/>
  <c r="G322" i="24"/>
  <c r="E322" i="24"/>
  <c r="H321" i="24"/>
  <c r="F320" i="24"/>
  <c r="H320" i="24" s="1"/>
  <c r="H319" i="24"/>
  <c r="D300" i="24"/>
  <c r="F201" i="24"/>
  <c r="F206" i="24" s="1"/>
  <c r="E201" i="24"/>
  <c r="E206" i="24" s="1"/>
  <c r="G182" i="24"/>
  <c r="E182" i="24"/>
  <c r="F181" i="24"/>
  <c r="F180" i="24"/>
  <c r="F179" i="24"/>
  <c r="H175" i="24"/>
  <c r="H176" i="24" s="1"/>
  <c r="G175" i="24"/>
  <c r="F172" i="24" s="1"/>
  <c r="F175" i="24" s="1"/>
  <c r="H174" i="24"/>
  <c r="G170" i="24"/>
  <c r="F170" i="24"/>
  <c r="G166" i="24"/>
  <c r="F166" i="24"/>
  <c r="I165" i="24"/>
  <c r="G162" i="24"/>
  <c r="F162" i="24"/>
  <c r="G158" i="24"/>
  <c r="F157" i="24"/>
  <c r="H156" i="24"/>
  <c r="F155" i="24"/>
  <c r="G153" i="24"/>
  <c r="F153" i="24"/>
  <c r="H137" i="24"/>
  <c r="H135" i="24"/>
  <c r="I118" i="24"/>
  <c r="G117" i="24"/>
  <c r="I117" i="24" s="1"/>
  <c r="I116" i="24"/>
  <c r="H111" i="24"/>
  <c r="H122" i="24" s="1"/>
  <c r="G111" i="24"/>
  <c r="F111" i="24"/>
  <c r="F122" i="24" s="1"/>
  <c r="E111" i="24"/>
  <c r="I107" i="24"/>
  <c r="H104" i="24"/>
  <c r="H106" i="24" s="1"/>
  <c r="G104" i="24"/>
  <c r="G106" i="24" s="1"/>
  <c r="F104" i="24"/>
  <c r="F106" i="24" s="1"/>
  <c r="E104" i="24"/>
  <c r="I102" i="24"/>
  <c r="C54" i="24"/>
  <c r="C6" i="24"/>
  <c r="E323" i="22"/>
  <c r="G322" i="22"/>
  <c r="E322" i="22"/>
  <c r="H321" i="22"/>
  <c r="F320" i="22"/>
  <c r="H320" i="22" s="1"/>
  <c r="H319" i="22"/>
  <c r="D300" i="22"/>
  <c r="F201" i="22"/>
  <c r="F206" i="22" s="1"/>
  <c r="E201" i="22"/>
  <c r="E206" i="22" s="1"/>
  <c r="G182" i="22"/>
  <c r="E182" i="22"/>
  <c r="F181" i="22"/>
  <c r="F180" i="22"/>
  <c r="F179" i="22"/>
  <c r="H175" i="22"/>
  <c r="G175" i="22"/>
  <c r="F172" i="22" s="1"/>
  <c r="F175" i="22" s="1"/>
  <c r="H174" i="22"/>
  <c r="G170" i="22"/>
  <c r="F170" i="22"/>
  <c r="G166" i="22"/>
  <c r="F166" i="22"/>
  <c r="I165" i="22"/>
  <c r="G162" i="22"/>
  <c r="F162" i="22"/>
  <c r="G158" i="22"/>
  <c r="F157" i="22"/>
  <c r="H156" i="22"/>
  <c r="F155" i="22"/>
  <c r="G153" i="22"/>
  <c r="F153" i="22"/>
  <c r="H137" i="22"/>
  <c r="H135" i="22"/>
  <c r="I118" i="22"/>
  <c r="G117" i="22"/>
  <c r="I117" i="22" s="1"/>
  <c r="I116" i="22"/>
  <c r="H111" i="22"/>
  <c r="H122" i="22" s="1"/>
  <c r="G111" i="22"/>
  <c r="G122" i="22" s="1"/>
  <c r="F111" i="22"/>
  <c r="F122" i="22" s="1"/>
  <c r="E111" i="22"/>
  <c r="E122" i="22" s="1"/>
  <c r="I107" i="22"/>
  <c r="H104" i="22"/>
  <c r="H106" i="22" s="1"/>
  <c r="G104" i="22"/>
  <c r="G106" i="22" s="1"/>
  <c r="F104" i="22"/>
  <c r="F106" i="22" s="1"/>
  <c r="E104" i="22"/>
  <c r="I102" i="22"/>
  <c r="C54" i="22"/>
  <c r="C6" i="22"/>
  <c r="E323" i="21"/>
  <c r="G322" i="21"/>
  <c r="E322" i="21"/>
  <c r="H321" i="21"/>
  <c r="F320" i="21"/>
  <c r="F322" i="21" s="1"/>
  <c r="H319" i="21"/>
  <c r="D300" i="21"/>
  <c r="E206" i="21"/>
  <c r="F201" i="21"/>
  <c r="F206" i="21" s="1"/>
  <c r="E201" i="21"/>
  <c r="G182" i="21"/>
  <c r="E182" i="21"/>
  <c r="F181" i="21"/>
  <c r="F180" i="21"/>
  <c r="F179" i="21"/>
  <c r="H175" i="21"/>
  <c r="H176" i="21" s="1"/>
  <c r="G175" i="21"/>
  <c r="F172" i="21" s="1"/>
  <c r="F175" i="21" s="1"/>
  <c r="H174" i="21"/>
  <c r="G170" i="21"/>
  <c r="F170" i="21"/>
  <c r="G166" i="21"/>
  <c r="F166" i="21"/>
  <c r="I165" i="21"/>
  <c r="G162" i="21"/>
  <c r="F162" i="21"/>
  <c r="G158" i="21"/>
  <c r="F157" i="21"/>
  <c r="H156" i="21"/>
  <c r="F155" i="21"/>
  <c r="G153" i="21"/>
  <c r="F153" i="21"/>
  <c r="H137" i="21"/>
  <c r="H135" i="21"/>
  <c r="I118" i="21"/>
  <c r="G117" i="21"/>
  <c r="I117" i="21" s="1"/>
  <c r="I116" i="21"/>
  <c r="H111" i="21"/>
  <c r="H122" i="21" s="1"/>
  <c r="G111" i="21"/>
  <c r="F111" i="21"/>
  <c r="F122" i="21" s="1"/>
  <c r="E111" i="21"/>
  <c r="I107" i="21"/>
  <c r="H104" i="21"/>
  <c r="H106" i="21" s="1"/>
  <c r="G104" i="21"/>
  <c r="G106" i="21" s="1"/>
  <c r="F104" i="21"/>
  <c r="F106" i="21" s="1"/>
  <c r="E104" i="21"/>
  <c r="I102" i="21"/>
  <c r="C54" i="21"/>
  <c r="C6" i="21"/>
  <c r="E322" i="19"/>
  <c r="E323" i="19"/>
  <c r="G322" i="19"/>
  <c r="H321" i="19"/>
  <c r="F320" i="19"/>
  <c r="H320" i="19" s="1"/>
  <c r="H319" i="19"/>
  <c r="D300" i="19"/>
  <c r="G122" i="21" l="1"/>
  <c r="I175" i="24"/>
  <c r="H322" i="26"/>
  <c r="I104" i="28"/>
  <c r="I106" i="28" s="1"/>
  <c r="E106" i="28"/>
  <c r="H109" i="27"/>
  <c r="I104" i="21"/>
  <c r="I106" i="21" s="1"/>
  <c r="I104" i="27"/>
  <c r="I106" i="27" s="1"/>
  <c r="E106" i="27"/>
  <c r="G122" i="23"/>
  <c r="G122" i="24"/>
  <c r="I175" i="27"/>
  <c r="H322" i="27"/>
  <c r="I175" i="28"/>
  <c r="J117" i="30"/>
  <c r="J118" i="30" s="1"/>
  <c r="K182" i="30"/>
  <c r="K194" i="30" s="1"/>
  <c r="J146" i="30"/>
  <c r="J197" i="30"/>
  <c r="J127" i="30" s="1"/>
  <c r="I175" i="29"/>
  <c r="F158" i="26"/>
  <c r="I104" i="26"/>
  <c r="I106" i="26" s="1"/>
  <c r="F182" i="26"/>
  <c r="E324" i="26"/>
  <c r="F158" i="25"/>
  <c r="I104" i="25"/>
  <c r="I106" i="25" s="1"/>
  <c r="I111" i="25"/>
  <c r="I122" i="25" s="1"/>
  <c r="F182" i="25"/>
  <c r="E324" i="25"/>
  <c r="H108" i="24"/>
  <c r="H112" i="24" s="1"/>
  <c r="H113" i="24" s="1"/>
  <c r="H115" i="24" s="1"/>
  <c r="I104" i="24"/>
  <c r="I106" i="24" s="1"/>
  <c r="E106" i="24"/>
  <c r="E108" i="24" s="1"/>
  <c r="E109" i="24" s="1"/>
  <c r="I111" i="24"/>
  <c r="I122" i="24" s="1"/>
  <c r="F158" i="24"/>
  <c r="F182" i="24"/>
  <c r="E324" i="24"/>
  <c r="I104" i="22"/>
  <c r="I106" i="22" s="1"/>
  <c r="I104" i="23"/>
  <c r="I106" i="23" s="1"/>
  <c r="E106" i="23"/>
  <c r="E108" i="23" s="1"/>
  <c r="E109" i="23" s="1"/>
  <c r="F108" i="23"/>
  <c r="F112" i="23" s="1"/>
  <c r="F113" i="23" s="1"/>
  <c r="F115" i="23" s="1"/>
  <c r="G108" i="23"/>
  <c r="G112" i="23" s="1"/>
  <c r="H108" i="23"/>
  <c r="H112" i="23" s="1"/>
  <c r="I175" i="23"/>
  <c r="F323" i="23"/>
  <c r="F324" i="23" s="1"/>
  <c r="I111" i="23"/>
  <c r="I122" i="23" s="1"/>
  <c r="H320" i="23"/>
  <c r="H322" i="23" s="1"/>
  <c r="G323" i="23"/>
  <c r="H323" i="23" s="1"/>
  <c r="I175" i="22"/>
  <c r="F158" i="22"/>
  <c r="E106" i="22"/>
  <c r="E324" i="22"/>
  <c r="H176" i="22"/>
  <c r="F182" i="22"/>
  <c r="F158" i="21"/>
  <c r="E106" i="21"/>
  <c r="F182" i="21"/>
  <c r="E324" i="21"/>
  <c r="H108" i="29"/>
  <c r="H112" i="29" s="1"/>
  <c r="H113" i="29" s="1"/>
  <c r="H115" i="29" s="1"/>
  <c r="I104" i="29"/>
  <c r="I106" i="29" s="1"/>
  <c r="E106" i="29"/>
  <c r="E108" i="29" s="1"/>
  <c r="F158" i="29"/>
  <c r="E324" i="29"/>
  <c r="F182" i="29"/>
  <c r="H322" i="29"/>
  <c r="F108" i="29"/>
  <c r="F112" i="29" s="1"/>
  <c r="F113" i="29" s="1"/>
  <c r="F115" i="29" s="1"/>
  <c r="G108" i="29"/>
  <c r="G112" i="29" s="1"/>
  <c r="I111" i="29"/>
  <c r="I122" i="29" s="1"/>
  <c r="F322" i="29"/>
  <c r="G323" i="29"/>
  <c r="G324" i="29" s="1"/>
  <c r="G108" i="28"/>
  <c r="G112" i="28" s="1"/>
  <c r="G324" i="28"/>
  <c r="F108" i="28"/>
  <c r="F112" i="28" s="1"/>
  <c r="I111" i="28"/>
  <c r="I122" i="28" s="1"/>
  <c r="H108" i="28"/>
  <c r="H112" i="28" s="1"/>
  <c r="F322" i="28"/>
  <c r="E108" i="28"/>
  <c r="G323" i="28"/>
  <c r="H119" i="27"/>
  <c r="H120" i="27"/>
  <c r="F108" i="27"/>
  <c r="F112" i="27" s="1"/>
  <c r="F113" i="27" s="1"/>
  <c r="F115" i="27" s="1"/>
  <c r="G108" i="27"/>
  <c r="G112" i="27" s="1"/>
  <c r="E109" i="27"/>
  <c r="I111" i="27"/>
  <c r="I122" i="27" s="1"/>
  <c r="F322" i="27"/>
  <c r="E108" i="27"/>
  <c r="H123" i="27"/>
  <c r="H124" i="27" s="1"/>
  <c r="G323" i="27"/>
  <c r="G324" i="27" s="1"/>
  <c r="F108" i="26"/>
  <c r="F112" i="26" s="1"/>
  <c r="F109" i="26"/>
  <c r="G108" i="26"/>
  <c r="G112" i="26" s="1"/>
  <c r="H108" i="26"/>
  <c r="H112" i="26" s="1"/>
  <c r="I175" i="26"/>
  <c r="I111" i="26"/>
  <c r="I122" i="26" s="1"/>
  <c r="F322" i="26"/>
  <c r="E108" i="26"/>
  <c r="G323" i="26"/>
  <c r="G324" i="26" s="1"/>
  <c r="F113" i="26"/>
  <c r="F115" i="26" s="1"/>
  <c r="F108" i="25"/>
  <c r="F112" i="25" s="1"/>
  <c r="G108" i="25"/>
  <c r="G112" i="25" s="1"/>
  <c r="H108" i="25"/>
  <c r="H112" i="25" s="1"/>
  <c r="I175" i="25"/>
  <c r="F323" i="25"/>
  <c r="E108" i="25"/>
  <c r="E122" i="25"/>
  <c r="H320" i="25"/>
  <c r="H322" i="25" s="1"/>
  <c r="G323" i="25"/>
  <c r="G324" i="25" s="1"/>
  <c r="G108" i="24"/>
  <c r="G112" i="24" s="1"/>
  <c r="H322" i="24"/>
  <c r="H119" i="24"/>
  <c r="H120" i="24" s="1"/>
  <c r="F108" i="24"/>
  <c r="F112" i="24" s="1"/>
  <c r="F322" i="24"/>
  <c r="E122" i="24"/>
  <c r="H123" i="24"/>
  <c r="H124" i="24" s="1"/>
  <c r="G323" i="24"/>
  <c r="G324" i="24" s="1"/>
  <c r="F108" i="22"/>
  <c r="F112" i="22" s="1"/>
  <c r="G108" i="22"/>
  <c r="G112" i="22" s="1"/>
  <c r="H108" i="22"/>
  <c r="H112" i="22" s="1"/>
  <c r="H322" i="22"/>
  <c r="I111" i="22"/>
  <c r="I122" i="22" s="1"/>
  <c r="F322" i="22"/>
  <c r="E108" i="22"/>
  <c r="E109" i="22" s="1"/>
  <c r="G323" i="22"/>
  <c r="G324" i="22" s="1"/>
  <c r="G108" i="21"/>
  <c r="G112" i="21" s="1"/>
  <c r="H108" i="21"/>
  <c r="H112" i="21" s="1"/>
  <c r="F108" i="21"/>
  <c r="F112" i="21" s="1"/>
  <c r="F113" i="21" s="1"/>
  <c r="F115" i="21" s="1"/>
  <c r="I175" i="21"/>
  <c r="F323" i="21"/>
  <c r="E122" i="21"/>
  <c r="H320" i="21"/>
  <c r="H322" i="21" s="1"/>
  <c r="G323" i="21"/>
  <c r="G324" i="21" s="1"/>
  <c r="I111" i="21"/>
  <c r="I122" i="21" s="1"/>
  <c r="E108" i="21"/>
  <c r="E324" i="19"/>
  <c r="H322" i="19"/>
  <c r="F322" i="19"/>
  <c r="G323" i="19"/>
  <c r="G324" i="19" s="1"/>
  <c r="H323" i="21" l="1"/>
  <c r="F109" i="28"/>
  <c r="K113" i="30"/>
  <c r="K115" i="30" s="1"/>
  <c r="K197" i="30"/>
  <c r="K127" i="30" s="1"/>
  <c r="H109" i="26"/>
  <c r="G109" i="26"/>
  <c r="H323" i="25"/>
  <c r="H109" i="24"/>
  <c r="F109" i="23"/>
  <c r="H109" i="23"/>
  <c r="G324" i="23"/>
  <c r="G109" i="23"/>
  <c r="F119" i="23"/>
  <c r="F120" i="23" s="1"/>
  <c r="E112" i="23"/>
  <c r="I108" i="23"/>
  <c r="I109" i="23" s="1"/>
  <c r="H324" i="23"/>
  <c r="H113" i="23"/>
  <c r="H115" i="23" s="1"/>
  <c r="G113" i="23"/>
  <c r="G115" i="23" s="1"/>
  <c r="F109" i="22"/>
  <c r="H324" i="21"/>
  <c r="F324" i="21"/>
  <c r="H109" i="21"/>
  <c r="F109" i="29"/>
  <c r="G109" i="29"/>
  <c r="H109" i="29"/>
  <c r="H119" i="29"/>
  <c r="H123" i="29" s="1"/>
  <c r="H124" i="29" s="1"/>
  <c r="I108" i="29"/>
  <c r="I109" i="29" s="1"/>
  <c r="E112" i="29"/>
  <c r="E109" i="29"/>
  <c r="F119" i="29"/>
  <c r="F120" i="29" s="1"/>
  <c r="F323" i="29"/>
  <c r="H323" i="29" s="1"/>
  <c r="H324" i="29" s="1"/>
  <c r="G113" i="29"/>
  <c r="G115" i="29" s="1"/>
  <c r="I108" i="28"/>
  <c r="I109" i="28" s="1"/>
  <c r="E112" i="28"/>
  <c r="F113" i="28"/>
  <c r="F115" i="28" s="1"/>
  <c r="G113" i="28"/>
  <c r="G115" i="28" s="1"/>
  <c r="F323" i="28"/>
  <c r="H323" i="28" s="1"/>
  <c r="H324" i="28" s="1"/>
  <c r="G109" i="28"/>
  <c r="H113" i="28"/>
  <c r="H115" i="28" s="1"/>
  <c r="H109" i="28"/>
  <c r="E109" i="28"/>
  <c r="F119" i="27"/>
  <c r="F120" i="27"/>
  <c r="F323" i="27"/>
  <c r="H323" i="27" s="1"/>
  <c r="H324" i="27" s="1"/>
  <c r="F324" i="27"/>
  <c r="I108" i="27"/>
  <c r="I109" i="27" s="1"/>
  <c r="E112" i="27"/>
  <c r="G109" i="27"/>
  <c r="F109" i="27"/>
  <c r="G113" i="27"/>
  <c r="G115" i="27" s="1"/>
  <c r="F123" i="27"/>
  <c r="F124" i="27" s="1"/>
  <c r="I108" i="26"/>
  <c r="I109" i="26" s="1"/>
  <c r="E112" i="26"/>
  <c r="H113" i="26"/>
  <c r="H115" i="26" s="1"/>
  <c r="F119" i="26"/>
  <c r="F120" i="26" s="1"/>
  <c r="F323" i="26"/>
  <c r="H323" i="26" s="1"/>
  <c r="H324" i="26" s="1"/>
  <c r="E109" i="26"/>
  <c r="G113" i="26"/>
  <c r="G115" i="26" s="1"/>
  <c r="G113" i="25"/>
  <c r="G115" i="25" s="1"/>
  <c r="F324" i="25"/>
  <c r="F113" i="25"/>
  <c r="F115" i="25" s="1"/>
  <c r="H113" i="25"/>
  <c r="H115" i="25" s="1"/>
  <c r="G109" i="25"/>
  <c r="E112" i="25"/>
  <c r="I108" i="25"/>
  <c r="I109" i="25" s="1"/>
  <c r="H109" i="25"/>
  <c r="H324" i="25"/>
  <c r="E109" i="25"/>
  <c r="F109" i="25"/>
  <c r="F323" i="24"/>
  <c r="H323" i="24" s="1"/>
  <c r="H324" i="24" s="1"/>
  <c r="G109" i="24"/>
  <c r="E112" i="24"/>
  <c r="I108" i="24"/>
  <c r="I109" i="24" s="1"/>
  <c r="G113" i="24"/>
  <c r="G115" i="24" s="1"/>
  <c r="F113" i="24"/>
  <c r="F115" i="24" s="1"/>
  <c r="F109" i="24"/>
  <c r="G113" i="22"/>
  <c r="G115" i="22" s="1"/>
  <c r="H109" i="22"/>
  <c r="G109" i="22"/>
  <c r="H113" i="22"/>
  <c r="H115" i="22" s="1"/>
  <c r="I108" i="22"/>
  <c r="I109" i="22" s="1"/>
  <c r="E112" i="22"/>
  <c r="F113" i="22"/>
  <c r="F115" i="22" s="1"/>
  <c r="F323" i="22"/>
  <c r="H323" i="22" s="1"/>
  <c r="H324" i="22" s="1"/>
  <c r="F119" i="21"/>
  <c r="F120" i="21" s="1"/>
  <c r="F123" i="21"/>
  <c r="F124" i="21" s="1"/>
  <c r="E112" i="21"/>
  <c r="I108" i="21"/>
  <c r="I109" i="21" s="1"/>
  <c r="E109" i="21"/>
  <c r="G113" i="21"/>
  <c r="G115" i="21" s="1"/>
  <c r="F109" i="21"/>
  <c r="H113" i="21"/>
  <c r="H115" i="21" s="1"/>
  <c r="G109" i="21"/>
  <c r="F323" i="19"/>
  <c r="H323" i="19" s="1"/>
  <c r="H324" i="19" s="1"/>
  <c r="F324" i="28" l="1"/>
  <c r="K117" i="30"/>
  <c r="K118" i="30" s="1"/>
  <c r="K146" i="30"/>
  <c r="F123" i="29"/>
  <c r="F124" i="29" s="1"/>
  <c r="F324" i="26"/>
  <c r="F123" i="26"/>
  <c r="F124" i="26" s="1"/>
  <c r="F324" i="24"/>
  <c r="F123" i="23"/>
  <c r="F124" i="23" s="1"/>
  <c r="I112" i="23"/>
  <c r="E113" i="23"/>
  <c r="H119" i="23"/>
  <c r="H123" i="23" s="1"/>
  <c r="H124" i="23" s="1"/>
  <c r="G119" i="23"/>
  <c r="G123" i="23" s="1"/>
  <c r="G124" i="23" s="1"/>
  <c r="H120" i="29"/>
  <c r="F324" i="29"/>
  <c r="I112" i="29"/>
  <c r="E113" i="29"/>
  <c r="G119" i="29"/>
  <c r="G123" i="29" s="1"/>
  <c r="G124" i="29" s="1"/>
  <c r="H119" i="28"/>
  <c r="H123" i="28" s="1"/>
  <c r="H124" i="28" s="1"/>
  <c r="G119" i="28"/>
  <c r="G123" i="28" s="1"/>
  <c r="G124" i="28" s="1"/>
  <c r="I112" i="28"/>
  <c r="E113" i="28"/>
  <c r="F119" i="28"/>
  <c r="F123" i="28" s="1"/>
  <c r="F124" i="28" s="1"/>
  <c r="G119" i="27"/>
  <c r="G123" i="27" s="1"/>
  <c r="G124" i="27" s="1"/>
  <c r="I112" i="27"/>
  <c r="E113" i="27"/>
  <c r="I112" i="26"/>
  <c r="E113" i="26"/>
  <c r="G119" i="26"/>
  <c r="G123" i="26" s="1"/>
  <c r="G124" i="26" s="1"/>
  <c r="H119" i="26"/>
  <c r="H123" i="26" s="1"/>
  <c r="H124" i="26" s="1"/>
  <c r="H120" i="26"/>
  <c r="H119" i="25"/>
  <c r="H123" i="25" s="1"/>
  <c r="H124" i="25" s="1"/>
  <c r="G119" i="25"/>
  <c r="G123" i="25" s="1"/>
  <c r="G124" i="25" s="1"/>
  <c r="I112" i="25"/>
  <c r="E113" i="25"/>
  <c r="F119" i="25"/>
  <c r="F123" i="25" s="1"/>
  <c r="F124" i="25" s="1"/>
  <c r="G119" i="24"/>
  <c r="G123" i="24" s="1"/>
  <c r="G124" i="24" s="1"/>
  <c r="F119" i="24"/>
  <c r="F123" i="24" s="1"/>
  <c r="F124" i="24" s="1"/>
  <c r="I112" i="24"/>
  <c r="E113" i="24"/>
  <c r="F324" i="22"/>
  <c r="F119" i="22"/>
  <c r="F123" i="22" s="1"/>
  <c r="F124" i="22" s="1"/>
  <c r="H119" i="22"/>
  <c r="H123" i="22" s="1"/>
  <c r="H124" i="22" s="1"/>
  <c r="G119" i="22"/>
  <c r="G123" i="22" s="1"/>
  <c r="G124" i="22" s="1"/>
  <c r="I112" i="22"/>
  <c r="E113" i="22"/>
  <c r="H119" i="21"/>
  <c r="H123" i="21" s="1"/>
  <c r="H124" i="21" s="1"/>
  <c r="I112" i="21"/>
  <c r="E113" i="21"/>
  <c r="G119" i="21"/>
  <c r="G123" i="21" s="1"/>
  <c r="G124" i="21" s="1"/>
  <c r="F324" i="19"/>
  <c r="F120" i="28" l="1"/>
  <c r="H120" i="28"/>
  <c r="G120" i="26"/>
  <c r="H120" i="25"/>
  <c r="E115" i="23"/>
  <c r="I113" i="23"/>
  <c r="G120" i="23"/>
  <c r="H120" i="23"/>
  <c r="H120" i="21"/>
  <c r="G120" i="29"/>
  <c r="E115" i="29"/>
  <c r="I113" i="29"/>
  <c r="E115" i="28"/>
  <c r="I113" i="28"/>
  <c r="G120" i="28"/>
  <c r="E115" i="27"/>
  <c r="I113" i="27"/>
  <c r="G120" i="27"/>
  <c r="E115" i="26"/>
  <c r="I113" i="26"/>
  <c r="E115" i="25"/>
  <c r="I113" i="25"/>
  <c r="G120" i="25"/>
  <c r="F120" i="25"/>
  <c r="E115" i="24"/>
  <c r="I113" i="24"/>
  <c r="F120" i="24"/>
  <c r="G120" i="24"/>
  <c r="E115" i="22"/>
  <c r="I113" i="22"/>
  <c r="G120" i="22"/>
  <c r="F120" i="22"/>
  <c r="H120" i="22"/>
  <c r="G120" i="21"/>
  <c r="E115" i="21"/>
  <c r="I113" i="21"/>
  <c r="I115" i="23" l="1"/>
  <c r="E119" i="23"/>
  <c r="I115" i="29"/>
  <c r="E119" i="29"/>
  <c r="E120" i="29" s="1"/>
  <c r="I115" i="28"/>
  <c r="E119" i="28"/>
  <c r="I115" i="27"/>
  <c r="E119" i="27"/>
  <c r="I115" i="26"/>
  <c r="E119" i="26"/>
  <c r="E120" i="26"/>
  <c r="I115" i="25"/>
  <c r="E119" i="25"/>
  <c r="E120" i="25"/>
  <c r="I115" i="24"/>
  <c r="E119" i="24"/>
  <c r="E120" i="24" s="1"/>
  <c r="I115" i="22"/>
  <c r="E119" i="22"/>
  <c r="I115" i="21"/>
  <c r="E119" i="21"/>
  <c r="E120" i="21" s="1"/>
  <c r="I119" i="23" l="1"/>
  <c r="E123" i="23"/>
  <c r="E124" i="23" s="1"/>
  <c r="I124" i="23" s="1"/>
  <c r="E120" i="23"/>
  <c r="I120" i="23"/>
  <c r="I119" i="29"/>
  <c r="E123" i="29"/>
  <c r="E124" i="29" s="1"/>
  <c r="I124" i="29" s="1"/>
  <c r="I120" i="29"/>
  <c r="I119" i="28"/>
  <c r="I120" i="28" s="1"/>
  <c r="E123" i="28"/>
  <c r="E124" i="28" s="1"/>
  <c r="I124" i="28" s="1"/>
  <c r="E120" i="28"/>
  <c r="I119" i="27"/>
  <c r="I120" i="27" s="1"/>
  <c r="E123" i="27"/>
  <c r="E124" i="27" s="1"/>
  <c r="I124" i="27" s="1"/>
  <c r="E120" i="27"/>
  <c r="I119" i="26"/>
  <c r="I120" i="26" s="1"/>
  <c r="E123" i="26"/>
  <c r="E124" i="26" s="1"/>
  <c r="I124" i="26" s="1"/>
  <c r="I119" i="25"/>
  <c r="I120" i="25" s="1"/>
  <c r="E123" i="25"/>
  <c r="E124" i="25" s="1"/>
  <c r="I124" i="25" s="1"/>
  <c r="I119" i="24"/>
  <c r="I120" i="24" s="1"/>
  <c r="E123" i="24"/>
  <c r="E124" i="24" s="1"/>
  <c r="I124" i="24" s="1"/>
  <c r="I119" i="22"/>
  <c r="E123" i="22"/>
  <c r="E124" i="22" s="1"/>
  <c r="I124" i="22" s="1"/>
  <c r="E120" i="22"/>
  <c r="I119" i="21"/>
  <c r="I120" i="21" s="1"/>
  <c r="E123" i="21"/>
  <c r="E124" i="21" s="1"/>
  <c r="I124" i="21" s="1"/>
  <c r="H129" i="23" l="1"/>
  <c r="I123" i="23"/>
  <c r="H129" i="29"/>
  <c r="I123" i="29"/>
  <c r="H129" i="28"/>
  <c r="I123" i="28"/>
  <c r="H129" i="27"/>
  <c r="I123" i="27"/>
  <c r="H129" i="26"/>
  <c r="I123" i="26"/>
  <c r="H129" i="25"/>
  <c r="I123" i="25"/>
  <c r="H129" i="24"/>
  <c r="I123" i="24"/>
  <c r="H129" i="22"/>
  <c r="I123" i="22"/>
  <c r="I120" i="22"/>
  <c r="H129" i="21"/>
  <c r="I123" i="21"/>
  <c r="E201" i="7" l="1"/>
  <c r="D201" i="7"/>
  <c r="W200" i="7"/>
  <c r="AC200" i="7" s="1"/>
  <c r="V200" i="7"/>
  <c r="AB200" i="7" s="1"/>
  <c r="AD200" i="7" s="1"/>
  <c r="P200" i="7"/>
  <c r="O200" i="7"/>
  <c r="W199" i="7"/>
  <c r="V199" i="7"/>
  <c r="P199" i="7"/>
  <c r="O199" i="7"/>
  <c r="W198" i="7"/>
  <c r="V198" i="7"/>
  <c r="P198" i="7"/>
  <c r="O198" i="7"/>
  <c r="AC197" i="7"/>
  <c r="AE197" i="7" s="1"/>
  <c r="W197" i="7"/>
  <c r="V197" i="7"/>
  <c r="AB197" i="7" s="1"/>
  <c r="P197" i="7"/>
  <c r="O197" i="7"/>
  <c r="W196" i="7"/>
  <c r="AC196" i="7" s="1"/>
  <c r="V196" i="7"/>
  <c r="AB196" i="7" s="1"/>
  <c r="P196" i="7"/>
  <c r="O196" i="7"/>
  <c r="W195" i="7"/>
  <c r="V195" i="7"/>
  <c r="P195" i="7"/>
  <c r="O195" i="7"/>
  <c r="W194" i="7"/>
  <c r="V194" i="7"/>
  <c r="AB194" i="7" s="1"/>
  <c r="P194" i="7"/>
  <c r="O194" i="7"/>
  <c r="W193" i="7"/>
  <c r="AC193" i="7" s="1"/>
  <c r="V193" i="7"/>
  <c r="P193" i="7"/>
  <c r="O193" i="7"/>
  <c r="AC192" i="7"/>
  <c r="W192" i="7"/>
  <c r="V192" i="7"/>
  <c r="AB192" i="7" s="1"/>
  <c r="AD192" i="7" s="1"/>
  <c r="P192" i="7"/>
  <c r="O192" i="7"/>
  <c r="W191" i="7"/>
  <c r="V191" i="7"/>
  <c r="P191" i="7"/>
  <c r="O191" i="7"/>
  <c r="W190" i="7"/>
  <c r="V190" i="7"/>
  <c r="AB190" i="7" s="1"/>
  <c r="P190" i="7"/>
  <c r="O190" i="7"/>
  <c r="W189" i="7"/>
  <c r="AC189" i="7" s="1"/>
  <c r="AE189" i="7" s="1"/>
  <c r="V189" i="7"/>
  <c r="AB189" i="7" s="1"/>
  <c r="P189" i="7"/>
  <c r="O189" i="7"/>
  <c r="AC188" i="7"/>
  <c r="AB188" i="7"/>
  <c r="AD188" i="7" s="1"/>
  <c r="W188" i="7"/>
  <c r="V188" i="7"/>
  <c r="P188" i="7"/>
  <c r="O188" i="7"/>
  <c r="W187" i="7"/>
  <c r="V187" i="7"/>
  <c r="P187" i="7"/>
  <c r="O187" i="7"/>
  <c r="W186" i="7"/>
  <c r="V186" i="7"/>
  <c r="AB186" i="7" s="1"/>
  <c r="P186" i="7"/>
  <c r="O186" i="7"/>
  <c r="W185" i="7"/>
  <c r="AC185" i="7" s="1"/>
  <c r="AE185" i="7" s="1"/>
  <c r="V185" i="7"/>
  <c r="AB185" i="7" s="1"/>
  <c r="P185" i="7"/>
  <c r="O185" i="7"/>
  <c r="W184" i="7"/>
  <c r="AC184" i="7" s="1"/>
  <c r="V184" i="7"/>
  <c r="P184" i="7"/>
  <c r="O184" i="7"/>
  <c r="W183" i="7"/>
  <c r="V183" i="7"/>
  <c r="P183" i="7"/>
  <c r="O183" i="7"/>
  <c r="W182" i="7"/>
  <c r="V182" i="7"/>
  <c r="P182" i="7"/>
  <c r="O182" i="7"/>
  <c r="W181" i="7"/>
  <c r="V181" i="7"/>
  <c r="P181" i="7"/>
  <c r="O181" i="7"/>
  <c r="W180" i="7"/>
  <c r="AC180" i="7" s="1"/>
  <c r="V180" i="7"/>
  <c r="P180" i="7"/>
  <c r="O180" i="7"/>
  <c r="W179" i="7"/>
  <c r="AC179" i="7" s="1"/>
  <c r="V179" i="7"/>
  <c r="P179" i="7"/>
  <c r="O179" i="7"/>
  <c r="W178" i="7"/>
  <c r="V178" i="7"/>
  <c r="P178" i="7"/>
  <c r="O178" i="7"/>
  <c r="AC177" i="7"/>
  <c r="AE177" i="7" s="1"/>
  <c r="W177" i="7"/>
  <c r="V177" i="7"/>
  <c r="AB177" i="7" s="1"/>
  <c r="P177" i="7"/>
  <c r="O177" i="7"/>
  <c r="W176" i="7"/>
  <c r="AC176" i="7" s="1"/>
  <c r="V176" i="7"/>
  <c r="AB176" i="7" s="1"/>
  <c r="P176" i="7"/>
  <c r="O176" i="7"/>
  <c r="W175" i="7"/>
  <c r="AC175" i="7" s="1"/>
  <c r="V175" i="7"/>
  <c r="P175" i="7"/>
  <c r="O175" i="7"/>
  <c r="W174" i="7"/>
  <c r="V174" i="7"/>
  <c r="P174" i="7"/>
  <c r="O174" i="7"/>
  <c r="W173" i="7"/>
  <c r="V173" i="7"/>
  <c r="P173" i="7"/>
  <c r="O173" i="7"/>
  <c r="W172" i="7"/>
  <c r="AC172" i="7" s="1"/>
  <c r="V172" i="7"/>
  <c r="P172" i="7"/>
  <c r="O172" i="7"/>
  <c r="W171" i="7"/>
  <c r="V171" i="7"/>
  <c r="P171" i="7"/>
  <c r="O171" i="7"/>
  <c r="W170" i="7"/>
  <c r="V170" i="7"/>
  <c r="P170" i="7"/>
  <c r="O170" i="7"/>
  <c r="AC169" i="7"/>
  <c r="W169" i="7"/>
  <c r="V169" i="7"/>
  <c r="AB169" i="7" s="1"/>
  <c r="P169" i="7"/>
  <c r="O169" i="7"/>
  <c r="W168" i="7"/>
  <c r="AC168" i="7" s="1"/>
  <c r="V168" i="7"/>
  <c r="AB168" i="7" s="1"/>
  <c r="P168" i="7"/>
  <c r="O168" i="7"/>
  <c r="W167" i="7"/>
  <c r="AC167" i="7" s="1"/>
  <c r="V167" i="7"/>
  <c r="P167" i="7"/>
  <c r="O167" i="7"/>
  <c r="W166" i="7"/>
  <c r="AC166" i="7" s="1"/>
  <c r="V166" i="7"/>
  <c r="P166" i="7"/>
  <c r="O166" i="7"/>
  <c r="W165" i="7"/>
  <c r="V165" i="7"/>
  <c r="P165" i="7"/>
  <c r="O165" i="7"/>
  <c r="W164" i="7"/>
  <c r="AC164" i="7" s="1"/>
  <c r="V164" i="7"/>
  <c r="P164" i="7"/>
  <c r="O164" i="7"/>
  <c r="W163" i="7"/>
  <c r="V163" i="7"/>
  <c r="P163" i="7"/>
  <c r="O163" i="7"/>
  <c r="W162" i="7"/>
  <c r="AC162" i="7" s="1"/>
  <c r="V162" i="7"/>
  <c r="P162" i="7"/>
  <c r="O162" i="7"/>
  <c r="AC161" i="7"/>
  <c r="W161" i="7"/>
  <c r="V161" i="7"/>
  <c r="AB161" i="7" s="1"/>
  <c r="P161" i="7"/>
  <c r="O161" i="7"/>
  <c r="W160" i="7"/>
  <c r="AC160" i="7" s="1"/>
  <c r="V160" i="7"/>
  <c r="AB160" i="7" s="1"/>
  <c r="P160" i="7"/>
  <c r="O160" i="7"/>
  <c r="W159" i="7"/>
  <c r="AC159" i="7" s="1"/>
  <c r="V159" i="7"/>
  <c r="P159" i="7"/>
  <c r="O159" i="7"/>
  <c r="W158" i="7"/>
  <c r="AC158" i="7" s="1"/>
  <c r="V158" i="7"/>
  <c r="P158" i="7"/>
  <c r="O158" i="7"/>
  <c r="W157" i="7"/>
  <c r="V157" i="7"/>
  <c r="P157" i="7"/>
  <c r="O157" i="7"/>
  <c r="W156" i="7"/>
  <c r="AC156" i="7" s="1"/>
  <c r="V156" i="7"/>
  <c r="P156" i="7"/>
  <c r="O156" i="7"/>
  <c r="W155" i="7"/>
  <c r="V155" i="7"/>
  <c r="AB155" i="7" s="1"/>
  <c r="P155" i="7"/>
  <c r="O155" i="7"/>
  <c r="W154" i="7"/>
  <c r="AC154" i="7" s="1"/>
  <c r="AE154" i="7" s="1"/>
  <c r="V154" i="7"/>
  <c r="AB154" i="7" s="1"/>
  <c r="P154" i="7"/>
  <c r="O154" i="7"/>
  <c r="AC153" i="7"/>
  <c r="AB153" i="7"/>
  <c r="AG153" i="7" s="1"/>
  <c r="W153" i="7"/>
  <c r="V153" i="7"/>
  <c r="P153" i="7"/>
  <c r="O153" i="7"/>
  <c r="W152" i="7"/>
  <c r="V152" i="7"/>
  <c r="AB152" i="7" s="1"/>
  <c r="P152" i="7"/>
  <c r="O152" i="7"/>
  <c r="W151" i="7"/>
  <c r="V151" i="7"/>
  <c r="P151" i="7"/>
  <c r="O151" i="7"/>
  <c r="W150" i="7"/>
  <c r="V150" i="7"/>
  <c r="AB150" i="7" s="1"/>
  <c r="P150" i="7"/>
  <c r="O150" i="7"/>
  <c r="W149" i="7"/>
  <c r="AC149" i="7" s="1"/>
  <c r="V149" i="7"/>
  <c r="AB149" i="7" s="1"/>
  <c r="P149" i="7"/>
  <c r="O149" i="7"/>
  <c r="W148" i="7"/>
  <c r="V148" i="7"/>
  <c r="P148" i="7"/>
  <c r="O148" i="7"/>
  <c r="W147" i="7"/>
  <c r="V147" i="7"/>
  <c r="P147" i="7"/>
  <c r="O147" i="7"/>
  <c r="W146" i="7"/>
  <c r="AC146" i="7" s="1"/>
  <c r="V146" i="7"/>
  <c r="P146" i="7"/>
  <c r="O146" i="7"/>
  <c r="AC145" i="7"/>
  <c r="W145" i="7"/>
  <c r="V145" i="7"/>
  <c r="AB145" i="7" s="1"/>
  <c r="AG145" i="7" s="1"/>
  <c r="P145" i="7"/>
  <c r="O145" i="7"/>
  <c r="W144" i="7"/>
  <c r="AC144" i="7" s="1"/>
  <c r="V144" i="7"/>
  <c r="P144" i="7"/>
  <c r="O144" i="7"/>
  <c r="W143" i="7"/>
  <c r="AC143" i="7" s="1"/>
  <c r="V143" i="7"/>
  <c r="P143" i="7"/>
  <c r="O143" i="7"/>
  <c r="W142" i="7"/>
  <c r="V142" i="7"/>
  <c r="P142" i="7"/>
  <c r="O142" i="7"/>
  <c r="W141" i="7"/>
  <c r="AC141" i="7" s="1"/>
  <c r="V141" i="7"/>
  <c r="P141" i="7"/>
  <c r="O141" i="7"/>
  <c r="W140" i="7"/>
  <c r="AC140" i="7" s="1"/>
  <c r="V140" i="7"/>
  <c r="P140" i="7"/>
  <c r="O140" i="7"/>
  <c r="W139" i="7"/>
  <c r="AC139" i="7" s="1"/>
  <c r="V139" i="7"/>
  <c r="P139" i="7"/>
  <c r="O139" i="7"/>
  <c r="AC138" i="7"/>
  <c r="AE138" i="7" s="1"/>
  <c r="W138" i="7"/>
  <c r="V138" i="7"/>
  <c r="AB138" i="7" s="1"/>
  <c r="P138" i="7"/>
  <c r="O138" i="7"/>
  <c r="W137" i="7"/>
  <c r="AC137" i="7" s="1"/>
  <c r="V137" i="7"/>
  <c r="AB137" i="7" s="1"/>
  <c r="AG137" i="7" s="1"/>
  <c r="P137" i="7"/>
  <c r="O137" i="7"/>
  <c r="AB136" i="7"/>
  <c r="W136" i="7"/>
  <c r="V136" i="7"/>
  <c r="P136" i="7"/>
  <c r="O136" i="7"/>
  <c r="W135" i="7"/>
  <c r="V135" i="7"/>
  <c r="P135" i="7"/>
  <c r="O135" i="7"/>
  <c r="W134" i="7"/>
  <c r="V134" i="7"/>
  <c r="AB134" i="7" s="1"/>
  <c r="P134" i="7"/>
  <c r="O134" i="7"/>
  <c r="W133" i="7"/>
  <c r="V133" i="7"/>
  <c r="P133" i="7"/>
  <c r="O133" i="7"/>
  <c r="W132" i="7"/>
  <c r="V132" i="7"/>
  <c r="AB132" i="7" s="1"/>
  <c r="P132" i="7"/>
  <c r="O132" i="7"/>
  <c r="W131" i="7"/>
  <c r="AC131" i="7" s="1"/>
  <c r="V131" i="7"/>
  <c r="P131" i="7"/>
  <c r="O131" i="7"/>
  <c r="W130" i="7"/>
  <c r="V130" i="7"/>
  <c r="AC130" i="7" s="1"/>
  <c r="P130" i="7"/>
  <c r="O130" i="7"/>
  <c r="W129" i="7"/>
  <c r="AC129" i="7" s="1"/>
  <c r="V129" i="7"/>
  <c r="P129" i="7"/>
  <c r="O129" i="7"/>
  <c r="W128" i="7"/>
  <c r="V128" i="7"/>
  <c r="AB128" i="7" s="1"/>
  <c r="P128" i="7"/>
  <c r="O128" i="7"/>
  <c r="W127" i="7"/>
  <c r="AC127" i="7" s="1"/>
  <c r="V127" i="7"/>
  <c r="P127" i="7"/>
  <c r="O127" i="7"/>
  <c r="W126" i="7"/>
  <c r="V126" i="7"/>
  <c r="AC126" i="7" s="1"/>
  <c r="P126" i="7"/>
  <c r="O126" i="7"/>
  <c r="W125" i="7"/>
  <c r="V125" i="7"/>
  <c r="AC125" i="7" s="1"/>
  <c r="P125" i="7"/>
  <c r="O125" i="7"/>
  <c r="AC124" i="7"/>
  <c r="AB124" i="7"/>
  <c r="AG124" i="7" s="1"/>
  <c r="W124" i="7"/>
  <c r="V124" i="7"/>
  <c r="P124" i="7"/>
  <c r="O124" i="7"/>
  <c r="W123" i="7"/>
  <c r="V123" i="7"/>
  <c r="AB123" i="7" s="1"/>
  <c r="P123" i="7"/>
  <c r="O123" i="7"/>
  <c r="W122" i="7"/>
  <c r="V122" i="7"/>
  <c r="AB122" i="7" s="1"/>
  <c r="P122" i="7"/>
  <c r="O122" i="7"/>
  <c r="W121" i="7"/>
  <c r="V121" i="7"/>
  <c r="AC121" i="7" s="1"/>
  <c r="P121" i="7"/>
  <c r="O121" i="7"/>
  <c r="W120" i="7"/>
  <c r="AC120" i="7" s="1"/>
  <c r="V120" i="7"/>
  <c r="P120" i="7"/>
  <c r="O120" i="7"/>
  <c r="AB119" i="7"/>
  <c r="W119" i="7"/>
  <c r="V119" i="7"/>
  <c r="P119" i="7"/>
  <c r="O119" i="7"/>
  <c r="W118" i="7"/>
  <c r="V118" i="7"/>
  <c r="AB118" i="7" s="1"/>
  <c r="P118" i="7"/>
  <c r="O118" i="7"/>
  <c r="W117" i="7"/>
  <c r="V117" i="7"/>
  <c r="AC117" i="7" s="1"/>
  <c r="P117" i="7"/>
  <c r="O117" i="7"/>
  <c r="W116" i="7"/>
  <c r="AC116" i="7" s="1"/>
  <c r="V116" i="7"/>
  <c r="AB116" i="7" s="1"/>
  <c r="AG116" i="7" s="1"/>
  <c r="P116" i="7"/>
  <c r="O116" i="7"/>
  <c r="W115" i="7"/>
  <c r="AC115" i="7" s="1"/>
  <c r="V115" i="7"/>
  <c r="P115" i="7"/>
  <c r="O115" i="7"/>
  <c r="W114" i="7"/>
  <c r="AC114" i="7" s="1"/>
  <c r="V114" i="7"/>
  <c r="P114" i="7"/>
  <c r="O114" i="7"/>
  <c r="W113" i="7"/>
  <c r="V113" i="7"/>
  <c r="P113" i="7"/>
  <c r="O113" i="7"/>
  <c r="AC112" i="7"/>
  <c r="W112" i="7"/>
  <c r="V112" i="7"/>
  <c r="AB112" i="7" s="1"/>
  <c r="AG112" i="7" s="1"/>
  <c r="P112" i="7"/>
  <c r="O112" i="7"/>
  <c r="W111" i="7"/>
  <c r="V111" i="7"/>
  <c r="AB111" i="7" s="1"/>
  <c r="P111" i="7"/>
  <c r="O111" i="7"/>
  <c r="W110" i="7"/>
  <c r="V110" i="7"/>
  <c r="AB110" i="7" s="1"/>
  <c r="P110" i="7"/>
  <c r="O110" i="7"/>
  <c r="W109" i="7"/>
  <c r="V109" i="7"/>
  <c r="P109" i="7"/>
  <c r="O109" i="7"/>
  <c r="AC108" i="7"/>
  <c r="AB108" i="7"/>
  <c r="W108" i="7"/>
  <c r="V108" i="7"/>
  <c r="P108" i="7"/>
  <c r="O108" i="7"/>
  <c r="W107" i="7"/>
  <c r="V107" i="7"/>
  <c r="AB107" i="7" s="1"/>
  <c r="P107" i="7"/>
  <c r="O107" i="7"/>
  <c r="W106" i="7"/>
  <c r="V106" i="7"/>
  <c r="AB106" i="7" s="1"/>
  <c r="P106" i="7"/>
  <c r="O106" i="7"/>
  <c r="W105" i="7"/>
  <c r="V105" i="7"/>
  <c r="AB105" i="7" s="1"/>
  <c r="P105" i="7"/>
  <c r="O105" i="7"/>
  <c r="AC104" i="7"/>
  <c r="W104" i="7"/>
  <c r="V104" i="7"/>
  <c r="AB104" i="7" s="1"/>
  <c r="P104" i="7"/>
  <c r="O104" i="7"/>
  <c r="W103" i="7"/>
  <c r="V103" i="7"/>
  <c r="P103" i="7"/>
  <c r="O103" i="7"/>
  <c r="W102" i="7"/>
  <c r="V102" i="7"/>
  <c r="AB102" i="7" s="1"/>
  <c r="P102" i="7"/>
  <c r="O102" i="7"/>
  <c r="W101" i="7"/>
  <c r="AC101" i="7" s="1"/>
  <c r="V101" i="7"/>
  <c r="P101" i="7"/>
  <c r="O101" i="7"/>
  <c r="W100" i="7"/>
  <c r="AC100" i="7" s="1"/>
  <c r="V100" i="7"/>
  <c r="P100" i="7"/>
  <c r="O100" i="7"/>
  <c r="W99" i="7"/>
  <c r="AC99" i="7" s="1"/>
  <c r="V99" i="7"/>
  <c r="P99" i="7"/>
  <c r="O99" i="7"/>
  <c r="W98" i="7"/>
  <c r="V98" i="7"/>
  <c r="P98" i="7"/>
  <c r="O98" i="7"/>
  <c r="AC97" i="7"/>
  <c r="W97" i="7"/>
  <c r="V97" i="7"/>
  <c r="AB97" i="7" s="1"/>
  <c r="AG97" i="7" s="1"/>
  <c r="P97" i="7"/>
  <c r="O97" i="7"/>
  <c r="W96" i="7"/>
  <c r="V96" i="7"/>
  <c r="P96" i="7"/>
  <c r="O96" i="7"/>
  <c r="W95" i="7"/>
  <c r="V95" i="7"/>
  <c r="AB95" i="7" s="1"/>
  <c r="P95" i="7"/>
  <c r="O95" i="7"/>
  <c r="W94" i="7"/>
  <c r="V94" i="7"/>
  <c r="AC94" i="7" s="1"/>
  <c r="P94" i="7"/>
  <c r="O94" i="7"/>
  <c r="W93" i="7"/>
  <c r="AC93" i="7" s="1"/>
  <c r="V93" i="7"/>
  <c r="P93" i="7"/>
  <c r="O93" i="7"/>
  <c r="W92" i="7"/>
  <c r="AC92" i="7" s="1"/>
  <c r="V92" i="7"/>
  <c r="P92" i="7"/>
  <c r="O92" i="7"/>
  <c r="W91" i="7"/>
  <c r="AC91" i="7" s="1"/>
  <c r="V91" i="7"/>
  <c r="P91" i="7"/>
  <c r="O91" i="7"/>
  <c r="W90" i="7"/>
  <c r="V90" i="7"/>
  <c r="P90" i="7"/>
  <c r="O90" i="7"/>
  <c r="AC89" i="7"/>
  <c r="W89" i="7"/>
  <c r="V89" i="7"/>
  <c r="AB89" i="7" s="1"/>
  <c r="AG89" i="7" s="1"/>
  <c r="P89" i="7"/>
  <c r="O89" i="7"/>
  <c r="W88" i="7"/>
  <c r="V88" i="7"/>
  <c r="P88" i="7"/>
  <c r="O88" i="7"/>
  <c r="W87" i="7"/>
  <c r="V87" i="7"/>
  <c r="AB87" i="7" s="1"/>
  <c r="P87" i="7"/>
  <c r="O87" i="7"/>
  <c r="W86" i="7"/>
  <c r="V86" i="7"/>
  <c r="AC86" i="7" s="1"/>
  <c r="P86" i="7"/>
  <c r="O86" i="7"/>
  <c r="W85" i="7"/>
  <c r="AC85" i="7" s="1"/>
  <c r="V85" i="7"/>
  <c r="P85" i="7"/>
  <c r="O85" i="7"/>
  <c r="W84" i="7"/>
  <c r="AC84" i="7" s="1"/>
  <c r="V84" i="7"/>
  <c r="P84" i="7"/>
  <c r="O84" i="7"/>
  <c r="W83" i="7"/>
  <c r="AC83" i="7" s="1"/>
  <c r="V83" i="7"/>
  <c r="P83" i="7"/>
  <c r="O83" i="7"/>
  <c r="W82" i="7"/>
  <c r="V82" i="7"/>
  <c r="P82" i="7"/>
  <c r="O82" i="7"/>
  <c r="V35" i="7" s="1"/>
  <c r="W81" i="7"/>
  <c r="AB81" i="7" s="1"/>
  <c r="V81" i="7"/>
  <c r="P81" i="7"/>
  <c r="O81" i="7"/>
  <c r="W80" i="7"/>
  <c r="V80" i="7"/>
  <c r="P80" i="7"/>
  <c r="O80" i="7"/>
  <c r="AC79" i="7"/>
  <c r="AE79" i="7" s="1"/>
  <c r="W79" i="7"/>
  <c r="V79" i="7"/>
  <c r="AB79" i="7" s="1"/>
  <c r="P79" i="7"/>
  <c r="O79" i="7"/>
  <c r="W78" i="7"/>
  <c r="V78" i="7"/>
  <c r="AC78" i="7" s="1"/>
  <c r="P78" i="7"/>
  <c r="O78" i="7"/>
  <c r="W77" i="7"/>
  <c r="V77" i="7"/>
  <c r="P77" i="7"/>
  <c r="O77" i="7"/>
  <c r="W76" i="7"/>
  <c r="V76" i="7"/>
  <c r="AB76" i="7" s="1"/>
  <c r="P76" i="7"/>
  <c r="W39" i="7" s="1"/>
  <c r="AC39" i="7" s="1"/>
  <c r="O76" i="7"/>
  <c r="W75" i="7"/>
  <c r="AC75" i="7" s="1"/>
  <c r="V75" i="7"/>
  <c r="AB75" i="7" s="1"/>
  <c r="P75" i="7"/>
  <c r="O75" i="7"/>
  <c r="AB74" i="7"/>
  <c r="AG74" i="7" s="1"/>
  <c r="W74" i="7"/>
  <c r="V74" i="7"/>
  <c r="AC74" i="7" s="1"/>
  <c r="P74" i="7"/>
  <c r="W30" i="7" s="1"/>
  <c r="O74" i="7"/>
  <c r="V30" i="7" s="1"/>
  <c r="W73" i="7"/>
  <c r="V73" i="7"/>
  <c r="P73" i="7"/>
  <c r="O73" i="7"/>
  <c r="W72" i="7"/>
  <c r="V72" i="7"/>
  <c r="AB72" i="7" s="1"/>
  <c r="P72" i="7"/>
  <c r="O72" i="7"/>
  <c r="V31" i="7" s="1"/>
  <c r="W71" i="7"/>
  <c r="AC71" i="7" s="1"/>
  <c r="AH71" i="7" s="1"/>
  <c r="V71" i="7"/>
  <c r="AB71" i="7" s="1"/>
  <c r="P71" i="7"/>
  <c r="O71" i="7"/>
  <c r="W70" i="7"/>
  <c r="AB70" i="7" s="1"/>
  <c r="V70" i="7"/>
  <c r="P70" i="7"/>
  <c r="O70" i="7"/>
  <c r="W69" i="7"/>
  <c r="V69" i="7"/>
  <c r="P69" i="7"/>
  <c r="O69" i="7"/>
  <c r="W68" i="7"/>
  <c r="V68" i="7"/>
  <c r="P68" i="7"/>
  <c r="O68" i="7"/>
  <c r="AC67" i="7"/>
  <c r="AE67" i="7" s="1"/>
  <c r="W67" i="7"/>
  <c r="V67" i="7"/>
  <c r="AB67" i="7" s="1"/>
  <c r="P67" i="7"/>
  <c r="O67" i="7"/>
  <c r="V29" i="7" s="1"/>
  <c r="W66" i="7"/>
  <c r="V66" i="7"/>
  <c r="AC66" i="7" s="1"/>
  <c r="P66" i="7"/>
  <c r="O66" i="7"/>
  <c r="W65" i="7"/>
  <c r="AC65" i="7" s="1"/>
  <c r="V65" i="7"/>
  <c r="P65" i="7"/>
  <c r="O65" i="7"/>
  <c r="V46" i="7" s="1"/>
  <c r="W64" i="7"/>
  <c r="V64" i="7"/>
  <c r="P64" i="7"/>
  <c r="O64" i="7"/>
  <c r="Z63" i="7"/>
  <c r="W63" i="7"/>
  <c r="V63" i="7"/>
  <c r="P63" i="7"/>
  <c r="O63" i="7"/>
  <c r="V42" i="7" s="1"/>
  <c r="AB42" i="7" s="1"/>
  <c r="W62" i="7"/>
  <c r="V62" i="7"/>
  <c r="AB62" i="7" s="1"/>
  <c r="P62" i="7"/>
  <c r="O62" i="7"/>
  <c r="W61" i="7"/>
  <c r="V61" i="7"/>
  <c r="P61" i="7"/>
  <c r="O61" i="7"/>
  <c r="Z60" i="7"/>
  <c r="W60" i="7"/>
  <c r="AC60" i="7" s="1"/>
  <c r="V60" i="7"/>
  <c r="AB60" i="7" s="1"/>
  <c r="AD60" i="7" s="1"/>
  <c r="P60" i="7"/>
  <c r="O60" i="7"/>
  <c r="V56" i="7" s="1"/>
  <c r="AB59" i="7"/>
  <c r="AD59" i="7" s="1"/>
  <c r="W59" i="7"/>
  <c r="AC59" i="7" s="1"/>
  <c r="V59" i="7"/>
  <c r="P59" i="7"/>
  <c r="O59" i="7"/>
  <c r="W58" i="7"/>
  <c r="AC58" i="7" s="1"/>
  <c r="V58" i="7"/>
  <c r="P58" i="7"/>
  <c r="O58" i="7"/>
  <c r="V54" i="7" s="1"/>
  <c r="P57" i="7"/>
  <c r="W54" i="7" s="1"/>
  <c r="AC54" i="7" s="1"/>
  <c r="O57" i="7"/>
  <c r="W56" i="7"/>
  <c r="AC56" i="7" s="1"/>
  <c r="P56" i="7"/>
  <c r="O56" i="7"/>
  <c r="P55" i="7"/>
  <c r="O55" i="7"/>
  <c r="P54" i="7"/>
  <c r="W51" i="7" s="1"/>
  <c r="O54" i="7"/>
  <c r="V51" i="7" s="1"/>
  <c r="AB51" i="7" s="1"/>
  <c r="P53" i="7"/>
  <c r="O53" i="7"/>
  <c r="Z52" i="7"/>
  <c r="W52" i="7"/>
  <c r="V52" i="7"/>
  <c r="P52" i="7"/>
  <c r="O52" i="7"/>
  <c r="V40" i="7" s="1"/>
  <c r="AA51" i="7"/>
  <c r="P51" i="7"/>
  <c r="W41" i="7" s="1"/>
  <c r="O51" i="7"/>
  <c r="V41" i="7" s="1"/>
  <c r="W50" i="7"/>
  <c r="V50" i="7"/>
  <c r="AB50" i="7" s="1"/>
  <c r="P50" i="7"/>
  <c r="W29" i="7" s="1"/>
  <c r="AC29" i="7" s="1"/>
  <c r="O50" i="7"/>
  <c r="W49" i="7"/>
  <c r="V49" i="7"/>
  <c r="AC49" i="7" s="1"/>
  <c r="P49" i="7"/>
  <c r="W57" i="7" s="1"/>
  <c r="O49" i="7"/>
  <c r="V57" i="7" s="1"/>
  <c r="W48" i="7"/>
  <c r="V48" i="7"/>
  <c r="P48" i="7"/>
  <c r="W55" i="7" s="1"/>
  <c r="O48" i="7"/>
  <c r="V55" i="7" s="1"/>
  <c r="W47" i="7"/>
  <c r="V47" i="7"/>
  <c r="AB47" i="7" s="1"/>
  <c r="P47" i="7"/>
  <c r="W53" i="7" s="1"/>
  <c r="O47" i="7"/>
  <c r="V53" i="7" s="1"/>
  <c r="W46" i="7"/>
  <c r="P46" i="7"/>
  <c r="W28" i="7" s="1"/>
  <c r="AC28" i="7" s="1"/>
  <c r="O46" i="7"/>
  <c r="W45" i="7"/>
  <c r="V45" i="7"/>
  <c r="AC45" i="7" s="1"/>
  <c r="P45" i="7"/>
  <c r="O45" i="7"/>
  <c r="W44" i="7"/>
  <c r="V44" i="7"/>
  <c r="P44" i="7"/>
  <c r="O44" i="7"/>
  <c r="W43" i="7"/>
  <c r="V43" i="7"/>
  <c r="AB43" i="7" s="1"/>
  <c r="P43" i="7"/>
  <c r="O43" i="7"/>
  <c r="W42" i="7"/>
  <c r="AC42" i="7" s="1"/>
  <c r="AE42" i="7" s="1"/>
  <c r="P42" i="7"/>
  <c r="O42" i="7"/>
  <c r="V24" i="7" s="1"/>
  <c r="P41" i="7"/>
  <c r="O41" i="7"/>
  <c r="W40" i="7"/>
  <c r="P40" i="7"/>
  <c r="O40" i="7"/>
  <c r="V39" i="7"/>
  <c r="P39" i="7"/>
  <c r="O39" i="7"/>
  <c r="W38" i="7"/>
  <c r="V38" i="7"/>
  <c r="AB38" i="7" s="1"/>
  <c r="P38" i="7"/>
  <c r="O38" i="7"/>
  <c r="W37" i="7"/>
  <c r="V37" i="7"/>
  <c r="AC37" i="7" s="1"/>
  <c r="P37" i="7"/>
  <c r="W22" i="7" s="1"/>
  <c r="O37" i="7"/>
  <c r="W36" i="7"/>
  <c r="V36" i="7"/>
  <c r="P36" i="7"/>
  <c r="O36" i="7"/>
  <c r="Z35" i="7"/>
  <c r="W35" i="7"/>
  <c r="P35" i="7"/>
  <c r="O35" i="7"/>
  <c r="W34" i="7"/>
  <c r="AC34" i="7" s="1"/>
  <c r="V34" i="7"/>
  <c r="P34" i="7"/>
  <c r="O34" i="7"/>
  <c r="AC33" i="7"/>
  <c r="W33" i="7"/>
  <c r="V33" i="7"/>
  <c r="P33" i="7"/>
  <c r="O33" i="7"/>
  <c r="Z32" i="7"/>
  <c r="W32" i="7"/>
  <c r="V32" i="7"/>
  <c r="AB32" i="7" s="1"/>
  <c r="P32" i="7"/>
  <c r="O32" i="7"/>
  <c r="W31" i="7"/>
  <c r="P31" i="7"/>
  <c r="O31" i="7"/>
  <c r="Z30" i="7"/>
  <c r="P30" i="7"/>
  <c r="O30" i="7"/>
  <c r="P29" i="7"/>
  <c r="O29" i="7"/>
  <c r="Z28" i="7"/>
  <c r="V28" i="7"/>
  <c r="P28" i="7"/>
  <c r="O28" i="7"/>
  <c r="AA27" i="7"/>
  <c r="W27" i="7"/>
  <c r="V27" i="7"/>
  <c r="P27" i="7"/>
  <c r="O27" i="7"/>
  <c r="Z26" i="7"/>
  <c r="W26" i="7"/>
  <c r="AC26" i="7" s="1"/>
  <c r="V26" i="7"/>
  <c r="P26" i="7"/>
  <c r="O26" i="7"/>
  <c r="W25" i="7"/>
  <c r="AC25" i="7" s="1"/>
  <c r="V25" i="7"/>
  <c r="P25" i="7"/>
  <c r="O25" i="7"/>
  <c r="Z24" i="7"/>
  <c r="W24" i="7"/>
  <c r="P24" i="7"/>
  <c r="O24" i="7"/>
  <c r="W23" i="7"/>
  <c r="V23" i="7"/>
  <c r="AB23" i="7" s="1"/>
  <c r="P23" i="7"/>
  <c r="O23" i="7"/>
  <c r="AA22" i="7"/>
  <c r="V22" i="7"/>
  <c r="P22" i="7"/>
  <c r="O22" i="7"/>
  <c r="W21" i="7"/>
  <c r="V21" i="7"/>
  <c r="P21" i="7"/>
  <c r="O21" i="7"/>
  <c r="W20" i="7"/>
  <c r="V20" i="7"/>
  <c r="P20" i="7"/>
  <c r="O20" i="7"/>
  <c r="W19" i="7"/>
  <c r="V19" i="7"/>
  <c r="AB19" i="7" s="1"/>
  <c r="P19" i="7"/>
  <c r="O19" i="7"/>
  <c r="W18" i="7"/>
  <c r="AC18" i="7" s="1"/>
  <c r="V18" i="7"/>
  <c r="P18" i="7"/>
  <c r="O18" i="7"/>
  <c r="AB17" i="7"/>
  <c r="W17" i="7"/>
  <c r="V17" i="7"/>
  <c r="P17" i="7"/>
  <c r="W13" i="7" s="1"/>
  <c r="O17" i="7"/>
  <c r="V13" i="7" s="1"/>
  <c r="W16" i="7"/>
  <c r="AC16" i="7" s="1"/>
  <c r="V16" i="7"/>
  <c r="P16" i="7"/>
  <c r="O16" i="7"/>
  <c r="V14" i="7" s="1"/>
  <c r="AB14" i="7" s="1"/>
  <c r="W15" i="7"/>
  <c r="V15" i="7"/>
  <c r="P15" i="7"/>
  <c r="O15" i="7"/>
  <c r="AA14" i="7"/>
  <c r="Z14" i="7"/>
  <c r="W14" i="7"/>
  <c r="P14" i="7"/>
  <c r="O14" i="7"/>
  <c r="P13" i="7"/>
  <c r="O13" i="7"/>
  <c r="AA12" i="7"/>
  <c r="W12" i="7"/>
  <c r="V12" i="7"/>
  <c r="P12" i="7"/>
  <c r="O12" i="7"/>
  <c r="AA11" i="7"/>
  <c r="W11" i="7"/>
  <c r="P11" i="7"/>
  <c r="O11" i="7"/>
  <c r="Z10" i="7"/>
  <c r="P10" i="7"/>
  <c r="O10" i="7"/>
  <c r="J10" i="7"/>
  <c r="AA10" i="7" s="1"/>
  <c r="V9" i="7"/>
  <c r="S9" i="7"/>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S36" i="7" s="1"/>
  <c r="S37" i="7" s="1"/>
  <c r="S38" i="7" s="1"/>
  <c r="S39" i="7" s="1"/>
  <c r="S40" i="7" s="1"/>
  <c r="S41" i="7" s="1"/>
  <c r="S42" i="7" s="1"/>
  <c r="S43" i="7" s="1"/>
  <c r="S44" i="7" s="1"/>
  <c r="S45" i="7" s="1"/>
  <c r="S46" i="7" s="1"/>
  <c r="S47" i="7" s="1"/>
  <c r="S48" i="7" s="1"/>
  <c r="S49" i="7" s="1"/>
  <c r="S50" i="7" s="1"/>
  <c r="S51" i="7" s="1"/>
  <c r="S52" i="7" s="1"/>
  <c r="S53" i="7" s="1"/>
  <c r="S54" i="7" s="1"/>
  <c r="S55" i="7" s="1"/>
  <c r="S56" i="7" s="1"/>
  <c r="S57" i="7" s="1"/>
  <c r="S58" i="7" s="1"/>
  <c r="S59" i="7" s="1"/>
  <c r="S60" i="7" s="1"/>
  <c r="S61" i="7" s="1"/>
  <c r="S62" i="7" s="1"/>
  <c r="S63" i="7" s="1"/>
  <c r="S64" i="7" s="1"/>
  <c r="S65" i="7" s="1"/>
  <c r="S66" i="7" s="1"/>
  <c r="S67" i="7" s="1"/>
  <c r="S68" i="7" s="1"/>
  <c r="S69" i="7" s="1"/>
  <c r="S70" i="7" s="1"/>
  <c r="S71" i="7" s="1"/>
  <c r="S72" i="7" s="1"/>
  <c r="S73" i="7" s="1"/>
  <c r="S74" i="7" s="1"/>
  <c r="S75" i="7" s="1"/>
  <c r="S76" i="7" s="1"/>
  <c r="S77" i="7" s="1"/>
  <c r="S78" i="7" s="1"/>
  <c r="S79" i="7" s="1"/>
  <c r="S80" i="7" s="1"/>
  <c r="S81" i="7" s="1"/>
  <c r="S82" i="7" s="1"/>
  <c r="S83" i="7" s="1"/>
  <c r="S84" i="7" s="1"/>
  <c r="S85" i="7" s="1"/>
  <c r="S86" i="7" s="1"/>
  <c r="S87" i="7" s="1"/>
  <c r="S88" i="7" s="1"/>
  <c r="S89" i="7" s="1"/>
  <c r="S90" i="7" s="1"/>
  <c r="S91" i="7" s="1"/>
  <c r="S92" i="7" s="1"/>
  <c r="S93" i="7" s="1"/>
  <c r="S94" i="7" s="1"/>
  <c r="S95" i="7" s="1"/>
  <c r="S96" i="7" s="1"/>
  <c r="S97" i="7" s="1"/>
  <c r="S98" i="7" s="1"/>
  <c r="S99" i="7" s="1"/>
  <c r="S100" i="7" s="1"/>
  <c r="S101" i="7" s="1"/>
  <c r="S102" i="7" s="1"/>
  <c r="S103" i="7" s="1"/>
  <c r="S104" i="7" s="1"/>
  <c r="S105" i="7" s="1"/>
  <c r="S106" i="7" s="1"/>
  <c r="S107" i="7" s="1"/>
  <c r="S108" i="7" s="1"/>
  <c r="S109" i="7" s="1"/>
  <c r="S110" i="7" s="1"/>
  <c r="S111" i="7" s="1"/>
  <c r="S112" i="7" s="1"/>
  <c r="S113" i="7" s="1"/>
  <c r="S114" i="7" s="1"/>
  <c r="S115" i="7" s="1"/>
  <c r="S116" i="7" s="1"/>
  <c r="S117" i="7" s="1"/>
  <c r="S118" i="7" s="1"/>
  <c r="S119" i="7" s="1"/>
  <c r="S120" i="7" s="1"/>
  <c r="S121" i="7" s="1"/>
  <c r="S122" i="7" s="1"/>
  <c r="S123" i="7" s="1"/>
  <c r="S124" i="7" s="1"/>
  <c r="S125" i="7" s="1"/>
  <c r="S126" i="7" s="1"/>
  <c r="S127" i="7" s="1"/>
  <c r="S128" i="7" s="1"/>
  <c r="S129" i="7" s="1"/>
  <c r="S130" i="7" s="1"/>
  <c r="S131" i="7" s="1"/>
  <c r="S132" i="7" s="1"/>
  <c r="S133" i="7" s="1"/>
  <c r="S134" i="7" s="1"/>
  <c r="S135" i="7" s="1"/>
  <c r="S136" i="7" s="1"/>
  <c r="S137" i="7" s="1"/>
  <c r="S138" i="7" s="1"/>
  <c r="S139" i="7" s="1"/>
  <c r="S140" i="7" s="1"/>
  <c r="S141" i="7" s="1"/>
  <c r="S142" i="7" s="1"/>
  <c r="S143" i="7" s="1"/>
  <c r="S144" i="7" s="1"/>
  <c r="S145" i="7" s="1"/>
  <c r="S146" i="7" s="1"/>
  <c r="S147" i="7" s="1"/>
  <c r="S148" i="7" s="1"/>
  <c r="S149" i="7" s="1"/>
  <c r="S150" i="7" s="1"/>
  <c r="S151" i="7" s="1"/>
  <c r="S152" i="7" s="1"/>
  <c r="S153" i="7" s="1"/>
  <c r="S154" i="7" s="1"/>
  <c r="S155" i="7" s="1"/>
  <c r="S156" i="7" s="1"/>
  <c r="S157" i="7" s="1"/>
  <c r="S158" i="7" s="1"/>
  <c r="S159" i="7" s="1"/>
  <c r="S160" i="7" s="1"/>
  <c r="S161" i="7" s="1"/>
  <c r="S162" i="7" s="1"/>
  <c r="S163" i="7" s="1"/>
  <c r="S164" i="7" s="1"/>
  <c r="S165" i="7" s="1"/>
  <c r="S166" i="7" s="1"/>
  <c r="S167" i="7" s="1"/>
  <c r="S168" i="7" s="1"/>
  <c r="S169" i="7" s="1"/>
  <c r="S170" i="7" s="1"/>
  <c r="S171" i="7" s="1"/>
  <c r="S172" i="7" s="1"/>
  <c r="S173" i="7" s="1"/>
  <c r="S174" i="7" s="1"/>
  <c r="S175" i="7" s="1"/>
  <c r="S176" i="7" s="1"/>
  <c r="S177" i="7" s="1"/>
  <c r="S178" i="7" s="1"/>
  <c r="S179" i="7" s="1"/>
  <c r="S180" i="7" s="1"/>
  <c r="S181" i="7" s="1"/>
  <c r="S182" i="7" s="1"/>
  <c r="S183" i="7" s="1"/>
  <c r="S184" i="7" s="1"/>
  <c r="S185" i="7" s="1"/>
  <c r="S186" i="7" s="1"/>
  <c r="S187" i="7" s="1"/>
  <c r="S188" i="7" s="1"/>
  <c r="S189" i="7" s="1"/>
  <c r="S190" i="7" s="1"/>
  <c r="S191" i="7" s="1"/>
  <c r="S192" i="7" s="1"/>
  <c r="S193" i="7" s="1"/>
  <c r="S194" i="7" s="1"/>
  <c r="S195" i="7" s="1"/>
  <c r="S196" i="7" s="1"/>
  <c r="S197" i="7" s="1"/>
  <c r="S198" i="7" s="1"/>
  <c r="S199" i="7" s="1"/>
  <c r="S200" i="7" s="1"/>
  <c r="P9" i="7"/>
  <c r="O9" i="7"/>
  <c r="AA8" i="7"/>
  <c r="P8" i="7"/>
  <c r="O8" i="7"/>
  <c r="AN7" i="7"/>
  <c r="Z12" i="7" s="1"/>
  <c r="AA61" i="7" s="1"/>
  <c r="AB61" i="7" s="1"/>
  <c r="E201" i="15"/>
  <c r="D201" i="15"/>
  <c r="W200" i="15"/>
  <c r="V200" i="15"/>
  <c r="AB200" i="15" s="1"/>
  <c r="P200" i="15"/>
  <c r="O200" i="15"/>
  <c r="W199" i="15"/>
  <c r="V199" i="15"/>
  <c r="P199" i="15"/>
  <c r="O199" i="15"/>
  <c r="W198" i="15"/>
  <c r="V198" i="15"/>
  <c r="AB198" i="15" s="1"/>
  <c r="P198" i="15"/>
  <c r="O198" i="15"/>
  <c r="W197" i="15"/>
  <c r="AC197" i="15" s="1"/>
  <c r="V197" i="15"/>
  <c r="P197" i="15"/>
  <c r="O197" i="15"/>
  <c r="AC196" i="15"/>
  <c r="W196" i="15"/>
  <c r="V196" i="15"/>
  <c r="AB196" i="15" s="1"/>
  <c r="AD196" i="15" s="1"/>
  <c r="P196" i="15"/>
  <c r="O196" i="15"/>
  <c r="W195" i="15"/>
  <c r="V195" i="15"/>
  <c r="P195" i="15"/>
  <c r="O195" i="15"/>
  <c r="W194" i="15"/>
  <c r="V194" i="15"/>
  <c r="AB194" i="15" s="1"/>
  <c r="P194" i="15"/>
  <c r="O194" i="15"/>
  <c r="W193" i="15"/>
  <c r="V193" i="15"/>
  <c r="AB193" i="15" s="1"/>
  <c r="P193" i="15"/>
  <c r="O193" i="15"/>
  <c r="AC192" i="15"/>
  <c r="W192" i="15"/>
  <c r="V192" i="15"/>
  <c r="AB192" i="15" s="1"/>
  <c r="P192" i="15"/>
  <c r="O192" i="15"/>
  <c r="W191" i="15"/>
  <c r="V191" i="15"/>
  <c r="P191" i="15"/>
  <c r="O191" i="15"/>
  <c r="W190" i="15"/>
  <c r="V190" i="15"/>
  <c r="AB190" i="15" s="1"/>
  <c r="P190" i="15"/>
  <c r="O190" i="15"/>
  <c r="W189" i="15"/>
  <c r="AC189" i="15" s="1"/>
  <c r="V189" i="15"/>
  <c r="P189" i="15"/>
  <c r="O189" i="15"/>
  <c r="AC188" i="15"/>
  <c r="AE188" i="15" s="1"/>
  <c r="AB188" i="15"/>
  <c r="W188" i="15"/>
  <c r="V188" i="15"/>
  <c r="P188" i="15"/>
  <c r="O188" i="15"/>
  <c r="W187" i="15"/>
  <c r="V187" i="15"/>
  <c r="AB187" i="15" s="1"/>
  <c r="P187" i="15"/>
  <c r="O187" i="15"/>
  <c r="W186" i="15"/>
  <c r="V186" i="15"/>
  <c r="P186" i="15"/>
  <c r="O186" i="15"/>
  <c r="W185" i="15"/>
  <c r="V185" i="15"/>
  <c r="AB185" i="15" s="1"/>
  <c r="P185" i="15"/>
  <c r="O185" i="15"/>
  <c r="W184" i="15"/>
  <c r="AC184" i="15" s="1"/>
  <c r="V184" i="15"/>
  <c r="P184" i="15"/>
  <c r="O184" i="15"/>
  <c r="W183" i="15"/>
  <c r="AC183" i="15" s="1"/>
  <c r="V183" i="15"/>
  <c r="P183" i="15"/>
  <c r="O183" i="15"/>
  <c r="W182" i="15"/>
  <c r="AC182" i="15" s="1"/>
  <c r="V182" i="15"/>
  <c r="P182" i="15"/>
  <c r="O182" i="15"/>
  <c r="AC181" i="15"/>
  <c r="W181" i="15"/>
  <c r="V181" i="15"/>
  <c r="P181" i="15"/>
  <c r="O181" i="15"/>
  <c r="W180" i="15"/>
  <c r="V180" i="15"/>
  <c r="AB180" i="15" s="1"/>
  <c r="P180" i="15"/>
  <c r="O180" i="15"/>
  <c r="W179" i="15"/>
  <c r="V179" i="15"/>
  <c r="P179" i="15"/>
  <c r="O179" i="15"/>
  <c r="W178" i="15"/>
  <c r="V178" i="15"/>
  <c r="P178" i="15"/>
  <c r="O178" i="15"/>
  <c r="W177" i="15"/>
  <c r="V177" i="15"/>
  <c r="AB177" i="15" s="1"/>
  <c r="P177" i="15"/>
  <c r="O177" i="15"/>
  <c r="AC176" i="15"/>
  <c r="W176" i="15"/>
  <c r="V176" i="15"/>
  <c r="AB176" i="15" s="1"/>
  <c r="AG176" i="15" s="1"/>
  <c r="P176" i="15"/>
  <c r="O176" i="15"/>
  <c r="W175" i="15"/>
  <c r="V175" i="15"/>
  <c r="P175" i="15"/>
  <c r="O175" i="15"/>
  <c r="W174" i="15"/>
  <c r="V174" i="15"/>
  <c r="P174" i="15"/>
  <c r="O174" i="15"/>
  <c r="W173" i="15"/>
  <c r="AC173" i="15" s="1"/>
  <c r="AE173" i="15" s="1"/>
  <c r="V173" i="15"/>
  <c r="AB173" i="15" s="1"/>
  <c r="P173" i="15"/>
  <c r="O173" i="15"/>
  <c r="AC172" i="15"/>
  <c r="AB172" i="15"/>
  <c r="AG172" i="15" s="1"/>
  <c r="W172" i="15"/>
  <c r="V172" i="15"/>
  <c r="P172" i="15"/>
  <c r="O172" i="15"/>
  <c r="W171" i="15"/>
  <c r="AC171" i="15" s="1"/>
  <c r="V171" i="15"/>
  <c r="P171" i="15"/>
  <c r="O171" i="15"/>
  <c r="W170" i="15"/>
  <c r="AC170" i="15" s="1"/>
  <c r="V170" i="15"/>
  <c r="P170" i="15"/>
  <c r="O170" i="15"/>
  <c r="W169" i="15"/>
  <c r="V169" i="15"/>
  <c r="P169" i="15"/>
  <c r="O169" i="15"/>
  <c r="W168" i="15"/>
  <c r="AC168" i="15" s="1"/>
  <c r="V168" i="15"/>
  <c r="P168" i="15"/>
  <c r="O168" i="15"/>
  <c r="W167" i="15"/>
  <c r="AC167" i="15" s="1"/>
  <c r="V167" i="15"/>
  <c r="P167" i="15"/>
  <c r="O167" i="15"/>
  <c r="W166" i="15"/>
  <c r="AC166" i="15" s="1"/>
  <c r="V166" i="15"/>
  <c r="P166" i="15"/>
  <c r="O166" i="15"/>
  <c r="W165" i="15"/>
  <c r="V165" i="15"/>
  <c r="P165" i="15"/>
  <c r="O165" i="15"/>
  <c r="W164" i="15"/>
  <c r="AC164" i="15" s="1"/>
  <c r="V164" i="15"/>
  <c r="AB164" i="15" s="1"/>
  <c r="AG164" i="15" s="1"/>
  <c r="P164" i="15"/>
  <c r="O164" i="15"/>
  <c r="W163" i="15"/>
  <c r="V163" i="15"/>
  <c r="P163" i="15"/>
  <c r="O163" i="15"/>
  <c r="W162" i="15"/>
  <c r="V162" i="15"/>
  <c r="P162" i="15"/>
  <c r="O162" i="15"/>
  <c r="W161" i="15"/>
  <c r="AC161" i="15" s="1"/>
  <c r="V161" i="15"/>
  <c r="P161" i="15"/>
  <c r="O161" i="15"/>
  <c r="W160" i="15"/>
  <c r="V160" i="15"/>
  <c r="P160" i="15"/>
  <c r="O160" i="15"/>
  <c r="AB159" i="15"/>
  <c r="W159" i="15"/>
  <c r="V159" i="15"/>
  <c r="P159" i="15"/>
  <c r="O159" i="15"/>
  <c r="W158" i="15"/>
  <c r="V158" i="15"/>
  <c r="AB158" i="15" s="1"/>
  <c r="P158" i="15"/>
  <c r="O158" i="15"/>
  <c r="W157" i="15"/>
  <c r="V157" i="15"/>
  <c r="P157" i="15"/>
  <c r="O157" i="15"/>
  <c r="W156" i="15"/>
  <c r="AC156" i="15" s="1"/>
  <c r="V156" i="15"/>
  <c r="P156" i="15"/>
  <c r="O156" i="15"/>
  <c r="W155" i="15"/>
  <c r="AC155" i="15" s="1"/>
  <c r="V155" i="15"/>
  <c r="P155" i="15"/>
  <c r="O155" i="15"/>
  <c r="W154" i="15"/>
  <c r="AC154" i="15" s="1"/>
  <c r="V154" i="15"/>
  <c r="P154" i="15"/>
  <c r="O154" i="15"/>
  <c r="W153" i="15"/>
  <c r="AC153" i="15" s="1"/>
  <c r="V153" i="15"/>
  <c r="P153" i="15"/>
  <c r="O153" i="15"/>
  <c r="W152" i="15"/>
  <c r="V152" i="15"/>
  <c r="AB152" i="15" s="1"/>
  <c r="P152" i="15"/>
  <c r="O152" i="15"/>
  <c r="W151" i="15"/>
  <c r="V151" i="15"/>
  <c r="AC151" i="15" s="1"/>
  <c r="P151" i="15"/>
  <c r="O151" i="15"/>
  <c r="W150" i="15"/>
  <c r="AC150" i="15" s="1"/>
  <c r="V150" i="15"/>
  <c r="P150" i="15"/>
  <c r="O150" i="15"/>
  <c r="W149" i="15"/>
  <c r="V149" i="15"/>
  <c r="P149" i="15"/>
  <c r="O149" i="15"/>
  <c r="AC148" i="15"/>
  <c r="W148" i="15"/>
  <c r="V148" i="15"/>
  <c r="P148" i="15"/>
  <c r="O148" i="15"/>
  <c r="W147" i="15"/>
  <c r="V147" i="15"/>
  <c r="AC147" i="15" s="1"/>
  <c r="P147" i="15"/>
  <c r="O147" i="15"/>
  <c r="W146" i="15"/>
  <c r="V146" i="15"/>
  <c r="P146" i="15"/>
  <c r="O146" i="15"/>
  <c r="W145" i="15"/>
  <c r="V145" i="15"/>
  <c r="AB145" i="15" s="1"/>
  <c r="P145" i="15"/>
  <c r="O145" i="15"/>
  <c r="W144" i="15"/>
  <c r="V144" i="15"/>
  <c r="AB144" i="15" s="1"/>
  <c r="P144" i="15"/>
  <c r="O144" i="15"/>
  <c r="W143" i="15"/>
  <c r="V143" i="15"/>
  <c r="P143" i="15"/>
  <c r="O143" i="15"/>
  <c r="AC142" i="15"/>
  <c r="W142" i="15"/>
  <c r="V142" i="15"/>
  <c r="P142" i="15"/>
  <c r="O142" i="15"/>
  <c r="W141" i="15"/>
  <c r="V141" i="15"/>
  <c r="P141" i="15"/>
  <c r="O141" i="15"/>
  <c r="W140" i="15"/>
  <c r="V140" i="15"/>
  <c r="AC140" i="15" s="1"/>
  <c r="P140" i="15"/>
  <c r="O140" i="15"/>
  <c r="W139" i="15"/>
  <c r="V139" i="15"/>
  <c r="AC139" i="15" s="1"/>
  <c r="P139" i="15"/>
  <c r="O139" i="15"/>
  <c r="W138" i="15"/>
  <c r="V138" i="15"/>
  <c r="P138" i="15"/>
  <c r="O138" i="15"/>
  <c r="W137" i="15"/>
  <c r="V137" i="15"/>
  <c r="AB137" i="15" s="1"/>
  <c r="P137" i="15"/>
  <c r="O137" i="15"/>
  <c r="W136" i="15"/>
  <c r="AC136" i="15" s="1"/>
  <c r="V136" i="15"/>
  <c r="P136" i="15"/>
  <c r="O136" i="15"/>
  <c r="W135" i="15"/>
  <c r="V135" i="15"/>
  <c r="P135" i="15"/>
  <c r="O135" i="15"/>
  <c r="W134" i="15"/>
  <c r="V134" i="15"/>
  <c r="AB134" i="15" s="1"/>
  <c r="P134" i="15"/>
  <c r="O134" i="15"/>
  <c r="W133" i="15"/>
  <c r="V133" i="15"/>
  <c r="AB133" i="15" s="1"/>
  <c r="P133" i="15"/>
  <c r="O133" i="15"/>
  <c r="W132" i="15"/>
  <c r="V132" i="15"/>
  <c r="AB132" i="15" s="1"/>
  <c r="P132" i="15"/>
  <c r="O132" i="15"/>
  <c r="W131" i="15"/>
  <c r="V131" i="15"/>
  <c r="P131" i="15"/>
  <c r="O131" i="15"/>
  <c r="W130" i="15"/>
  <c r="V130" i="15"/>
  <c r="AB130" i="15" s="1"/>
  <c r="P130" i="15"/>
  <c r="O130" i="15"/>
  <c r="W129" i="15"/>
  <c r="AC129" i="15" s="1"/>
  <c r="AE129" i="15" s="1"/>
  <c r="V129" i="15"/>
  <c r="AB129" i="15" s="1"/>
  <c r="P129" i="15"/>
  <c r="O129" i="15"/>
  <c r="W128" i="15"/>
  <c r="AB128" i="15" s="1"/>
  <c r="V128" i="15"/>
  <c r="P128" i="15"/>
  <c r="O128" i="15"/>
  <c r="W127" i="15"/>
  <c r="AC127" i="15" s="1"/>
  <c r="V127" i="15"/>
  <c r="P127" i="15"/>
  <c r="O127" i="15"/>
  <c r="W126" i="15"/>
  <c r="AC126" i="15" s="1"/>
  <c r="V126" i="15"/>
  <c r="P126" i="15"/>
  <c r="O126" i="15"/>
  <c r="W125" i="15"/>
  <c r="V125" i="15"/>
  <c r="AB125" i="15" s="1"/>
  <c r="P125" i="15"/>
  <c r="O125" i="15"/>
  <c r="W124" i="15"/>
  <c r="AB124" i="15" s="1"/>
  <c r="V124" i="15"/>
  <c r="P124" i="15"/>
  <c r="O124" i="15"/>
  <c r="W123" i="15"/>
  <c r="AC123" i="15" s="1"/>
  <c r="V123" i="15"/>
  <c r="P123" i="15"/>
  <c r="O123" i="15"/>
  <c r="W122" i="15"/>
  <c r="AC122" i="15" s="1"/>
  <c r="V122" i="15"/>
  <c r="P122" i="15"/>
  <c r="O122" i="15"/>
  <c r="W121" i="15"/>
  <c r="V121" i="15"/>
  <c r="AB121" i="15" s="1"/>
  <c r="P121" i="15"/>
  <c r="O121" i="15"/>
  <c r="W120" i="15"/>
  <c r="V120" i="15"/>
  <c r="AC120" i="15" s="1"/>
  <c r="P120" i="15"/>
  <c r="O120" i="15"/>
  <c r="W119" i="15"/>
  <c r="V119" i="15"/>
  <c r="AB119" i="15" s="1"/>
  <c r="P119" i="15"/>
  <c r="O119" i="15"/>
  <c r="W118" i="15"/>
  <c r="V118" i="15"/>
  <c r="AB118" i="15" s="1"/>
  <c r="P118" i="15"/>
  <c r="O118" i="15"/>
  <c r="W117" i="15"/>
  <c r="AC117" i="15" s="1"/>
  <c r="V117" i="15"/>
  <c r="P117" i="15"/>
  <c r="O117" i="15"/>
  <c r="AB116" i="15"/>
  <c r="W116" i="15"/>
  <c r="V116" i="15"/>
  <c r="P116" i="15"/>
  <c r="O116" i="15"/>
  <c r="W115" i="15"/>
  <c r="AC115" i="15" s="1"/>
  <c r="V115" i="15"/>
  <c r="P115" i="15"/>
  <c r="O115" i="15"/>
  <c r="W114" i="15"/>
  <c r="V114" i="15"/>
  <c r="P114" i="15"/>
  <c r="O114" i="15"/>
  <c r="W113" i="15"/>
  <c r="V113" i="15"/>
  <c r="AB113" i="15" s="1"/>
  <c r="P113" i="15"/>
  <c r="O113" i="15"/>
  <c r="W112" i="15"/>
  <c r="V112" i="15"/>
  <c r="AB112" i="15" s="1"/>
  <c r="P112" i="15"/>
  <c r="O112" i="15"/>
  <c r="W111" i="15"/>
  <c r="V111" i="15"/>
  <c r="P111" i="15"/>
  <c r="O111" i="15"/>
  <c r="W110" i="15"/>
  <c r="V110" i="15"/>
  <c r="P110" i="15"/>
  <c r="O110" i="15"/>
  <c r="AC109" i="15"/>
  <c r="W109" i="15"/>
  <c r="V109" i="15"/>
  <c r="AB109" i="15" s="1"/>
  <c r="AD109" i="15" s="1"/>
  <c r="P109" i="15"/>
  <c r="O109" i="15"/>
  <c r="W108" i="15"/>
  <c r="V108" i="15"/>
  <c r="AB108" i="15" s="1"/>
  <c r="P108" i="15"/>
  <c r="O108" i="15"/>
  <c r="W107" i="15"/>
  <c r="V107" i="15"/>
  <c r="P107" i="15"/>
  <c r="O107" i="15"/>
  <c r="W106" i="15"/>
  <c r="V106" i="15"/>
  <c r="P106" i="15"/>
  <c r="O106" i="15"/>
  <c r="AC105" i="15"/>
  <c r="W105" i="15"/>
  <c r="V105" i="15"/>
  <c r="AB105" i="15" s="1"/>
  <c r="AD105" i="15" s="1"/>
  <c r="P105" i="15"/>
  <c r="O105" i="15"/>
  <c r="W104" i="15"/>
  <c r="V104" i="15"/>
  <c r="AB104" i="15" s="1"/>
  <c r="P104" i="15"/>
  <c r="O104" i="15"/>
  <c r="W103" i="15"/>
  <c r="V103" i="15"/>
  <c r="P103" i="15"/>
  <c r="O103" i="15"/>
  <c r="W102" i="15"/>
  <c r="AC102" i="15" s="1"/>
  <c r="V102" i="15"/>
  <c r="P102" i="15"/>
  <c r="O102" i="15"/>
  <c r="AC101" i="15"/>
  <c r="W101" i="15"/>
  <c r="V101" i="15"/>
  <c r="AB101" i="15" s="1"/>
  <c r="AD101" i="15" s="1"/>
  <c r="P101" i="15"/>
  <c r="O101" i="15"/>
  <c r="W100" i="15"/>
  <c r="V100" i="15"/>
  <c r="AB100" i="15" s="1"/>
  <c r="P100" i="15"/>
  <c r="O100" i="15"/>
  <c r="W99" i="15"/>
  <c r="V99" i="15"/>
  <c r="AB99" i="15" s="1"/>
  <c r="P99" i="15"/>
  <c r="O99" i="15"/>
  <c r="W98" i="15"/>
  <c r="V98" i="15"/>
  <c r="P98" i="15"/>
  <c r="O98" i="15"/>
  <c r="W97" i="15"/>
  <c r="V97" i="15"/>
  <c r="AB97" i="15" s="1"/>
  <c r="P97" i="15"/>
  <c r="O97" i="15"/>
  <c r="W96" i="15"/>
  <c r="AC96" i="15" s="1"/>
  <c r="V96" i="15"/>
  <c r="P96" i="15"/>
  <c r="O96" i="15"/>
  <c r="AC95" i="15"/>
  <c r="W95" i="15"/>
  <c r="V95" i="15"/>
  <c r="AB95" i="15" s="1"/>
  <c r="AD95" i="15" s="1"/>
  <c r="P95" i="15"/>
  <c r="O95" i="15"/>
  <c r="W94" i="15"/>
  <c r="V94" i="15"/>
  <c r="P94" i="15"/>
  <c r="O94" i="15"/>
  <c r="W93" i="15"/>
  <c r="V93" i="15"/>
  <c r="AB93" i="15" s="1"/>
  <c r="P93" i="15"/>
  <c r="O93" i="15"/>
  <c r="W92" i="15"/>
  <c r="AC92" i="15" s="1"/>
  <c r="AE92" i="15" s="1"/>
  <c r="V92" i="15"/>
  <c r="AB92" i="15" s="1"/>
  <c r="P92" i="15"/>
  <c r="O92" i="15"/>
  <c r="AC91" i="15"/>
  <c r="AB91" i="15"/>
  <c r="AD91" i="15" s="1"/>
  <c r="W91" i="15"/>
  <c r="V91" i="15"/>
  <c r="P91" i="15"/>
  <c r="O91" i="15"/>
  <c r="W90" i="15"/>
  <c r="AC90" i="15" s="1"/>
  <c r="V90" i="15"/>
  <c r="P90" i="15"/>
  <c r="O90" i="15"/>
  <c r="W89" i="15"/>
  <c r="AC89" i="15" s="1"/>
  <c r="V89" i="15"/>
  <c r="P89" i="15"/>
  <c r="O89" i="15"/>
  <c r="W88" i="15"/>
  <c r="V88" i="15"/>
  <c r="AB88" i="15" s="1"/>
  <c r="P88" i="15"/>
  <c r="O88" i="15"/>
  <c r="W87" i="15"/>
  <c r="AC87" i="15" s="1"/>
  <c r="V87" i="15"/>
  <c r="P87" i="15"/>
  <c r="O87" i="15"/>
  <c r="W86" i="15"/>
  <c r="AC86" i="15" s="1"/>
  <c r="V86" i="15"/>
  <c r="P86" i="15"/>
  <c r="O86" i="15"/>
  <c r="W85" i="15"/>
  <c r="AC85" i="15" s="1"/>
  <c r="V85" i="15"/>
  <c r="P85" i="15"/>
  <c r="O85" i="15"/>
  <c r="AC84" i="15"/>
  <c r="W84" i="15"/>
  <c r="V84" i="15"/>
  <c r="P84" i="15"/>
  <c r="O84" i="15"/>
  <c r="W83" i="15"/>
  <c r="V83" i="15"/>
  <c r="AB83" i="15" s="1"/>
  <c r="P83" i="15"/>
  <c r="O83" i="15"/>
  <c r="W82" i="15"/>
  <c r="V82" i="15"/>
  <c r="P82" i="15"/>
  <c r="O82" i="15"/>
  <c r="W81" i="15"/>
  <c r="V81" i="15"/>
  <c r="AB81" i="15" s="1"/>
  <c r="P81" i="15"/>
  <c r="O81" i="15"/>
  <c r="W80" i="15"/>
  <c r="AC80" i="15" s="1"/>
  <c r="V80" i="15"/>
  <c r="P80" i="15"/>
  <c r="O80" i="15"/>
  <c r="V49" i="15" s="1"/>
  <c r="AB49" i="15" s="1"/>
  <c r="AC79" i="15"/>
  <c r="AE79" i="15" s="1"/>
  <c r="W79" i="15"/>
  <c r="V79" i="15"/>
  <c r="AB79" i="15" s="1"/>
  <c r="P79" i="15"/>
  <c r="W48" i="15" s="1"/>
  <c r="AC48" i="15" s="1"/>
  <c r="O79" i="15"/>
  <c r="W78" i="15"/>
  <c r="V78" i="15"/>
  <c r="P78" i="15"/>
  <c r="O78" i="15"/>
  <c r="W77" i="15"/>
  <c r="V77" i="15"/>
  <c r="AB77" i="15" s="1"/>
  <c r="P77" i="15"/>
  <c r="W30" i="15" s="1"/>
  <c r="O77" i="15"/>
  <c r="W76" i="15"/>
  <c r="AC76" i="15" s="1"/>
  <c r="AE76" i="15" s="1"/>
  <c r="V76" i="15"/>
  <c r="AB76" i="15" s="1"/>
  <c r="P76" i="15"/>
  <c r="O76" i="15"/>
  <c r="AC75" i="15"/>
  <c r="AB75" i="15"/>
  <c r="AD75" i="15" s="1"/>
  <c r="W75" i="15"/>
  <c r="V75" i="15"/>
  <c r="P75" i="15"/>
  <c r="O75" i="15"/>
  <c r="W74" i="15"/>
  <c r="V74" i="15"/>
  <c r="P74" i="15"/>
  <c r="O74" i="15"/>
  <c r="W73" i="15"/>
  <c r="AC73" i="15" s="1"/>
  <c r="V73" i="15"/>
  <c r="P73" i="15"/>
  <c r="O73" i="15"/>
  <c r="W72" i="15"/>
  <c r="V72" i="15"/>
  <c r="P72" i="15"/>
  <c r="W31" i="15" s="1"/>
  <c r="AC31" i="15" s="1"/>
  <c r="O72" i="15"/>
  <c r="V31" i="15" s="1"/>
  <c r="W71" i="15"/>
  <c r="V71" i="15"/>
  <c r="P71" i="15"/>
  <c r="O71" i="15"/>
  <c r="W70" i="15"/>
  <c r="AC70" i="15" s="1"/>
  <c r="V70" i="15"/>
  <c r="P70" i="15"/>
  <c r="O70" i="15"/>
  <c r="V36" i="15" s="1"/>
  <c r="AB36" i="15" s="1"/>
  <c r="W69" i="15"/>
  <c r="AC69" i="15" s="1"/>
  <c r="V69" i="15"/>
  <c r="P69" i="15"/>
  <c r="O69" i="15"/>
  <c r="AC68" i="15"/>
  <c r="W68" i="15"/>
  <c r="V68" i="15"/>
  <c r="P68" i="15"/>
  <c r="O68" i="15"/>
  <c r="W67" i="15"/>
  <c r="AC67" i="15" s="1"/>
  <c r="V67" i="15"/>
  <c r="P67" i="15"/>
  <c r="O67" i="15"/>
  <c r="W66" i="15"/>
  <c r="AC66" i="15" s="1"/>
  <c r="V66" i="15"/>
  <c r="P66" i="15"/>
  <c r="O66" i="15"/>
  <c r="W65" i="15"/>
  <c r="V65" i="15"/>
  <c r="AB65" i="15" s="1"/>
  <c r="P65" i="15"/>
  <c r="W46" i="15" s="1"/>
  <c r="O65" i="15"/>
  <c r="W64" i="15"/>
  <c r="V64" i="15"/>
  <c r="P64" i="15"/>
  <c r="O64" i="15"/>
  <c r="Z63" i="15"/>
  <c r="W63" i="15"/>
  <c r="V63" i="15"/>
  <c r="P63" i="15"/>
  <c r="O63" i="15"/>
  <c r="W62" i="15"/>
  <c r="AC62" i="15" s="1"/>
  <c r="V62" i="15"/>
  <c r="P62" i="15"/>
  <c r="O62" i="15"/>
  <c r="W61" i="15"/>
  <c r="V61" i="15"/>
  <c r="P61" i="15"/>
  <c r="O61" i="15"/>
  <c r="V34" i="15" s="1"/>
  <c r="AC34" i="15" s="1"/>
  <c r="Z60" i="15"/>
  <c r="AB60" i="15" s="1"/>
  <c r="W60" i="15"/>
  <c r="V60" i="15"/>
  <c r="P60" i="15"/>
  <c r="O60" i="15"/>
  <c r="V56" i="15" s="1"/>
  <c r="AB56" i="15" s="1"/>
  <c r="W59" i="15"/>
  <c r="AC59" i="15" s="1"/>
  <c r="V59" i="15"/>
  <c r="P59" i="15"/>
  <c r="O59" i="15"/>
  <c r="V37" i="15" s="1"/>
  <c r="AB37" i="15" s="1"/>
  <c r="W58" i="15"/>
  <c r="V58" i="15"/>
  <c r="AB58" i="15" s="1"/>
  <c r="P58" i="15"/>
  <c r="O58" i="15"/>
  <c r="P57" i="15"/>
  <c r="O57" i="15"/>
  <c r="V54" i="15" s="1"/>
  <c r="W56" i="15"/>
  <c r="P56" i="15"/>
  <c r="O56" i="15"/>
  <c r="V55" i="15"/>
  <c r="P55" i="15"/>
  <c r="W42" i="15" s="1"/>
  <c r="O55" i="15"/>
  <c r="V42" i="15" s="1"/>
  <c r="P54" i="15"/>
  <c r="W51" i="15" s="1"/>
  <c r="O54" i="15"/>
  <c r="V51" i="15" s="1"/>
  <c r="P53" i="15"/>
  <c r="O53" i="15"/>
  <c r="Z52" i="15"/>
  <c r="W52" i="15"/>
  <c r="V52" i="15"/>
  <c r="P52" i="15"/>
  <c r="O52" i="15"/>
  <c r="AA51" i="15"/>
  <c r="P51" i="15"/>
  <c r="W41" i="15" s="1"/>
  <c r="O51" i="15"/>
  <c r="V41" i="15" s="1"/>
  <c r="AB41" i="15" s="1"/>
  <c r="W50" i="15"/>
  <c r="AC50" i="15" s="1"/>
  <c r="V50" i="15"/>
  <c r="P50" i="15"/>
  <c r="O50" i="15"/>
  <c r="W49" i="15"/>
  <c r="P49" i="15"/>
  <c r="W57" i="15" s="1"/>
  <c r="O49" i="15"/>
  <c r="V57" i="15" s="1"/>
  <c r="AB57" i="15" s="1"/>
  <c r="V48" i="15"/>
  <c r="P48" i="15"/>
  <c r="W55" i="15" s="1"/>
  <c r="AC55" i="15" s="1"/>
  <c r="O48" i="15"/>
  <c r="W47" i="15"/>
  <c r="V47" i="15"/>
  <c r="P47" i="15"/>
  <c r="W53" i="15" s="1"/>
  <c r="O47" i="15"/>
  <c r="V53" i="15" s="1"/>
  <c r="V46" i="15"/>
  <c r="P46" i="15"/>
  <c r="W28" i="15" s="1"/>
  <c r="AB28" i="15" s="1"/>
  <c r="O46" i="15"/>
  <c r="W45" i="15"/>
  <c r="V45" i="15"/>
  <c r="AB45" i="15" s="1"/>
  <c r="P45" i="15"/>
  <c r="W26" i="15" s="1"/>
  <c r="AB26" i="15" s="1"/>
  <c r="O45" i="15"/>
  <c r="W44" i="15"/>
  <c r="AC44" i="15" s="1"/>
  <c r="V44" i="15"/>
  <c r="P44" i="15"/>
  <c r="O44" i="15"/>
  <c r="AB43" i="15"/>
  <c r="W43" i="15"/>
  <c r="V43" i="15"/>
  <c r="P43" i="15"/>
  <c r="O43" i="15"/>
  <c r="V17" i="15" s="1"/>
  <c r="AB17" i="15" s="1"/>
  <c r="P42" i="15"/>
  <c r="O42" i="15"/>
  <c r="V24" i="15" s="1"/>
  <c r="AC24" i="15" s="1"/>
  <c r="P41" i="15"/>
  <c r="O41" i="15"/>
  <c r="W40" i="15"/>
  <c r="V40" i="15"/>
  <c r="AB40" i="15" s="1"/>
  <c r="P40" i="15"/>
  <c r="O40" i="15"/>
  <c r="W39" i="15"/>
  <c r="V39" i="15"/>
  <c r="P39" i="15"/>
  <c r="O39" i="15"/>
  <c r="W38" i="15"/>
  <c r="AC38" i="15" s="1"/>
  <c r="V38" i="15"/>
  <c r="P38" i="15"/>
  <c r="O38" i="15"/>
  <c r="W37" i="15"/>
  <c r="P37" i="15"/>
  <c r="O37" i="15"/>
  <c r="V22" i="15" s="1"/>
  <c r="AC36" i="15"/>
  <c r="AE36" i="15" s="1"/>
  <c r="W36" i="15"/>
  <c r="P36" i="15"/>
  <c r="O36" i="15"/>
  <c r="Z35" i="15"/>
  <c r="W35" i="15"/>
  <c r="V35" i="15"/>
  <c r="P35" i="15"/>
  <c r="O35" i="15"/>
  <c r="AB34" i="15"/>
  <c r="AD34" i="15" s="1"/>
  <c r="W34" i="15"/>
  <c r="P34" i="15"/>
  <c r="O34" i="15"/>
  <c r="W33" i="15"/>
  <c r="AC33" i="15" s="1"/>
  <c r="V33" i="15"/>
  <c r="P33" i="15"/>
  <c r="O33" i="15"/>
  <c r="V14" i="15" s="1"/>
  <c r="Z32" i="15"/>
  <c r="W32" i="15"/>
  <c r="V32" i="15"/>
  <c r="P32" i="15"/>
  <c r="O32" i="15"/>
  <c r="P31" i="15"/>
  <c r="O31" i="15"/>
  <c r="Z30" i="15"/>
  <c r="V30" i="15"/>
  <c r="AC30" i="15" s="1"/>
  <c r="P30" i="15"/>
  <c r="O30" i="15"/>
  <c r="W29" i="15"/>
  <c r="P29" i="15"/>
  <c r="O29" i="15"/>
  <c r="Z28" i="15"/>
  <c r="V28" i="15"/>
  <c r="P28" i="15"/>
  <c r="O28" i="15"/>
  <c r="AA27" i="15"/>
  <c r="W27" i="15"/>
  <c r="V27" i="15"/>
  <c r="AB27" i="15" s="1"/>
  <c r="P27" i="15"/>
  <c r="O27" i="15"/>
  <c r="Z26" i="15"/>
  <c r="V26" i="15"/>
  <c r="P26" i="15"/>
  <c r="O26" i="15"/>
  <c r="W25" i="15"/>
  <c r="V25" i="15"/>
  <c r="P25" i="15"/>
  <c r="O25" i="15"/>
  <c r="Z24" i="15"/>
  <c r="W24" i="15"/>
  <c r="P24" i="15"/>
  <c r="O24" i="15"/>
  <c r="W23" i="15"/>
  <c r="AC23" i="15" s="1"/>
  <c r="V23" i="15"/>
  <c r="P23" i="15"/>
  <c r="O23" i="15"/>
  <c r="AA22" i="15"/>
  <c r="W22" i="15"/>
  <c r="P22" i="15"/>
  <c r="O22" i="15"/>
  <c r="W21" i="15"/>
  <c r="AC21" i="15" s="1"/>
  <c r="V21" i="15"/>
  <c r="P21" i="15"/>
  <c r="O21" i="15"/>
  <c r="W20" i="15"/>
  <c r="V20" i="15"/>
  <c r="AB20" i="15" s="1"/>
  <c r="P20" i="15"/>
  <c r="W10" i="15" s="1"/>
  <c r="O20" i="15"/>
  <c r="V10" i="15" s="1"/>
  <c r="W19" i="15"/>
  <c r="V19" i="15"/>
  <c r="P19" i="15"/>
  <c r="O19" i="15"/>
  <c r="W18" i="15"/>
  <c r="V18" i="15"/>
  <c r="P18" i="15"/>
  <c r="O18" i="15"/>
  <c r="W17" i="15"/>
  <c r="P17" i="15"/>
  <c r="O17" i="15"/>
  <c r="W16" i="15"/>
  <c r="AC16" i="15" s="1"/>
  <c r="V16" i="15"/>
  <c r="P16" i="15"/>
  <c r="O16" i="15"/>
  <c r="AB15" i="15"/>
  <c r="W15" i="15"/>
  <c r="V15" i="15"/>
  <c r="P15" i="15"/>
  <c r="O15" i="15"/>
  <c r="AA14" i="15"/>
  <c r="Z14" i="15"/>
  <c r="P14" i="15"/>
  <c r="O14" i="15"/>
  <c r="W13" i="15"/>
  <c r="AB13" i="15" s="1"/>
  <c r="V13" i="15"/>
  <c r="P13" i="15"/>
  <c r="O13" i="15"/>
  <c r="AA12" i="15"/>
  <c r="W12" i="15"/>
  <c r="V12" i="15"/>
  <c r="P12" i="15"/>
  <c r="O12" i="15"/>
  <c r="V8" i="15" s="1"/>
  <c r="AA11" i="15"/>
  <c r="P11" i="15"/>
  <c r="O11" i="15"/>
  <c r="Z10" i="15"/>
  <c r="P10" i="15"/>
  <c r="O10" i="15"/>
  <c r="J10" i="15"/>
  <c r="AA10" i="15" s="1"/>
  <c r="S9" i="15"/>
  <c r="S10" i="15" s="1"/>
  <c r="S11" i="15" s="1"/>
  <c r="S12" i="15" s="1"/>
  <c r="S13" i="15" s="1"/>
  <c r="S14" i="15" s="1"/>
  <c r="S15" i="15" s="1"/>
  <c r="S16" i="15" s="1"/>
  <c r="S17" i="15" s="1"/>
  <c r="S18" i="15" s="1"/>
  <c r="S19" i="15" s="1"/>
  <c r="S20" i="15" s="1"/>
  <c r="S21" i="15" s="1"/>
  <c r="S22" i="15" s="1"/>
  <c r="S23" i="15" s="1"/>
  <c r="S24" i="15" s="1"/>
  <c r="S25" i="15" s="1"/>
  <c r="S26" i="15" s="1"/>
  <c r="S27" i="15" s="1"/>
  <c r="S28" i="15" s="1"/>
  <c r="S29" i="15" s="1"/>
  <c r="S30" i="15" s="1"/>
  <c r="S31" i="15" s="1"/>
  <c r="S32" i="15" s="1"/>
  <c r="S33" i="15" s="1"/>
  <c r="S34" i="15" s="1"/>
  <c r="S35" i="15" s="1"/>
  <c r="S36" i="15" s="1"/>
  <c r="S37" i="15" s="1"/>
  <c r="S38" i="15" s="1"/>
  <c r="S39" i="15" s="1"/>
  <c r="S40" i="15" s="1"/>
  <c r="S41" i="15" s="1"/>
  <c r="S42" i="15" s="1"/>
  <c r="S43" i="15" s="1"/>
  <c r="S44" i="15" s="1"/>
  <c r="S45" i="15" s="1"/>
  <c r="S46" i="15" s="1"/>
  <c r="S47" i="15" s="1"/>
  <c r="S48" i="15" s="1"/>
  <c r="S49" i="15" s="1"/>
  <c r="S50" i="15" s="1"/>
  <c r="S51" i="15" s="1"/>
  <c r="S52" i="15" s="1"/>
  <c r="S53" i="15" s="1"/>
  <c r="S54" i="15" s="1"/>
  <c r="S55" i="15" s="1"/>
  <c r="S56" i="15" s="1"/>
  <c r="S57" i="15" s="1"/>
  <c r="S58" i="15" s="1"/>
  <c r="S59" i="15" s="1"/>
  <c r="S60" i="15" s="1"/>
  <c r="S61" i="15" s="1"/>
  <c r="S62" i="15" s="1"/>
  <c r="S63" i="15" s="1"/>
  <c r="S64" i="15" s="1"/>
  <c r="S65" i="15" s="1"/>
  <c r="S66" i="15" s="1"/>
  <c r="S67" i="15" s="1"/>
  <c r="S68" i="15" s="1"/>
  <c r="S69" i="15" s="1"/>
  <c r="S70" i="15" s="1"/>
  <c r="S71" i="15" s="1"/>
  <c r="S72" i="15" s="1"/>
  <c r="S73" i="15" s="1"/>
  <c r="S74" i="15" s="1"/>
  <c r="S75" i="15" s="1"/>
  <c r="S76" i="15" s="1"/>
  <c r="S77" i="15" s="1"/>
  <c r="S78" i="15" s="1"/>
  <c r="S79" i="15" s="1"/>
  <c r="S80" i="15" s="1"/>
  <c r="S81" i="15" s="1"/>
  <c r="S82" i="15" s="1"/>
  <c r="S83" i="15" s="1"/>
  <c r="S84" i="15" s="1"/>
  <c r="S85" i="15" s="1"/>
  <c r="S86" i="15" s="1"/>
  <c r="S87" i="15" s="1"/>
  <c r="S88" i="15" s="1"/>
  <c r="S89" i="15" s="1"/>
  <c r="S90" i="15" s="1"/>
  <c r="S91" i="15" s="1"/>
  <c r="S92" i="15" s="1"/>
  <c r="S93" i="15" s="1"/>
  <c r="S94" i="15" s="1"/>
  <c r="S95" i="15" s="1"/>
  <c r="S96" i="15" s="1"/>
  <c r="S97" i="15" s="1"/>
  <c r="S98" i="15" s="1"/>
  <c r="S99" i="15" s="1"/>
  <c r="S100" i="15" s="1"/>
  <c r="S101" i="15" s="1"/>
  <c r="S102" i="15" s="1"/>
  <c r="S103" i="15" s="1"/>
  <c r="S104" i="15" s="1"/>
  <c r="S105" i="15" s="1"/>
  <c r="S106" i="15" s="1"/>
  <c r="S107" i="15" s="1"/>
  <c r="S108" i="15" s="1"/>
  <c r="S109" i="15" s="1"/>
  <c r="S110" i="15" s="1"/>
  <c r="S111" i="15" s="1"/>
  <c r="S112" i="15" s="1"/>
  <c r="S113" i="15" s="1"/>
  <c r="S114" i="15" s="1"/>
  <c r="S115" i="15" s="1"/>
  <c r="S116" i="15" s="1"/>
  <c r="S117" i="15" s="1"/>
  <c r="S118" i="15" s="1"/>
  <c r="S119" i="15" s="1"/>
  <c r="S120" i="15" s="1"/>
  <c r="S121" i="15" s="1"/>
  <c r="S122" i="15" s="1"/>
  <c r="S123" i="15" s="1"/>
  <c r="S124" i="15" s="1"/>
  <c r="S125" i="15" s="1"/>
  <c r="S126" i="15" s="1"/>
  <c r="S127" i="15" s="1"/>
  <c r="S128" i="15" s="1"/>
  <c r="S129" i="15" s="1"/>
  <c r="S130" i="15" s="1"/>
  <c r="S131" i="15" s="1"/>
  <c r="S132" i="15" s="1"/>
  <c r="S133" i="15" s="1"/>
  <c r="S134" i="15" s="1"/>
  <c r="S135" i="15" s="1"/>
  <c r="S136" i="15" s="1"/>
  <c r="S137" i="15" s="1"/>
  <c r="S138" i="15" s="1"/>
  <c r="S139" i="15" s="1"/>
  <c r="S140" i="15" s="1"/>
  <c r="S141" i="15" s="1"/>
  <c r="S142" i="15" s="1"/>
  <c r="S143" i="15" s="1"/>
  <c r="S144" i="15" s="1"/>
  <c r="S145" i="15" s="1"/>
  <c r="S146" i="15" s="1"/>
  <c r="S147" i="15" s="1"/>
  <c r="S148" i="15" s="1"/>
  <c r="S149" i="15" s="1"/>
  <c r="S150" i="15" s="1"/>
  <c r="S151" i="15" s="1"/>
  <c r="S152" i="15" s="1"/>
  <c r="S153" i="15" s="1"/>
  <c r="S154" i="15" s="1"/>
  <c r="S155" i="15" s="1"/>
  <c r="S156" i="15" s="1"/>
  <c r="S157" i="15" s="1"/>
  <c r="S158" i="15" s="1"/>
  <c r="S159" i="15" s="1"/>
  <c r="S160" i="15" s="1"/>
  <c r="S161" i="15" s="1"/>
  <c r="S162" i="15" s="1"/>
  <c r="S163" i="15" s="1"/>
  <c r="S164" i="15" s="1"/>
  <c r="S165" i="15" s="1"/>
  <c r="S166" i="15" s="1"/>
  <c r="S167" i="15" s="1"/>
  <c r="S168" i="15" s="1"/>
  <c r="S169" i="15" s="1"/>
  <c r="S170" i="15" s="1"/>
  <c r="S171" i="15" s="1"/>
  <c r="S172" i="15" s="1"/>
  <c r="S173" i="15" s="1"/>
  <c r="S174" i="15" s="1"/>
  <c r="S175" i="15" s="1"/>
  <c r="S176" i="15" s="1"/>
  <c r="S177" i="15" s="1"/>
  <c r="S178" i="15" s="1"/>
  <c r="S179" i="15" s="1"/>
  <c r="S180" i="15" s="1"/>
  <c r="S181" i="15" s="1"/>
  <c r="S182" i="15" s="1"/>
  <c r="S183" i="15" s="1"/>
  <c r="S184" i="15" s="1"/>
  <c r="S185" i="15" s="1"/>
  <c r="S186" i="15" s="1"/>
  <c r="S187" i="15" s="1"/>
  <c r="S188" i="15" s="1"/>
  <c r="S189" i="15" s="1"/>
  <c r="S190" i="15" s="1"/>
  <c r="S191" i="15" s="1"/>
  <c r="S192" i="15" s="1"/>
  <c r="S193" i="15" s="1"/>
  <c r="S194" i="15" s="1"/>
  <c r="S195" i="15" s="1"/>
  <c r="S196" i="15" s="1"/>
  <c r="S197" i="15" s="1"/>
  <c r="S198" i="15" s="1"/>
  <c r="S199" i="15" s="1"/>
  <c r="S200" i="15" s="1"/>
  <c r="P9" i="15"/>
  <c r="W9" i="15" s="1"/>
  <c r="O9" i="15"/>
  <c r="V9" i="15" s="1"/>
  <c r="AA8" i="15"/>
  <c r="P8" i="15"/>
  <c r="O8" i="15"/>
  <c r="AN7" i="15"/>
  <c r="Z12" i="15" s="1"/>
  <c r="AA61" i="15" s="1"/>
  <c r="E201" i="14"/>
  <c r="D201" i="14"/>
  <c r="W200" i="14"/>
  <c r="V200" i="14"/>
  <c r="AB200" i="14" s="1"/>
  <c r="P200" i="14"/>
  <c r="O200" i="14"/>
  <c r="W199" i="14"/>
  <c r="V199" i="14"/>
  <c r="AB199" i="14" s="1"/>
  <c r="P199" i="14"/>
  <c r="O199" i="14"/>
  <c r="W198" i="14"/>
  <c r="V198" i="14"/>
  <c r="AB198" i="14" s="1"/>
  <c r="P198" i="14"/>
  <c r="O198" i="14"/>
  <c r="W197" i="14"/>
  <c r="V197" i="14"/>
  <c r="AB197" i="14" s="1"/>
  <c r="P197" i="14"/>
  <c r="O197" i="14"/>
  <c r="AC196" i="14"/>
  <c r="AB196" i="14"/>
  <c r="AD196" i="14" s="1"/>
  <c r="W196" i="14"/>
  <c r="V196" i="14"/>
  <c r="P196" i="14"/>
  <c r="O196" i="14"/>
  <c r="W195" i="14"/>
  <c r="AC195" i="14" s="1"/>
  <c r="V195" i="14"/>
  <c r="P195" i="14"/>
  <c r="O195" i="14"/>
  <c r="W194" i="14"/>
  <c r="V194" i="14"/>
  <c r="P194" i="14"/>
  <c r="O194" i="14"/>
  <c r="W193" i="14"/>
  <c r="V193" i="14"/>
  <c r="AB193" i="14" s="1"/>
  <c r="P193" i="14"/>
  <c r="O193" i="14"/>
  <c r="W192" i="14"/>
  <c r="V192" i="14"/>
  <c r="P192" i="14"/>
  <c r="O192" i="14"/>
  <c r="W191" i="14"/>
  <c r="V191" i="14"/>
  <c r="P191" i="14"/>
  <c r="O191" i="14"/>
  <c r="W190" i="14"/>
  <c r="V190" i="14"/>
  <c r="P190" i="14"/>
  <c r="O190" i="14"/>
  <c r="AC189" i="14"/>
  <c r="W189" i="14"/>
  <c r="V189" i="14"/>
  <c r="P189" i="14"/>
  <c r="O189" i="14"/>
  <c r="W188" i="14"/>
  <c r="V188" i="14"/>
  <c r="AC188" i="14" s="1"/>
  <c r="P188" i="14"/>
  <c r="O188" i="14"/>
  <c r="W187" i="14"/>
  <c r="V187" i="14"/>
  <c r="P187" i="14"/>
  <c r="O187" i="14"/>
  <c r="W186" i="14"/>
  <c r="AC186" i="14" s="1"/>
  <c r="V186" i="14"/>
  <c r="AB186" i="14" s="1"/>
  <c r="P186" i="14"/>
  <c r="O186" i="14"/>
  <c r="AC185" i="14"/>
  <c r="W185" i="14"/>
  <c r="V185" i="14"/>
  <c r="P185" i="14"/>
  <c r="O185" i="14"/>
  <c r="W184" i="14"/>
  <c r="V184" i="14"/>
  <c r="P184" i="14"/>
  <c r="O184" i="14"/>
  <c r="W183" i="14"/>
  <c r="V183" i="14"/>
  <c r="P183" i="14"/>
  <c r="O183" i="14"/>
  <c r="W182" i="14"/>
  <c r="V182" i="14"/>
  <c r="AB182" i="14" s="1"/>
  <c r="P182" i="14"/>
  <c r="O182" i="14"/>
  <c r="AC181" i="14"/>
  <c r="W181" i="14"/>
  <c r="V181" i="14"/>
  <c r="P181" i="14"/>
  <c r="O181" i="14"/>
  <c r="AB180" i="14"/>
  <c r="W180" i="14"/>
  <c r="V180" i="14"/>
  <c r="P180" i="14"/>
  <c r="O180" i="14"/>
  <c r="W179" i="14"/>
  <c r="V179" i="14"/>
  <c r="P179" i="14"/>
  <c r="O179" i="14"/>
  <c r="W178" i="14"/>
  <c r="V178" i="14"/>
  <c r="P178" i="14"/>
  <c r="O178" i="14"/>
  <c r="W177" i="14"/>
  <c r="V177" i="14"/>
  <c r="P177" i="14"/>
  <c r="O177" i="14"/>
  <c r="AB176" i="14"/>
  <c r="AD176" i="14" s="1"/>
  <c r="W176" i="14"/>
  <c r="AC176" i="14" s="1"/>
  <c r="V176" i="14"/>
  <c r="P176" i="14"/>
  <c r="O176" i="14"/>
  <c r="W175" i="14"/>
  <c r="V175" i="14"/>
  <c r="P175" i="14"/>
  <c r="O175" i="14"/>
  <c r="W174" i="14"/>
  <c r="V174" i="14"/>
  <c r="P174" i="14"/>
  <c r="O174" i="14"/>
  <c r="W173" i="14"/>
  <c r="V173" i="14"/>
  <c r="P173" i="14"/>
  <c r="O173" i="14"/>
  <c r="W172" i="14"/>
  <c r="AC172" i="14" s="1"/>
  <c r="V172" i="14"/>
  <c r="P172" i="14"/>
  <c r="O172" i="14"/>
  <c r="AC171" i="14"/>
  <c r="W171" i="14"/>
  <c r="AB171" i="14" s="1"/>
  <c r="V171" i="14"/>
  <c r="P171" i="14"/>
  <c r="O171" i="14"/>
  <c r="W170" i="14"/>
  <c r="V170" i="14"/>
  <c r="P170" i="14"/>
  <c r="O170" i="14"/>
  <c r="W169" i="14"/>
  <c r="AC169" i="14" s="1"/>
  <c r="V169" i="14"/>
  <c r="P169" i="14"/>
  <c r="O169" i="14"/>
  <c r="AC168" i="14"/>
  <c r="AE168" i="14" s="1"/>
  <c r="W168" i="14"/>
  <c r="V168" i="14"/>
  <c r="AB168" i="14" s="1"/>
  <c r="P168" i="14"/>
  <c r="O168" i="14"/>
  <c r="W167" i="14"/>
  <c r="V167" i="14"/>
  <c r="P167" i="14"/>
  <c r="O167" i="14"/>
  <c r="W166" i="14"/>
  <c r="V166" i="14"/>
  <c r="P166" i="14"/>
  <c r="O166" i="14"/>
  <c r="W165" i="14"/>
  <c r="V165" i="14"/>
  <c r="P165" i="14"/>
  <c r="O165" i="14"/>
  <c r="W164" i="14"/>
  <c r="AC164" i="14" s="1"/>
  <c r="V164" i="14"/>
  <c r="P164" i="14"/>
  <c r="O164" i="14"/>
  <c r="W163" i="14"/>
  <c r="V163" i="14"/>
  <c r="P163" i="14"/>
  <c r="O163" i="14"/>
  <c r="W162" i="14"/>
  <c r="V162" i="14"/>
  <c r="AB162" i="14" s="1"/>
  <c r="P162" i="14"/>
  <c r="O162" i="14"/>
  <c r="W161" i="14"/>
  <c r="AC161" i="14" s="1"/>
  <c r="V161" i="14"/>
  <c r="P161" i="14"/>
  <c r="O161" i="14"/>
  <c r="W160" i="14"/>
  <c r="V160" i="14"/>
  <c r="P160" i="14"/>
  <c r="O160" i="14"/>
  <c r="AC159" i="14"/>
  <c r="AE159" i="14" s="1"/>
  <c r="AB159" i="14"/>
  <c r="W159" i="14"/>
  <c r="V159" i="14"/>
  <c r="P159" i="14"/>
  <c r="O159" i="14"/>
  <c r="W158" i="14"/>
  <c r="V158" i="14"/>
  <c r="P158" i="14"/>
  <c r="O158" i="14"/>
  <c r="W157" i="14"/>
  <c r="AC157" i="14" s="1"/>
  <c r="V157" i="14"/>
  <c r="P157" i="14"/>
  <c r="O157" i="14"/>
  <c r="AB156" i="14"/>
  <c r="AG156" i="14" s="1"/>
  <c r="W156" i="14"/>
  <c r="AC156" i="14" s="1"/>
  <c r="V156" i="14"/>
  <c r="P156" i="14"/>
  <c r="O156" i="14"/>
  <c r="AC155" i="14"/>
  <c r="W155" i="14"/>
  <c r="AB155" i="14" s="1"/>
  <c r="V155" i="14"/>
  <c r="P155" i="14"/>
  <c r="O155" i="14"/>
  <c r="W154" i="14"/>
  <c r="V154" i="14"/>
  <c r="P154" i="14"/>
  <c r="O154" i="14"/>
  <c r="W153" i="14"/>
  <c r="V153" i="14"/>
  <c r="AB153" i="14" s="1"/>
  <c r="P153" i="14"/>
  <c r="O153" i="14"/>
  <c r="AC152" i="14"/>
  <c r="AB152" i="14"/>
  <c r="W152" i="14"/>
  <c r="V152" i="14"/>
  <c r="P152" i="14"/>
  <c r="O152" i="14"/>
  <c r="W151" i="14"/>
  <c r="AC151" i="14" s="1"/>
  <c r="V151" i="14"/>
  <c r="AB151" i="14" s="1"/>
  <c r="P151" i="14"/>
  <c r="O151" i="14"/>
  <c r="W150" i="14"/>
  <c r="V150" i="14"/>
  <c r="P150" i="14"/>
  <c r="O150" i="14"/>
  <c r="AC149" i="14"/>
  <c r="W149" i="14"/>
  <c r="V149" i="14"/>
  <c r="P149" i="14"/>
  <c r="O149" i="14"/>
  <c r="W148" i="14"/>
  <c r="AC148" i="14" s="1"/>
  <c r="V148" i="14"/>
  <c r="AB148" i="14" s="1"/>
  <c r="AD148" i="14" s="1"/>
  <c r="P148" i="14"/>
  <c r="O148" i="14"/>
  <c r="AB147" i="14"/>
  <c r="AD147" i="14" s="1"/>
  <c r="W147" i="14"/>
  <c r="AC147" i="14" s="1"/>
  <c r="V147" i="14"/>
  <c r="P147" i="14"/>
  <c r="O147" i="14"/>
  <c r="W146" i="14"/>
  <c r="V146" i="14"/>
  <c r="P146" i="14"/>
  <c r="O146" i="14"/>
  <c r="W145" i="14"/>
  <c r="V145" i="14"/>
  <c r="P145" i="14"/>
  <c r="O145" i="14"/>
  <c r="W144" i="14"/>
  <c r="AC144" i="14" s="1"/>
  <c r="V144" i="14"/>
  <c r="AB144" i="14" s="1"/>
  <c r="P144" i="14"/>
  <c r="O144" i="14"/>
  <c r="AG143" i="14"/>
  <c r="AB143" i="14"/>
  <c r="AD143" i="14" s="1"/>
  <c r="W143" i="14"/>
  <c r="AC143" i="14" s="1"/>
  <c r="V143" i="14"/>
  <c r="P143" i="14"/>
  <c r="O143" i="14"/>
  <c r="W142" i="14"/>
  <c r="V142" i="14"/>
  <c r="P142" i="14"/>
  <c r="O142" i="14"/>
  <c r="W141" i="14"/>
  <c r="AC141" i="14" s="1"/>
  <c r="V141" i="14"/>
  <c r="P141" i="14"/>
  <c r="O141" i="14"/>
  <c r="AC140" i="14"/>
  <c r="AB140" i="14"/>
  <c r="W140" i="14"/>
  <c r="V140" i="14"/>
  <c r="P140" i="14"/>
  <c r="O140" i="14"/>
  <c r="W139" i="14"/>
  <c r="V139" i="14"/>
  <c r="AB139" i="14" s="1"/>
  <c r="P139" i="14"/>
  <c r="O139" i="14"/>
  <c r="W138" i="14"/>
  <c r="V138" i="14"/>
  <c r="AB138" i="14" s="1"/>
  <c r="P138" i="14"/>
  <c r="O138" i="14"/>
  <c r="W137" i="14"/>
  <c r="V137" i="14"/>
  <c r="AB137" i="14" s="1"/>
  <c r="P137" i="14"/>
  <c r="O137" i="14"/>
  <c r="AC136" i="14"/>
  <c r="AB136" i="14"/>
  <c r="W136" i="14"/>
  <c r="V136" i="14"/>
  <c r="P136" i="14"/>
  <c r="O136" i="14"/>
  <c r="W135" i="14"/>
  <c r="AC135" i="14" s="1"/>
  <c r="V135" i="14"/>
  <c r="AB135" i="14" s="1"/>
  <c r="P135" i="14"/>
  <c r="O135" i="14"/>
  <c r="W134" i="14"/>
  <c r="V134" i="14"/>
  <c r="P134" i="14"/>
  <c r="O134" i="14"/>
  <c r="AD133" i="14"/>
  <c r="AC133" i="14"/>
  <c r="AE133" i="14" s="1"/>
  <c r="W133" i="14"/>
  <c r="V133" i="14"/>
  <c r="AB133" i="14" s="1"/>
  <c r="P133" i="14"/>
  <c r="O133" i="14"/>
  <c r="W132" i="14"/>
  <c r="AC132" i="14" s="1"/>
  <c r="V132" i="14"/>
  <c r="AB132" i="14" s="1"/>
  <c r="P132" i="14"/>
  <c r="O132" i="14"/>
  <c r="W131" i="14"/>
  <c r="V131" i="14"/>
  <c r="P131" i="14"/>
  <c r="O131" i="14"/>
  <c r="W130" i="14"/>
  <c r="AC130" i="14" s="1"/>
  <c r="V130" i="14"/>
  <c r="P130" i="14"/>
  <c r="O130" i="14"/>
  <c r="AB129" i="14"/>
  <c r="W129" i="14"/>
  <c r="V129" i="14"/>
  <c r="P129" i="14"/>
  <c r="O129" i="14"/>
  <c r="W128" i="14"/>
  <c r="AC128" i="14" s="1"/>
  <c r="V128" i="14"/>
  <c r="P128" i="14"/>
  <c r="O128" i="14"/>
  <c r="W127" i="14"/>
  <c r="V127" i="14"/>
  <c r="P127" i="14"/>
  <c r="O127" i="14"/>
  <c r="AC126" i="14"/>
  <c r="AE126" i="14" s="1"/>
  <c r="W126" i="14"/>
  <c r="V126" i="14"/>
  <c r="AB126" i="14" s="1"/>
  <c r="P126" i="14"/>
  <c r="O126" i="14"/>
  <c r="W125" i="14"/>
  <c r="V125" i="14"/>
  <c r="AC125" i="14" s="1"/>
  <c r="P125" i="14"/>
  <c r="O125" i="14"/>
  <c r="W124" i="14"/>
  <c r="V124" i="14"/>
  <c r="P124" i="14"/>
  <c r="O124" i="14"/>
  <c r="W123" i="14"/>
  <c r="AC123" i="14" s="1"/>
  <c r="V123" i="14"/>
  <c r="P123" i="14"/>
  <c r="O123" i="14"/>
  <c r="AC122" i="14"/>
  <c r="W122" i="14"/>
  <c r="V122" i="14"/>
  <c r="P122" i="14"/>
  <c r="O122" i="14"/>
  <c r="W121" i="14"/>
  <c r="V121" i="14"/>
  <c r="AC121" i="14" s="1"/>
  <c r="P121" i="14"/>
  <c r="O121" i="14"/>
  <c r="W120" i="14"/>
  <c r="V120" i="14"/>
  <c r="AB120" i="14" s="1"/>
  <c r="P120" i="14"/>
  <c r="O120" i="14"/>
  <c r="W119" i="14"/>
  <c r="V119" i="14"/>
  <c r="AB119" i="14" s="1"/>
  <c r="P119" i="14"/>
  <c r="O119" i="14"/>
  <c r="AC118" i="14"/>
  <c r="W118" i="14"/>
  <c r="V118" i="14"/>
  <c r="P118" i="14"/>
  <c r="O118" i="14"/>
  <c r="AB117" i="14"/>
  <c r="AD117" i="14" s="1"/>
  <c r="W117" i="14"/>
  <c r="V117" i="14"/>
  <c r="AC117" i="14" s="1"/>
  <c r="P117" i="14"/>
  <c r="O117" i="14"/>
  <c r="W116" i="14"/>
  <c r="V116" i="14"/>
  <c r="AB116" i="14" s="1"/>
  <c r="P116" i="14"/>
  <c r="O116" i="14"/>
  <c r="W115" i="14"/>
  <c r="V115" i="14"/>
  <c r="AB115" i="14" s="1"/>
  <c r="P115" i="14"/>
  <c r="O115" i="14"/>
  <c r="W114" i="14"/>
  <c r="AC114" i="14" s="1"/>
  <c r="AE114" i="14" s="1"/>
  <c r="V114" i="14"/>
  <c r="AB114" i="14" s="1"/>
  <c r="P114" i="14"/>
  <c r="O114" i="14"/>
  <c r="W113" i="14"/>
  <c r="V113" i="14"/>
  <c r="P113" i="14"/>
  <c r="O113" i="14"/>
  <c r="W112" i="14"/>
  <c r="AC112" i="14" s="1"/>
  <c r="V112" i="14"/>
  <c r="P112" i="14"/>
  <c r="O112" i="14"/>
  <c r="W111" i="14"/>
  <c r="V111" i="14"/>
  <c r="P111" i="14"/>
  <c r="O111" i="14"/>
  <c r="AC110" i="14"/>
  <c r="AE110" i="14" s="1"/>
  <c r="W110" i="14"/>
  <c r="V110" i="14"/>
  <c r="AB110" i="14" s="1"/>
  <c r="P110" i="14"/>
  <c r="O110" i="14"/>
  <c r="W109" i="14"/>
  <c r="V109" i="14"/>
  <c r="AB109" i="14" s="1"/>
  <c r="P109" i="14"/>
  <c r="O109" i="14"/>
  <c r="W108" i="14"/>
  <c r="V108" i="14"/>
  <c r="AB108" i="14" s="1"/>
  <c r="P108" i="14"/>
  <c r="O108" i="14"/>
  <c r="W107" i="14"/>
  <c r="V107" i="14"/>
  <c r="AC107" i="14" s="1"/>
  <c r="P107" i="14"/>
  <c r="O107" i="14"/>
  <c r="W106" i="14"/>
  <c r="V106" i="14"/>
  <c r="AB106" i="14" s="1"/>
  <c r="P106" i="14"/>
  <c r="O106" i="14"/>
  <c r="W105" i="14"/>
  <c r="V105" i="14"/>
  <c r="AB105" i="14" s="1"/>
  <c r="P105" i="14"/>
  <c r="O105" i="14"/>
  <c r="W104" i="14"/>
  <c r="AC104" i="14" s="1"/>
  <c r="V104" i="14"/>
  <c r="P104" i="14"/>
  <c r="O104" i="14"/>
  <c r="AB103" i="14"/>
  <c r="W103" i="14"/>
  <c r="V103" i="14"/>
  <c r="P103" i="14"/>
  <c r="O103" i="14"/>
  <c r="W102" i="14"/>
  <c r="AC102" i="14" s="1"/>
  <c r="V102" i="14"/>
  <c r="P102" i="14"/>
  <c r="O102" i="14"/>
  <c r="AB101" i="14"/>
  <c r="W101" i="14"/>
  <c r="V101" i="14"/>
  <c r="P101" i="14"/>
  <c r="O101" i="14"/>
  <c r="W100" i="14"/>
  <c r="V100" i="14"/>
  <c r="AB100" i="14" s="1"/>
  <c r="P100" i="14"/>
  <c r="O100" i="14"/>
  <c r="W99" i="14"/>
  <c r="V99" i="14"/>
  <c r="P99" i="14"/>
  <c r="O99" i="14"/>
  <c r="W98" i="14"/>
  <c r="AC98" i="14" s="1"/>
  <c r="V98" i="14"/>
  <c r="P98" i="14"/>
  <c r="O98" i="14"/>
  <c r="W97" i="14"/>
  <c r="V97" i="14"/>
  <c r="P97" i="14"/>
  <c r="O97" i="14"/>
  <c r="W96" i="14"/>
  <c r="AC96" i="14" s="1"/>
  <c r="V96" i="14"/>
  <c r="P96" i="14"/>
  <c r="O96" i="14"/>
  <c r="W95" i="14"/>
  <c r="V95" i="14"/>
  <c r="P95" i="14"/>
  <c r="O95" i="14"/>
  <c r="W94" i="14"/>
  <c r="V94" i="14"/>
  <c r="AB94" i="14" s="1"/>
  <c r="P94" i="14"/>
  <c r="O94" i="14"/>
  <c r="W93" i="14"/>
  <c r="V93" i="14"/>
  <c r="AB93" i="14" s="1"/>
  <c r="P93" i="14"/>
  <c r="O93" i="14"/>
  <c r="W92" i="14"/>
  <c r="V92" i="14"/>
  <c r="AB92" i="14" s="1"/>
  <c r="P92" i="14"/>
  <c r="O92" i="14"/>
  <c r="W91" i="14"/>
  <c r="V91" i="14"/>
  <c r="AC91" i="14" s="1"/>
  <c r="P91" i="14"/>
  <c r="O91" i="14"/>
  <c r="W90" i="14"/>
  <c r="AC90" i="14" s="1"/>
  <c r="V90" i="14"/>
  <c r="P90" i="14"/>
  <c r="O90" i="14"/>
  <c r="W89" i="14"/>
  <c r="AC89" i="14" s="1"/>
  <c r="V89" i="14"/>
  <c r="P89" i="14"/>
  <c r="O89" i="14"/>
  <c r="W88" i="14"/>
  <c r="AC88" i="14" s="1"/>
  <c r="V88" i="14"/>
  <c r="P88" i="14"/>
  <c r="O88" i="14"/>
  <c r="W87" i="14"/>
  <c r="V87" i="14"/>
  <c r="P87" i="14"/>
  <c r="O87" i="14"/>
  <c r="AC86" i="14"/>
  <c r="W86" i="14"/>
  <c r="V86" i="14"/>
  <c r="P86" i="14"/>
  <c r="O86" i="14"/>
  <c r="W85" i="14"/>
  <c r="AC85" i="14" s="1"/>
  <c r="V85" i="14"/>
  <c r="P85" i="14"/>
  <c r="O85" i="14"/>
  <c r="W84" i="14"/>
  <c r="AC84" i="14" s="1"/>
  <c r="V84" i="14"/>
  <c r="P84" i="14"/>
  <c r="O84" i="14"/>
  <c r="W83" i="14"/>
  <c r="V83" i="14"/>
  <c r="P83" i="14"/>
  <c r="O83" i="14"/>
  <c r="AC82" i="14"/>
  <c r="W82" i="14"/>
  <c r="V82" i="14"/>
  <c r="AB82" i="14" s="1"/>
  <c r="P82" i="14"/>
  <c r="W35" i="14" s="1"/>
  <c r="AC35" i="14" s="1"/>
  <c r="O82" i="14"/>
  <c r="V35" i="14" s="1"/>
  <c r="W81" i="14"/>
  <c r="V81" i="14"/>
  <c r="AC81" i="14" s="1"/>
  <c r="P81" i="14"/>
  <c r="O81" i="14"/>
  <c r="W80" i="14"/>
  <c r="V80" i="14"/>
  <c r="AB80" i="14" s="1"/>
  <c r="P80" i="14"/>
  <c r="W49" i="14" s="1"/>
  <c r="AC49" i="14" s="1"/>
  <c r="O80" i="14"/>
  <c r="W79" i="14"/>
  <c r="V79" i="14"/>
  <c r="AB79" i="14" s="1"/>
  <c r="P79" i="14"/>
  <c r="O79" i="14"/>
  <c r="W78" i="14"/>
  <c r="AC78" i="14" s="1"/>
  <c r="V78" i="14"/>
  <c r="AB78" i="14" s="1"/>
  <c r="P78" i="14"/>
  <c r="O78" i="14"/>
  <c r="W77" i="14"/>
  <c r="V77" i="14"/>
  <c r="AC77" i="14" s="1"/>
  <c r="P77" i="14"/>
  <c r="W30" i="14" s="1"/>
  <c r="O77" i="14"/>
  <c r="W76" i="14"/>
  <c r="V76" i="14"/>
  <c r="AB76" i="14" s="1"/>
  <c r="P76" i="14"/>
  <c r="O76" i="14"/>
  <c r="W75" i="14"/>
  <c r="V75" i="14"/>
  <c r="AB75" i="14" s="1"/>
  <c r="P75" i="14"/>
  <c r="O75" i="14"/>
  <c r="W74" i="14"/>
  <c r="AC74" i="14" s="1"/>
  <c r="V74" i="14"/>
  <c r="P74" i="14"/>
  <c r="O74" i="14"/>
  <c r="W73" i="14"/>
  <c r="V73" i="14"/>
  <c r="P73" i="14"/>
  <c r="O73" i="14"/>
  <c r="W72" i="14"/>
  <c r="AC72" i="14" s="1"/>
  <c r="V72" i="14"/>
  <c r="P72" i="14"/>
  <c r="O72" i="14"/>
  <c r="W71" i="14"/>
  <c r="AC71" i="14" s="1"/>
  <c r="V71" i="14"/>
  <c r="P71" i="14"/>
  <c r="O71" i="14"/>
  <c r="AC70" i="14"/>
  <c r="W70" i="14"/>
  <c r="V70" i="14"/>
  <c r="P70" i="14"/>
  <c r="O70" i="14"/>
  <c r="V36" i="14" s="1"/>
  <c r="AB36" i="14" s="1"/>
  <c r="W69" i="14"/>
  <c r="V69" i="14"/>
  <c r="P69" i="14"/>
  <c r="O69" i="14"/>
  <c r="W68" i="14"/>
  <c r="AC68" i="14" s="1"/>
  <c r="V68" i="14"/>
  <c r="P68" i="14"/>
  <c r="O68" i="14"/>
  <c r="W67" i="14"/>
  <c r="AC67" i="14" s="1"/>
  <c r="V67" i="14"/>
  <c r="P67" i="14"/>
  <c r="O67" i="14"/>
  <c r="W66" i="14"/>
  <c r="V66" i="14"/>
  <c r="AB66" i="14" s="1"/>
  <c r="P66" i="14"/>
  <c r="W29" i="14" s="1"/>
  <c r="AC29" i="14" s="1"/>
  <c r="O66" i="14"/>
  <c r="W65" i="14"/>
  <c r="V65" i="14"/>
  <c r="AC65" i="14" s="1"/>
  <c r="P65" i="14"/>
  <c r="O65" i="14"/>
  <c r="W64" i="14"/>
  <c r="V64" i="14"/>
  <c r="AB64" i="14" s="1"/>
  <c r="P64" i="14"/>
  <c r="W45" i="14" s="1"/>
  <c r="AC45" i="14" s="1"/>
  <c r="O64" i="14"/>
  <c r="Z63" i="14"/>
  <c r="W63" i="14"/>
  <c r="V63" i="14"/>
  <c r="P63" i="14"/>
  <c r="O63" i="14"/>
  <c r="W62" i="14"/>
  <c r="V62" i="14"/>
  <c r="P62" i="14"/>
  <c r="O62" i="14"/>
  <c r="W61" i="14"/>
  <c r="V61" i="14"/>
  <c r="P61" i="14"/>
  <c r="O61" i="14"/>
  <c r="Z60" i="14"/>
  <c r="W60" i="14"/>
  <c r="V60" i="14"/>
  <c r="P60" i="14"/>
  <c r="O60" i="14"/>
  <c r="V56" i="14" s="1"/>
  <c r="AB56" i="14" s="1"/>
  <c r="W59" i="14"/>
  <c r="V59" i="14"/>
  <c r="P59" i="14"/>
  <c r="O59" i="14"/>
  <c r="AB58" i="14"/>
  <c r="W58" i="14"/>
  <c r="V58" i="14"/>
  <c r="P58" i="14"/>
  <c r="W54" i="14" s="1"/>
  <c r="O58" i="14"/>
  <c r="P57" i="14"/>
  <c r="O57" i="14"/>
  <c r="W56" i="14"/>
  <c r="P56" i="14"/>
  <c r="O56" i="14"/>
  <c r="V38" i="14" s="1"/>
  <c r="AC38" i="14" s="1"/>
  <c r="P55" i="14"/>
  <c r="W42" i="14" s="1"/>
  <c r="O55" i="14"/>
  <c r="P54" i="14"/>
  <c r="O54" i="14"/>
  <c r="V51" i="14" s="1"/>
  <c r="AB51" i="14" s="1"/>
  <c r="W53" i="14"/>
  <c r="P53" i="14"/>
  <c r="O53" i="14"/>
  <c r="Z52" i="14"/>
  <c r="W52" i="14"/>
  <c r="AC52" i="14" s="1"/>
  <c r="V52" i="14"/>
  <c r="P52" i="14"/>
  <c r="O52" i="14"/>
  <c r="V40" i="14" s="1"/>
  <c r="AB40" i="14" s="1"/>
  <c r="AA51" i="14"/>
  <c r="W51" i="14"/>
  <c r="P51" i="14"/>
  <c r="O51" i="14"/>
  <c r="V41" i="14" s="1"/>
  <c r="W50" i="14"/>
  <c r="V50" i="14"/>
  <c r="P50" i="14"/>
  <c r="O50" i="14"/>
  <c r="V49" i="14"/>
  <c r="P49" i="14"/>
  <c r="W57" i="14" s="1"/>
  <c r="O49" i="14"/>
  <c r="V57" i="14" s="1"/>
  <c r="W48" i="14"/>
  <c r="AC48" i="14" s="1"/>
  <c r="V48" i="14"/>
  <c r="P48" i="14"/>
  <c r="W55" i="14" s="1"/>
  <c r="O48" i="14"/>
  <c r="V55" i="14" s="1"/>
  <c r="AB55" i="14" s="1"/>
  <c r="W47" i="14"/>
  <c r="AC47" i="14" s="1"/>
  <c r="V47" i="14"/>
  <c r="P47" i="14"/>
  <c r="O47" i="14"/>
  <c r="V53" i="14" s="1"/>
  <c r="W46" i="14"/>
  <c r="V46" i="14"/>
  <c r="P46" i="14"/>
  <c r="O46" i="14"/>
  <c r="V28" i="14" s="1"/>
  <c r="AB28" i="14" s="1"/>
  <c r="V45" i="14"/>
  <c r="AB45" i="14" s="1"/>
  <c r="AD45" i="14" s="1"/>
  <c r="P45" i="14"/>
  <c r="W26" i="14" s="1"/>
  <c r="AC26" i="14" s="1"/>
  <c r="O45" i="14"/>
  <c r="W44" i="14"/>
  <c r="V44" i="14"/>
  <c r="AB44" i="14" s="1"/>
  <c r="P44" i="14"/>
  <c r="O44" i="14"/>
  <c r="W43" i="14"/>
  <c r="V43" i="14"/>
  <c r="AB43" i="14" s="1"/>
  <c r="P43" i="14"/>
  <c r="O43" i="14"/>
  <c r="V17" i="14" s="1"/>
  <c r="V42" i="14"/>
  <c r="P42" i="14"/>
  <c r="O42" i="14"/>
  <c r="W41" i="14"/>
  <c r="P41" i="14"/>
  <c r="O41" i="14"/>
  <c r="W40" i="14"/>
  <c r="P40" i="14"/>
  <c r="O40" i="14"/>
  <c r="W39" i="14"/>
  <c r="AC39" i="14" s="1"/>
  <c r="V39" i="14"/>
  <c r="P39" i="14"/>
  <c r="O39" i="14"/>
  <c r="W38" i="14"/>
  <c r="P38" i="14"/>
  <c r="O38" i="14"/>
  <c r="W37" i="14"/>
  <c r="AC37" i="14" s="1"/>
  <c r="V37" i="14"/>
  <c r="AB37" i="14" s="1"/>
  <c r="AD37" i="14" s="1"/>
  <c r="P37" i="14"/>
  <c r="O37" i="14"/>
  <c r="W36" i="14"/>
  <c r="P36" i="14"/>
  <c r="O36" i="14"/>
  <c r="Z35" i="14"/>
  <c r="P35" i="14"/>
  <c r="O35" i="14"/>
  <c r="W34" i="14"/>
  <c r="AC34" i="14" s="1"/>
  <c r="V34" i="14"/>
  <c r="P34" i="14"/>
  <c r="O34" i="14"/>
  <c r="W33" i="14"/>
  <c r="V33" i="14"/>
  <c r="P33" i="14"/>
  <c r="O33" i="14"/>
  <c r="Z32" i="14"/>
  <c r="W32" i="14"/>
  <c r="V32" i="14"/>
  <c r="AC32" i="14" s="1"/>
  <c r="P32" i="14"/>
  <c r="O32" i="14"/>
  <c r="W31" i="14"/>
  <c r="AB31" i="14" s="1"/>
  <c r="V31" i="14"/>
  <c r="P31" i="14"/>
  <c r="O31" i="14"/>
  <c r="Z30" i="14"/>
  <c r="V30" i="14"/>
  <c r="P30" i="14"/>
  <c r="O30" i="14"/>
  <c r="V29" i="14"/>
  <c r="AB29" i="14" s="1"/>
  <c r="P29" i="14"/>
  <c r="O29" i="14"/>
  <c r="Z28" i="14"/>
  <c r="W28" i="14"/>
  <c r="P28" i="14"/>
  <c r="O28" i="14"/>
  <c r="AA27" i="14"/>
  <c r="W27" i="14"/>
  <c r="V27" i="14"/>
  <c r="P27" i="14"/>
  <c r="O27" i="14"/>
  <c r="Z26" i="14"/>
  <c r="V26" i="14"/>
  <c r="P26" i="14"/>
  <c r="O26" i="14"/>
  <c r="W25" i="14"/>
  <c r="V25" i="14"/>
  <c r="AB25" i="14" s="1"/>
  <c r="P25" i="14"/>
  <c r="O25" i="14"/>
  <c r="Z24" i="14"/>
  <c r="W24" i="14"/>
  <c r="V24" i="14"/>
  <c r="AB24" i="14" s="1"/>
  <c r="P24" i="14"/>
  <c r="O24" i="14"/>
  <c r="W23" i="14"/>
  <c r="V23" i="14"/>
  <c r="AC23" i="14" s="1"/>
  <c r="P23" i="14"/>
  <c r="O23" i="14"/>
  <c r="AA22" i="14"/>
  <c r="W22" i="14"/>
  <c r="V22" i="14"/>
  <c r="P22" i="14"/>
  <c r="O22" i="14"/>
  <c r="AC21" i="14"/>
  <c r="W21" i="14"/>
  <c r="V21" i="14"/>
  <c r="AB21" i="14" s="1"/>
  <c r="AD21" i="14" s="1"/>
  <c r="P21" i="14"/>
  <c r="O21" i="14"/>
  <c r="W20" i="14"/>
  <c r="V20" i="14"/>
  <c r="AB20" i="14" s="1"/>
  <c r="P20" i="14"/>
  <c r="O20" i="14"/>
  <c r="W19" i="14"/>
  <c r="V19" i="14"/>
  <c r="AB19" i="14" s="1"/>
  <c r="P19" i="14"/>
  <c r="O19" i="14"/>
  <c r="W18" i="14"/>
  <c r="V18" i="14"/>
  <c r="AC18" i="14" s="1"/>
  <c r="P18" i="14"/>
  <c r="O18" i="14"/>
  <c r="W17" i="14"/>
  <c r="P17" i="14"/>
  <c r="W13" i="14" s="1"/>
  <c r="AC13" i="14" s="1"/>
  <c r="O17" i="14"/>
  <c r="W16" i="14"/>
  <c r="V16" i="14"/>
  <c r="AB16" i="14" s="1"/>
  <c r="P16" i="14"/>
  <c r="O16" i="14"/>
  <c r="W15" i="14"/>
  <c r="V15" i="14"/>
  <c r="AB15" i="14" s="1"/>
  <c r="P15" i="14"/>
  <c r="W11" i="14" s="1"/>
  <c r="O15" i="14"/>
  <c r="AA14" i="14"/>
  <c r="Z14" i="14"/>
  <c r="P14" i="14"/>
  <c r="O14" i="14"/>
  <c r="V13" i="14"/>
  <c r="P13" i="14"/>
  <c r="O13" i="14"/>
  <c r="AA12" i="14"/>
  <c r="W12" i="14"/>
  <c r="V12" i="14"/>
  <c r="P12" i="14"/>
  <c r="O12" i="14"/>
  <c r="AA11" i="14"/>
  <c r="P11" i="14"/>
  <c r="O11" i="14"/>
  <c r="Z10" i="14"/>
  <c r="P10" i="14"/>
  <c r="O10" i="14"/>
  <c r="J10" i="14"/>
  <c r="AA10" i="14" s="1"/>
  <c r="S9" i="14"/>
  <c r="S10" i="14" s="1"/>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S35" i="14" s="1"/>
  <c r="S36" i="14" s="1"/>
  <c r="S37" i="14" s="1"/>
  <c r="S38" i="14" s="1"/>
  <c r="S39" i="14" s="1"/>
  <c r="S40" i="14" s="1"/>
  <c r="S41" i="14" s="1"/>
  <c r="S42" i="14" s="1"/>
  <c r="S43" i="14" s="1"/>
  <c r="S44" i="14" s="1"/>
  <c r="S45" i="14" s="1"/>
  <c r="S46" i="14" s="1"/>
  <c r="S47" i="14" s="1"/>
  <c r="S48" i="14" s="1"/>
  <c r="S49" i="14" s="1"/>
  <c r="S50" i="14" s="1"/>
  <c r="S51" i="14" s="1"/>
  <c r="S52" i="14" s="1"/>
  <c r="S53" i="14" s="1"/>
  <c r="S54" i="14" s="1"/>
  <c r="S55" i="14" s="1"/>
  <c r="S56" i="14" s="1"/>
  <c r="S57" i="14" s="1"/>
  <c r="S58" i="14" s="1"/>
  <c r="S59" i="14" s="1"/>
  <c r="S60" i="14" s="1"/>
  <c r="S61" i="14" s="1"/>
  <c r="S62" i="14" s="1"/>
  <c r="S63" i="14" s="1"/>
  <c r="S64" i="14" s="1"/>
  <c r="S65" i="14" s="1"/>
  <c r="S66" i="14" s="1"/>
  <c r="S67" i="14" s="1"/>
  <c r="S68" i="14" s="1"/>
  <c r="S69" i="14" s="1"/>
  <c r="S70" i="14" s="1"/>
  <c r="S71" i="14" s="1"/>
  <c r="S72" i="14" s="1"/>
  <c r="S73" i="14" s="1"/>
  <c r="S74" i="14" s="1"/>
  <c r="S75" i="14" s="1"/>
  <c r="S76" i="14" s="1"/>
  <c r="S77" i="14" s="1"/>
  <c r="S78" i="14" s="1"/>
  <c r="S79" i="14" s="1"/>
  <c r="S80" i="14" s="1"/>
  <c r="S81" i="14" s="1"/>
  <c r="S82" i="14" s="1"/>
  <c r="S83" i="14" s="1"/>
  <c r="S84" i="14" s="1"/>
  <c r="S85" i="14" s="1"/>
  <c r="S86" i="14" s="1"/>
  <c r="S87" i="14" s="1"/>
  <c r="S88" i="14" s="1"/>
  <c r="S89" i="14" s="1"/>
  <c r="S90" i="14" s="1"/>
  <c r="S91" i="14" s="1"/>
  <c r="S92" i="14" s="1"/>
  <c r="S93" i="14" s="1"/>
  <c r="S94" i="14" s="1"/>
  <c r="S95" i="14" s="1"/>
  <c r="S96" i="14" s="1"/>
  <c r="S97" i="14" s="1"/>
  <c r="S98" i="14" s="1"/>
  <c r="S99" i="14" s="1"/>
  <c r="S100" i="14" s="1"/>
  <c r="S101" i="14" s="1"/>
  <c r="S102" i="14" s="1"/>
  <c r="S103" i="14" s="1"/>
  <c r="S104" i="14" s="1"/>
  <c r="S105" i="14" s="1"/>
  <c r="S106" i="14" s="1"/>
  <c r="S107" i="14" s="1"/>
  <c r="S108" i="14" s="1"/>
  <c r="S109" i="14" s="1"/>
  <c r="S110" i="14" s="1"/>
  <c r="S111" i="14" s="1"/>
  <c r="S112" i="14" s="1"/>
  <c r="S113" i="14" s="1"/>
  <c r="S114" i="14" s="1"/>
  <c r="S115" i="14" s="1"/>
  <c r="S116" i="14" s="1"/>
  <c r="S117" i="14" s="1"/>
  <c r="S118" i="14" s="1"/>
  <c r="S119" i="14" s="1"/>
  <c r="S120" i="14" s="1"/>
  <c r="S121" i="14" s="1"/>
  <c r="S122" i="14" s="1"/>
  <c r="S123" i="14" s="1"/>
  <c r="S124" i="14" s="1"/>
  <c r="S125" i="14" s="1"/>
  <c r="S126" i="14" s="1"/>
  <c r="S127" i="14" s="1"/>
  <c r="S128" i="14" s="1"/>
  <c r="S129" i="14" s="1"/>
  <c r="S130" i="14" s="1"/>
  <c r="S131" i="14" s="1"/>
  <c r="S132" i="14" s="1"/>
  <c r="S133" i="14" s="1"/>
  <c r="S134" i="14" s="1"/>
  <c r="S135" i="14" s="1"/>
  <c r="S136" i="14" s="1"/>
  <c r="S137" i="14" s="1"/>
  <c r="S138" i="14" s="1"/>
  <c r="S139" i="14" s="1"/>
  <c r="S140" i="14" s="1"/>
  <c r="S141" i="14" s="1"/>
  <c r="S142" i="14" s="1"/>
  <c r="S143" i="14" s="1"/>
  <c r="S144" i="14" s="1"/>
  <c r="S145" i="14" s="1"/>
  <c r="S146" i="14" s="1"/>
  <c r="S147" i="14" s="1"/>
  <c r="S148" i="14" s="1"/>
  <c r="S149" i="14" s="1"/>
  <c r="S150" i="14" s="1"/>
  <c r="S151" i="14" s="1"/>
  <c r="S152" i="14" s="1"/>
  <c r="S153" i="14" s="1"/>
  <c r="S154" i="14" s="1"/>
  <c r="S155" i="14" s="1"/>
  <c r="S156" i="14" s="1"/>
  <c r="S157" i="14" s="1"/>
  <c r="S158" i="14" s="1"/>
  <c r="S159" i="14" s="1"/>
  <c r="S160" i="14" s="1"/>
  <c r="S161" i="14" s="1"/>
  <c r="S162" i="14" s="1"/>
  <c r="S163" i="14" s="1"/>
  <c r="S164" i="14" s="1"/>
  <c r="S165" i="14" s="1"/>
  <c r="S166" i="14" s="1"/>
  <c r="S167" i="14" s="1"/>
  <c r="S168" i="14" s="1"/>
  <c r="S169" i="14" s="1"/>
  <c r="S170" i="14" s="1"/>
  <c r="S171" i="14" s="1"/>
  <c r="S172" i="14" s="1"/>
  <c r="S173" i="14" s="1"/>
  <c r="S174" i="14" s="1"/>
  <c r="S175" i="14" s="1"/>
  <c r="S176" i="14" s="1"/>
  <c r="S177" i="14" s="1"/>
  <c r="S178" i="14" s="1"/>
  <c r="S179" i="14" s="1"/>
  <c r="S180" i="14" s="1"/>
  <c r="S181" i="14" s="1"/>
  <c r="S182" i="14" s="1"/>
  <c r="S183" i="14" s="1"/>
  <c r="S184" i="14" s="1"/>
  <c r="S185" i="14" s="1"/>
  <c r="S186" i="14" s="1"/>
  <c r="S187" i="14" s="1"/>
  <c r="S188" i="14" s="1"/>
  <c r="S189" i="14" s="1"/>
  <c r="S190" i="14" s="1"/>
  <c r="S191" i="14" s="1"/>
  <c r="S192" i="14" s="1"/>
  <c r="S193" i="14" s="1"/>
  <c r="S194" i="14" s="1"/>
  <c r="S195" i="14" s="1"/>
  <c r="S196" i="14" s="1"/>
  <c r="S197" i="14" s="1"/>
  <c r="S198" i="14" s="1"/>
  <c r="S199" i="14" s="1"/>
  <c r="S200" i="14" s="1"/>
  <c r="P9" i="14"/>
  <c r="W9" i="14" s="1"/>
  <c r="O9" i="14"/>
  <c r="V9" i="14" s="1"/>
  <c r="AB9" i="14" s="1"/>
  <c r="AA8" i="14"/>
  <c r="P8" i="14"/>
  <c r="O8" i="14"/>
  <c r="AN7" i="14"/>
  <c r="Z12" i="14" s="1"/>
  <c r="AA61" i="14" s="1"/>
  <c r="E201" i="13"/>
  <c r="D201" i="13"/>
  <c r="W200" i="13"/>
  <c r="AC200" i="13" s="1"/>
  <c r="V200" i="13"/>
  <c r="P200" i="13"/>
  <c r="O200" i="13"/>
  <c r="W199" i="13"/>
  <c r="AC199" i="13" s="1"/>
  <c r="V199" i="13"/>
  <c r="P199" i="13"/>
  <c r="O199" i="13"/>
  <c r="W198" i="13"/>
  <c r="AC198" i="13" s="1"/>
  <c r="V198" i="13"/>
  <c r="P198" i="13"/>
  <c r="O198" i="13"/>
  <c r="AC197" i="13"/>
  <c r="W197" i="13"/>
  <c r="V197" i="13"/>
  <c r="P197" i="13"/>
  <c r="O197" i="13"/>
  <c r="W196" i="13"/>
  <c r="AC196" i="13" s="1"/>
  <c r="V196" i="13"/>
  <c r="AB196" i="13" s="1"/>
  <c r="AD196" i="13" s="1"/>
  <c r="P196" i="13"/>
  <c r="O196" i="13"/>
  <c r="W195" i="13"/>
  <c r="V195" i="13"/>
  <c r="P195" i="13"/>
  <c r="O195" i="13"/>
  <c r="W194" i="13"/>
  <c r="V194" i="13"/>
  <c r="AB194" i="13" s="1"/>
  <c r="P194" i="13"/>
  <c r="O194" i="13"/>
  <c r="W193" i="13"/>
  <c r="AC193" i="13" s="1"/>
  <c r="V193" i="13"/>
  <c r="P193" i="13"/>
  <c r="O193" i="13"/>
  <c r="W192" i="13"/>
  <c r="V192" i="13"/>
  <c r="AB192" i="13" s="1"/>
  <c r="P192" i="13"/>
  <c r="O192" i="13"/>
  <c r="W191" i="13"/>
  <c r="V191" i="13"/>
  <c r="AB191" i="13" s="1"/>
  <c r="P191" i="13"/>
  <c r="O191" i="13"/>
  <c r="W190" i="13"/>
  <c r="V190" i="13"/>
  <c r="P190" i="13"/>
  <c r="O190" i="13"/>
  <c r="AC189" i="13"/>
  <c r="AH189" i="13" s="1"/>
  <c r="AB189" i="13"/>
  <c r="AG189" i="13" s="1"/>
  <c r="W189" i="13"/>
  <c r="V189" i="13"/>
  <c r="P189" i="13"/>
  <c r="O189" i="13"/>
  <c r="W188" i="13"/>
  <c r="V188" i="13"/>
  <c r="AB188" i="13" s="1"/>
  <c r="P188" i="13"/>
  <c r="O188" i="13"/>
  <c r="W187" i="13"/>
  <c r="V187" i="13"/>
  <c r="AB187" i="13" s="1"/>
  <c r="P187" i="13"/>
  <c r="O187" i="13"/>
  <c r="W186" i="13"/>
  <c r="V186" i="13"/>
  <c r="P186" i="13"/>
  <c r="O186" i="13"/>
  <c r="AC185" i="13"/>
  <c r="W185" i="13"/>
  <c r="V185" i="13"/>
  <c r="AB185" i="13" s="1"/>
  <c r="AG185" i="13" s="1"/>
  <c r="P185" i="13"/>
  <c r="O185" i="13"/>
  <c r="W184" i="13"/>
  <c r="AC184" i="13" s="1"/>
  <c r="V184" i="13"/>
  <c r="P184" i="13"/>
  <c r="O184" i="13"/>
  <c r="W183" i="13"/>
  <c r="V183" i="13"/>
  <c r="P183" i="13"/>
  <c r="O183" i="13"/>
  <c r="W182" i="13"/>
  <c r="V182" i="13"/>
  <c r="P182" i="13"/>
  <c r="O182" i="13"/>
  <c r="AC181" i="13"/>
  <c r="W181" i="13"/>
  <c r="V181" i="13"/>
  <c r="AB181" i="13" s="1"/>
  <c r="AD181" i="13" s="1"/>
  <c r="P181" i="13"/>
  <c r="O181" i="13"/>
  <c r="W180" i="13"/>
  <c r="V180" i="13"/>
  <c r="AB180" i="13" s="1"/>
  <c r="P180" i="13"/>
  <c r="O180" i="13"/>
  <c r="W179" i="13"/>
  <c r="V179" i="13"/>
  <c r="AB179" i="13" s="1"/>
  <c r="P179" i="13"/>
  <c r="O179" i="13"/>
  <c r="W178" i="13"/>
  <c r="V178" i="13"/>
  <c r="AB178" i="13" s="1"/>
  <c r="P178" i="13"/>
  <c r="O178" i="13"/>
  <c r="AC177" i="13"/>
  <c r="W177" i="13"/>
  <c r="V177" i="13"/>
  <c r="AB177" i="13" s="1"/>
  <c r="P177" i="13"/>
  <c r="O177" i="13"/>
  <c r="W176" i="13"/>
  <c r="AC176" i="13" s="1"/>
  <c r="V176" i="13"/>
  <c r="P176" i="13"/>
  <c r="O176" i="13"/>
  <c r="W175" i="13"/>
  <c r="V175" i="13"/>
  <c r="P175" i="13"/>
  <c r="O175" i="13"/>
  <c r="W174" i="13"/>
  <c r="V174" i="13"/>
  <c r="P174" i="13"/>
  <c r="O174" i="13"/>
  <c r="W173" i="13"/>
  <c r="AC173" i="13" s="1"/>
  <c r="V173" i="13"/>
  <c r="P173" i="13"/>
  <c r="O173" i="13"/>
  <c r="AB172" i="13"/>
  <c r="W172" i="13"/>
  <c r="V172" i="13"/>
  <c r="P172" i="13"/>
  <c r="O172" i="13"/>
  <c r="W171" i="13"/>
  <c r="V171" i="13"/>
  <c r="P171" i="13"/>
  <c r="O171" i="13"/>
  <c r="W170" i="13"/>
  <c r="V170" i="13"/>
  <c r="P170" i="13"/>
  <c r="O170" i="13"/>
  <c r="W169" i="13"/>
  <c r="AC169" i="13" s="1"/>
  <c r="V169" i="13"/>
  <c r="AB169" i="13" s="1"/>
  <c r="P169" i="13"/>
  <c r="O169" i="13"/>
  <c r="AC168" i="13"/>
  <c r="W168" i="13"/>
  <c r="AB168" i="13" s="1"/>
  <c r="V168" i="13"/>
  <c r="P168" i="13"/>
  <c r="O168" i="13"/>
  <c r="W167" i="13"/>
  <c r="V167" i="13"/>
  <c r="P167" i="13"/>
  <c r="O167" i="13"/>
  <c r="W166" i="13"/>
  <c r="V166" i="13"/>
  <c r="P166" i="13"/>
  <c r="O166" i="13"/>
  <c r="W165" i="13"/>
  <c r="V165" i="13"/>
  <c r="P165" i="13"/>
  <c r="O165" i="13"/>
  <c r="W164" i="13"/>
  <c r="AC164" i="13" s="1"/>
  <c r="V164" i="13"/>
  <c r="P164" i="13"/>
  <c r="O164" i="13"/>
  <c r="W163" i="13"/>
  <c r="V163" i="13"/>
  <c r="P163" i="13"/>
  <c r="O163" i="13"/>
  <c r="W162" i="13"/>
  <c r="AC162" i="13" s="1"/>
  <c r="V162" i="13"/>
  <c r="P162" i="13"/>
  <c r="O162" i="13"/>
  <c r="AC161" i="13"/>
  <c r="W161" i="13"/>
  <c r="V161" i="13"/>
  <c r="P161" i="13"/>
  <c r="O161" i="13"/>
  <c r="W160" i="13"/>
  <c r="V160" i="13"/>
  <c r="P160" i="13"/>
  <c r="O160" i="13"/>
  <c r="AB159" i="13"/>
  <c r="W159" i="13"/>
  <c r="V159" i="13"/>
  <c r="P159" i="13"/>
  <c r="O159" i="13"/>
  <c r="W158" i="13"/>
  <c r="V158" i="13"/>
  <c r="P158" i="13"/>
  <c r="O158" i="13"/>
  <c r="W157" i="13"/>
  <c r="V157" i="13"/>
  <c r="P157" i="13"/>
  <c r="O157" i="13"/>
  <c r="AC156" i="13"/>
  <c r="AH156" i="13" s="1"/>
  <c r="AB156" i="13"/>
  <c r="W156" i="13"/>
  <c r="V156" i="13"/>
  <c r="P156" i="13"/>
  <c r="O156" i="13"/>
  <c r="W155" i="13"/>
  <c r="AC155" i="13" s="1"/>
  <c r="V155" i="13"/>
  <c r="P155" i="13"/>
  <c r="O155" i="13"/>
  <c r="W154" i="13"/>
  <c r="AC154" i="13" s="1"/>
  <c r="V154" i="13"/>
  <c r="P154" i="13"/>
  <c r="O154" i="13"/>
  <c r="W153" i="13"/>
  <c r="V153" i="13"/>
  <c r="AB153" i="13" s="1"/>
  <c r="P153" i="13"/>
  <c r="O153" i="13"/>
  <c r="W152" i="13"/>
  <c r="AC152" i="13" s="1"/>
  <c r="V152" i="13"/>
  <c r="P152" i="13"/>
  <c r="O152" i="13"/>
  <c r="AB151" i="13"/>
  <c r="W151" i="13"/>
  <c r="V151" i="13"/>
  <c r="P151" i="13"/>
  <c r="O151" i="13"/>
  <c r="W150" i="13"/>
  <c r="AC150" i="13" s="1"/>
  <c r="V150" i="13"/>
  <c r="P150" i="13"/>
  <c r="O150" i="13"/>
  <c r="W149" i="13"/>
  <c r="AC149" i="13" s="1"/>
  <c r="V149" i="13"/>
  <c r="P149" i="13"/>
  <c r="O149" i="13"/>
  <c r="W148" i="13"/>
  <c r="AC148" i="13" s="1"/>
  <c r="V148" i="13"/>
  <c r="P148" i="13"/>
  <c r="O148" i="13"/>
  <c r="W147" i="13"/>
  <c r="V147" i="13"/>
  <c r="AC147" i="13" s="1"/>
  <c r="P147" i="13"/>
  <c r="O147" i="13"/>
  <c r="W146" i="13"/>
  <c r="V146" i="13"/>
  <c r="AB146" i="13" s="1"/>
  <c r="P146" i="13"/>
  <c r="O146" i="13"/>
  <c r="W145" i="13"/>
  <c r="V145" i="13"/>
  <c r="AB145" i="13" s="1"/>
  <c r="P145" i="13"/>
  <c r="O145" i="13"/>
  <c r="W144" i="13"/>
  <c r="AC144" i="13" s="1"/>
  <c r="V144" i="13"/>
  <c r="P144" i="13"/>
  <c r="O144" i="13"/>
  <c r="AB143" i="13"/>
  <c r="AG143" i="13" s="1"/>
  <c r="W143" i="13"/>
  <c r="V143" i="13"/>
  <c r="AC143" i="13" s="1"/>
  <c r="P143" i="13"/>
  <c r="O143" i="13"/>
  <c r="W142" i="13"/>
  <c r="V142" i="13"/>
  <c r="P142" i="13"/>
  <c r="O142" i="13"/>
  <c r="W141" i="13"/>
  <c r="V141" i="13"/>
  <c r="AB141" i="13" s="1"/>
  <c r="P141" i="13"/>
  <c r="O141" i="13"/>
  <c r="W140" i="13"/>
  <c r="V140" i="13"/>
  <c r="AB140" i="13" s="1"/>
  <c r="P140" i="13"/>
  <c r="O140" i="13"/>
  <c r="W139" i="13"/>
  <c r="V139" i="13"/>
  <c r="AC139" i="13" s="1"/>
  <c r="P139" i="13"/>
  <c r="O139" i="13"/>
  <c r="W138" i="13"/>
  <c r="V138" i="13"/>
  <c r="AB138" i="13" s="1"/>
  <c r="P138" i="13"/>
  <c r="O138" i="13"/>
  <c r="W137" i="13"/>
  <c r="V137" i="13"/>
  <c r="AB137" i="13" s="1"/>
  <c r="P137" i="13"/>
  <c r="O137" i="13"/>
  <c r="W136" i="13"/>
  <c r="AC136" i="13" s="1"/>
  <c r="V136" i="13"/>
  <c r="P136" i="13"/>
  <c r="O136" i="13"/>
  <c r="AB135" i="13"/>
  <c r="AG135" i="13" s="1"/>
  <c r="W135" i="13"/>
  <c r="AC135" i="13" s="1"/>
  <c r="V135" i="13"/>
  <c r="P135" i="13"/>
  <c r="O135" i="13"/>
  <c r="W134" i="13"/>
  <c r="AC134" i="13" s="1"/>
  <c r="V134" i="13"/>
  <c r="P134" i="13"/>
  <c r="O134" i="13"/>
  <c r="W133" i="13"/>
  <c r="AC133" i="13" s="1"/>
  <c r="V133" i="13"/>
  <c r="P133" i="13"/>
  <c r="O133" i="13"/>
  <c r="W132" i="13"/>
  <c r="AC132" i="13" s="1"/>
  <c r="V132" i="13"/>
  <c r="P132" i="13"/>
  <c r="O132" i="13"/>
  <c r="W131" i="13"/>
  <c r="AC131" i="13" s="1"/>
  <c r="V131" i="13"/>
  <c r="P131" i="13"/>
  <c r="O131" i="13"/>
  <c r="W130" i="13"/>
  <c r="V130" i="13"/>
  <c r="P130" i="13"/>
  <c r="O130" i="13"/>
  <c r="W129" i="13"/>
  <c r="V129" i="13"/>
  <c r="AB129" i="13" s="1"/>
  <c r="P129" i="13"/>
  <c r="O129" i="13"/>
  <c r="AB128" i="13"/>
  <c r="W128" i="13"/>
  <c r="AC128" i="13" s="1"/>
  <c r="V128" i="13"/>
  <c r="P128" i="13"/>
  <c r="O128" i="13"/>
  <c r="W127" i="13"/>
  <c r="V127" i="13"/>
  <c r="P127" i="13"/>
  <c r="O127" i="13"/>
  <c r="W126" i="13"/>
  <c r="V126" i="13"/>
  <c r="AB126" i="13" s="1"/>
  <c r="P126" i="13"/>
  <c r="O126" i="13"/>
  <c r="W125" i="13"/>
  <c r="AC125" i="13" s="1"/>
  <c r="V125" i="13"/>
  <c r="P125" i="13"/>
  <c r="O125" i="13"/>
  <c r="W124" i="13"/>
  <c r="AC124" i="13" s="1"/>
  <c r="V124" i="13"/>
  <c r="AB124" i="13" s="1"/>
  <c r="AD124" i="13" s="1"/>
  <c r="P124" i="13"/>
  <c r="O124" i="13"/>
  <c r="W123" i="13"/>
  <c r="V123" i="13"/>
  <c r="P123" i="13"/>
  <c r="O123" i="13"/>
  <c r="W122" i="13"/>
  <c r="V122" i="13"/>
  <c r="P122" i="13"/>
  <c r="O122" i="13"/>
  <c r="AC121" i="13"/>
  <c r="AE121" i="13" s="1"/>
  <c r="W121" i="13"/>
  <c r="V121" i="13"/>
  <c r="AB121" i="13" s="1"/>
  <c r="P121" i="13"/>
  <c r="O121" i="13"/>
  <c r="W120" i="13"/>
  <c r="V120" i="13"/>
  <c r="AC120" i="13" s="1"/>
  <c r="P120" i="13"/>
  <c r="O120" i="13"/>
  <c r="W119" i="13"/>
  <c r="V119" i="13"/>
  <c r="P119" i="13"/>
  <c r="O119" i="13"/>
  <c r="W118" i="13"/>
  <c r="V118" i="13"/>
  <c r="AB118" i="13" s="1"/>
  <c r="P118" i="13"/>
  <c r="O118" i="13"/>
  <c r="W117" i="13"/>
  <c r="AC117" i="13" s="1"/>
  <c r="V117" i="13"/>
  <c r="P117" i="13"/>
  <c r="O117" i="13"/>
  <c r="AC116" i="13"/>
  <c r="W116" i="13"/>
  <c r="AB116" i="13" s="1"/>
  <c r="AD116" i="13" s="1"/>
  <c r="V116" i="13"/>
  <c r="P116" i="13"/>
  <c r="O116" i="13"/>
  <c r="W115" i="13"/>
  <c r="V115" i="13"/>
  <c r="P115" i="13"/>
  <c r="O115" i="13"/>
  <c r="W114" i="13"/>
  <c r="V114" i="13"/>
  <c r="P114" i="13"/>
  <c r="O114" i="13"/>
  <c r="W113" i="13"/>
  <c r="V113" i="13"/>
  <c r="AB113" i="13" s="1"/>
  <c r="P113" i="13"/>
  <c r="O113" i="13"/>
  <c r="W112" i="13"/>
  <c r="AC112" i="13" s="1"/>
  <c r="V112" i="13"/>
  <c r="P112" i="13"/>
  <c r="O112" i="13"/>
  <c r="W111" i="13"/>
  <c r="V111" i="13"/>
  <c r="P111" i="13"/>
  <c r="O111" i="13"/>
  <c r="W110" i="13"/>
  <c r="AC110" i="13" s="1"/>
  <c r="V110" i="13"/>
  <c r="P110" i="13"/>
  <c r="O110" i="13"/>
  <c r="AC109" i="13"/>
  <c r="W109" i="13"/>
  <c r="V109" i="13"/>
  <c r="P109" i="13"/>
  <c r="O109" i="13"/>
  <c r="W108" i="13"/>
  <c r="AC108" i="13" s="1"/>
  <c r="V108" i="13"/>
  <c r="AB108" i="13" s="1"/>
  <c r="AD108" i="13" s="1"/>
  <c r="P108" i="13"/>
  <c r="O108" i="13"/>
  <c r="W107" i="13"/>
  <c r="V107" i="13"/>
  <c r="P107" i="13"/>
  <c r="O107" i="13"/>
  <c r="W106" i="13"/>
  <c r="AC106" i="13" s="1"/>
  <c r="V106" i="13"/>
  <c r="P106" i="13"/>
  <c r="O106" i="13"/>
  <c r="AC105" i="13"/>
  <c r="W105" i="13"/>
  <c r="V105" i="13"/>
  <c r="P105" i="13"/>
  <c r="O105" i="13"/>
  <c r="W104" i="13"/>
  <c r="AC104" i="13" s="1"/>
  <c r="V104" i="13"/>
  <c r="AB104" i="13" s="1"/>
  <c r="AD104" i="13" s="1"/>
  <c r="P104" i="13"/>
  <c r="O104" i="13"/>
  <c r="W103" i="13"/>
  <c r="V103" i="13"/>
  <c r="P103" i="13"/>
  <c r="O103" i="13"/>
  <c r="W102" i="13"/>
  <c r="AC102" i="13" s="1"/>
  <c r="V102" i="13"/>
  <c r="AB102" i="13" s="1"/>
  <c r="P102" i="13"/>
  <c r="O102" i="13"/>
  <c r="W101" i="13"/>
  <c r="V101" i="13"/>
  <c r="AB101" i="13" s="1"/>
  <c r="P101" i="13"/>
  <c r="O101" i="13"/>
  <c r="W100" i="13"/>
  <c r="V100" i="13"/>
  <c r="AC100" i="13" s="1"/>
  <c r="P100" i="13"/>
  <c r="O100" i="13"/>
  <c r="W99" i="13"/>
  <c r="V99" i="13"/>
  <c r="P99" i="13"/>
  <c r="O99" i="13"/>
  <c r="W98" i="13"/>
  <c r="V98" i="13"/>
  <c r="P98" i="13"/>
  <c r="O98" i="13"/>
  <c r="W97" i="13"/>
  <c r="V97" i="13"/>
  <c r="AB97" i="13" s="1"/>
  <c r="P97" i="13"/>
  <c r="O97" i="13"/>
  <c r="W96" i="13"/>
  <c r="V96" i="13"/>
  <c r="AC96" i="13" s="1"/>
  <c r="P96" i="13"/>
  <c r="O96" i="13"/>
  <c r="W95" i="13"/>
  <c r="AC95" i="13" s="1"/>
  <c r="V95" i="13"/>
  <c r="P95" i="13"/>
  <c r="O95" i="13"/>
  <c r="W94" i="13"/>
  <c r="AC94" i="13" s="1"/>
  <c r="V94" i="13"/>
  <c r="P94" i="13"/>
  <c r="O94" i="13"/>
  <c r="W93" i="13"/>
  <c r="AC93" i="13" s="1"/>
  <c r="V93" i="13"/>
  <c r="P93" i="13"/>
  <c r="O93" i="13"/>
  <c r="W92" i="13"/>
  <c r="V92" i="13"/>
  <c r="P92" i="13"/>
  <c r="O92" i="13"/>
  <c r="AC91" i="13"/>
  <c r="W91" i="13"/>
  <c r="V91" i="13"/>
  <c r="P91" i="13"/>
  <c r="O91" i="13"/>
  <c r="W90" i="13"/>
  <c r="AC90" i="13" s="1"/>
  <c r="V90" i="13"/>
  <c r="P90" i="13"/>
  <c r="O90" i="13"/>
  <c r="W89" i="13"/>
  <c r="AC89" i="13" s="1"/>
  <c r="V89" i="13"/>
  <c r="P89" i="13"/>
  <c r="O89" i="13"/>
  <c r="W88" i="13"/>
  <c r="V88" i="13"/>
  <c r="P88" i="13"/>
  <c r="O88" i="13"/>
  <c r="W87" i="13"/>
  <c r="V87" i="13"/>
  <c r="AB87" i="13" s="1"/>
  <c r="P87" i="13"/>
  <c r="O87" i="13"/>
  <c r="W86" i="13"/>
  <c r="V86" i="13"/>
  <c r="P86" i="13"/>
  <c r="O86" i="13"/>
  <c r="W85" i="13"/>
  <c r="V85" i="13"/>
  <c r="AB85" i="13" s="1"/>
  <c r="P85" i="13"/>
  <c r="O85" i="13"/>
  <c r="W84" i="13"/>
  <c r="V84" i="13"/>
  <c r="AC84" i="13" s="1"/>
  <c r="P84" i="13"/>
  <c r="O84" i="13"/>
  <c r="W83" i="13"/>
  <c r="AC83" i="13" s="1"/>
  <c r="AH83" i="13" s="1"/>
  <c r="V83" i="13"/>
  <c r="AB83" i="13" s="1"/>
  <c r="P83" i="13"/>
  <c r="O83" i="13"/>
  <c r="W82" i="13"/>
  <c r="V82" i="13"/>
  <c r="P82" i="13"/>
  <c r="O82" i="13"/>
  <c r="W81" i="13"/>
  <c r="V81" i="13"/>
  <c r="AB81" i="13" s="1"/>
  <c r="P81" i="13"/>
  <c r="O81" i="13"/>
  <c r="W80" i="13"/>
  <c r="V80" i="13"/>
  <c r="AC80" i="13" s="1"/>
  <c r="P80" i="13"/>
  <c r="O80" i="13"/>
  <c r="AC79" i="13"/>
  <c r="AB79" i="13"/>
  <c r="AD79" i="13" s="1"/>
  <c r="W79" i="13"/>
  <c r="V79" i="13"/>
  <c r="P79" i="13"/>
  <c r="O79" i="13"/>
  <c r="V48" i="13" s="1"/>
  <c r="AB48" i="13" s="1"/>
  <c r="W78" i="13"/>
  <c r="AC78" i="13" s="1"/>
  <c r="V78" i="13"/>
  <c r="P78" i="13"/>
  <c r="O78" i="13"/>
  <c r="W77" i="13"/>
  <c r="AC77" i="13" s="1"/>
  <c r="V77" i="13"/>
  <c r="P77" i="13"/>
  <c r="O77" i="13"/>
  <c r="W76" i="13"/>
  <c r="V76" i="13"/>
  <c r="P76" i="13"/>
  <c r="W39" i="13" s="1"/>
  <c r="AC39" i="13" s="1"/>
  <c r="O76" i="13"/>
  <c r="W75" i="13"/>
  <c r="AC75" i="13" s="1"/>
  <c r="V75" i="13"/>
  <c r="AB75" i="13" s="1"/>
  <c r="AD75" i="13" s="1"/>
  <c r="P75" i="13"/>
  <c r="O75" i="13"/>
  <c r="W74" i="13"/>
  <c r="V74" i="13"/>
  <c r="P74" i="13"/>
  <c r="W30" i="13" s="1"/>
  <c r="AC30" i="13" s="1"/>
  <c r="O74" i="13"/>
  <c r="W73" i="13"/>
  <c r="V73" i="13"/>
  <c r="AB73" i="13" s="1"/>
  <c r="P73" i="13"/>
  <c r="O73" i="13"/>
  <c r="W72" i="13"/>
  <c r="V72" i="13"/>
  <c r="AC72" i="13" s="1"/>
  <c r="P72" i="13"/>
  <c r="O72" i="13"/>
  <c r="AC71" i="13"/>
  <c r="AB71" i="13"/>
  <c r="AD71" i="13" s="1"/>
  <c r="W71" i="13"/>
  <c r="V71" i="13"/>
  <c r="P71" i="13"/>
  <c r="O71" i="13"/>
  <c r="W70" i="13"/>
  <c r="AC70" i="13" s="1"/>
  <c r="V70" i="13"/>
  <c r="P70" i="13"/>
  <c r="O70" i="13"/>
  <c r="W69" i="13"/>
  <c r="AC69" i="13" s="1"/>
  <c r="V69" i="13"/>
  <c r="P69" i="13"/>
  <c r="O69" i="13"/>
  <c r="W68" i="13"/>
  <c r="V68" i="13"/>
  <c r="P68" i="13"/>
  <c r="O68" i="13"/>
  <c r="W67" i="13"/>
  <c r="AC67" i="13" s="1"/>
  <c r="AH67" i="13" s="1"/>
  <c r="V67" i="13"/>
  <c r="AB67" i="13" s="1"/>
  <c r="P67" i="13"/>
  <c r="O67" i="13"/>
  <c r="W66" i="13"/>
  <c r="V66" i="13"/>
  <c r="P66" i="13"/>
  <c r="O66" i="13"/>
  <c r="W65" i="13"/>
  <c r="V65" i="13"/>
  <c r="AB65" i="13" s="1"/>
  <c r="P65" i="13"/>
  <c r="O65" i="13"/>
  <c r="W64" i="13"/>
  <c r="V64" i="13"/>
  <c r="AB64" i="13" s="1"/>
  <c r="P64" i="13"/>
  <c r="W45" i="13" s="1"/>
  <c r="O64" i="13"/>
  <c r="Z63" i="13"/>
  <c r="AB63" i="13" s="1"/>
  <c r="W63" i="13"/>
  <c r="V63" i="13"/>
  <c r="P63" i="13"/>
  <c r="O63" i="13"/>
  <c r="W62" i="13"/>
  <c r="AC62" i="13" s="1"/>
  <c r="AE62" i="13" s="1"/>
  <c r="V62" i="13"/>
  <c r="AB62" i="13" s="1"/>
  <c r="P62" i="13"/>
  <c r="O62" i="13"/>
  <c r="W61" i="13"/>
  <c r="V61" i="13"/>
  <c r="P61" i="13"/>
  <c r="O61" i="13"/>
  <c r="Z60" i="13"/>
  <c r="AB60" i="13" s="1"/>
  <c r="W60" i="13"/>
  <c r="V60" i="13"/>
  <c r="P60" i="13"/>
  <c r="W56" i="13" s="1"/>
  <c r="O60" i="13"/>
  <c r="V56" i="13" s="1"/>
  <c r="W59" i="13"/>
  <c r="AC59" i="13" s="1"/>
  <c r="V59" i="13"/>
  <c r="P59" i="13"/>
  <c r="O59" i="13"/>
  <c r="W58" i="13"/>
  <c r="V58" i="13"/>
  <c r="P58" i="13"/>
  <c r="W54" i="13" s="1"/>
  <c r="AC54" i="13" s="1"/>
  <c r="O58" i="13"/>
  <c r="P57" i="13"/>
  <c r="O57" i="13"/>
  <c r="P56" i="13"/>
  <c r="O56" i="13"/>
  <c r="P55" i="13"/>
  <c r="W42" i="13" s="1"/>
  <c r="O55" i="13"/>
  <c r="V54" i="13"/>
  <c r="P54" i="13"/>
  <c r="O54" i="13"/>
  <c r="P53" i="13"/>
  <c r="W33" i="13" s="1"/>
  <c r="O53" i="13"/>
  <c r="V33" i="13" s="1"/>
  <c r="AC33" i="13" s="1"/>
  <c r="Z52" i="13"/>
  <c r="W52" i="13"/>
  <c r="V52" i="13"/>
  <c r="AB52" i="13" s="1"/>
  <c r="P52" i="13"/>
  <c r="W40" i="13" s="1"/>
  <c r="AC40" i="13" s="1"/>
  <c r="O52" i="13"/>
  <c r="AA51" i="13"/>
  <c r="W51" i="13"/>
  <c r="AC51" i="13" s="1"/>
  <c r="V51" i="13"/>
  <c r="P51" i="13"/>
  <c r="W41" i="13" s="1"/>
  <c r="O51" i="13"/>
  <c r="V41" i="13" s="1"/>
  <c r="W50" i="13"/>
  <c r="V50" i="13"/>
  <c r="P50" i="13"/>
  <c r="O50" i="13"/>
  <c r="W49" i="13"/>
  <c r="AB49" i="13" s="1"/>
  <c r="V49" i="13"/>
  <c r="P49" i="13"/>
  <c r="W57" i="13" s="1"/>
  <c r="O49" i="13"/>
  <c r="V57" i="13" s="1"/>
  <c r="W48" i="13"/>
  <c r="P48" i="13"/>
  <c r="W55" i="13" s="1"/>
  <c r="AC55" i="13" s="1"/>
  <c r="O48" i="13"/>
  <c r="V55" i="13" s="1"/>
  <c r="W47" i="13"/>
  <c r="AC47" i="13" s="1"/>
  <c r="V47" i="13"/>
  <c r="P47" i="13"/>
  <c r="W53" i="13" s="1"/>
  <c r="O47" i="13"/>
  <c r="V53" i="13" s="1"/>
  <c r="W46" i="13"/>
  <c r="V46" i="13"/>
  <c r="P46" i="13"/>
  <c r="O46" i="13"/>
  <c r="V28" i="13" s="1"/>
  <c r="AB28" i="13" s="1"/>
  <c r="V45" i="13"/>
  <c r="P45" i="13"/>
  <c r="W26" i="13" s="1"/>
  <c r="AC26" i="13" s="1"/>
  <c r="O45" i="13"/>
  <c r="W44" i="13"/>
  <c r="V44" i="13"/>
  <c r="AB44" i="13" s="1"/>
  <c r="P44" i="13"/>
  <c r="O44" i="13"/>
  <c r="W43" i="13"/>
  <c r="V43" i="13"/>
  <c r="AB43" i="13" s="1"/>
  <c r="P43" i="13"/>
  <c r="O43" i="13"/>
  <c r="V17" i="13" s="1"/>
  <c r="V42" i="13"/>
  <c r="AB42" i="13" s="1"/>
  <c r="P42" i="13"/>
  <c r="O42" i="13"/>
  <c r="P41" i="13"/>
  <c r="O41" i="13"/>
  <c r="V40" i="13"/>
  <c r="P40" i="13"/>
  <c r="O40" i="13"/>
  <c r="V39" i="13"/>
  <c r="P39" i="13"/>
  <c r="O39" i="13"/>
  <c r="W38" i="13"/>
  <c r="V38" i="13"/>
  <c r="AC38" i="13" s="1"/>
  <c r="P38" i="13"/>
  <c r="O38" i="13"/>
  <c r="W37" i="13"/>
  <c r="AC37" i="13" s="1"/>
  <c r="AH37" i="13" s="1"/>
  <c r="V37" i="13"/>
  <c r="AB37" i="13" s="1"/>
  <c r="P37" i="13"/>
  <c r="O37" i="13"/>
  <c r="W36" i="13"/>
  <c r="AC36" i="13" s="1"/>
  <c r="V36" i="13"/>
  <c r="P36" i="13"/>
  <c r="O36" i="13"/>
  <c r="Z35" i="13"/>
  <c r="W35" i="13"/>
  <c r="V35" i="13"/>
  <c r="P35" i="13"/>
  <c r="O35" i="13"/>
  <c r="W34" i="13"/>
  <c r="AC34" i="13" s="1"/>
  <c r="V34" i="13"/>
  <c r="P34" i="13"/>
  <c r="O34" i="13"/>
  <c r="P33" i="13"/>
  <c r="O33" i="13"/>
  <c r="Z32" i="13"/>
  <c r="W32" i="13"/>
  <c r="V32" i="13"/>
  <c r="AB32" i="13" s="1"/>
  <c r="P32" i="13"/>
  <c r="O32" i="13"/>
  <c r="W31" i="13"/>
  <c r="AC31" i="13" s="1"/>
  <c r="V31" i="13"/>
  <c r="P31" i="13"/>
  <c r="O31" i="13"/>
  <c r="Z30" i="13"/>
  <c r="V30" i="13"/>
  <c r="AB30" i="13" s="1"/>
  <c r="P30" i="13"/>
  <c r="O30" i="13"/>
  <c r="W29" i="13"/>
  <c r="V29" i="13"/>
  <c r="AB29" i="13" s="1"/>
  <c r="P29" i="13"/>
  <c r="O29" i="13"/>
  <c r="Z28" i="13"/>
  <c r="W28" i="13"/>
  <c r="P28" i="13"/>
  <c r="O28" i="13"/>
  <c r="AA27" i="13"/>
  <c r="W27" i="13"/>
  <c r="V27" i="13"/>
  <c r="P27" i="13"/>
  <c r="O27" i="13"/>
  <c r="Z26" i="13"/>
  <c r="V26" i="13"/>
  <c r="P26" i="13"/>
  <c r="O26" i="13"/>
  <c r="W25" i="13"/>
  <c r="V25" i="13"/>
  <c r="AB25" i="13" s="1"/>
  <c r="P25" i="13"/>
  <c r="O25" i="13"/>
  <c r="Z24" i="13"/>
  <c r="W24" i="13"/>
  <c r="V24" i="13"/>
  <c r="AB24" i="13" s="1"/>
  <c r="P24" i="13"/>
  <c r="O24" i="13"/>
  <c r="W23" i="13"/>
  <c r="V23" i="13"/>
  <c r="AC23" i="13" s="1"/>
  <c r="P23" i="13"/>
  <c r="O23" i="13"/>
  <c r="AA22" i="13"/>
  <c r="W22" i="13"/>
  <c r="V22" i="13"/>
  <c r="P22" i="13"/>
  <c r="O22" i="13"/>
  <c r="W21" i="13"/>
  <c r="V21" i="13"/>
  <c r="AC21" i="13" s="1"/>
  <c r="P21" i="13"/>
  <c r="O21" i="13"/>
  <c r="W20" i="13"/>
  <c r="V20" i="13"/>
  <c r="AB20" i="13" s="1"/>
  <c r="P20" i="13"/>
  <c r="O20" i="13"/>
  <c r="W19" i="13"/>
  <c r="V19" i="13"/>
  <c r="AB19" i="13" s="1"/>
  <c r="P19" i="13"/>
  <c r="O19" i="13"/>
  <c r="W18" i="13"/>
  <c r="V18" i="13"/>
  <c r="AC18" i="13" s="1"/>
  <c r="P18" i="13"/>
  <c r="O18" i="13"/>
  <c r="W17" i="13"/>
  <c r="P17" i="13"/>
  <c r="O17" i="13"/>
  <c r="W16" i="13"/>
  <c r="V16" i="13"/>
  <c r="AB16" i="13" s="1"/>
  <c r="P16" i="13"/>
  <c r="O16" i="13"/>
  <c r="W15" i="13"/>
  <c r="V15" i="13"/>
  <c r="AB15" i="13" s="1"/>
  <c r="P15" i="13"/>
  <c r="W11" i="13" s="1"/>
  <c r="O15" i="13"/>
  <c r="AA14" i="13"/>
  <c r="Z14" i="13"/>
  <c r="P14" i="13"/>
  <c r="O14" i="13"/>
  <c r="W13" i="13"/>
  <c r="V13" i="13"/>
  <c r="AB13" i="13" s="1"/>
  <c r="P13" i="13"/>
  <c r="O13" i="13"/>
  <c r="AA12" i="13"/>
  <c r="W12" i="13"/>
  <c r="V12" i="13"/>
  <c r="P12" i="13"/>
  <c r="O12" i="13"/>
  <c r="AA11" i="13"/>
  <c r="P11" i="13"/>
  <c r="O11" i="13"/>
  <c r="Z10" i="13"/>
  <c r="P10" i="13"/>
  <c r="O10" i="13"/>
  <c r="J10" i="13"/>
  <c r="AA10" i="13" s="1"/>
  <c r="S9" i="13"/>
  <c r="S10" i="13" s="1"/>
  <c r="S11" i="13" s="1"/>
  <c r="S12" i="13" s="1"/>
  <c r="S13" i="13" s="1"/>
  <c r="S14" i="13" s="1"/>
  <c r="S15" i="13" s="1"/>
  <c r="S16" i="13" s="1"/>
  <c r="S17" i="13" s="1"/>
  <c r="S18" i="13" s="1"/>
  <c r="S19" i="13" s="1"/>
  <c r="S20" i="13" s="1"/>
  <c r="S21" i="13" s="1"/>
  <c r="S22" i="13" s="1"/>
  <c r="S23" i="13" s="1"/>
  <c r="S24" i="13" s="1"/>
  <c r="S25" i="13" s="1"/>
  <c r="S26" i="13" s="1"/>
  <c r="S27" i="13" s="1"/>
  <c r="S28" i="13" s="1"/>
  <c r="S29" i="13" s="1"/>
  <c r="S30" i="13" s="1"/>
  <c r="S31" i="13" s="1"/>
  <c r="S32" i="13" s="1"/>
  <c r="S33" i="13" s="1"/>
  <c r="S34" i="13" s="1"/>
  <c r="S35" i="13" s="1"/>
  <c r="S36" i="13" s="1"/>
  <c r="S37" i="13" s="1"/>
  <c r="S38" i="13" s="1"/>
  <c r="S39" i="13" s="1"/>
  <c r="S40" i="13" s="1"/>
  <c r="S41" i="13" s="1"/>
  <c r="S42" i="13" s="1"/>
  <c r="S43" i="13" s="1"/>
  <c r="S44" i="13" s="1"/>
  <c r="S45" i="13" s="1"/>
  <c r="S46" i="13" s="1"/>
  <c r="S47" i="13" s="1"/>
  <c r="S48" i="13" s="1"/>
  <c r="S49" i="13" s="1"/>
  <c r="S50" i="13" s="1"/>
  <c r="S51" i="13" s="1"/>
  <c r="S52" i="13" s="1"/>
  <c r="S53" i="13" s="1"/>
  <c r="S54" i="13" s="1"/>
  <c r="S55" i="13" s="1"/>
  <c r="S56" i="13" s="1"/>
  <c r="S57" i="13" s="1"/>
  <c r="S58" i="13" s="1"/>
  <c r="S59" i="13" s="1"/>
  <c r="S60" i="13" s="1"/>
  <c r="S61" i="13" s="1"/>
  <c r="S62" i="13" s="1"/>
  <c r="S63" i="13" s="1"/>
  <c r="S64" i="13" s="1"/>
  <c r="S65" i="13" s="1"/>
  <c r="S66" i="13" s="1"/>
  <c r="S67" i="13" s="1"/>
  <c r="S68" i="13" s="1"/>
  <c r="S69" i="13" s="1"/>
  <c r="S70" i="13" s="1"/>
  <c r="S71" i="13" s="1"/>
  <c r="S72" i="13" s="1"/>
  <c r="S73" i="13" s="1"/>
  <c r="S74" i="13" s="1"/>
  <c r="S75" i="13" s="1"/>
  <c r="S76" i="13" s="1"/>
  <c r="S77" i="13" s="1"/>
  <c r="S78" i="13" s="1"/>
  <c r="S79" i="13" s="1"/>
  <c r="S80" i="13" s="1"/>
  <c r="S81" i="13" s="1"/>
  <c r="S82" i="13" s="1"/>
  <c r="S83" i="13" s="1"/>
  <c r="S84" i="13" s="1"/>
  <c r="S85" i="13" s="1"/>
  <c r="S86" i="13" s="1"/>
  <c r="S87" i="13" s="1"/>
  <c r="S88" i="13" s="1"/>
  <c r="S89" i="13" s="1"/>
  <c r="S90" i="13" s="1"/>
  <c r="S91" i="13" s="1"/>
  <c r="S92" i="13" s="1"/>
  <c r="S93" i="13" s="1"/>
  <c r="S94" i="13" s="1"/>
  <c r="S95" i="13" s="1"/>
  <c r="S96" i="13" s="1"/>
  <c r="S97" i="13" s="1"/>
  <c r="S98" i="13" s="1"/>
  <c r="S99" i="13" s="1"/>
  <c r="S100" i="13" s="1"/>
  <c r="S101" i="13" s="1"/>
  <c r="S102" i="13" s="1"/>
  <c r="S103" i="13" s="1"/>
  <c r="S104" i="13" s="1"/>
  <c r="S105" i="13" s="1"/>
  <c r="S106" i="13" s="1"/>
  <c r="S107" i="13" s="1"/>
  <c r="S108" i="13" s="1"/>
  <c r="S109" i="13" s="1"/>
  <c r="S110" i="13" s="1"/>
  <c r="S111" i="13" s="1"/>
  <c r="S112" i="13" s="1"/>
  <c r="S113" i="13" s="1"/>
  <c r="S114" i="13" s="1"/>
  <c r="S115" i="13" s="1"/>
  <c r="S116" i="13" s="1"/>
  <c r="S117" i="13" s="1"/>
  <c r="S118" i="13" s="1"/>
  <c r="S119" i="13" s="1"/>
  <c r="S120" i="13" s="1"/>
  <c r="S121" i="13" s="1"/>
  <c r="S122" i="13" s="1"/>
  <c r="S123" i="13" s="1"/>
  <c r="S124" i="13" s="1"/>
  <c r="S125" i="13" s="1"/>
  <c r="S126" i="13" s="1"/>
  <c r="S127" i="13" s="1"/>
  <c r="S128" i="13" s="1"/>
  <c r="S129" i="13" s="1"/>
  <c r="S130" i="13" s="1"/>
  <c r="S131" i="13" s="1"/>
  <c r="S132" i="13" s="1"/>
  <c r="S133" i="13" s="1"/>
  <c r="S134" i="13" s="1"/>
  <c r="S135" i="13" s="1"/>
  <c r="S136" i="13" s="1"/>
  <c r="S137" i="13" s="1"/>
  <c r="S138" i="13" s="1"/>
  <c r="S139" i="13" s="1"/>
  <c r="S140" i="13" s="1"/>
  <c r="S141" i="13" s="1"/>
  <c r="S142" i="13" s="1"/>
  <c r="S143" i="13" s="1"/>
  <c r="S144" i="13" s="1"/>
  <c r="S145" i="13" s="1"/>
  <c r="S146" i="13" s="1"/>
  <c r="S147" i="13" s="1"/>
  <c r="S148" i="13" s="1"/>
  <c r="S149" i="13" s="1"/>
  <c r="S150" i="13" s="1"/>
  <c r="S151" i="13" s="1"/>
  <c r="S152" i="13" s="1"/>
  <c r="S153" i="13" s="1"/>
  <c r="S154" i="13" s="1"/>
  <c r="S155" i="13" s="1"/>
  <c r="S156" i="13" s="1"/>
  <c r="S157" i="13" s="1"/>
  <c r="S158" i="13" s="1"/>
  <c r="S159" i="13" s="1"/>
  <c r="S160" i="13" s="1"/>
  <c r="S161" i="13" s="1"/>
  <c r="S162" i="13" s="1"/>
  <c r="S163" i="13" s="1"/>
  <c r="S164" i="13" s="1"/>
  <c r="S165" i="13" s="1"/>
  <c r="S166" i="13" s="1"/>
  <c r="S167" i="13" s="1"/>
  <c r="S168" i="13" s="1"/>
  <c r="S169" i="13" s="1"/>
  <c r="S170" i="13" s="1"/>
  <c r="S171" i="13" s="1"/>
  <c r="S172" i="13" s="1"/>
  <c r="S173" i="13" s="1"/>
  <c r="S174" i="13" s="1"/>
  <c r="S175" i="13" s="1"/>
  <c r="S176" i="13" s="1"/>
  <c r="S177" i="13" s="1"/>
  <c r="S178" i="13" s="1"/>
  <c r="S179" i="13" s="1"/>
  <c r="S180" i="13" s="1"/>
  <c r="S181" i="13" s="1"/>
  <c r="S182" i="13" s="1"/>
  <c r="S183" i="13" s="1"/>
  <c r="S184" i="13" s="1"/>
  <c r="S185" i="13" s="1"/>
  <c r="S186" i="13" s="1"/>
  <c r="S187" i="13" s="1"/>
  <c r="S188" i="13" s="1"/>
  <c r="S189" i="13" s="1"/>
  <c r="S190" i="13" s="1"/>
  <c r="S191" i="13" s="1"/>
  <c r="S192" i="13" s="1"/>
  <c r="S193" i="13" s="1"/>
  <c r="S194" i="13" s="1"/>
  <c r="S195" i="13" s="1"/>
  <c r="S196" i="13" s="1"/>
  <c r="S197" i="13" s="1"/>
  <c r="S198" i="13" s="1"/>
  <c r="S199" i="13" s="1"/>
  <c r="S200" i="13" s="1"/>
  <c r="P9" i="13"/>
  <c r="W9" i="13" s="1"/>
  <c r="O9" i="13"/>
  <c r="V9" i="13" s="1"/>
  <c r="AB9" i="13" s="1"/>
  <c r="AA8" i="13"/>
  <c r="P8" i="13"/>
  <c r="O8" i="13"/>
  <c r="AN7" i="13"/>
  <c r="Z12" i="13" s="1"/>
  <c r="AA61" i="13" s="1"/>
  <c r="AB61" i="13" s="1"/>
  <c r="E201" i="12"/>
  <c r="D201" i="12"/>
  <c r="W200" i="12"/>
  <c r="AB200" i="12" s="1"/>
  <c r="V200" i="12"/>
  <c r="P200" i="12"/>
  <c r="O200" i="12"/>
  <c r="W199" i="12"/>
  <c r="AC199" i="12" s="1"/>
  <c r="V199" i="12"/>
  <c r="P199" i="12"/>
  <c r="O199" i="12"/>
  <c r="W198" i="12"/>
  <c r="V198" i="12"/>
  <c r="P198" i="12"/>
  <c r="O198" i="12"/>
  <c r="AC197" i="12"/>
  <c r="W197" i="12"/>
  <c r="V197" i="12"/>
  <c r="P197" i="12"/>
  <c r="O197" i="12"/>
  <c r="W196" i="12"/>
  <c r="AC196" i="12" s="1"/>
  <c r="V196" i="12"/>
  <c r="AB196" i="12" s="1"/>
  <c r="P196" i="12"/>
  <c r="O196" i="12"/>
  <c r="W195" i="12"/>
  <c r="V195" i="12"/>
  <c r="P195" i="12"/>
  <c r="O195" i="12"/>
  <c r="W194" i="12"/>
  <c r="V194" i="12"/>
  <c r="P194" i="12"/>
  <c r="O194" i="12"/>
  <c r="W193" i="12"/>
  <c r="AC193" i="12" s="1"/>
  <c r="V193" i="12"/>
  <c r="P193" i="12"/>
  <c r="O193" i="12"/>
  <c r="W192" i="12"/>
  <c r="AC192" i="12" s="1"/>
  <c r="V192" i="12"/>
  <c r="AB192" i="12" s="1"/>
  <c r="P192" i="12"/>
  <c r="O192" i="12"/>
  <c r="W191" i="12"/>
  <c r="V191" i="12"/>
  <c r="P191" i="12"/>
  <c r="O191" i="12"/>
  <c r="W190" i="12"/>
  <c r="V190" i="12"/>
  <c r="P190" i="12"/>
  <c r="O190" i="12"/>
  <c r="W189" i="12"/>
  <c r="AC189" i="12" s="1"/>
  <c r="V189" i="12"/>
  <c r="P189" i="12"/>
  <c r="O189" i="12"/>
  <c r="W188" i="12"/>
  <c r="AC188" i="12" s="1"/>
  <c r="V188" i="12"/>
  <c r="AB188" i="12" s="1"/>
  <c r="P188" i="12"/>
  <c r="O188" i="12"/>
  <c r="W187" i="12"/>
  <c r="V187" i="12"/>
  <c r="P187" i="12"/>
  <c r="O187" i="12"/>
  <c r="W186" i="12"/>
  <c r="AC186" i="12" s="1"/>
  <c r="V186" i="12"/>
  <c r="P186" i="12"/>
  <c r="O186" i="12"/>
  <c r="AC185" i="12"/>
  <c r="W185" i="12"/>
  <c r="V185" i="12"/>
  <c r="P185" i="12"/>
  <c r="O185" i="12"/>
  <c r="W184" i="12"/>
  <c r="AC184" i="12" s="1"/>
  <c r="V184" i="12"/>
  <c r="P184" i="12"/>
  <c r="O184" i="12"/>
  <c r="W183" i="12"/>
  <c r="V183" i="12"/>
  <c r="P183" i="12"/>
  <c r="O183" i="12"/>
  <c r="W182" i="12"/>
  <c r="V182" i="12"/>
  <c r="P182" i="12"/>
  <c r="O182" i="12"/>
  <c r="AC181" i="12"/>
  <c r="W181" i="12"/>
  <c r="V181" i="12"/>
  <c r="P181" i="12"/>
  <c r="O181" i="12"/>
  <c r="W180" i="12"/>
  <c r="AC180" i="12" s="1"/>
  <c r="V180" i="12"/>
  <c r="AB180" i="12" s="1"/>
  <c r="AD180" i="12" s="1"/>
  <c r="P180" i="12"/>
  <c r="O180" i="12"/>
  <c r="W179" i="12"/>
  <c r="AC179" i="12" s="1"/>
  <c r="V179" i="12"/>
  <c r="P179" i="12"/>
  <c r="O179" i="12"/>
  <c r="W178" i="12"/>
  <c r="V178" i="12"/>
  <c r="P178" i="12"/>
  <c r="O178" i="12"/>
  <c r="W177" i="12"/>
  <c r="V177" i="12"/>
  <c r="P177" i="12"/>
  <c r="O177" i="12"/>
  <c r="W176" i="12"/>
  <c r="AC176" i="12" s="1"/>
  <c r="V176" i="12"/>
  <c r="P176" i="12"/>
  <c r="O176" i="12"/>
  <c r="W175" i="12"/>
  <c r="AC175" i="12" s="1"/>
  <c r="V175" i="12"/>
  <c r="P175" i="12"/>
  <c r="O175" i="12"/>
  <c r="W174" i="12"/>
  <c r="V174" i="12"/>
  <c r="P174" i="12"/>
  <c r="O174" i="12"/>
  <c r="AC173" i="12"/>
  <c r="W173" i="12"/>
  <c r="V173" i="12"/>
  <c r="P173" i="12"/>
  <c r="O173" i="12"/>
  <c r="W172" i="12"/>
  <c r="AC172" i="12" s="1"/>
  <c r="V172" i="12"/>
  <c r="AB172" i="12" s="1"/>
  <c r="AD172" i="12" s="1"/>
  <c r="P172" i="12"/>
  <c r="O172" i="12"/>
  <c r="W171" i="12"/>
  <c r="AC171" i="12" s="1"/>
  <c r="V171" i="12"/>
  <c r="P171" i="12"/>
  <c r="O171" i="12"/>
  <c r="W170" i="12"/>
  <c r="V170" i="12"/>
  <c r="P170" i="12"/>
  <c r="O170" i="12"/>
  <c r="W169" i="12"/>
  <c r="V169" i="12"/>
  <c r="P169" i="12"/>
  <c r="O169" i="12"/>
  <c r="W168" i="12"/>
  <c r="AC168" i="12" s="1"/>
  <c r="V168" i="12"/>
  <c r="P168" i="12"/>
  <c r="O168" i="12"/>
  <c r="W167" i="12"/>
  <c r="AC167" i="12" s="1"/>
  <c r="V167" i="12"/>
  <c r="P167" i="12"/>
  <c r="O167" i="12"/>
  <c r="AC166" i="12"/>
  <c r="W166" i="12"/>
  <c r="V166" i="12"/>
  <c r="P166" i="12"/>
  <c r="O166" i="12"/>
  <c r="W165" i="12"/>
  <c r="V165" i="12"/>
  <c r="P165" i="12"/>
  <c r="O165" i="12"/>
  <c r="W164" i="12"/>
  <c r="AC164" i="12" s="1"/>
  <c r="V164" i="12"/>
  <c r="P164" i="12"/>
  <c r="O164" i="12"/>
  <c r="W163" i="12"/>
  <c r="V163" i="12"/>
  <c r="AB163" i="12" s="1"/>
  <c r="P163" i="12"/>
  <c r="O163" i="12"/>
  <c r="W162" i="12"/>
  <c r="AC162" i="12" s="1"/>
  <c r="V162" i="12"/>
  <c r="P162" i="12"/>
  <c r="O162" i="12"/>
  <c r="W161" i="12"/>
  <c r="V161" i="12"/>
  <c r="P161" i="12"/>
  <c r="O161" i="12"/>
  <c r="AC160" i="12"/>
  <c r="AE160" i="12" s="1"/>
  <c r="AB160" i="12"/>
  <c r="W160" i="12"/>
  <c r="V160" i="12"/>
  <c r="P160" i="12"/>
  <c r="O160" i="12"/>
  <c r="W159" i="12"/>
  <c r="V159" i="12"/>
  <c r="P159" i="12"/>
  <c r="O159" i="12"/>
  <c r="W158" i="12"/>
  <c r="V158" i="12"/>
  <c r="P158" i="12"/>
  <c r="O158" i="12"/>
  <c r="W157" i="12"/>
  <c r="V157" i="12"/>
  <c r="AC157" i="12" s="1"/>
  <c r="P157" i="12"/>
  <c r="O157" i="12"/>
  <c r="AB156" i="12"/>
  <c r="W156" i="12"/>
  <c r="AC156" i="12" s="1"/>
  <c r="AH156" i="12" s="1"/>
  <c r="V156" i="12"/>
  <c r="P156" i="12"/>
  <c r="O156" i="12"/>
  <c r="W155" i="12"/>
  <c r="V155" i="12"/>
  <c r="P155" i="12"/>
  <c r="O155" i="12"/>
  <c r="W154" i="12"/>
  <c r="V154" i="12"/>
  <c r="AC154" i="12" s="1"/>
  <c r="P154" i="12"/>
  <c r="O154" i="12"/>
  <c r="W153" i="12"/>
  <c r="V153" i="12"/>
  <c r="P153" i="12"/>
  <c r="O153" i="12"/>
  <c r="W152" i="12"/>
  <c r="V152" i="12"/>
  <c r="AB152" i="12" s="1"/>
  <c r="P152" i="12"/>
  <c r="O152" i="12"/>
  <c r="W151" i="12"/>
  <c r="AC151" i="12" s="1"/>
  <c r="V151" i="12"/>
  <c r="P151" i="12"/>
  <c r="O151" i="12"/>
  <c r="W150" i="12"/>
  <c r="V150" i="12"/>
  <c r="P150" i="12"/>
  <c r="O150" i="12"/>
  <c r="W149" i="12"/>
  <c r="V149" i="12"/>
  <c r="P149" i="12"/>
  <c r="O149" i="12"/>
  <c r="W148" i="12"/>
  <c r="AC148" i="12" s="1"/>
  <c r="V148" i="12"/>
  <c r="P148" i="12"/>
  <c r="O148" i="12"/>
  <c r="W147" i="12"/>
  <c r="V147" i="12"/>
  <c r="P147" i="12"/>
  <c r="O147" i="12"/>
  <c r="AH146" i="12"/>
  <c r="AC146" i="12"/>
  <c r="AE146" i="12" s="1"/>
  <c r="W146" i="12"/>
  <c r="AB146" i="12" s="1"/>
  <c r="V146" i="12"/>
  <c r="P146" i="12"/>
  <c r="O146" i="12"/>
  <c r="W145" i="12"/>
  <c r="V145" i="12"/>
  <c r="P145" i="12"/>
  <c r="O145" i="12"/>
  <c r="W144" i="12"/>
  <c r="V144" i="12"/>
  <c r="P144" i="12"/>
  <c r="O144" i="12"/>
  <c r="W143" i="12"/>
  <c r="V143" i="12"/>
  <c r="P143" i="12"/>
  <c r="O143" i="12"/>
  <c r="AB142" i="12"/>
  <c r="W142" i="12"/>
  <c r="AC142" i="12" s="1"/>
  <c r="AH142" i="12" s="1"/>
  <c r="V142" i="12"/>
  <c r="P142" i="12"/>
  <c r="O142" i="12"/>
  <c r="W141" i="12"/>
  <c r="V141" i="12"/>
  <c r="P141" i="12"/>
  <c r="O141" i="12"/>
  <c r="W140" i="12"/>
  <c r="AC140" i="12" s="1"/>
  <c r="V140" i="12"/>
  <c r="P140" i="12"/>
  <c r="O140" i="12"/>
  <c r="AC139" i="12"/>
  <c r="W139" i="12"/>
  <c r="V139" i="12"/>
  <c r="P139" i="12"/>
  <c r="O139" i="12"/>
  <c r="W138" i="12"/>
  <c r="V138" i="12"/>
  <c r="P138" i="12"/>
  <c r="O138" i="12"/>
  <c r="W137" i="12"/>
  <c r="V137" i="12"/>
  <c r="AB137" i="12" s="1"/>
  <c r="P137" i="12"/>
  <c r="O137" i="12"/>
  <c r="W136" i="12"/>
  <c r="AC136" i="12" s="1"/>
  <c r="V136" i="12"/>
  <c r="P136" i="12"/>
  <c r="O136" i="12"/>
  <c r="W135" i="12"/>
  <c r="V135" i="12"/>
  <c r="P135" i="12"/>
  <c r="O135" i="12"/>
  <c r="W134" i="12"/>
  <c r="V134" i="12"/>
  <c r="AC134" i="12" s="1"/>
  <c r="P134" i="12"/>
  <c r="O134" i="12"/>
  <c r="W133" i="12"/>
  <c r="V133" i="12"/>
  <c r="AB133" i="12" s="1"/>
  <c r="P133" i="12"/>
  <c r="O133" i="12"/>
  <c r="W132" i="12"/>
  <c r="V132" i="12"/>
  <c r="AB132" i="12" s="1"/>
  <c r="P132" i="12"/>
  <c r="O132" i="12"/>
  <c r="AC131" i="12"/>
  <c r="AB131" i="12"/>
  <c r="W131" i="12"/>
  <c r="V131" i="12"/>
  <c r="P131" i="12"/>
  <c r="O131" i="12"/>
  <c r="W130" i="12"/>
  <c r="V130" i="12"/>
  <c r="AC130" i="12" s="1"/>
  <c r="P130" i="12"/>
  <c r="O130" i="12"/>
  <c r="W129" i="12"/>
  <c r="V129" i="12"/>
  <c r="AB129" i="12" s="1"/>
  <c r="P129" i="12"/>
  <c r="O129" i="12"/>
  <c r="W128" i="12"/>
  <c r="V128" i="12"/>
  <c r="P128" i="12"/>
  <c r="O128" i="12"/>
  <c r="W127" i="12"/>
  <c r="AC127" i="12" s="1"/>
  <c r="V127" i="12"/>
  <c r="P127" i="12"/>
  <c r="O127" i="12"/>
  <c r="W126" i="12"/>
  <c r="AC126" i="12" s="1"/>
  <c r="V126" i="12"/>
  <c r="P126" i="12"/>
  <c r="O126" i="12"/>
  <c r="W125" i="12"/>
  <c r="AC125" i="12" s="1"/>
  <c r="AE125" i="12" s="1"/>
  <c r="V125" i="12"/>
  <c r="AB125" i="12" s="1"/>
  <c r="P125" i="12"/>
  <c r="O125" i="12"/>
  <c r="W124" i="12"/>
  <c r="V124" i="12"/>
  <c r="P124" i="12"/>
  <c r="O124" i="12"/>
  <c r="W123" i="12"/>
  <c r="AC123" i="12" s="1"/>
  <c r="V123" i="12"/>
  <c r="P123" i="12"/>
  <c r="O123" i="12"/>
  <c r="AC122" i="12"/>
  <c r="W122" i="12"/>
  <c r="V122" i="12"/>
  <c r="P122" i="12"/>
  <c r="O122" i="12"/>
  <c r="W121" i="12"/>
  <c r="AC121" i="12" s="1"/>
  <c r="V121" i="12"/>
  <c r="P121" i="12"/>
  <c r="O121" i="12"/>
  <c r="W120" i="12"/>
  <c r="V120" i="12"/>
  <c r="P120" i="12"/>
  <c r="O120" i="12"/>
  <c r="W119" i="12"/>
  <c r="AC119" i="12" s="1"/>
  <c r="V119" i="12"/>
  <c r="P119" i="12"/>
  <c r="O119" i="12"/>
  <c r="W118" i="12"/>
  <c r="V118" i="12"/>
  <c r="AB118" i="12" s="1"/>
  <c r="P118" i="12"/>
  <c r="O118" i="12"/>
  <c r="AC117" i="12"/>
  <c r="AE117" i="12" s="1"/>
  <c r="AB117" i="12"/>
  <c r="W117" i="12"/>
  <c r="V117" i="12"/>
  <c r="P117" i="12"/>
  <c r="O117" i="12"/>
  <c r="W116" i="12"/>
  <c r="V116" i="12"/>
  <c r="P116" i="12"/>
  <c r="O116" i="12"/>
  <c r="W115" i="12"/>
  <c r="V115" i="12"/>
  <c r="AB115" i="12" s="1"/>
  <c r="P115" i="12"/>
  <c r="O115" i="12"/>
  <c r="W114" i="12"/>
  <c r="AC114" i="12" s="1"/>
  <c r="V114" i="12"/>
  <c r="P114" i="12"/>
  <c r="O114" i="12"/>
  <c r="W113" i="12"/>
  <c r="V113" i="12"/>
  <c r="AC113" i="12" s="1"/>
  <c r="P113" i="12"/>
  <c r="O113" i="12"/>
  <c r="W112" i="12"/>
  <c r="V112" i="12"/>
  <c r="P112" i="12"/>
  <c r="O112" i="12"/>
  <c r="W111" i="12"/>
  <c r="AC111" i="12" s="1"/>
  <c r="V111" i="12"/>
  <c r="P111" i="12"/>
  <c r="O111" i="12"/>
  <c r="W110" i="12"/>
  <c r="AC110" i="12" s="1"/>
  <c r="V110" i="12"/>
  <c r="P110" i="12"/>
  <c r="O110" i="12"/>
  <c r="W109" i="12"/>
  <c r="V109" i="12"/>
  <c r="AC109" i="12" s="1"/>
  <c r="P109" i="12"/>
  <c r="O109" i="12"/>
  <c r="W108" i="12"/>
  <c r="AC108" i="12" s="1"/>
  <c r="V108" i="12"/>
  <c r="AB108" i="12" s="1"/>
  <c r="AD108" i="12" s="1"/>
  <c r="P108" i="12"/>
  <c r="O108" i="12"/>
  <c r="W107" i="12"/>
  <c r="V107" i="12"/>
  <c r="P107" i="12"/>
  <c r="O107" i="12"/>
  <c r="W106" i="12"/>
  <c r="V106" i="12"/>
  <c r="P106" i="12"/>
  <c r="O106" i="12"/>
  <c r="W105" i="12"/>
  <c r="AC105" i="12" s="1"/>
  <c r="V105" i="12"/>
  <c r="AB105" i="12" s="1"/>
  <c r="P105" i="12"/>
  <c r="O105" i="12"/>
  <c r="AC104" i="12"/>
  <c r="AE104" i="12" s="1"/>
  <c r="AB104" i="12"/>
  <c r="W104" i="12"/>
  <c r="V104" i="12"/>
  <c r="P104" i="12"/>
  <c r="O104" i="12"/>
  <c r="W103" i="12"/>
  <c r="V103" i="12"/>
  <c r="P103" i="12"/>
  <c r="O103" i="12"/>
  <c r="W102" i="12"/>
  <c r="V102" i="12"/>
  <c r="P102" i="12"/>
  <c r="O102" i="12"/>
  <c r="W101" i="12"/>
  <c r="V101" i="12"/>
  <c r="AC101" i="12" s="1"/>
  <c r="P101" i="12"/>
  <c r="O101" i="12"/>
  <c r="W100" i="12"/>
  <c r="AC100" i="12" s="1"/>
  <c r="V100" i="12"/>
  <c r="P100" i="12"/>
  <c r="O100" i="12"/>
  <c r="W99" i="12"/>
  <c r="AB99" i="12" s="1"/>
  <c r="V99" i="12"/>
  <c r="P99" i="12"/>
  <c r="O99" i="12"/>
  <c r="W98" i="12"/>
  <c r="AC98" i="12" s="1"/>
  <c r="V98" i="12"/>
  <c r="P98" i="12"/>
  <c r="O98" i="12"/>
  <c r="AC97" i="12"/>
  <c r="W97" i="12"/>
  <c r="V97" i="12"/>
  <c r="P97" i="12"/>
  <c r="O97" i="12"/>
  <c r="W96" i="12"/>
  <c r="AC96" i="12" s="1"/>
  <c r="V96" i="12"/>
  <c r="AB96" i="12" s="1"/>
  <c r="AG96" i="12" s="1"/>
  <c r="P96" i="12"/>
  <c r="O96" i="12"/>
  <c r="W95" i="12"/>
  <c r="AB95" i="12" s="1"/>
  <c r="V95" i="12"/>
  <c r="P95" i="12"/>
  <c r="O95" i="12"/>
  <c r="W94" i="12"/>
  <c r="AC94" i="12" s="1"/>
  <c r="V94" i="12"/>
  <c r="P94" i="12"/>
  <c r="O94" i="12"/>
  <c r="W93" i="12"/>
  <c r="AC93" i="12" s="1"/>
  <c r="V93" i="12"/>
  <c r="P93" i="12"/>
  <c r="O93" i="12"/>
  <c r="W92" i="12"/>
  <c r="V92" i="12"/>
  <c r="AC92" i="12" s="1"/>
  <c r="P92" i="12"/>
  <c r="O92" i="12"/>
  <c r="W91" i="12"/>
  <c r="V91" i="12"/>
  <c r="P91" i="12"/>
  <c r="O91" i="12"/>
  <c r="W90" i="12"/>
  <c r="V90" i="12"/>
  <c r="AB90" i="12" s="1"/>
  <c r="P90" i="12"/>
  <c r="O90" i="12"/>
  <c r="W89" i="12"/>
  <c r="AC89" i="12" s="1"/>
  <c r="V89" i="12"/>
  <c r="P89" i="12"/>
  <c r="O89" i="12"/>
  <c r="AC88" i="12"/>
  <c r="AH88" i="12" s="1"/>
  <c r="AB88" i="12"/>
  <c r="W88" i="12"/>
  <c r="V88" i="12"/>
  <c r="P88" i="12"/>
  <c r="O88" i="12"/>
  <c r="W87" i="12"/>
  <c r="AB87" i="12" s="1"/>
  <c r="V87" i="12"/>
  <c r="P87" i="12"/>
  <c r="O87" i="12"/>
  <c r="W86" i="12"/>
  <c r="AC86" i="12" s="1"/>
  <c r="V86" i="12"/>
  <c r="P86" i="12"/>
  <c r="O86" i="12"/>
  <c r="W85" i="12"/>
  <c r="V85" i="12"/>
  <c r="AB85" i="12" s="1"/>
  <c r="P85" i="12"/>
  <c r="O85" i="12"/>
  <c r="W84" i="12"/>
  <c r="AC84" i="12" s="1"/>
  <c r="V84" i="12"/>
  <c r="P84" i="12"/>
  <c r="O84" i="12"/>
  <c r="W83" i="12"/>
  <c r="AB83" i="12" s="1"/>
  <c r="V83" i="12"/>
  <c r="P83" i="12"/>
  <c r="O83" i="12"/>
  <c r="W82" i="12"/>
  <c r="AC82" i="12" s="1"/>
  <c r="V82" i="12"/>
  <c r="P82" i="12"/>
  <c r="O82" i="12"/>
  <c r="AC81" i="12"/>
  <c r="W81" i="12"/>
  <c r="V81" i="12"/>
  <c r="P81" i="12"/>
  <c r="O81" i="12"/>
  <c r="W80" i="12"/>
  <c r="V80" i="12"/>
  <c r="AB80" i="12" s="1"/>
  <c r="P80" i="12"/>
  <c r="O80" i="12"/>
  <c r="W79" i="12"/>
  <c r="V79" i="12"/>
  <c r="P79" i="12"/>
  <c r="O79" i="12"/>
  <c r="W78" i="12"/>
  <c r="V78" i="12"/>
  <c r="AB78" i="12" s="1"/>
  <c r="P78" i="12"/>
  <c r="O78" i="12"/>
  <c r="W77" i="12"/>
  <c r="AC77" i="12" s="1"/>
  <c r="V77" i="12"/>
  <c r="P77" i="12"/>
  <c r="O77" i="12"/>
  <c r="AC76" i="12"/>
  <c r="W76" i="12"/>
  <c r="V76" i="12"/>
  <c r="AB76" i="12" s="1"/>
  <c r="P76" i="12"/>
  <c r="O76" i="12"/>
  <c r="W75" i="12"/>
  <c r="V75" i="12"/>
  <c r="P75" i="12"/>
  <c r="O75" i="12"/>
  <c r="W74" i="12"/>
  <c r="V74" i="12"/>
  <c r="P74" i="12"/>
  <c r="O74" i="12"/>
  <c r="W73" i="12"/>
  <c r="V73" i="12"/>
  <c r="AB73" i="12" s="1"/>
  <c r="P73" i="12"/>
  <c r="O73" i="12"/>
  <c r="AC72" i="12"/>
  <c r="AB72" i="12"/>
  <c r="W72" i="12"/>
  <c r="V72" i="12"/>
  <c r="P72" i="12"/>
  <c r="O72" i="12"/>
  <c r="V31" i="12" s="1"/>
  <c r="AB31" i="12" s="1"/>
  <c r="W71" i="12"/>
  <c r="V71" i="12"/>
  <c r="AB71" i="12" s="1"/>
  <c r="P71" i="12"/>
  <c r="O71" i="12"/>
  <c r="W70" i="12"/>
  <c r="V70" i="12"/>
  <c r="AB70" i="12" s="1"/>
  <c r="P70" i="12"/>
  <c r="O70" i="12"/>
  <c r="W69" i="12"/>
  <c r="V69" i="12"/>
  <c r="AC69" i="12" s="1"/>
  <c r="P69" i="12"/>
  <c r="O69" i="12"/>
  <c r="W68" i="12"/>
  <c r="AC68" i="12" s="1"/>
  <c r="V68" i="12"/>
  <c r="P68" i="12"/>
  <c r="O68" i="12"/>
  <c r="W67" i="12"/>
  <c r="AC67" i="12" s="1"/>
  <c r="V67" i="12"/>
  <c r="P67" i="12"/>
  <c r="O67" i="12"/>
  <c r="W66" i="12"/>
  <c r="AC66" i="12" s="1"/>
  <c r="V66" i="12"/>
  <c r="P66" i="12"/>
  <c r="O66" i="12"/>
  <c r="W65" i="12"/>
  <c r="V65" i="12"/>
  <c r="P65" i="12"/>
  <c r="O65" i="12"/>
  <c r="V46" i="12" s="1"/>
  <c r="AB46" i="12" s="1"/>
  <c r="AC64" i="12"/>
  <c r="AH64" i="12" s="1"/>
  <c r="W64" i="12"/>
  <c r="AB64" i="12" s="1"/>
  <c r="V64" i="12"/>
  <c r="P64" i="12"/>
  <c r="W45" i="12" s="1"/>
  <c r="AC45" i="12" s="1"/>
  <c r="O64" i="12"/>
  <c r="V45" i="12" s="1"/>
  <c r="Z63" i="12"/>
  <c r="W63" i="12"/>
  <c r="AC63" i="12" s="1"/>
  <c r="V63" i="12"/>
  <c r="P63" i="12"/>
  <c r="O63" i="12"/>
  <c r="W62" i="12"/>
  <c r="V62" i="12"/>
  <c r="AB62" i="12" s="1"/>
  <c r="P62" i="12"/>
  <c r="O62" i="12"/>
  <c r="W61" i="12"/>
  <c r="V61" i="12"/>
  <c r="P61" i="12"/>
  <c r="O61" i="12"/>
  <c r="Z60" i="12"/>
  <c r="W60" i="12"/>
  <c r="V60" i="12"/>
  <c r="P60" i="12"/>
  <c r="W56" i="12" s="1"/>
  <c r="O60" i="12"/>
  <c r="W59" i="12"/>
  <c r="AC59" i="12" s="1"/>
  <c r="V59" i="12"/>
  <c r="P59" i="12"/>
  <c r="O59" i="12"/>
  <c r="V37" i="12" s="1"/>
  <c r="W58" i="12"/>
  <c r="V58" i="12"/>
  <c r="P58" i="12"/>
  <c r="O58" i="12"/>
  <c r="W57" i="12"/>
  <c r="P57" i="12"/>
  <c r="O57" i="12"/>
  <c r="V54" i="12" s="1"/>
  <c r="V56" i="12"/>
  <c r="P56" i="12"/>
  <c r="W38" i="12" s="1"/>
  <c r="AC38" i="12" s="1"/>
  <c r="O56" i="12"/>
  <c r="V55" i="12"/>
  <c r="P55" i="12"/>
  <c r="O55" i="12"/>
  <c r="V42" i="12" s="1"/>
  <c r="P54" i="12"/>
  <c r="W51" i="12" s="1"/>
  <c r="O54" i="12"/>
  <c r="P53" i="12"/>
  <c r="O53" i="12"/>
  <c r="Z52" i="12"/>
  <c r="AB52" i="12" s="1"/>
  <c r="W52" i="12"/>
  <c r="V52" i="12"/>
  <c r="P52" i="12"/>
  <c r="O52" i="12"/>
  <c r="V40" i="12" s="1"/>
  <c r="AA51" i="12"/>
  <c r="V51" i="12"/>
  <c r="P51" i="12"/>
  <c r="W41" i="12" s="1"/>
  <c r="O51" i="12"/>
  <c r="V41" i="12" s="1"/>
  <c r="W50" i="12"/>
  <c r="V50" i="12"/>
  <c r="AB50" i="12" s="1"/>
  <c r="P50" i="12"/>
  <c r="O50" i="12"/>
  <c r="W49" i="12"/>
  <c r="V49" i="12"/>
  <c r="AB49" i="12" s="1"/>
  <c r="P49" i="12"/>
  <c r="O49" i="12"/>
  <c r="V57" i="12" s="1"/>
  <c r="W48" i="12"/>
  <c r="AB48" i="12" s="1"/>
  <c r="V48" i="12"/>
  <c r="P48" i="12"/>
  <c r="W55" i="12" s="1"/>
  <c r="O48" i="12"/>
  <c r="W47" i="12"/>
  <c r="AC47" i="12" s="1"/>
  <c r="V47" i="12"/>
  <c r="P47" i="12"/>
  <c r="W53" i="12" s="1"/>
  <c r="O47" i="12"/>
  <c r="V53" i="12" s="1"/>
  <c r="W46" i="12"/>
  <c r="P46" i="12"/>
  <c r="O46" i="12"/>
  <c r="V28" i="12" s="1"/>
  <c r="P45" i="12"/>
  <c r="W26" i="12" s="1"/>
  <c r="O45" i="12"/>
  <c r="AB44" i="12"/>
  <c r="W44" i="12"/>
  <c r="V44" i="12"/>
  <c r="AC44" i="12" s="1"/>
  <c r="P44" i="12"/>
  <c r="O44" i="12"/>
  <c r="W43" i="12"/>
  <c r="V43" i="12"/>
  <c r="P43" i="12"/>
  <c r="O43" i="12"/>
  <c r="V17" i="12" s="1"/>
  <c r="P42" i="12"/>
  <c r="O42" i="12"/>
  <c r="P41" i="12"/>
  <c r="O41" i="12"/>
  <c r="W40" i="12"/>
  <c r="P40" i="12"/>
  <c r="O40" i="12"/>
  <c r="W39" i="12"/>
  <c r="V39" i="12"/>
  <c r="P39" i="12"/>
  <c r="O39" i="12"/>
  <c r="V38" i="12"/>
  <c r="P38" i="12"/>
  <c r="O38" i="12"/>
  <c r="W37" i="12"/>
  <c r="AC37" i="12" s="1"/>
  <c r="P37" i="12"/>
  <c r="O37" i="12"/>
  <c r="W36" i="12"/>
  <c r="V36" i="12"/>
  <c r="AC36" i="12" s="1"/>
  <c r="P36" i="12"/>
  <c r="O36" i="12"/>
  <c r="Z35" i="12"/>
  <c r="W35" i="12"/>
  <c r="V35" i="12"/>
  <c r="AC35" i="12" s="1"/>
  <c r="P35" i="12"/>
  <c r="O35" i="12"/>
  <c r="W34" i="12"/>
  <c r="V34" i="12"/>
  <c r="P34" i="12"/>
  <c r="O34" i="12"/>
  <c r="W33" i="12"/>
  <c r="V33" i="12"/>
  <c r="AB33" i="12" s="1"/>
  <c r="P33" i="12"/>
  <c r="O33" i="12"/>
  <c r="Z32" i="12"/>
  <c r="W32" i="12"/>
  <c r="V32" i="12"/>
  <c r="P32" i="12"/>
  <c r="O32" i="12"/>
  <c r="AC31" i="12"/>
  <c r="W31" i="12"/>
  <c r="P31" i="12"/>
  <c r="O31" i="12"/>
  <c r="AB30" i="12"/>
  <c r="Z30" i="12"/>
  <c r="W30" i="12"/>
  <c r="AC30" i="12" s="1"/>
  <c r="V30" i="12"/>
  <c r="P30" i="12"/>
  <c r="O30" i="12"/>
  <c r="W29" i="12"/>
  <c r="V29" i="12"/>
  <c r="AC29" i="12" s="1"/>
  <c r="P29" i="12"/>
  <c r="O29" i="12"/>
  <c r="Z28" i="12"/>
  <c r="W28" i="12"/>
  <c r="P28" i="12"/>
  <c r="O28" i="12"/>
  <c r="AA27" i="12"/>
  <c r="W27" i="12"/>
  <c r="V27" i="12"/>
  <c r="P27" i="12"/>
  <c r="O27" i="12"/>
  <c r="Z26" i="12"/>
  <c r="V26" i="12"/>
  <c r="P26" i="12"/>
  <c r="O26" i="12"/>
  <c r="W25" i="12"/>
  <c r="V25" i="12"/>
  <c r="P25" i="12"/>
  <c r="O25" i="12"/>
  <c r="Z24" i="12"/>
  <c r="W24" i="12"/>
  <c r="AB24" i="12" s="1"/>
  <c r="V24" i="12"/>
  <c r="P24" i="12"/>
  <c r="O24" i="12"/>
  <c r="W23" i="12"/>
  <c r="AC23" i="12" s="1"/>
  <c r="V23" i="12"/>
  <c r="P23" i="12"/>
  <c r="O23" i="12"/>
  <c r="AA22" i="12"/>
  <c r="W22" i="12"/>
  <c r="V22" i="12"/>
  <c r="AC22" i="12" s="1"/>
  <c r="P22" i="12"/>
  <c r="O22" i="12"/>
  <c r="W21" i="12"/>
  <c r="AC21" i="12" s="1"/>
  <c r="V21" i="12"/>
  <c r="P21" i="12"/>
  <c r="O21" i="12"/>
  <c r="AC20" i="12"/>
  <c r="W20" i="12"/>
  <c r="V20" i="12"/>
  <c r="AB20" i="12" s="1"/>
  <c r="AD20" i="12" s="1"/>
  <c r="P20" i="12"/>
  <c r="O20" i="12"/>
  <c r="W19" i="12"/>
  <c r="AC19" i="12" s="1"/>
  <c r="V19" i="12"/>
  <c r="P19" i="12"/>
  <c r="O19" i="12"/>
  <c r="W18" i="12"/>
  <c r="AC18" i="12" s="1"/>
  <c r="V18" i="12"/>
  <c r="P18" i="12"/>
  <c r="O18" i="12"/>
  <c r="W17" i="12"/>
  <c r="P17" i="12"/>
  <c r="O17" i="12"/>
  <c r="V13" i="12" s="1"/>
  <c r="AB13" i="12" s="1"/>
  <c r="W16" i="12"/>
  <c r="AC16" i="12" s="1"/>
  <c r="AH16" i="12" s="1"/>
  <c r="V16" i="12"/>
  <c r="AB16" i="12" s="1"/>
  <c r="P16" i="12"/>
  <c r="O16" i="12"/>
  <c r="W15" i="12"/>
  <c r="V15" i="12"/>
  <c r="P15" i="12"/>
  <c r="O15" i="12"/>
  <c r="AA14" i="12"/>
  <c r="Z14" i="12"/>
  <c r="P14" i="12"/>
  <c r="O14" i="12"/>
  <c r="W13" i="12"/>
  <c r="P13" i="12"/>
  <c r="O13" i="12"/>
  <c r="AA12" i="12"/>
  <c r="Z12" i="12"/>
  <c r="AA61" i="12" s="1"/>
  <c r="W12" i="12"/>
  <c r="AC12" i="12" s="1"/>
  <c r="V12" i="12"/>
  <c r="P12" i="12"/>
  <c r="O12" i="12"/>
  <c r="AA11" i="12"/>
  <c r="P11" i="12"/>
  <c r="O11" i="12"/>
  <c r="Z10" i="12"/>
  <c r="P10" i="12"/>
  <c r="O10" i="12"/>
  <c r="J10" i="12"/>
  <c r="AA10" i="12" s="1"/>
  <c r="V9" i="12"/>
  <c r="S9" i="12"/>
  <c r="S10" i="12" s="1"/>
  <c r="S11" i="12" s="1"/>
  <c r="S12" i="12" s="1"/>
  <c r="S13" i="12" s="1"/>
  <c r="S14" i="12" s="1"/>
  <c r="S15" i="12" s="1"/>
  <c r="S16" i="12" s="1"/>
  <c r="S17" i="12" s="1"/>
  <c r="S18" i="12" s="1"/>
  <c r="S19" i="12" s="1"/>
  <c r="S20" i="12" s="1"/>
  <c r="S21" i="12" s="1"/>
  <c r="S22" i="12" s="1"/>
  <c r="S23" i="12" s="1"/>
  <c r="S24" i="12" s="1"/>
  <c r="S25" i="12" s="1"/>
  <c r="S26" i="12" s="1"/>
  <c r="S27" i="12" s="1"/>
  <c r="S28" i="12" s="1"/>
  <c r="S29" i="12" s="1"/>
  <c r="S30" i="12" s="1"/>
  <c r="S31" i="12" s="1"/>
  <c r="S32" i="12" s="1"/>
  <c r="S33" i="12" s="1"/>
  <c r="S34" i="12" s="1"/>
  <c r="S35" i="12" s="1"/>
  <c r="S36" i="12" s="1"/>
  <c r="S37" i="12" s="1"/>
  <c r="S38" i="12" s="1"/>
  <c r="S39" i="12" s="1"/>
  <c r="S40" i="12" s="1"/>
  <c r="S41" i="12" s="1"/>
  <c r="S42" i="12" s="1"/>
  <c r="S43" i="12" s="1"/>
  <c r="S44" i="12" s="1"/>
  <c r="S45" i="12" s="1"/>
  <c r="S46" i="12" s="1"/>
  <c r="S47" i="12" s="1"/>
  <c r="S48" i="12" s="1"/>
  <c r="S49" i="12" s="1"/>
  <c r="S50" i="12" s="1"/>
  <c r="S51" i="12" s="1"/>
  <c r="S52" i="12" s="1"/>
  <c r="S53" i="12" s="1"/>
  <c r="S54" i="12" s="1"/>
  <c r="S55" i="12" s="1"/>
  <c r="S56" i="12" s="1"/>
  <c r="S57" i="12" s="1"/>
  <c r="S58" i="12" s="1"/>
  <c r="S59" i="12" s="1"/>
  <c r="S60" i="12" s="1"/>
  <c r="S61" i="12" s="1"/>
  <c r="S62" i="12" s="1"/>
  <c r="S63" i="12" s="1"/>
  <c r="S64" i="12" s="1"/>
  <c r="S65" i="12" s="1"/>
  <c r="S66" i="12" s="1"/>
  <c r="S67" i="12" s="1"/>
  <c r="S68" i="12" s="1"/>
  <c r="S69" i="12" s="1"/>
  <c r="S70" i="12" s="1"/>
  <c r="S71" i="12" s="1"/>
  <c r="S72" i="12" s="1"/>
  <c r="S73" i="12" s="1"/>
  <c r="S74" i="12" s="1"/>
  <c r="S75" i="12" s="1"/>
  <c r="S76" i="12" s="1"/>
  <c r="S77" i="12" s="1"/>
  <c r="S78" i="12" s="1"/>
  <c r="S79" i="12" s="1"/>
  <c r="S80" i="12" s="1"/>
  <c r="S81" i="12" s="1"/>
  <c r="S82" i="12" s="1"/>
  <c r="S83" i="12" s="1"/>
  <c r="S84" i="12" s="1"/>
  <c r="S85" i="12" s="1"/>
  <c r="S86" i="12" s="1"/>
  <c r="S87" i="12" s="1"/>
  <c r="S88" i="12" s="1"/>
  <c r="S89" i="12" s="1"/>
  <c r="S90" i="12" s="1"/>
  <c r="S91" i="12" s="1"/>
  <c r="S92" i="12" s="1"/>
  <c r="S93" i="12" s="1"/>
  <c r="S94" i="12" s="1"/>
  <c r="S95" i="12" s="1"/>
  <c r="S96" i="12" s="1"/>
  <c r="S97" i="12" s="1"/>
  <c r="S98" i="12" s="1"/>
  <c r="S99" i="12" s="1"/>
  <c r="S100" i="12" s="1"/>
  <c r="S101" i="12" s="1"/>
  <c r="S102" i="12" s="1"/>
  <c r="S103" i="12" s="1"/>
  <c r="S104" i="12" s="1"/>
  <c r="S105" i="12" s="1"/>
  <c r="S106" i="12" s="1"/>
  <c r="S107" i="12" s="1"/>
  <c r="S108" i="12" s="1"/>
  <c r="S109" i="12" s="1"/>
  <c r="S110" i="12" s="1"/>
  <c r="S111" i="12" s="1"/>
  <c r="S112" i="12" s="1"/>
  <c r="S113" i="12" s="1"/>
  <c r="S114" i="12" s="1"/>
  <c r="S115" i="12" s="1"/>
  <c r="S116" i="12" s="1"/>
  <c r="S117" i="12" s="1"/>
  <c r="S118" i="12" s="1"/>
  <c r="S119" i="12" s="1"/>
  <c r="S120" i="12" s="1"/>
  <c r="S121" i="12" s="1"/>
  <c r="S122" i="12" s="1"/>
  <c r="S123" i="12" s="1"/>
  <c r="S124" i="12" s="1"/>
  <c r="S125" i="12" s="1"/>
  <c r="S126" i="12" s="1"/>
  <c r="S127" i="12" s="1"/>
  <c r="S128" i="12" s="1"/>
  <c r="S129" i="12" s="1"/>
  <c r="S130" i="12" s="1"/>
  <c r="S131" i="12" s="1"/>
  <c r="S132" i="12" s="1"/>
  <c r="S133" i="12" s="1"/>
  <c r="S134" i="12" s="1"/>
  <c r="S135" i="12" s="1"/>
  <c r="S136" i="12" s="1"/>
  <c r="S137" i="12" s="1"/>
  <c r="S138" i="12" s="1"/>
  <c r="S139" i="12" s="1"/>
  <c r="S140" i="12" s="1"/>
  <c r="S141" i="12" s="1"/>
  <c r="S142" i="12" s="1"/>
  <c r="S143" i="12" s="1"/>
  <c r="S144" i="12" s="1"/>
  <c r="S145" i="12" s="1"/>
  <c r="S146" i="12" s="1"/>
  <c r="S147" i="12" s="1"/>
  <c r="S148" i="12" s="1"/>
  <c r="S149" i="12" s="1"/>
  <c r="S150" i="12" s="1"/>
  <c r="S151" i="12" s="1"/>
  <c r="S152" i="12" s="1"/>
  <c r="S153" i="12" s="1"/>
  <c r="S154" i="12" s="1"/>
  <c r="S155" i="12" s="1"/>
  <c r="S156" i="12" s="1"/>
  <c r="S157" i="12" s="1"/>
  <c r="S158" i="12" s="1"/>
  <c r="S159" i="12" s="1"/>
  <c r="S160" i="12" s="1"/>
  <c r="S161" i="12" s="1"/>
  <c r="S162" i="12" s="1"/>
  <c r="S163" i="12" s="1"/>
  <c r="S164" i="12" s="1"/>
  <c r="S165" i="12" s="1"/>
  <c r="S166" i="12" s="1"/>
  <c r="S167" i="12" s="1"/>
  <c r="S168" i="12" s="1"/>
  <c r="S169" i="12" s="1"/>
  <c r="S170" i="12" s="1"/>
  <c r="S171" i="12" s="1"/>
  <c r="S172" i="12" s="1"/>
  <c r="S173" i="12" s="1"/>
  <c r="S174" i="12" s="1"/>
  <c r="S175" i="12" s="1"/>
  <c r="S176" i="12" s="1"/>
  <c r="S177" i="12" s="1"/>
  <c r="S178" i="12" s="1"/>
  <c r="S179" i="12" s="1"/>
  <c r="S180" i="12" s="1"/>
  <c r="S181" i="12" s="1"/>
  <c r="S182" i="12" s="1"/>
  <c r="S183" i="12" s="1"/>
  <c r="S184" i="12" s="1"/>
  <c r="S185" i="12" s="1"/>
  <c r="S186" i="12" s="1"/>
  <c r="S187" i="12" s="1"/>
  <c r="S188" i="12" s="1"/>
  <c r="S189" i="12" s="1"/>
  <c r="S190" i="12" s="1"/>
  <c r="S191" i="12" s="1"/>
  <c r="S192" i="12" s="1"/>
  <c r="S193" i="12" s="1"/>
  <c r="S194" i="12" s="1"/>
  <c r="S195" i="12" s="1"/>
  <c r="S196" i="12" s="1"/>
  <c r="S197" i="12" s="1"/>
  <c r="S198" i="12" s="1"/>
  <c r="S199" i="12" s="1"/>
  <c r="S200" i="12" s="1"/>
  <c r="P9" i="12"/>
  <c r="W9" i="12" s="1"/>
  <c r="AC9" i="12" s="1"/>
  <c r="O9" i="12"/>
  <c r="AA8" i="12"/>
  <c r="P8" i="12"/>
  <c r="O8" i="12"/>
  <c r="AN7" i="12"/>
  <c r="E201" i="11"/>
  <c r="D201" i="11"/>
  <c r="AB200" i="11"/>
  <c r="W200" i="11"/>
  <c r="V200" i="11"/>
  <c r="AC200" i="11" s="1"/>
  <c r="P200" i="11"/>
  <c r="O200" i="11"/>
  <c r="W199" i="11"/>
  <c r="V199" i="11"/>
  <c r="AB199" i="11" s="1"/>
  <c r="P199" i="11"/>
  <c r="O199" i="11"/>
  <c r="W198" i="11"/>
  <c r="V198" i="11"/>
  <c r="AB198" i="11" s="1"/>
  <c r="P198" i="11"/>
  <c r="O198" i="11"/>
  <c r="W197" i="11"/>
  <c r="AC197" i="11" s="1"/>
  <c r="V197" i="11"/>
  <c r="P197" i="11"/>
  <c r="O197" i="11"/>
  <c r="W196" i="11"/>
  <c r="V196" i="11"/>
  <c r="AB196" i="11" s="1"/>
  <c r="P196" i="11"/>
  <c r="O196" i="11"/>
  <c r="W195" i="11"/>
  <c r="V195" i="11"/>
  <c r="AB195" i="11" s="1"/>
  <c r="P195" i="11"/>
  <c r="O195" i="11"/>
  <c r="W194" i="11"/>
  <c r="V194" i="11"/>
  <c r="P194" i="11"/>
  <c r="O194" i="11"/>
  <c r="AB193" i="11"/>
  <c r="W193" i="11"/>
  <c r="V193" i="11"/>
  <c r="AC193" i="11" s="1"/>
  <c r="AE193" i="11" s="1"/>
  <c r="P193" i="11"/>
  <c r="O193" i="11"/>
  <c r="W192" i="11"/>
  <c r="AC192" i="11" s="1"/>
  <c r="V192" i="11"/>
  <c r="AB192" i="11" s="1"/>
  <c r="AD192" i="11" s="1"/>
  <c r="P192" i="11"/>
  <c r="O192" i="11"/>
  <c r="W191" i="11"/>
  <c r="V191" i="11"/>
  <c r="AB191" i="11" s="1"/>
  <c r="P191" i="11"/>
  <c r="O191" i="11"/>
  <c r="W190" i="11"/>
  <c r="V190" i="11"/>
  <c r="P190" i="11"/>
  <c r="O190" i="11"/>
  <c r="AB189" i="11"/>
  <c r="W189" i="11"/>
  <c r="V189" i="11"/>
  <c r="AC189" i="11" s="1"/>
  <c r="AE189" i="11" s="1"/>
  <c r="P189" i="11"/>
  <c r="O189" i="11"/>
  <c r="W188" i="11"/>
  <c r="AC188" i="11" s="1"/>
  <c r="V188" i="11"/>
  <c r="AB188" i="11" s="1"/>
  <c r="AD188" i="11" s="1"/>
  <c r="P188" i="11"/>
  <c r="O188" i="11"/>
  <c r="W187" i="11"/>
  <c r="V187" i="11"/>
  <c r="AB187" i="11" s="1"/>
  <c r="P187" i="11"/>
  <c r="O187" i="11"/>
  <c r="W186" i="11"/>
  <c r="V186" i="11"/>
  <c r="P186" i="11"/>
  <c r="O186" i="11"/>
  <c r="AB185" i="11"/>
  <c r="W185" i="11"/>
  <c r="V185" i="11"/>
  <c r="AC185" i="11" s="1"/>
  <c r="AE185" i="11" s="1"/>
  <c r="P185" i="11"/>
  <c r="O185" i="11"/>
  <c r="W184" i="11"/>
  <c r="AC184" i="11" s="1"/>
  <c r="V184" i="11"/>
  <c r="AB184" i="11" s="1"/>
  <c r="AD184" i="11" s="1"/>
  <c r="P184" i="11"/>
  <c r="O184" i="11"/>
  <c r="W183" i="11"/>
  <c r="V183" i="11"/>
  <c r="AB183" i="11" s="1"/>
  <c r="P183" i="11"/>
  <c r="O183" i="11"/>
  <c r="W182" i="11"/>
  <c r="V182" i="11"/>
  <c r="P182" i="11"/>
  <c r="O182" i="11"/>
  <c r="AB181" i="11"/>
  <c r="W181" i="11"/>
  <c r="V181" i="11"/>
  <c r="AC181" i="11" s="1"/>
  <c r="AE181" i="11" s="1"/>
  <c r="P181" i="11"/>
  <c r="O181" i="11"/>
  <c r="W180" i="11"/>
  <c r="AC180" i="11" s="1"/>
  <c r="V180" i="11"/>
  <c r="AB180" i="11" s="1"/>
  <c r="AD180" i="11" s="1"/>
  <c r="P180" i="11"/>
  <c r="O180" i="11"/>
  <c r="W179" i="11"/>
  <c r="V179" i="11"/>
  <c r="P179" i="11"/>
  <c r="O179" i="11"/>
  <c r="W178" i="11"/>
  <c r="V178" i="11"/>
  <c r="P178" i="11"/>
  <c r="O178" i="11"/>
  <c r="AC177" i="11"/>
  <c r="W177" i="11"/>
  <c r="V177" i="11"/>
  <c r="AB177" i="11" s="1"/>
  <c r="AG177" i="11" s="1"/>
  <c r="P177" i="11"/>
  <c r="O177" i="11"/>
  <c r="W176" i="11"/>
  <c r="AC176" i="11" s="1"/>
  <c r="V176" i="11"/>
  <c r="P176" i="11"/>
  <c r="O176" i="11"/>
  <c r="W175" i="11"/>
  <c r="AC175" i="11" s="1"/>
  <c r="V175" i="11"/>
  <c r="P175" i="11"/>
  <c r="O175" i="11"/>
  <c r="W174" i="11"/>
  <c r="AC174" i="11" s="1"/>
  <c r="AE174" i="11" s="1"/>
  <c r="V174" i="11"/>
  <c r="AB174" i="11" s="1"/>
  <c r="P174" i="11"/>
  <c r="O174" i="11"/>
  <c r="W173" i="11"/>
  <c r="AC173" i="11" s="1"/>
  <c r="V173" i="11"/>
  <c r="P173" i="11"/>
  <c r="O173" i="11"/>
  <c r="W172" i="11"/>
  <c r="AC172" i="11" s="1"/>
  <c r="V172" i="11"/>
  <c r="P172" i="11"/>
  <c r="O172" i="11"/>
  <c r="AB171" i="11"/>
  <c r="W171" i="11"/>
  <c r="V171" i="11"/>
  <c r="P171" i="11"/>
  <c r="O171" i="11"/>
  <c r="W170" i="11"/>
  <c r="AC170" i="11" s="1"/>
  <c r="V170" i="11"/>
  <c r="P170" i="11"/>
  <c r="O170" i="11"/>
  <c r="W169" i="11"/>
  <c r="V169" i="11"/>
  <c r="P169" i="11"/>
  <c r="O169" i="11"/>
  <c r="W168" i="11"/>
  <c r="AC168" i="11" s="1"/>
  <c r="V168" i="11"/>
  <c r="P168" i="11"/>
  <c r="O168" i="11"/>
  <c r="W167" i="11"/>
  <c r="V167" i="11"/>
  <c r="P167" i="11"/>
  <c r="O167" i="11"/>
  <c r="W166" i="11"/>
  <c r="V166" i="11"/>
  <c r="P166" i="11"/>
  <c r="O166" i="11"/>
  <c r="AB165" i="11"/>
  <c r="AD165" i="11" s="1"/>
  <c r="W165" i="11"/>
  <c r="V165" i="11"/>
  <c r="AC165" i="11" s="1"/>
  <c r="P165" i="11"/>
  <c r="O165" i="11"/>
  <c r="W164" i="11"/>
  <c r="AC164" i="11" s="1"/>
  <c r="AH164" i="11" s="1"/>
  <c r="V164" i="11"/>
  <c r="AB164" i="11" s="1"/>
  <c r="P164" i="11"/>
  <c r="O164" i="11"/>
  <c r="W163" i="11"/>
  <c r="V163" i="11"/>
  <c r="AB163" i="11" s="1"/>
  <c r="P163" i="11"/>
  <c r="O163" i="11"/>
  <c r="W162" i="11"/>
  <c r="V162" i="11"/>
  <c r="P162" i="11"/>
  <c r="O162" i="11"/>
  <c r="AB161" i="11"/>
  <c r="W161" i="11"/>
  <c r="V161" i="11"/>
  <c r="AC161" i="11" s="1"/>
  <c r="P161" i="11"/>
  <c r="O161" i="11"/>
  <c r="W160" i="11"/>
  <c r="V160" i="11"/>
  <c r="P160" i="11"/>
  <c r="O160" i="11"/>
  <c r="W159" i="11"/>
  <c r="AC159" i="11" s="1"/>
  <c r="V159" i="11"/>
  <c r="AB159" i="11" s="1"/>
  <c r="P159" i="11"/>
  <c r="O159" i="11"/>
  <c r="W158" i="11"/>
  <c r="AC158" i="11" s="1"/>
  <c r="V158" i="11"/>
  <c r="P158" i="11"/>
  <c r="O158" i="11"/>
  <c r="W157" i="11"/>
  <c r="V157" i="11"/>
  <c r="P157" i="11"/>
  <c r="O157" i="11"/>
  <c r="W156" i="11"/>
  <c r="AC156" i="11" s="1"/>
  <c r="V156" i="11"/>
  <c r="P156" i="11"/>
  <c r="O156" i="11"/>
  <c r="W155" i="11"/>
  <c r="AC155" i="11" s="1"/>
  <c r="V155" i="11"/>
  <c r="AB155" i="11" s="1"/>
  <c r="P155" i="11"/>
  <c r="O155" i="11"/>
  <c r="W154" i="11"/>
  <c r="AC154" i="11" s="1"/>
  <c r="V154" i="11"/>
  <c r="P154" i="11"/>
  <c r="O154" i="11"/>
  <c r="W153" i="11"/>
  <c r="V153" i="11"/>
  <c r="P153" i="11"/>
  <c r="O153" i="11"/>
  <c r="AC152" i="11"/>
  <c r="W152" i="11"/>
  <c r="AB152" i="11" s="1"/>
  <c r="V152" i="11"/>
  <c r="P152" i="11"/>
  <c r="O152" i="11"/>
  <c r="W151" i="11"/>
  <c r="AC151" i="11" s="1"/>
  <c r="V151" i="11"/>
  <c r="P151" i="11"/>
  <c r="O151" i="11"/>
  <c r="W150" i="11"/>
  <c r="AC150" i="11" s="1"/>
  <c r="V150" i="11"/>
  <c r="P150" i="11"/>
  <c r="O150" i="11"/>
  <c r="W149" i="11"/>
  <c r="V149" i="11"/>
  <c r="P149" i="11"/>
  <c r="O149" i="11"/>
  <c r="AC148" i="11"/>
  <c r="AH148" i="11" s="1"/>
  <c r="W148" i="11"/>
  <c r="AB148" i="11" s="1"/>
  <c r="AG148" i="11" s="1"/>
  <c r="V148" i="11"/>
  <c r="P148" i="11"/>
  <c r="O148" i="11"/>
  <c r="W147" i="11"/>
  <c r="AC147" i="11" s="1"/>
  <c r="V147" i="11"/>
  <c r="P147" i="11"/>
  <c r="O147" i="11"/>
  <c r="W146" i="11"/>
  <c r="AC146" i="11" s="1"/>
  <c r="V146" i="11"/>
  <c r="P146" i="11"/>
  <c r="O146" i="11"/>
  <c r="W145" i="11"/>
  <c r="V145" i="11"/>
  <c r="AB145" i="11" s="1"/>
  <c r="P145" i="11"/>
  <c r="O145" i="11"/>
  <c r="AB144" i="11"/>
  <c r="W144" i="11"/>
  <c r="AC144" i="11" s="1"/>
  <c r="AE144" i="11" s="1"/>
  <c r="V144" i="11"/>
  <c r="P144" i="11"/>
  <c r="O144" i="11"/>
  <c r="W143" i="11"/>
  <c r="V143" i="11"/>
  <c r="P143" i="11"/>
  <c r="O143" i="11"/>
  <c r="W142" i="11"/>
  <c r="V142" i="11"/>
  <c r="P142" i="11"/>
  <c r="O142" i="11"/>
  <c r="W141" i="11"/>
  <c r="V141" i="11"/>
  <c r="AB141" i="11" s="1"/>
  <c r="P141" i="11"/>
  <c r="O141" i="11"/>
  <c r="W140" i="11"/>
  <c r="AC140" i="11" s="1"/>
  <c r="V140" i="11"/>
  <c r="AB140" i="11" s="1"/>
  <c r="P140" i="11"/>
  <c r="O140" i="11"/>
  <c r="W139" i="11"/>
  <c r="AC139" i="11" s="1"/>
  <c r="V139" i="11"/>
  <c r="P139" i="11"/>
  <c r="O139" i="11"/>
  <c r="W138" i="11"/>
  <c r="AC138" i="11" s="1"/>
  <c r="V138" i="11"/>
  <c r="P138" i="11"/>
  <c r="O138" i="11"/>
  <c r="AC137" i="11"/>
  <c r="AE137" i="11" s="1"/>
  <c r="W137" i="11"/>
  <c r="V137" i="11"/>
  <c r="AB137" i="11" s="1"/>
  <c r="P137" i="11"/>
  <c r="O137" i="11"/>
  <c r="W136" i="11"/>
  <c r="AC136" i="11" s="1"/>
  <c r="V136" i="11"/>
  <c r="AB136" i="11" s="1"/>
  <c r="P136" i="11"/>
  <c r="O136" i="11"/>
  <c r="W135" i="11"/>
  <c r="V135" i="11"/>
  <c r="P135" i="11"/>
  <c r="O135" i="11"/>
  <c r="W134" i="11"/>
  <c r="V134" i="11"/>
  <c r="P134" i="11"/>
  <c r="O134" i="11"/>
  <c r="W133" i="11"/>
  <c r="V133" i="11"/>
  <c r="AB133" i="11" s="1"/>
  <c r="P133" i="11"/>
  <c r="O133" i="11"/>
  <c r="AC132" i="11"/>
  <c r="W132" i="11"/>
  <c r="V132" i="11"/>
  <c r="AB132" i="11" s="1"/>
  <c r="P132" i="11"/>
  <c r="O132" i="11"/>
  <c r="W131" i="11"/>
  <c r="AC131" i="11" s="1"/>
  <c r="V131" i="11"/>
  <c r="P131" i="11"/>
  <c r="O131" i="11"/>
  <c r="W130" i="11"/>
  <c r="AC130" i="11" s="1"/>
  <c r="V130" i="11"/>
  <c r="P130" i="11"/>
  <c r="O130" i="11"/>
  <c r="AB129" i="11"/>
  <c r="AG129" i="11" s="1"/>
  <c r="W129" i="11"/>
  <c r="AC129" i="11" s="1"/>
  <c r="AE129" i="11" s="1"/>
  <c r="V129" i="11"/>
  <c r="P129" i="11"/>
  <c r="O129" i="11"/>
  <c r="W128" i="11"/>
  <c r="V128" i="11"/>
  <c r="AB128" i="11" s="1"/>
  <c r="P128" i="11"/>
  <c r="O128" i="11"/>
  <c r="W127" i="11"/>
  <c r="AC127" i="11" s="1"/>
  <c r="V127" i="11"/>
  <c r="P127" i="11"/>
  <c r="O127" i="11"/>
  <c r="W126" i="11"/>
  <c r="V126" i="11"/>
  <c r="AC126" i="11" s="1"/>
  <c r="P126" i="11"/>
  <c r="O126" i="11"/>
  <c r="W125" i="11"/>
  <c r="V125" i="11"/>
  <c r="P125" i="11"/>
  <c r="O125" i="11"/>
  <c r="W124" i="11"/>
  <c r="V124" i="11"/>
  <c r="AB124" i="11" s="1"/>
  <c r="P124" i="11"/>
  <c r="O124" i="11"/>
  <c r="W123" i="11"/>
  <c r="AC123" i="11" s="1"/>
  <c r="V123" i="11"/>
  <c r="P123" i="11"/>
  <c r="O123" i="11"/>
  <c r="AB122" i="11"/>
  <c r="AD122" i="11" s="1"/>
  <c r="W122" i="11"/>
  <c r="V122" i="11"/>
  <c r="AC122" i="11" s="1"/>
  <c r="P122" i="11"/>
  <c r="O122" i="11"/>
  <c r="W121" i="11"/>
  <c r="V121" i="11"/>
  <c r="P121" i="11"/>
  <c r="O121" i="11"/>
  <c r="W120" i="11"/>
  <c r="V120" i="11"/>
  <c r="AB120" i="11" s="1"/>
  <c r="P120" i="11"/>
  <c r="O120" i="11"/>
  <c r="W119" i="11"/>
  <c r="AC119" i="11" s="1"/>
  <c r="V119" i="11"/>
  <c r="P119" i="11"/>
  <c r="O119" i="11"/>
  <c r="W118" i="11"/>
  <c r="V118" i="11"/>
  <c r="AC118" i="11" s="1"/>
  <c r="P118" i="11"/>
  <c r="O118" i="11"/>
  <c r="W117" i="11"/>
  <c r="V117" i="11"/>
  <c r="P117" i="11"/>
  <c r="O117" i="11"/>
  <c r="W116" i="11"/>
  <c r="V116" i="11"/>
  <c r="AB116" i="11" s="1"/>
  <c r="P116" i="11"/>
  <c r="O116" i="11"/>
  <c r="AC115" i="11"/>
  <c r="AH115" i="11" s="1"/>
  <c r="W115" i="11"/>
  <c r="V115" i="11"/>
  <c r="AB115" i="11" s="1"/>
  <c r="P115" i="11"/>
  <c r="O115" i="11"/>
  <c r="W114" i="11"/>
  <c r="V114" i="11"/>
  <c r="AB114" i="11" s="1"/>
  <c r="P114" i="11"/>
  <c r="O114" i="11"/>
  <c r="W113" i="11"/>
  <c r="V113" i="11"/>
  <c r="P113" i="11"/>
  <c r="O113" i="11"/>
  <c r="W112" i="11"/>
  <c r="V112" i="11"/>
  <c r="AB112" i="11" s="1"/>
  <c r="P112" i="11"/>
  <c r="O112" i="11"/>
  <c r="W111" i="11"/>
  <c r="AC111" i="11" s="1"/>
  <c r="V111" i="11"/>
  <c r="P111" i="11"/>
  <c r="O111" i="11"/>
  <c r="W110" i="11"/>
  <c r="V110" i="11"/>
  <c r="AB110" i="11" s="1"/>
  <c r="P110" i="11"/>
  <c r="O110" i="11"/>
  <c r="W109" i="11"/>
  <c r="V109" i="11"/>
  <c r="P109" i="11"/>
  <c r="O109" i="11"/>
  <c r="W108" i="11"/>
  <c r="AC108" i="11" s="1"/>
  <c r="V108" i="11"/>
  <c r="P108" i="11"/>
  <c r="O108" i="11"/>
  <c r="W107" i="11"/>
  <c r="AC107" i="11" s="1"/>
  <c r="V107" i="11"/>
  <c r="P107" i="11"/>
  <c r="O107" i="11"/>
  <c r="AB106" i="11"/>
  <c r="AD106" i="11" s="1"/>
  <c r="W106" i="11"/>
  <c r="V106" i="11"/>
  <c r="AC106" i="11" s="1"/>
  <c r="P106" i="11"/>
  <c r="O106" i="11"/>
  <c r="W105" i="11"/>
  <c r="V105" i="11"/>
  <c r="P105" i="11"/>
  <c r="O105" i="11"/>
  <c r="W104" i="11"/>
  <c r="V104" i="11"/>
  <c r="AB104" i="11" s="1"/>
  <c r="P104" i="11"/>
  <c r="O104" i="11"/>
  <c r="W103" i="11"/>
  <c r="AC103" i="11" s="1"/>
  <c r="V103" i="11"/>
  <c r="P103" i="11"/>
  <c r="O103" i="11"/>
  <c r="W102" i="11"/>
  <c r="V102" i="11"/>
  <c r="AC102" i="11" s="1"/>
  <c r="P102" i="11"/>
  <c r="O102" i="11"/>
  <c r="W101" i="11"/>
  <c r="V101" i="11"/>
  <c r="P101" i="11"/>
  <c r="O101" i="11"/>
  <c r="W100" i="11"/>
  <c r="V100" i="11"/>
  <c r="AB100" i="11" s="1"/>
  <c r="P100" i="11"/>
  <c r="O100" i="11"/>
  <c r="W99" i="11"/>
  <c r="V99" i="11"/>
  <c r="P99" i="11"/>
  <c r="O99" i="11"/>
  <c r="W98" i="11"/>
  <c r="V98" i="11"/>
  <c r="AC98" i="11" s="1"/>
  <c r="P98" i="11"/>
  <c r="O98" i="11"/>
  <c r="W97" i="11"/>
  <c r="V97" i="11"/>
  <c r="P97" i="11"/>
  <c r="O97" i="11"/>
  <c r="W96" i="11"/>
  <c r="V96" i="11"/>
  <c r="AB96" i="11" s="1"/>
  <c r="P96" i="11"/>
  <c r="O96" i="11"/>
  <c r="AC95" i="11"/>
  <c r="AE95" i="11" s="1"/>
  <c r="W95" i="11"/>
  <c r="V95" i="11"/>
  <c r="AB95" i="11" s="1"/>
  <c r="P95" i="11"/>
  <c r="O95" i="11"/>
  <c r="W94" i="11"/>
  <c r="V94" i="11"/>
  <c r="AC94" i="11" s="1"/>
  <c r="P94" i="11"/>
  <c r="O94" i="11"/>
  <c r="W93" i="11"/>
  <c r="AC93" i="11" s="1"/>
  <c r="V93" i="11"/>
  <c r="AB93" i="11" s="1"/>
  <c r="AG93" i="11" s="1"/>
  <c r="P93" i="11"/>
  <c r="O93" i="11"/>
  <c r="W92" i="11"/>
  <c r="AC92" i="11" s="1"/>
  <c r="V92" i="11"/>
  <c r="P92" i="11"/>
  <c r="O92" i="11"/>
  <c r="AC91" i="11"/>
  <c r="W91" i="11"/>
  <c r="V91" i="11"/>
  <c r="P91" i="11"/>
  <c r="O91" i="11"/>
  <c r="W90" i="11"/>
  <c r="V90" i="11"/>
  <c r="P90" i="11"/>
  <c r="O90" i="11"/>
  <c r="W89" i="11"/>
  <c r="AC89" i="11" s="1"/>
  <c r="V89" i="11"/>
  <c r="P89" i="11"/>
  <c r="O89" i="11"/>
  <c r="W88" i="11"/>
  <c r="AB88" i="11" s="1"/>
  <c r="V88" i="11"/>
  <c r="P88" i="11"/>
  <c r="O88" i="11"/>
  <c r="W87" i="11"/>
  <c r="AC87" i="11" s="1"/>
  <c r="V87" i="11"/>
  <c r="P87" i="11"/>
  <c r="O87" i="11"/>
  <c r="W86" i="11"/>
  <c r="AC86" i="11" s="1"/>
  <c r="V86" i="11"/>
  <c r="P86" i="11"/>
  <c r="O86" i="11"/>
  <c r="W85" i="11"/>
  <c r="AC85" i="11" s="1"/>
  <c r="V85" i="11"/>
  <c r="P85" i="11"/>
  <c r="O85" i="11"/>
  <c r="W84" i="11"/>
  <c r="AB84" i="11" s="1"/>
  <c r="V84" i="11"/>
  <c r="P84" i="11"/>
  <c r="O84" i="11"/>
  <c r="W83" i="11"/>
  <c r="V83" i="11"/>
  <c r="P83" i="11"/>
  <c r="O83" i="11"/>
  <c r="W82" i="11"/>
  <c r="AC82" i="11" s="1"/>
  <c r="V82" i="11"/>
  <c r="P82" i="11"/>
  <c r="O82" i="11"/>
  <c r="W81" i="11"/>
  <c r="AC81" i="11" s="1"/>
  <c r="V81" i="11"/>
  <c r="P81" i="11"/>
  <c r="O81" i="11"/>
  <c r="W80" i="11"/>
  <c r="AB80" i="11" s="1"/>
  <c r="V80" i="11"/>
  <c r="P80" i="11"/>
  <c r="O80" i="11"/>
  <c r="W79" i="11"/>
  <c r="V79" i="11"/>
  <c r="P79" i="11"/>
  <c r="O79" i="11"/>
  <c r="W78" i="11"/>
  <c r="V78" i="11"/>
  <c r="P78" i="11"/>
  <c r="O78" i="11"/>
  <c r="AC77" i="11"/>
  <c r="AE77" i="11" s="1"/>
  <c r="W77" i="11"/>
  <c r="V77" i="11"/>
  <c r="AB77" i="11" s="1"/>
  <c r="P77" i="11"/>
  <c r="O77" i="11"/>
  <c r="V30" i="11" s="1"/>
  <c r="AC30" i="11" s="1"/>
  <c r="W76" i="11"/>
  <c r="AC76" i="11" s="1"/>
  <c r="V76" i="11"/>
  <c r="AB76" i="11" s="1"/>
  <c r="AD76" i="11" s="1"/>
  <c r="P76" i="11"/>
  <c r="O76" i="11"/>
  <c r="W75" i="11"/>
  <c r="V75" i="11"/>
  <c r="P75" i="11"/>
  <c r="O75" i="11"/>
  <c r="W74" i="11"/>
  <c r="V74" i="11"/>
  <c r="AB74" i="11" s="1"/>
  <c r="P74" i="11"/>
  <c r="O74" i="11"/>
  <c r="W73" i="11"/>
  <c r="AC73" i="11" s="1"/>
  <c r="V73" i="11"/>
  <c r="P73" i="11"/>
  <c r="O73" i="11"/>
  <c r="AC72" i="11"/>
  <c r="W72" i="11"/>
  <c r="V72" i="11"/>
  <c r="AB72" i="11" s="1"/>
  <c r="P72" i="11"/>
  <c r="O72" i="11"/>
  <c r="W71" i="11"/>
  <c r="V71" i="11"/>
  <c r="P71" i="11"/>
  <c r="O71" i="11"/>
  <c r="W70" i="11"/>
  <c r="V70" i="11"/>
  <c r="P70" i="11"/>
  <c r="O70" i="11"/>
  <c r="W69" i="11"/>
  <c r="V69" i="11"/>
  <c r="AB69" i="11" s="1"/>
  <c r="P69" i="11"/>
  <c r="W37" i="11" s="1"/>
  <c r="O69" i="11"/>
  <c r="AC68" i="11"/>
  <c r="AH68" i="11" s="1"/>
  <c r="W68" i="11"/>
  <c r="V68" i="11"/>
  <c r="AB68" i="11" s="1"/>
  <c r="AG68" i="11" s="1"/>
  <c r="P68" i="11"/>
  <c r="O68" i="11"/>
  <c r="W67" i="11"/>
  <c r="V67" i="11"/>
  <c r="P67" i="11"/>
  <c r="O67" i="11"/>
  <c r="W66" i="11"/>
  <c r="V66" i="11"/>
  <c r="P66" i="11"/>
  <c r="O66" i="11"/>
  <c r="W65" i="11"/>
  <c r="AC65" i="11" s="1"/>
  <c r="AE65" i="11" s="1"/>
  <c r="V65" i="11"/>
  <c r="AB65" i="11" s="1"/>
  <c r="P65" i="11"/>
  <c r="O65" i="11"/>
  <c r="V46" i="11" s="1"/>
  <c r="AB46" i="11" s="1"/>
  <c r="AC64" i="11"/>
  <c r="AB64" i="11"/>
  <c r="W64" i="11"/>
  <c r="V64" i="11"/>
  <c r="P64" i="11"/>
  <c r="O64" i="11"/>
  <c r="V45" i="11" s="1"/>
  <c r="AB45" i="11" s="1"/>
  <c r="Z63" i="11"/>
  <c r="W63" i="11"/>
  <c r="V63" i="11"/>
  <c r="AC63" i="11" s="1"/>
  <c r="P63" i="11"/>
  <c r="W42" i="11" s="1"/>
  <c r="AC42" i="11" s="1"/>
  <c r="O63" i="11"/>
  <c r="W62" i="11"/>
  <c r="AC62" i="11" s="1"/>
  <c r="V62" i="11"/>
  <c r="P62" i="11"/>
  <c r="O62" i="11"/>
  <c r="W61" i="11"/>
  <c r="V61" i="11"/>
  <c r="P61" i="11"/>
  <c r="O61" i="11"/>
  <c r="Z60" i="11"/>
  <c r="W60" i="11"/>
  <c r="V60" i="11"/>
  <c r="P60" i="11"/>
  <c r="W56" i="11" s="1"/>
  <c r="O60" i="11"/>
  <c r="V56" i="11" s="1"/>
  <c r="AB56" i="11" s="1"/>
  <c r="W59" i="11"/>
  <c r="V59" i="11"/>
  <c r="AB59" i="11" s="1"/>
  <c r="P59" i="11"/>
  <c r="O59" i="11"/>
  <c r="W58" i="11"/>
  <c r="AC58" i="11" s="1"/>
  <c r="AE58" i="11" s="1"/>
  <c r="V58" i="11"/>
  <c r="AB58" i="11" s="1"/>
  <c r="AD58" i="11" s="1"/>
  <c r="P58" i="11"/>
  <c r="O58" i="11"/>
  <c r="P57" i="11"/>
  <c r="O57" i="11"/>
  <c r="V54" i="11" s="1"/>
  <c r="P56" i="11"/>
  <c r="O56" i="11"/>
  <c r="P55" i="11"/>
  <c r="O55" i="11"/>
  <c r="W54" i="11"/>
  <c r="P54" i="11"/>
  <c r="W51" i="11" s="1"/>
  <c r="O54" i="11"/>
  <c r="P53" i="11"/>
  <c r="O53" i="11"/>
  <c r="Z52" i="11"/>
  <c r="W52" i="11"/>
  <c r="V52" i="11"/>
  <c r="P52" i="11"/>
  <c r="O52" i="11"/>
  <c r="V40" i="11" s="1"/>
  <c r="AA51" i="11"/>
  <c r="V51" i="11"/>
  <c r="P51" i="11"/>
  <c r="W41" i="11" s="1"/>
  <c r="AC41" i="11" s="1"/>
  <c r="O51" i="11"/>
  <c r="W50" i="11"/>
  <c r="V50" i="11"/>
  <c r="AB50" i="11" s="1"/>
  <c r="P50" i="11"/>
  <c r="W29" i="11" s="1"/>
  <c r="AC29" i="11" s="1"/>
  <c r="O50" i="11"/>
  <c r="W49" i="11"/>
  <c r="V49" i="11"/>
  <c r="AB49" i="11" s="1"/>
  <c r="P49" i="11"/>
  <c r="W57" i="11" s="1"/>
  <c r="AC57" i="11" s="1"/>
  <c r="O49" i="11"/>
  <c r="V57" i="11" s="1"/>
  <c r="W48" i="11"/>
  <c r="AC48" i="11" s="1"/>
  <c r="V48" i="11"/>
  <c r="P48" i="11"/>
  <c r="W55" i="11" s="1"/>
  <c r="O48" i="11"/>
  <c r="V55" i="11" s="1"/>
  <c r="W47" i="11"/>
  <c r="AC47" i="11" s="1"/>
  <c r="V47" i="11"/>
  <c r="P47" i="11"/>
  <c r="W53" i="11" s="1"/>
  <c r="O47" i="11"/>
  <c r="V53" i="11" s="1"/>
  <c r="W46" i="11"/>
  <c r="P46" i="11"/>
  <c r="O46" i="11"/>
  <c r="V28" i="11" s="1"/>
  <c r="AB28" i="11" s="1"/>
  <c r="W45" i="11"/>
  <c r="P45" i="11"/>
  <c r="O45" i="11"/>
  <c r="V26" i="11" s="1"/>
  <c r="AB26" i="11" s="1"/>
  <c r="AC44" i="11"/>
  <c r="W44" i="11"/>
  <c r="V44" i="11"/>
  <c r="P44" i="11"/>
  <c r="O44" i="11"/>
  <c r="W43" i="11"/>
  <c r="V43" i="11"/>
  <c r="AB43" i="11" s="1"/>
  <c r="P43" i="11"/>
  <c r="W17" i="11" s="1"/>
  <c r="O43" i="11"/>
  <c r="V42" i="11"/>
  <c r="P42" i="11"/>
  <c r="W24" i="11" s="1"/>
  <c r="O42" i="11"/>
  <c r="V41" i="11"/>
  <c r="P41" i="11"/>
  <c r="O41" i="11"/>
  <c r="W40" i="11"/>
  <c r="P40" i="11"/>
  <c r="O40" i="11"/>
  <c r="W39" i="11"/>
  <c r="V39" i="11"/>
  <c r="AB39" i="11" s="1"/>
  <c r="P39" i="11"/>
  <c r="O39" i="11"/>
  <c r="W38" i="11"/>
  <c r="V38" i="11"/>
  <c r="AB38" i="11" s="1"/>
  <c r="P38" i="11"/>
  <c r="O38" i="11"/>
  <c r="V37" i="11"/>
  <c r="P37" i="11"/>
  <c r="O37" i="11"/>
  <c r="W36" i="11"/>
  <c r="AB36" i="11" s="1"/>
  <c r="V36" i="11"/>
  <c r="P36" i="11"/>
  <c r="O36" i="11"/>
  <c r="AB35" i="11"/>
  <c r="Z35" i="11"/>
  <c r="W35" i="11"/>
  <c r="V35" i="11"/>
  <c r="P35" i="11"/>
  <c r="O35" i="11"/>
  <c r="W34" i="11"/>
  <c r="V34" i="11"/>
  <c r="AB34" i="11" s="1"/>
  <c r="P34" i="11"/>
  <c r="O34" i="11"/>
  <c r="W33" i="11"/>
  <c r="V33" i="11"/>
  <c r="AB33" i="11" s="1"/>
  <c r="P33" i="11"/>
  <c r="O33" i="11"/>
  <c r="Z32" i="11"/>
  <c r="W32" i="11"/>
  <c r="AB32" i="11" s="1"/>
  <c r="V32" i="11"/>
  <c r="P32" i="11"/>
  <c r="O32" i="11"/>
  <c r="W31" i="11"/>
  <c r="V31" i="11"/>
  <c r="P31" i="11"/>
  <c r="O31" i="11"/>
  <c r="Z30" i="11"/>
  <c r="W30" i="11"/>
  <c r="P30" i="11"/>
  <c r="O30" i="11"/>
  <c r="V29" i="11"/>
  <c r="P29" i="11"/>
  <c r="O29" i="11"/>
  <c r="Z28" i="11"/>
  <c r="W28" i="11"/>
  <c r="P28" i="11"/>
  <c r="O28" i="11"/>
  <c r="AB27" i="11"/>
  <c r="AA27" i="11"/>
  <c r="W27" i="11"/>
  <c r="V27" i="11"/>
  <c r="P27" i="11"/>
  <c r="O27" i="11"/>
  <c r="Z26" i="11"/>
  <c r="W26" i="11"/>
  <c r="P26" i="11"/>
  <c r="O26" i="11"/>
  <c r="AB25" i="11"/>
  <c r="W25" i="11"/>
  <c r="V25" i="11"/>
  <c r="P25" i="11"/>
  <c r="O25" i="11"/>
  <c r="Z24" i="11"/>
  <c r="V24" i="11"/>
  <c r="P24" i="11"/>
  <c r="O24" i="11"/>
  <c r="W23" i="11"/>
  <c r="V23" i="11"/>
  <c r="AB23" i="11" s="1"/>
  <c r="P23" i="11"/>
  <c r="O23" i="11"/>
  <c r="AA22" i="11"/>
  <c r="W22" i="11"/>
  <c r="V22" i="11"/>
  <c r="P22" i="11"/>
  <c r="O22" i="11"/>
  <c r="W21" i="11"/>
  <c r="V21" i="11"/>
  <c r="AB21" i="11" s="1"/>
  <c r="P21" i="11"/>
  <c r="O21" i="11"/>
  <c r="W20" i="11"/>
  <c r="AB20" i="11" s="1"/>
  <c r="V20" i="11"/>
  <c r="P20" i="11"/>
  <c r="O20" i="11"/>
  <c r="AB19" i="11"/>
  <c r="W19" i="11"/>
  <c r="V19" i="11"/>
  <c r="P19" i="11"/>
  <c r="O19" i="11"/>
  <c r="V10" i="11" s="1"/>
  <c r="W18" i="11"/>
  <c r="V18" i="11"/>
  <c r="AB18" i="11" s="1"/>
  <c r="P18" i="11"/>
  <c r="W11" i="11" s="1"/>
  <c r="O18" i="11"/>
  <c r="V17" i="11"/>
  <c r="P17" i="11"/>
  <c r="W13" i="11" s="1"/>
  <c r="O17" i="11"/>
  <c r="W16" i="11"/>
  <c r="V16" i="11"/>
  <c r="P16" i="11"/>
  <c r="W14" i="11" s="1"/>
  <c r="O16" i="11"/>
  <c r="W15" i="11"/>
  <c r="V15" i="11"/>
  <c r="AB15" i="11" s="1"/>
  <c r="P15" i="11"/>
  <c r="O15" i="11"/>
  <c r="AA14" i="11"/>
  <c r="Z14" i="11"/>
  <c r="P14" i="11"/>
  <c r="O14" i="11"/>
  <c r="V13" i="11"/>
  <c r="P13" i="11"/>
  <c r="O13" i="11"/>
  <c r="AA12" i="11"/>
  <c r="Z12" i="11"/>
  <c r="AA61" i="11" s="1"/>
  <c r="W12" i="11"/>
  <c r="V12" i="11"/>
  <c r="P12" i="11"/>
  <c r="O12" i="11"/>
  <c r="AA11" i="11"/>
  <c r="P11" i="11"/>
  <c r="O11" i="11"/>
  <c r="Z10" i="11"/>
  <c r="P10" i="11"/>
  <c r="O10" i="11"/>
  <c r="V9" i="11" s="1"/>
  <c r="J10" i="11"/>
  <c r="AA10" i="11" s="1"/>
  <c r="S9" i="11"/>
  <c r="S10" i="11" s="1"/>
  <c r="S11" i="11" s="1"/>
  <c r="S12" i="11" s="1"/>
  <c r="S13" i="11" s="1"/>
  <c r="S14" i="11" s="1"/>
  <c r="S15" i="11" s="1"/>
  <c r="S16" i="11" s="1"/>
  <c r="S17" i="11" s="1"/>
  <c r="S18" i="11" s="1"/>
  <c r="S19" i="11" s="1"/>
  <c r="S20" i="11" s="1"/>
  <c r="S21" i="11" s="1"/>
  <c r="S22" i="11" s="1"/>
  <c r="S23" i="11" s="1"/>
  <c r="S24" i="11" s="1"/>
  <c r="S25" i="11" s="1"/>
  <c r="S26" i="11" s="1"/>
  <c r="S27" i="11" s="1"/>
  <c r="S28" i="11" s="1"/>
  <c r="S29" i="11" s="1"/>
  <c r="S30" i="11" s="1"/>
  <c r="S31" i="11" s="1"/>
  <c r="S32" i="11" s="1"/>
  <c r="S33" i="11" s="1"/>
  <c r="S34" i="11" s="1"/>
  <c r="S35" i="11" s="1"/>
  <c r="S36" i="11" s="1"/>
  <c r="S37" i="11" s="1"/>
  <c r="S38" i="11" s="1"/>
  <c r="S39" i="11" s="1"/>
  <c r="S40" i="11" s="1"/>
  <c r="S41" i="11" s="1"/>
  <c r="S42" i="11" s="1"/>
  <c r="S43" i="11" s="1"/>
  <c r="S44" i="11" s="1"/>
  <c r="S45" i="11" s="1"/>
  <c r="S46" i="11" s="1"/>
  <c r="S47" i="11" s="1"/>
  <c r="S48" i="11" s="1"/>
  <c r="S49" i="11" s="1"/>
  <c r="S50" i="11" s="1"/>
  <c r="S51" i="11" s="1"/>
  <c r="S52" i="11" s="1"/>
  <c r="S53" i="11" s="1"/>
  <c r="S54" i="11" s="1"/>
  <c r="S55" i="11" s="1"/>
  <c r="S56" i="11" s="1"/>
  <c r="S57" i="11" s="1"/>
  <c r="S58" i="11" s="1"/>
  <c r="S59" i="11" s="1"/>
  <c r="S60" i="11" s="1"/>
  <c r="S61" i="11" s="1"/>
  <c r="S62" i="11" s="1"/>
  <c r="S63" i="11" s="1"/>
  <c r="S64" i="11" s="1"/>
  <c r="S65" i="11" s="1"/>
  <c r="S66" i="11" s="1"/>
  <c r="S67" i="11" s="1"/>
  <c r="S68" i="11" s="1"/>
  <c r="S69" i="11" s="1"/>
  <c r="S70" i="11" s="1"/>
  <c r="S71" i="11" s="1"/>
  <c r="S72" i="11" s="1"/>
  <c r="S73" i="11" s="1"/>
  <c r="S74" i="11" s="1"/>
  <c r="S75" i="11" s="1"/>
  <c r="S76" i="11" s="1"/>
  <c r="S77" i="11" s="1"/>
  <c r="S78" i="11" s="1"/>
  <c r="S79" i="11" s="1"/>
  <c r="S80" i="11" s="1"/>
  <c r="S81" i="11" s="1"/>
  <c r="S82" i="11" s="1"/>
  <c r="S83" i="11" s="1"/>
  <c r="S84" i="11" s="1"/>
  <c r="S85" i="11" s="1"/>
  <c r="S86" i="11" s="1"/>
  <c r="S87" i="11" s="1"/>
  <c r="S88" i="11" s="1"/>
  <c r="S89" i="11" s="1"/>
  <c r="S90" i="11" s="1"/>
  <c r="S91" i="11" s="1"/>
  <c r="S92" i="11" s="1"/>
  <c r="S93" i="11" s="1"/>
  <c r="S94" i="11" s="1"/>
  <c r="S95" i="11" s="1"/>
  <c r="S96" i="11" s="1"/>
  <c r="S97" i="11" s="1"/>
  <c r="S98" i="11" s="1"/>
  <c r="S99" i="11" s="1"/>
  <c r="S100" i="11" s="1"/>
  <c r="S101" i="11" s="1"/>
  <c r="S102" i="11" s="1"/>
  <c r="S103" i="11" s="1"/>
  <c r="S104" i="11" s="1"/>
  <c r="S105" i="11" s="1"/>
  <c r="S106" i="11" s="1"/>
  <c r="S107" i="11" s="1"/>
  <c r="S108" i="11" s="1"/>
  <c r="S109" i="11" s="1"/>
  <c r="S110" i="11" s="1"/>
  <c r="S111" i="11" s="1"/>
  <c r="S112" i="11" s="1"/>
  <c r="S113" i="11" s="1"/>
  <c r="S114" i="11" s="1"/>
  <c r="S115" i="11" s="1"/>
  <c r="S116" i="11" s="1"/>
  <c r="S117" i="11" s="1"/>
  <c r="S118" i="11" s="1"/>
  <c r="S119" i="11" s="1"/>
  <c r="S120" i="11" s="1"/>
  <c r="S121" i="11" s="1"/>
  <c r="S122" i="11" s="1"/>
  <c r="S123" i="11" s="1"/>
  <c r="S124" i="11" s="1"/>
  <c r="S125" i="11" s="1"/>
  <c r="S126" i="11" s="1"/>
  <c r="S127" i="11" s="1"/>
  <c r="S128" i="11" s="1"/>
  <c r="S129" i="11" s="1"/>
  <c r="S130" i="11" s="1"/>
  <c r="S131" i="11" s="1"/>
  <c r="S132" i="11" s="1"/>
  <c r="S133" i="11" s="1"/>
  <c r="S134" i="11" s="1"/>
  <c r="S135" i="11" s="1"/>
  <c r="S136" i="11" s="1"/>
  <c r="S137" i="11" s="1"/>
  <c r="S138" i="11" s="1"/>
  <c r="S139" i="11" s="1"/>
  <c r="S140" i="11" s="1"/>
  <c r="S141" i="11" s="1"/>
  <c r="S142" i="11" s="1"/>
  <c r="S143" i="11" s="1"/>
  <c r="S144" i="11" s="1"/>
  <c r="S145" i="11" s="1"/>
  <c r="S146" i="11" s="1"/>
  <c r="S147" i="11" s="1"/>
  <c r="S148" i="11" s="1"/>
  <c r="S149" i="11" s="1"/>
  <c r="S150" i="11" s="1"/>
  <c r="S151" i="11" s="1"/>
  <c r="S152" i="11" s="1"/>
  <c r="S153" i="11" s="1"/>
  <c r="S154" i="11" s="1"/>
  <c r="S155" i="11" s="1"/>
  <c r="S156" i="11" s="1"/>
  <c r="S157" i="11" s="1"/>
  <c r="S158" i="11" s="1"/>
  <c r="S159" i="11" s="1"/>
  <c r="S160" i="11" s="1"/>
  <c r="S161" i="11" s="1"/>
  <c r="S162" i="11" s="1"/>
  <c r="S163" i="11" s="1"/>
  <c r="S164" i="11" s="1"/>
  <c r="S165" i="11" s="1"/>
  <c r="S166" i="11" s="1"/>
  <c r="S167" i="11" s="1"/>
  <c r="S168" i="11" s="1"/>
  <c r="S169" i="11" s="1"/>
  <c r="S170" i="11" s="1"/>
  <c r="S171" i="11" s="1"/>
  <c r="S172" i="11" s="1"/>
  <c r="S173" i="11" s="1"/>
  <c r="S174" i="11" s="1"/>
  <c r="S175" i="11" s="1"/>
  <c r="S176" i="11" s="1"/>
  <c r="S177" i="11" s="1"/>
  <c r="S178" i="11" s="1"/>
  <c r="S179" i="11" s="1"/>
  <c r="S180" i="11" s="1"/>
  <c r="S181" i="11" s="1"/>
  <c r="S182" i="11" s="1"/>
  <c r="S183" i="11" s="1"/>
  <c r="S184" i="11" s="1"/>
  <c r="S185" i="11" s="1"/>
  <c r="S186" i="11" s="1"/>
  <c r="S187" i="11" s="1"/>
  <c r="S188" i="11" s="1"/>
  <c r="S189" i="11" s="1"/>
  <c r="S190" i="11" s="1"/>
  <c r="S191" i="11" s="1"/>
  <c r="S192" i="11" s="1"/>
  <c r="S193" i="11" s="1"/>
  <c r="S194" i="11" s="1"/>
  <c r="S195" i="11" s="1"/>
  <c r="S196" i="11" s="1"/>
  <c r="S197" i="11" s="1"/>
  <c r="S198" i="11" s="1"/>
  <c r="S199" i="11" s="1"/>
  <c r="S200" i="11" s="1"/>
  <c r="P9" i="11"/>
  <c r="W9" i="11" s="1"/>
  <c r="O9" i="11"/>
  <c r="AA8" i="11"/>
  <c r="P8" i="11"/>
  <c r="O8" i="11"/>
  <c r="O201" i="11" s="1"/>
  <c r="AN7" i="11"/>
  <c r="E201" i="10"/>
  <c r="D201" i="10"/>
  <c r="AB200" i="10"/>
  <c r="AD200" i="10" s="1"/>
  <c r="W200" i="10"/>
  <c r="V200" i="10"/>
  <c r="AC200" i="10" s="1"/>
  <c r="P200" i="10"/>
  <c r="O200" i="10"/>
  <c r="W199" i="10"/>
  <c r="V199" i="10"/>
  <c r="AB199" i="10" s="1"/>
  <c r="P199" i="10"/>
  <c r="O199" i="10"/>
  <c r="W198" i="10"/>
  <c r="V198" i="10"/>
  <c r="AB198" i="10" s="1"/>
  <c r="P198" i="10"/>
  <c r="O198" i="10"/>
  <c r="W197" i="10"/>
  <c r="AC197" i="10" s="1"/>
  <c r="AE197" i="10" s="1"/>
  <c r="V197" i="10"/>
  <c r="AB197" i="10" s="1"/>
  <c r="P197" i="10"/>
  <c r="O197" i="10"/>
  <c r="W196" i="10"/>
  <c r="AB196" i="10" s="1"/>
  <c r="V196" i="10"/>
  <c r="P196" i="10"/>
  <c r="O196" i="10"/>
  <c r="W195" i="10"/>
  <c r="AC195" i="10" s="1"/>
  <c r="V195" i="10"/>
  <c r="P195" i="10"/>
  <c r="O195" i="10"/>
  <c r="W194" i="10"/>
  <c r="AC194" i="10" s="1"/>
  <c r="V194" i="10"/>
  <c r="P194" i="10"/>
  <c r="O194" i="10"/>
  <c r="AC193" i="10"/>
  <c r="AE193" i="10" s="1"/>
  <c r="W193" i="10"/>
  <c r="V193" i="10"/>
  <c r="AB193" i="10" s="1"/>
  <c r="P193" i="10"/>
  <c r="O193" i="10"/>
  <c r="W192" i="10"/>
  <c r="AC192" i="10" s="1"/>
  <c r="V192" i="10"/>
  <c r="AB192" i="10" s="1"/>
  <c r="AD192" i="10" s="1"/>
  <c r="P192" i="10"/>
  <c r="O192" i="10"/>
  <c r="W191" i="10"/>
  <c r="V191" i="10"/>
  <c r="P191" i="10"/>
  <c r="O191" i="10"/>
  <c r="W190" i="10"/>
  <c r="V190" i="10"/>
  <c r="AB190" i="10" s="1"/>
  <c r="P190" i="10"/>
  <c r="O190" i="10"/>
  <c r="W189" i="10"/>
  <c r="AC189" i="10" s="1"/>
  <c r="V189" i="10"/>
  <c r="P189" i="10"/>
  <c r="O189" i="10"/>
  <c r="AC188" i="10"/>
  <c r="W188" i="10"/>
  <c r="V188" i="10"/>
  <c r="AB188" i="10" s="1"/>
  <c r="AD188" i="10" s="1"/>
  <c r="P188" i="10"/>
  <c r="O188" i="10"/>
  <c r="W187" i="10"/>
  <c r="V187" i="10"/>
  <c r="P187" i="10"/>
  <c r="O187" i="10"/>
  <c r="W186" i="10"/>
  <c r="V186" i="10"/>
  <c r="AB186" i="10" s="1"/>
  <c r="P186" i="10"/>
  <c r="O186" i="10"/>
  <c r="W185" i="10"/>
  <c r="AC185" i="10" s="1"/>
  <c r="V185" i="10"/>
  <c r="AB185" i="10" s="1"/>
  <c r="P185" i="10"/>
  <c r="O185" i="10"/>
  <c r="AC184" i="10"/>
  <c r="AB184" i="10"/>
  <c r="AD184" i="10" s="1"/>
  <c r="W184" i="10"/>
  <c r="V184" i="10"/>
  <c r="P184" i="10"/>
  <c r="O184" i="10"/>
  <c r="W183" i="10"/>
  <c r="V183" i="10"/>
  <c r="P183" i="10"/>
  <c r="O183" i="10"/>
  <c r="W182" i="10"/>
  <c r="V182" i="10"/>
  <c r="AB182" i="10" s="1"/>
  <c r="P182" i="10"/>
  <c r="O182" i="10"/>
  <c r="W181" i="10"/>
  <c r="AC181" i="10" s="1"/>
  <c r="AE181" i="10" s="1"/>
  <c r="V181" i="10"/>
  <c r="AB181" i="10" s="1"/>
  <c r="P181" i="10"/>
  <c r="O181" i="10"/>
  <c r="W180" i="10"/>
  <c r="AB180" i="10" s="1"/>
  <c r="V180" i="10"/>
  <c r="P180" i="10"/>
  <c r="O180" i="10"/>
  <c r="W179" i="10"/>
  <c r="V179" i="10"/>
  <c r="P179" i="10"/>
  <c r="O179" i="10"/>
  <c r="W178" i="10"/>
  <c r="V178" i="10"/>
  <c r="P178" i="10"/>
  <c r="O178" i="10"/>
  <c r="AC177" i="10"/>
  <c r="AE177" i="10" s="1"/>
  <c r="W177" i="10"/>
  <c r="V177" i="10"/>
  <c r="AB177" i="10" s="1"/>
  <c r="P177" i="10"/>
  <c r="O177" i="10"/>
  <c r="W176" i="10"/>
  <c r="AC176" i="10" s="1"/>
  <c r="V176" i="10"/>
  <c r="AB176" i="10" s="1"/>
  <c r="AD176" i="10" s="1"/>
  <c r="P176" i="10"/>
  <c r="O176" i="10"/>
  <c r="W175" i="10"/>
  <c r="V175" i="10"/>
  <c r="AB175" i="10" s="1"/>
  <c r="P175" i="10"/>
  <c r="O175" i="10"/>
  <c r="W174" i="10"/>
  <c r="V174" i="10"/>
  <c r="AB174" i="10" s="1"/>
  <c r="P174" i="10"/>
  <c r="O174" i="10"/>
  <c r="W173" i="10"/>
  <c r="V173" i="10"/>
  <c r="AC173" i="10" s="1"/>
  <c r="P173" i="10"/>
  <c r="O173" i="10"/>
  <c r="AC172" i="10"/>
  <c r="AB172" i="10"/>
  <c r="AG172" i="10" s="1"/>
  <c r="W172" i="10"/>
  <c r="V172" i="10"/>
  <c r="P172" i="10"/>
  <c r="O172" i="10"/>
  <c r="W171" i="10"/>
  <c r="V171" i="10"/>
  <c r="AB171" i="10" s="1"/>
  <c r="P171" i="10"/>
  <c r="O171" i="10"/>
  <c r="W170" i="10"/>
  <c r="V170" i="10"/>
  <c r="AB170" i="10" s="1"/>
  <c r="P170" i="10"/>
  <c r="O170" i="10"/>
  <c r="W169" i="10"/>
  <c r="V169" i="10"/>
  <c r="AC169" i="10" s="1"/>
  <c r="P169" i="10"/>
  <c r="O169" i="10"/>
  <c r="W168" i="10"/>
  <c r="V168" i="10"/>
  <c r="P168" i="10"/>
  <c r="O168" i="10"/>
  <c r="W167" i="10"/>
  <c r="V167" i="10"/>
  <c r="P167" i="10"/>
  <c r="O167" i="10"/>
  <c r="W166" i="10"/>
  <c r="V166" i="10"/>
  <c r="P166" i="10"/>
  <c r="O166" i="10"/>
  <c r="W165" i="10"/>
  <c r="AC165" i="10" s="1"/>
  <c r="V165" i="10"/>
  <c r="AB165" i="10" s="1"/>
  <c r="P165" i="10"/>
  <c r="O165" i="10"/>
  <c r="W164" i="10"/>
  <c r="V164" i="10"/>
  <c r="P164" i="10"/>
  <c r="O164" i="10"/>
  <c r="W163" i="10"/>
  <c r="AC163" i="10" s="1"/>
  <c r="V163" i="10"/>
  <c r="P163" i="10"/>
  <c r="O163" i="10"/>
  <c r="AC162" i="10"/>
  <c r="W162" i="10"/>
  <c r="V162" i="10"/>
  <c r="P162" i="10"/>
  <c r="O162" i="10"/>
  <c r="W161" i="10"/>
  <c r="V161" i="10"/>
  <c r="AC161" i="10" s="1"/>
  <c r="P161" i="10"/>
  <c r="O161" i="10"/>
  <c r="W160" i="10"/>
  <c r="V160" i="10"/>
  <c r="AB160" i="10" s="1"/>
  <c r="P160" i="10"/>
  <c r="O160" i="10"/>
  <c r="W159" i="10"/>
  <c r="V159" i="10"/>
  <c r="AB159" i="10" s="1"/>
  <c r="P159" i="10"/>
  <c r="O159" i="10"/>
  <c r="W158" i="10"/>
  <c r="V158" i="10"/>
  <c r="AB158" i="10" s="1"/>
  <c r="P158" i="10"/>
  <c r="O158" i="10"/>
  <c r="W157" i="10"/>
  <c r="V157" i="10"/>
  <c r="AC157" i="10" s="1"/>
  <c r="P157" i="10"/>
  <c r="O157" i="10"/>
  <c r="W156" i="10"/>
  <c r="V156" i="10"/>
  <c r="P156" i="10"/>
  <c r="O156" i="10"/>
  <c r="W155" i="10"/>
  <c r="AB155" i="10" s="1"/>
  <c r="V155" i="10"/>
  <c r="P155" i="10"/>
  <c r="O155" i="10"/>
  <c r="W154" i="10"/>
  <c r="AC154" i="10" s="1"/>
  <c r="V154" i="10"/>
  <c r="P154" i="10"/>
  <c r="O154" i="10"/>
  <c r="W153" i="10"/>
  <c r="AC153" i="10" s="1"/>
  <c r="V153" i="10"/>
  <c r="AB153" i="10" s="1"/>
  <c r="P153" i="10"/>
  <c r="O153" i="10"/>
  <c r="W152" i="10"/>
  <c r="V152" i="10"/>
  <c r="AC152" i="10" s="1"/>
  <c r="P152" i="10"/>
  <c r="O152" i="10"/>
  <c r="W151" i="10"/>
  <c r="V151" i="10"/>
  <c r="P151" i="10"/>
  <c r="O151" i="10"/>
  <c r="W150" i="10"/>
  <c r="V150" i="10"/>
  <c r="AB150" i="10" s="1"/>
  <c r="P150" i="10"/>
  <c r="O150" i="10"/>
  <c r="W149" i="10"/>
  <c r="AC149" i="10" s="1"/>
  <c r="V149" i="10"/>
  <c r="P149" i="10"/>
  <c r="O149" i="10"/>
  <c r="AB148" i="10"/>
  <c r="W148" i="10"/>
  <c r="V148" i="10"/>
  <c r="AC148" i="10" s="1"/>
  <c r="P148" i="10"/>
  <c r="O148" i="10"/>
  <c r="W147" i="10"/>
  <c r="V147" i="10"/>
  <c r="P147" i="10"/>
  <c r="O147" i="10"/>
  <c r="W146" i="10"/>
  <c r="V146" i="10"/>
  <c r="AB146" i="10" s="1"/>
  <c r="P146" i="10"/>
  <c r="O146" i="10"/>
  <c r="W145" i="10"/>
  <c r="AC145" i="10" s="1"/>
  <c r="V145" i="10"/>
  <c r="AB145" i="10" s="1"/>
  <c r="P145" i="10"/>
  <c r="O145" i="10"/>
  <c r="AB144" i="10"/>
  <c r="W144" i="10"/>
  <c r="V144" i="10"/>
  <c r="P144" i="10"/>
  <c r="O144" i="10"/>
  <c r="W143" i="10"/>
  <c r="V143" i="10"/>
  <c r="P143" i="10"/>
  <c r="O143" i="10"/>
  <c r="W142" i="10"/>
  <c r="V142" i="10"/>
  <c r="P142" i="10"/>
  <c r="O142" i="10"/>
  <c r="W141" i="10"/>
  <c r="AC141" i="10" s="1"/>
  <c r="V141" i="10"/>
  <c r="P141" i="10"/>
  <c r="O141" i="10"/>
  <c r="AB140" i="10"/>
  <c r="W140" i="10"/>
  <c r="V140" i="10"/>
  <c r="P140" i="10"/>
  <c r="O140" i="10"/>
  <c r="W139" i="10"/>
  <c r="V139" i="10"/>
  <c r="AB139" i="10" s="1"/>
  <c r="P139" i="10"/>
  <c r="O139" i="10"/>
  <c r="W138" i="10"/>
  <c r="V138" i="10"/>
  <c r="P138" i="10"/>
  <c r="O138" i="10"/>
  <c r="W137" i="10"/>
  <c r="AB137" i="10" s="1"/>
  <c r="V137" i="10"/>
  <c r="P137" i="10"/>
  <c r="O137" i="10"/>
  <c r="W136" i="10"/>
  <c r="V136" i="10"/>
  <c r="AB136" i="10" s="1"/>
  <c r="P136" i="10"/>
  <c r="O136" i="10"/>
  <c r="W135" i="10"/>
  <c r="V135" i="10"/>
  <c r="AB135" i="10" s="1"/>
  <c r="P135" i="10"/>
  <c r="O135" i="10"/>
  <c r="W134" i="10"/>
  <c r="V134" i="10"/>
  <c r="P134" i="10"/>
  <c r="O134" i="10"/>
  <c r="AC133" i="10"/>
  <c r="AH133" i="10" s="1"/>
  <c r="AB133" i="10"/>
  <c r="W133" i="10"/>
  <c r="V133" i="10"/>
  <c r="P133" i="10"/>
  <c r="O133" i="10"/>
  <c r="W132" i="10"/>
  <c r="V132" i="10"/>
  <c r="AB132" i="10" s="1"/>
  <c r="P132" i="10"/>
  <c r="O132" i="10"/>
  <c r="W131" i="10"/>
  <c r="V131" i="10"/>
  <c r="AB131" i="10" s="1"/>
  <c r="P131" i="10"/>
  <c r="O131" i="10"/>
  <c r="AC130" i="10"/>
  <c r="AE130" i="10" s="1"/>
  <c r="W130" i="10"/>
  <c r="V130" i="10"/>
  <c r="AB130" i="10" s="1"/>
  <c r="P130" i="10"/>
  <c r="O130" i="10"/>
  <c r="W129" i="10"/>
  <c r="AB129" i="10" s="1"/>
  <c r="V129" i="10"/>
  <c r="P129" i="10"/>
  <c r="O129" i="10"/>
  <c r="W128" i="10"/>
  <c r="AC128" i="10" s="1"/>
  <c r="V128" i="10"/>
  <c r="P128" i="10"/>
  <c r="O128" i="10"/>
  <c r="W127" i="10"/>
  <c r="AC127" i="10" s="1"/>
  <c r="V127" i="10"/>
  <c r="P127" i="10"/>
  <c r="O127" i="10"/>
  <c r="AC126" i="10"/>
  <c r="W126" i="10"/>
  <c r="V126" i="10"/>
  <c r="AB126" i="10" s="1"/>
  <c r="AG126" i="10" s="1"/>
  <c r="P126" i="10"/>
  <c r="O126" i="10"/>
  <c r="W125" i="10"/>
  <c r="V125" i="10"/>
  <c r="AB125" i="10" s="1"/>
  <c r="P125" i="10"/>
  <c r="O125" i="10"/>
  <c r="W124" i="10"/>
  <c r="V124" i="10"/>
  <c r="AB124" i="10" s="1"/>
  <c r="P124" i="10"/>
  <c r="O124" i="10"/>
  <c r="W123" i="10"/>
  <c r="V123" i="10"/>
  <c r="AC123" i="10" s="1"/>
  <c r="P123" i="10"/>
  <c r="O123" i="10"/>
  <c r="AC122" i="10"/>
  <c r="AB122" i="10"/>
  <c r="AG122" i="10" s="1"/>
  <c r="W122" i="10"/>
  <c r="V122" i="10"/>
  <c r="P122" i="10"/>
  <c r="O122" i="10"/>
  <c r="W121" i="10"/>
  <c r="V121" i="10"/>
  <c r="AB121" i="10" s="1"/>
  <c r="P121" i="10"/>
  <c r="O121" i="10"/>
  <c r="W120" i="10"/>
  <c r="V120" i="10"/>
  <c r="AB120" i="10" s="1"/>
  <c r="P120" i="10"/>
  <c r="O120" i="10"/>
  <c r="W119" i="10"/>
  <c r="V119" i="10"/>
  <c r="AC119" i="10" s="1"/>
  <c r="P119" i="10"/>
  <c r="O119" i="10"/>
  <c r="W118" i="10"/>
  <c r="AB118" i="10" s="1"/>
  <c r="V118" i="10"/>
  <c r="P118" i="10"/>
  <c r="O118" i="10"/>
  <c r="AB117" i="10"/>
  <c r="W117" i="10"/>
  <c r="V117" i="10"/>
  <c r="P117" i="10"/>
  <c r="O117" i="10"/>
  <c r="W116" i="10"/>
  <c r="V116" i="10"/>
  <c r="AB116" i="10" s="1"/>
  <c r="P116" i="10"/>
  <c r="O116" i="10"/>
  <c r="W115" i="10"/>
  <c r="V115" i="10"/>
  <c r="P115" i="10"/>
  <c r="O115" i="10"/>
  <c r="W114" i="10"/>
  <c r="AB114" i="10" s="1"/>
  <c r="V114" i="10"/>
  <c r="P114" i="10"/>
  <c r="O114" i="10"/>
  <c r="W113" i="10"/>
  <c r="V113" i="10"/>
  <c r="AB113" i="10" s="1"/>
  <c r="P113" i="10"/>
  <c r="O113" i="10"/>
  <c r="W112" i="10"/>
  <c r="V112" i="10"/>
  <c r="AB112" i="10" s="1"/>
  <c r="P112" i="10"/>
  <c r="O112" i="10"/>
  <c r="W111" i="10"/>
  <c r="V111" i="10"/>
  <c r="P111" i="10"/>
  <c r="O111" i="10"/>
  <c r="AC110" i="10"/>
  <c r="AH110" i="10" s="1"/>
  <c r="AB110" i="10"/>
  <c r="AG110" i="10" s="1"/>
  <c r="W110" i="10"/>
  <c r="V110" i="10"/>
  <c r="P110" i="10"/>
  <c r="O110" i="10"/>
  <c r="W109" i="10"/>
  <c r="V109" i="10"/>
  <c r="AB109" i="10" s="1"/>
  <c r="P109" i="10"/>
  <c r="O109" i="10"/>
  <c r="W108" i="10"/>
  <c r="V108" i="10"/>
  <c r="AB108" i="10" s="1"/>
  <c r="P108" i="10"/>
  <c r="O108" i="10"/>
  <c r="W107" i="10"/>
  <c r="V107" i="10"/>
  <c r="P107" i="10"/>
  <c r="O107" i="10"/>
  <c r="AC106" i="10"/>
  <c r="W106" i="10"/>
  <c r="V106" i="10"/>
  <c r="AB106" i="10" s="1"/>
  <c r="AG106" i="10" s="1"/>
  <c r="P106" i="10"/>
  <c r="O106" i="10"/>
  <c r="W105" i="10"/>
  <c r="AC105" i="10" s="1"/>
  <c r="V105" i="10"/>
  <c r="P105" i="10"/>
  <c r="O105" i="10"/>
  <c r="W104" i="10"/>
  <c r="AC104" i="10" s="1"/>
  <c r="V104" i="10"/>
  <c r="P104" i="10"/>
  <c r="O104" i="10"/>
  <c r="W103" i="10"/>
  <c r="V103" i="10"/>
  <c r="P103" i="10"/>
  <c r="O103" i="10"/>
  <c r="W102" i="10"/>
  <c r="AC102" i="10" s="1"/>
  <c r="V102" i="10"/>
  <c r="AB102" i="10" s="1"/>
  <c r="AG102" i="10" s="1"/>
  <c r="P102" i="10"/>
  <c r="O102" i="10"/>
  <c r="AB101" i="10"/>
  <c r="W101" i="10"/>
  <c r="V101" i="10"/>
  <c r="P101" i="10"/>
  <c r="O101" i="10"/>
  <c r="W100" i="10"/>
  <c r="V100" i="10"/>
  <c r="P100" i="10"/>
  <c r="O100" i="10"/>
  <c r="W99" i="10"/>
  <c r="V99" i="10"/>
  <c r="AB99" i="10" s="1"/>
  <c r="P99" i="10"/>
  <c r="O99" i="10"/>
  <c r="W98" i="10"/>
  <c r="AB98" i="10" s="1"/>
  <c r="V98" i="10"/>
  <c r="P98" i="10"/>
  <c r="O98" i="10"/>
  <c r="W97" i="10"/>
  <c r="AC97" i="10" s="1"/>
  <c r="V97" i="10"/>
  <c r="P97" i="10"/>
  <c r="O97" i="10"/>
  <c r="W96" i="10"/>
  <c r="V96" i="10"/>
  <c r="P96" i="10"/>
  <c r="O96" i="10"/>
  <c r="AC95" i="10"/>
  <c r="W95" i="10"/>
  <c r="V95" i="10"/>
  <c r="AB95" i="10" s="1"/>
  <c r="P95" i="10"/>
  <c r="O95" i="10"/>
  <c r="W94" i="10"/>
  <c r="V94" i="10"/>
  <c r="P94" i="10"/>
  <c r="O94" i="10"/>
  <c r="W93" i="10"/>
  <c r="V93" i="10"/>
  <c r="AB93" i="10" s="1"/>
  <c r="P93" i="10"/>
  <c r="O93" i="10"/>
  <c r="W92" i="10"/>
  <c r="V92" i="10"/>
  <c r="P92" i="10"/>
  <c r="O92" i="10"/>
  <c r="W91" i="10"/>
  <c r="V91" i="10"/>
  <c r="AB91" i="10" s="1"/>
  <c r="P91" i="10"/>
  <c r="O91" i="10"/>
  <c r="W90" i="10"/>
  <c r="V90" i="10"/>
  <c r="P90" i="10"/>
  <c r="O90" i="10"/>
  <c r="AC89" i="10"/>
  <c r="W89" i="10"/>
  <c r="V89" i="10"/>
  <c r="AB89" i="10" s="1"/>
  <c r="AD89" i="10" s="1"/>
  <c r="P89" i="10"/>
  <c r="O89" i="10"/>
  <c r="W88" i="10"/>
  <c r="V88" i="10"/>
  <c r="P88" i="10"/>
  <c r="O88" i="10"/>
  <c r="W87" i="10"/>
  <c r="AC87" i="10" s="1"/>
  <c r="V87" i="10"/>
  <c r="P87" i="10"/>
  <c r="O87" i="10"/>
  <c r="W86" i="10"/>
  <c r="V86" i="10"/>
  <c r="P86" i="10"/>
  <c r="O86" i="10"/>
  <c r="W85" i="10"/>
  <c r="V85" i="10"/>
  <c r="AB85" i="10" s="1"/>
  <c r="P85" i="10"/>
  <c r="O85" i="10"/>
  <c r="AB84" i="10"/>
  <c r="W84" i="10"/>
  <c r="V84" i="10"/>
  <c r="P84" i="10"/>
  <c r="O84" i="10"/>
  <c r="W83" i="10"/>
  <c r="V83" i="10"/>
  <c r="P83" i="10"/>
  <c r="O83" i="10"/>
  <c r="W82" i="10"/>
  <c r="V82" i="10"/>
  <c r="P82" i="10"/>
  <c r="O82" i="10"/>
  <c r="W81" i="10"/>
  <c r="V81" i="10"/>
  <c r="P81" i="10"/>
  <c r="O81" i="10"/>
  <c r="W80" i="10"/>
  <c r="V80" i="10"/>
  <c r="AB80" i="10" s="1"/>
  <c r="P80" i="10"/>
  <c r="W49" i="10" s="1"/>
  <c r="O80" i="10"/>
  <c r="W79" i="10"/>
  <c r="V79" i="10"/>
  <c r="P79" i="10"/>
  <c r="W48" i="10" s="1"/>
  <c r="O79" i="10"/>
  <c r="W78" i="10"/>
  <c r="V78" i="10"/>
  <c r="P78" i="10"/>
  <c r="O78" i="10"/>
  <c r="AC77" i="10"/>
  <c r="AB77" i="10"/>
  <c r="AD77" i="10" s="1"/>
  <c r="W77" i="10"/>
  <c r="V77" i="10"/>
  <c r="P77" i="10"/>
  <c r="O77" i="10"/>
  <c r="W76" i="10"/>
  <c r="V76" i="10"/>
  <c r="AB76" i="10" s="1"/>
  <c r="P76" i="10"/>
  <c r="O76" i="10"/>
  <c r="W75" i="10"/>
  <c r="V75" i="10"/>
  <c r="P75" i="10"/>
  <c r="O75" i="10"/>
  <c r="W74" i="10"/>
  <c r="V74" i="10"/>
  <c r="P74" i="10"/>
  <c r="O74" i="10"/>
  <c r="W73" i="10"/>
  <c r="V73" i="10"/>
  <c r="AB73" i="10" s="1"/>
  <c r="P73" i="10"/>
  <c r="O73" i="10"/>
  <c r="W72" i="10"/>
  <c r="V72" i="10"/>
  <c r="P72" i="10"/>
  <c r="O72" i="10"/>
  <c r="W71" i="10"/>
  <c r="V71" i="10"/>
  <c r="P71" i="10"/>
  <c r="O71" i="10"/>
  <c r="W70" i="10"/>
  <c r="V70" i="10"/>
  <c r="AB70" i="10" s="1"/>
  <c r="P70" i="10"/>
  <c r="O70" i="10"/>
  <c r="V36" i="10" s="1"/>
  <c r="AB69" i="10"/>
  <c r="W69" i="10"/>
  <c r="V69" i="10"/>
  <c r="AC69" i="10" s="1"/>
  <c r="AE69" i="10" s="1"/>
  <c r="P69" i="10"/>
  <c r="O69" i="10"/>
  <c r="W68" i="10"/>
  <c r="V68" i="10"/>
  <c r="P68" i="10"/>
  <c r="O68" i="10"/>
  <c r="W67" i="10"/>
  <c r="V67" i="10"/>
  <c r="P67" i="10"/>
  <c r="O67" i="10"/>
  <c r="W66" i="10"/>
  <c r="V66" i="10"/>
  <c r="AB66" i="10" s="1"/>
  <c r="P66" i="10"/>
  <c r="O66" i="10"/>
  <c r="AC65" i="10"/>
  <c r="W65" i="10"/>
  <c r="V65" i="10"/>
  <c r="AB65" i="10" s="1"/>
  <c r="AG65" i="10" s="1"/>
  <c r="P65" i="10"/>
  <c r="O65" i="10"/>
  <c r="W64" i="10"/>
  <c r="V64" i="10"/>
  <c r="P64" i="10"/>
  <c r="O64" i="10"/>
  <c r="Z63" i="10"/>
  <c r="W63" i="10"/>
  <c r="V63" i="10"/>
  <c r="P63" i="10"/>
  <c r="O63" i="10"/>
  <c r="V42" i="10" s="1"/>
  <c r="W62" i="10"/>
  <c r="AB62" i="10" s="1"/>
  <c r="V62" i="10"/>
  <c r="P62" i="10"/>
  <c r="W35" i="10" s="1"/>
  <c r="O62" i="10"/>
  <c r="W61" i="10"/>
  <c r="V61" i="10"/>
  <c r="P61" i="10"/>
  <c r="W34" i="10" s="1"/>
  <c r="AC34" i="10" s="1"/>
  <c r="O61" i="10"/>
  <c r="V34" i="10" s="1"/>
  <c r="Z60" i="10"/>
  <c r="W60" i="10"/>
  <c r="V60" i="10"/>
  <c r="AB60" i="10" s="1"/>
  <c r="P60" i="10"/>
  <c r="W56" i="10" s="1"/>
  <c r="O60" i="10"/>
  <c r="V56" i="10" s="1"/>
  <c r="W59" i="10"/>
  <c r="V59" i="10"/>
  <c r="AB59" i="10" s="1"/>
  <c r="P59" i="10"/>
  <c r="O59" i="10"/>
  <c r="W58" i="10"/>
  <c r="V58" i="10"/>
  <c r="P58" i="10"/>
  <c r="W54" i="10" s="1"/>
  <c r="AC54" i="10" s="1"/>
  <c r="O58" i="10"/>
  <c r="P57" i="10"/>
  <c r="O57" i="10"/>
  <c r="P56" i="10"/>
  <c r="O56" i="10"/>
  <c r="W55" i="10"/>
  <c r="P55" i="10"/>
  <c r="W42" i="10" s="1"/>
  <c r="O55" i="10"/>
  <c r="V54" i="10"/>
  <c r="P54" i="10"/>
  <c r="O54" i="10"/>
  <c r="P53" i="10"/>
  <c r="W33" i="10" s="1"/>
  <c r="AB33" i="10" s="1"/>
  <c r="O53" i="10"/>
  <c r="Z52" i="10"/>
  <c r="W52" i="10"/>
  <c r="V52" i="10"/>
  <c r="AC52" i="10" s="1"/>
  <c r="P52" i="10"/>
  <c r="W40" i="10" s="1"/>
  <c r="AC40" i="10" s="1"/>
  <c r="O52" i="10"/>
  <c r="AA51" i="10"/>
  <c r="W51" i="10"/>
  <c r="V51" i="10"/>
  <c r="P51" i="10"/>
  <c r="O51" i="10"/>
  <c r="AC50" i="10"/>
  <c r="W50" i="10"/>
  <c r="AB50" i="10" s="1"/>
  <c r="V50" i="10"/>
  <c r="P50" i="10"/>
  <c r="W29" i="10" s="1"/>
  <c r="O50" i="10"/>
  <c r="V29" i="10" s="1"/>
  <c r="AB29" i="10" s="1"/>
  <c r="V49" i="10"/>
  <c r="AB49" i="10" s="1"/>
  <c r="P49" i="10"/>
  <c r="W57" i="10" s="1"/>
  <c r="O49" i="10"/>
  <c r="V57" i="10" s="1"/>
  <c r="V48" i="10"/>
  <c r="AB48" i="10" s="1"/>
  <c r="P48" i="10"/>
  <c r="O48" i="10"/>
  <c r="V55" i="10" s="1"/>
  <c r="W47" i="10"/>
  <c r="V47" i="10"/>
  <c r="AC47" i="10" s="1"/>
  <c r="P47" i="10"/>
  <c r="W53" i="10" s="1"/>
  <c r="O47" i="10"/>
  <c r="V53" i="10" s="1"/>
  <c r="W46" i="10"/>
  <c r="V46" i="10"/>
  <c r="P46" i="10"/>
  <c r="W28" i="10" s="1"/>
  <c r="AC28" i="10" s="1"/>
  <c r="O46" i="10"/>
  <c r="AB45" i="10"/>
  <c r="W45" i="10"/>
  <c r="V45" i="10"/>
  <c r="P45" i="10"/>
  <c r="O45" i="10"/>
  <c r="V26" i="10" s="1"/>
  <c r="W44" i="10"/>
  <c r="V44" i="10"/>
  <c r="AB44" i="10" s="1"/>
  <c r="P44" i="10"/>
  <c r="O44" i="10"/>
  <c r="W43" i="10"/>
  <c r="V43" i="10"/>
  <c r="AC43" i="10" s="1"/>
  <c r="P43" i="10"/>
  <c r="O43" i="10"/>
  <c r="V17" i="10" s="1"/>
  <c r="AB17" i="10" s="1"/>
  <c r="P42" i="10"/>
  <c r="W24" i="10" s="1"/>
  <c r="O42" i="10"/>
  <c r="W41" i="10"/>
  <c r="V41" i="10"/>
  <c r="AB41" i="10" s="1"/>
  <c r="P41" i="10"/>
  <c r="O41" i="10"/>
  <c r="V40" i="10"/>
  <c r="P40" i="10"/>
  <c r="O40" i="10"/>
  <c r="W39" i="10"/>
  <c r="V39" i="10"/>
  <c r="AC39" i="10" s="1"/>
  <c r="P39" i="10"/>
  <c r="O39" i="10"/>
  <c r="W38" i="10"/>
  <c r="AB38" i="10" s="1"/>
  <c r="V38" i="10"/>
  <c r="P38" i="10"/>
  <c r="O38" i="10"/>
  <c r="W37" i="10"/>
  <c r="P37" i="10"/>
  <c r="W22" i="10" s="1"/>
  <c r="O37" i="10"/>
  <c r="W36" i="10"/>
  <c r="AC36" i="10" s="1"/>
  <c r="P36" i="10"/>
  <c r="O36" i="10"/>
  <c r="Z35" i="10"/>
  <c r="V35" i="10"/>
  <c r="AB35" i="10" s="1"/>
  <c r="P35" i="10"/>
  <c r="O35" i="10"/>
  <c r="P34" i="10"/>
  <c r="O34" i="10"/>
  <c r="V33" i="10"/>
  <c r="P33" i="10"/>
  <c r="O33" i="10"/>
  <c r="Z32" i="10"/>
  <c r="W32" i="10"/>
  <c r="AC32" i="10" s="1"/>
  <c r="V32" i="10"/>
  <c r="P32" i="10"/>
  <c r="O32" i="10"/>
  <c r="AB31" i="10"/>
  <c r="AG31" i="10" s="1"/>
  <c r="W31" i="10"/>
  <c r="AC31" i="10" s="1"/>
  <c r="V31" i="10"/>
  <c r="P31" i="10"/>
  <c r="O31" i="10"/>
  <c r="Z30" i="10"/>
  <c r="V30" i="10"/>
  <c r="P30" i="10"/>
  <c r="O30" i="10"/>
  <c r="P29" i="10"/>
  <c r="W14" i="10" s="1"/>
  <c r="O29" i="10"/>
  <c r="Z28" i="10"/>
  <c r="V28" i="10"/>
  <c r="P28" i="10"/>
  <c r="O28" i="10"/>
  <c r="AA27" i="10"/>
  <c r="W27" i="10"/>
  <c r="AC27" i="10" s="1"/>
  <c r="V27" i="10"/>
  <c r="P27" i="10"/>
  <c r="O27" i="10"/>
  <c r="Z26" i="10"/>
  <c r="W26" i="10"/>
  <c r="P26" i="10"/>
  <c r="O26" i="10"/>
  <c r="W25" i="10"/>
  <c r="V25" i="10"/>
  <c r="P25" i="10"/>
  <c r="O25" i="10"/>
  <c r="Z24" i="10"/>
  <c r="V24" i="10"/>
  <c r="P24" i="10"/>
  <c r="O24" i="10"/>
  <c r="AB23" i="10"/>
  <c r="W23" i="10"/>
  <c r="V23" i="10"/>
  <c r="P23" i="10"/>
  <c r="O23" i="10"/>
  <c r="AA22" i="10"/>
  <c r="V22" i="10"/>
  <c r="P22" i="10"/>
  <c r="O22" i="10"/>
  <c r="W21" i="10"/>
  <c r="AC21" i="10" s="1"/>
  <c r="V21" i="10"/>
  <c r="P21" i="10"/>
  <c r="O21" i="10"/>
  <c r="W20" i="10"/>
  <c r="AC20" i="10" s="1"/>
  <c r="V20" i="10"/>
  <c r="P20" i="10"/>
  <c r="O20" i="10"/>
  <c r="W19" i="10"/>
  <c r="V19" i="10"/>
  <c r="P19" i="10"/>
  <c r="O19" i="10"/>
  <c r="W18" i="10"/>
  <c r="AC18" i="10" s="1"/>
  <c r="AE18" i="10" s="1"/>
  <c r="V18" i="10"/>
  <c r="AB18" i="10" s="1"/>
  <c r="P18" i="10"/>
  <c r="W11" i="10" s="1"/>
  <c r="AC11" i="10" s="1"/>
  <c r="O18" i="10"/>
  <c r="W17" i="10"/>
  <c r="P17" i="10"/>
  <c r="W13" i="10" s="1"/>
  <c r="O17" i="10"/>
  <c r="V13" i="10" s="1"/>
  <c r="AB13" i="10" s="1"/>
  <c r="W16" i="10"/>
  <c r="V16" i="10"/>
  <c r="AB16" i="10" s="1"/>
  <c r="P16" i="10"/>
  <c r="O16" i="10"/>
  <c r="V14" i="10" s="1"/>
  <c r="W15" i="10"/>
  <c r="V15" i="10"/>
  <c r="AC15" i="10" s="1"/>
  <c r="P15" i="10"/>
  <c r="O15" i="10"/>
  <c r="AA14" i="10"/>
  <c r="Z14" i="10"/>
  <c r="P14" i="10"/>
  <c r="O14" i="10"/>
  <c r="P13" i="10"/>
  <c r="O13" i="10"/>
  <c r="AA12" i="10"/>
  <c r="W12" i="10"/>
  <c r="V12" i="10"/>
  <c r="P12" i="10"/>
  <c r="O12" i="10"/>
  <c r="AA11" i="10"/>
  <c r="V11" i="10"/>
  <c r="P11" i="10"/>
  <c r="O11" i="10"/>
  <c r="Z10" i="10"/>
  <c r="P10" i="10"/>
  <c r="O10" i="10"/>
  <c r="J10" i="10"/>
  <c r="AA10" i="10" s="1"/>
  <c r="S9" i="10"/>
  <c r="S10" i="10" s="1"/>
  <c r="S11" i="10" s="1"/>
  <c r="S12" i="10" s="1"/>
  <c r="S13" i="10" s="1"/>
  <c r="S14" i="10" s="1"/>
  <c r="S15" i="10" s="1"/>
  <c r="S16" i="10" s="1"/>
  <c r="S17" i="10" s="1"/>
  <c r="S18" i="10" s="1"/>
  <c r="S19" i="10" s="1"/>
  <c r="S20" i="10" s="1"/>
  <c r="S21" i="10" s="1"/>
  <c r="S22" i="10" s="1"/>
  <c r="S23" i="10" s="1"/>
  <c r="S24" i="10" s="1"/>
  <c r="S25" i="10" s="1"/>
  <c r="S26" i="10" s="1"/>
  <c r="S27" i="10" s="1"/>
  <c r="S28" i="10" s="1"/>
  <c r="S29" i="10" s="1"/>
  <c r="S30" i="10" s="1"/>
  <c r="S31" i="10" s="1"/>
  <c r="S32" i="10" s="1"/>
  <c r="S33" i="10" s="1"/>
  <c r="S34" i="10" s="1"/>
  <c r="S35" i="10" s="1"/>
  <c r="S36" i="10" s="1"/>
  <c r="S37" i="10" s="1"/>
  <c r="S38" i="10" s="1"/>
  <c r="S39" i="10" s="1"/>
  <c r="S40" i="10" s="1"/>
  <c r="S41" i="10" s="1"/>
  <c r="S42" i="10" s="1"/>
  <c r="S43" i="10" s="1"/>
  <c r="S44" i="10" s="1"/>
  <c r="S45" i="10" s="1"/>
  <c r="S46" i="10" s="1"/>
  <c r="S47" i="10" s="1"/>
  <c r="S48" i="10" s="1"/>
  <c r="S49" i="10" s="1"/>
  <c r="S50" i="10" s="1"/>
  <c r="S51" i="10" s="1"/>
  <c r="S52" i="10" s="1"/>
  <c r="S53" i="10" s="1"/>
  <c r="S54" i="10" s="1"/>
  <c r="S55" i="10" s="1"/>
  <c r="S56" i="10" s="1"/>
  <c r="S57" i="10" s="1"/>
  <c r="S58" i="10" s="1"/>
  <c r="S59" i="10" s="1"/>
  <c r="S60" i="10" s="1"/>
  <c r="S61" i="10" s="1"/>
  <c r="S62" i="10" s="1"/>
  <c r="S63" i="10" s="1"/>
  <c r="S64" i="10" s="1"/>
  <c r="S65" i="10" s="1"/>
  <c r="S66" i="10" s="1"/>
  <c r="S67" i="10" s="1"/>
  <c r="S68" i="10" s="1"/>
  <c r="S69" i="10" s="1"/>
  <c r="S70" i="10" s="1"/>
  <c r="S71" i="10" s="1"/>
  <c r="S72" i="10" s="1"/>
  <c r="S73" i="10" s="1"/>
  <c r="S74" i="10" s="1"/>
  <c r="S75" i="10" s="1"/>
  <c r="S76" i="10" s="1"/>
  <c r="S77" i="10" s="1"/>
  <c r="S78" i="10" s="1"/>
  <c r="S79" i="10" s="1"/>
  <c r="S80" i="10" s="1"/>
  <c r="S81" i="10" s="1"/>
  <c r="S82" i="10" s="1"/>
  <c r="S83" i="10" s="1"/>
  <c r="S84" i="10" s="1"/>
  <c r="S85" i="10" s="1"/>
  <c r="S86" i="10" s="1"/>
  <c r="S87" i="10" s="1"/>
  <c r="S88" i="10" s="1"/>
  <c r="S89" i="10" s="1"/>
  <c r="S90" i="10" s="1"/>
  <c r="S91" i="10" s="1"/>
  <c r="S92" i="10" s="1"/>
  <c r="S93" i="10" s="1"/>
  <c r="S94" i="10" s="1"/>
  <c r="S95" i="10" s="1"/>
  <c r="S96" i="10" s="1"/>
  <c r="S97" i="10" s="1"/>
  <c r="S98" i="10" s="1"/>
  <c r="S99" i="10" s="1"/>
  <c r="S100" i="10" s="1"/>
  <c r="S101" i="10" s="1"/>
  <c r="S102" i="10" s="1"/>
  <c r="S103" i="10" s="1"/>
  <c r="S104" i="10" s="1"/>
  <c r="S105" i="10" s="1"/>
  <c r="S106" i="10" s="1"/>
  <c r="S107" i="10" s="1"/>
  <c r="S108" i="10" s="1"/>
  <c r="S109" i="10" s="1"/>
  <c r="S110" i="10" s="1"/>
  <c r="S111" i="10" s="1"/>
  <c r="S112" i="10" s="1"/>
  <c r="S113" i="10" s="1"/>
  <c r="S114" i="10" s="1"/>
  <c r="S115" i="10" s="1"/>
  <c r="S116" i="10" s="1"/>
  <c r="S117" i="10" s="1"/>
  <c r="S118" i="10" s="1"/>
  <c r="S119" i="10" s="1"/>
  <c r="S120" i="10" s="1"/>
  <c r="S121" i="10" s="1"/>
  <c r="S122" i="10" s="1"/>
  <c r="S123" i="10" s="1"/>
  <c r="S124" i="10" s="1"/>
  <c r="S125" i="10" s="1"/>
  <c r="S126" i="10" s="1"/>
  <c r="S127" i="10" s="1"/>
  <c r="S128" i="10" s="1"/>
  <c r="S129" i="10" s="1"/>
  <c r="S130" i="10" s="1"/>
  <c r="S131" i="10" s="1"/>
  <c r="S132" i="10" s="1"/>
  <c r="S133" i="10" s="1"/>
  <c r="S134" i="10" s="1"/>
  <c r="S135" i="10" s="1"/>
  <c r="S136" i="10" s="1"/>
  <c r="S137" i="10" s="1"/>
  <c r="S138" i="10" s="1"/>
  <c r="S139" i="10" s="1"/>
  <c r="S140" i="10" s="1"/>
  <c r="S141" i="10" s="1"/>
  <c r="S142" i="10" s="1"/>
  <c r="S143" i="10" s="1"/>
  <c r="S144" i="10" s="1"/>
  <c r="S145" i="10" s="1"/>
  <c r="S146" i="10" s="1"/>
  <c r="S147" i="10" s="1"/>
  <c r="S148" i="10" s="1"/>
  <c r="S149" i="10" s="1"/>
  <c r="S150" i="10" s="1"/>
  <c r="S151" i="10" s="1"/>
  <c r="S152" i="10" s="1"/>
  <c r="S153" i="10" s="1"/>
  <c r="S154" i="10" s="1"/>
  <c r="S155" i="10" s="1"/>
  <c r="S156" i="10" s="1"/>
  <c r="S157" i="10" s="1"/>
  <c r="S158" i="10" s="1"/>
  <c r="S159" i="10" s="1"/>
  <c r="S160" i="10" s="1"/>
  <c r="S161" i="10" s="1"/>
  <c r="S162" i="10" s="1"/>
  <c r="S163" i="10" s="1"/>
  <c r="S164" i="10" s="1"/>
  <c r="S165" i="10" s="1"/>
  <c r="S166" i="10" s="1"/>
  <c r="S167" i="10" s="1"/>
  <c r="S168" i="10" s="1"/>
  <c r="S169" i="10" s="1"/>
  <c r="S170" i="10" s="1"/>
  <c r="S171" i="10" s="1"/>
  <c r="S172" i="10" s="1"/>
  <c r="S173" i="10" s="1"/>
  <c r="S174" i="10" s="1"/>
  <c r="S175" i="10" s="1"/>
  <c r="S176" i="10" s="1"/>
  <c r="S177" i="10" s="1"/>
  <c r="S178" i="10" s="1"/>
  <c r="S179" i="10" s="1"/>
  <c r="S180" i="10" s="1"/>
  <c r="S181" i="10" s="1"/>
  <c r="S182" i="10" s="1"/>
  <c r="S183" i="10" s="1"/>
  <c r="S184" i="10" s="1"/>
  <c r="S185" i="10" s="1"/>
  <c r="S186" i="10" s="1"/>
  <c r="S187" i="10" s="1"/>
  <c r="S188" i="10" s="1"/>
  <c r="S189" i="10" s="1"/>
  <c r="S190" i="10" s="1"/>
  <c r="S191" i="10" s="1"/>
  <c r="S192" i="10" s="1"/>
  <c r="S193" i="10" s="1"/>
  <c r="S194" i="10" s="1"/>
  <c r="S195" i="10" s="1"/>
  <c r="S196" i="10" s="1"/>
  <c r="S197" i="10" s="1"/>
  <c r="S198" i="10" s="1"/>
  <c r="S199" i="10" s="1"/>
  <c r="S200" i="10" s="1"/>
  <c r="P9" i="10"/>
  <c r="W9" i="10" s="1"/>
  <c r="AC9" i="10" s="1"/>
  <c r="O9" i="10"/>
  <c r="V9" i="10" s="1"/>
  <c r="AA8" i="10"/>
  <c r="P8" i="10"/>
  <c r="W8" i="10" s="1"/>
  <c r="O8" i="10"/>
  <c r="AN7" i="10"/>
  <c r="Z12" i="10" s="1"/>
  <c r="AA61" i="10" s="1"/>
  <c r="AC61" i="10" s="1"/>
  <c r="E201" i="9"/>
  <c r="D201" i="9"/>
  <c r="W200" i="9"/>
  <c r="V200" i="9"/>
  <c r="AC200" i="9" s="1"/>
  <c r="P200" i="9"/>
  <c r="O200" i="9"/>
  <c r="W199" i="9"/>
  <c r="V199" i="9"/>
  <c r="P199" i="9"/>
  <c r="O199" i="9"/>
  <c r="W198" i="9"/>
  <c r="V198" i="9"/>
  <c r="AB198" i="9" s="1"/>
  <c r="P198" i="9"/>
  <c r="O198" i="9"/>
  <c r="W197" i="9"/>
  <c r="AC197" i="9" s="1"/>
  <c r="V197" i="9"/>
  <c r="P197" i="9"/>
  <c r="O197" i="9"/>
  <c r="AC196" i="9"/>
  <c r="W196" i="9"/>
  <c r="AB196" i="9" s="1"/>
  <c r="AD196" i="9" s="1"/>
  <c r="V196" i="9"/>
  <c r="P196" i="9"/>
  <c r="O196" i="9"/>
  <c r="W195" i="9"/>
  <c r="AC195" i="9" s="1"/>
  <c r="V195" i="9"/>
  <c r="P195" i="9"/>
  <c r="O195" i="9"/>
  <c r="W194" i="9"/>
  <c r="V194" i="9"/>
  <c r="P194" i="9"/>
  <c r="O194" i="9"/>
  <c r="W193" i="9"/>
  <c r="AC193" i="9" s="1"/>
  <c r="AE193" i="9" s="1"/>
  <c r="V193" i="9"/>
  <c r="AB193" i="9" s="1"/>
  <c r="P193" i="9"/>
  <c r="O193" i="9"/>
  <c r="AB192" i="9"/>
  <c r="W192" i="9"/>
  <c r="AC192" i="9" s="1"/>
  <c r="V192" i="9"/>
  <c r="P192" i="9"/>
  <c r="O192" i="9"/>
  <c r="W191" i="9"/>
  <c r="AC191" i="9" s="1"/>
  <c r="V191" i="9"/>
  <c r="P191" i="9"/>
  <c r="O191" i="9"/>
  <c r="W190" i="9"/>
  <c r="V190" i="9"/>
  <c r="P190" i="9"/>
  <c r="O190" i="9"/>
  <c r="W189" i="9"/>
  <c r="V189" i="9"/>
  <c r="AC189" i="9" s="1"/>
  <c r="P189" i="9"/>
  <c r="O189" i="9"/>
  <c r="W188" i="9"/>
  <c r="AC188" i="9" s="1"/>
  <c r="V188" i="9"/>
  <c r="AB188" i="9" s="1"/>
  <c r="P188" i="9"/>
  <c r="O188" i="9"/>
  <c r="W187" i="9"/>
  <c r="AC187" i="9" s="1"/>
  <c r="V187" i="9"/>
  <c r="P187" i="9"/>
  <c r="O187" i="9"/>
  <c r="W186" i="9"/>
  <c r="V186" i="9"/>
  <c r="P186" i="9"/>
  <c r="O186" i="9"/>
  <c r="W185" i="9"/>
  <c r="AC185" i="9" s="1"/>
  <c r="V185" i="9"/>
  <c r="AB185" i="9" s="1"/>
  <c r="AG185" i="9" s="1"/>
  <c r="P185" i="9"/>
  <c r="O185" i="9"/>
  <c r="AB184" i="9"/>
  <c r="W184" i="9"/>
  <c r="AC184" i="9" s="1"/>
  <c r="V184" i="9"/>
  <c r="P184" i="9"/>
  <c r="O184" i="9"/>
  <c r="W183" i="9"/>
  <c r="AC183" i="9" s="1"/>
  <c r="V183" i="9"/>
  <c r="P183" i="9"/>
  <c r="O183" i="9"/>
  <c r="W182" i="9"/>
  <c r="V182" i="9"/>
  <c r="P182" i="9"/>
  <c r="O182" i="9"/>
  <c r="AB181" i="9"/>
  <c r="W181" i="9"/>
  <c r="AC181" i="9" s="1"/>
  <c r="V181" i="9"/>
  <c r="P181" i="9"/>
  <c r="O181" i="9"/>
  <c r="W180" i="9"/>
  <c r="AC180" i="9" s="1"/>
  <c r="V180" i="9"/>
  <c r="P180" i="9"/>
  <c r="O180" i="9"/>
  <c r="W179" i="9"/>
  <c r="V179" i="9"/>
  <c r="P179" i="9"/>
  <c r="O179" i="9"/>
  <c r="W178" i="9"/>
  <c r="V178" i="9"/>
  <c r="P178" i="9"/>
  <c r="O178" i="9"/>
  <c r="AB177" i="9"/>
  <c r="AG177" i="9" s="1"/>
  <c r="W177" i="9"/>
  <c r="AC177" i="9" s="1"/>
  <c r="V177" i="9"/>
  <c r="P177" i="9"/>
  <c r="O177" i="9"/>
  <c r="W176" i="9"/>
  <c r="V176" i="9"/>
  <c r="AB176" i="9" s="1"/>
  <c r="P176" i="9"/>
  <c r="O176" i="9"/>
  <c r="W175" i="9"/>
  <c r="V175" i="9"/>
  <c r="AB175" i="9" s="1"/>
  <c r="P175" i="9"/>
  <c r="O175" i="9"/>
  <c r="AC174" i="9"/>
  <c r="W174" i="9"/>
  <c r="V174" i="9"/>
  <c r="P174" i="9"/>
  <c r="O174" i="9"/>
  <c r="W173" i="9"/>
  <c r="AC173" i="9" s="1"/>
  <c r="V173" i="9"/>
  <c r="P173" i="9"/>
  <c r="O173" i="9"/>
  <c r="W172" i="9"/>
  <c r="AC172" i="9" s="1"/>
  <c r="V172" i="9"/>
  <c r="P172" i="9"/>
  <c r="O172" i="9"/>
  <c r="W171" i="9"/>
  <c r="V171" i="9"/>
  <c r="AB171" i="9" s="1"/>
  <c r="P171" i="9"/>
  <c r="O171" i="9"/>
  <c r="W170" i="9"/>
  <c r="AC170" i="9" s="1"/>
  <c r="V170" i="9"/>
  <c r="P170" i="9"/>
  <c r="O170" i="9"/>
  <c r="W169" i="9"/>
  <c r="V169" i="9"/>
  <c r="P169" i="9"/>
  <c r="O169" i="9"/>
  <c r="AB168" i="9"/>
  <c r="W168" i="9"/>
  <c r="AC168" i="9" s="1"/>
  <c r="V168" i="9"/>
  <c r="P168" i="9"/>
  <c r="O168" i="9"/>
  <c r="W167" i="9"/>
  <c r="V167" i="9"/>
  <c r="P167" i="9"/>
  <c r="O167" i="9"/>
  <c r="W166" i="9"/>
  <c r="AC166" i="9" s="1"/>
  <c r="V166" i="9"/>
  <c r="P166" i="9"/>
  <c r="O166" i="9"/>
  <c r="W165" i="9"/>
  <c r="AC165" i="9" s="1"/>
  <c r="V165" i="9"/>
  <c r="P165" i="9"/>
  <c r="O165" i="9"/>
  <c r="W164" i="9"/>
  <c r="V164" i="9"/>
  <c r="P164" i="9"/>
  <c r="O164" i="9"/>
  <c r="W163" i="9"/>
  <c r="V163" i="9"/>
  <c r="AB163" i="9" s="1"/>
  <c r="P163" i="9"/>
  <c r="O163" i="9"/>
  <c r="W162" i="9"/>
  <c r="AC162" i="9" s="1"/>
  <c r="V162" i="9"/>
  <c r="P162" i="9"/>
  <c r="O162" i="9"/>
  <c r="W161" i="9"/>
  <c r="V161" i="9"/>
  <c r="P161" i="9"/>
  <c r="O161" i="9"/>
  <c r="W160" i="9"/>
  <c r="V160" i="9"/>
  <c r="AC160" i="9" s="1"/>
  <c r="P160" i="9"/>
  <c r="O160" i="9"/>
  <c r="W159" i="9"/>
  <c r="V159" i="9"/>
  <c r="P159" i="9"/>
  <c r="O159" i="9"/>
  <c r="W158" i="9"/>
  <c r="V158" i="9"/>
  <c r="P158" i="9"/>
  <c r="O158" i="9"/>
  <c r="W157" i="9"/>
  <c r="AC157" i="9" s="1"/>
  <c r="V157" i="9"/>
  <c r="P157" i="9"/>
  <c r="O157" i="9"/>
  <c r="AC156" i="9"/>
  <c r="W156" i="9"/>
  <c r="AB156" i="9" s="1"/>
  <c r="V156" i="9"/>
  <c r="P156" i="9"/>
  <c r="O156" i="9"/>
  <c r="W155" i="9"/>
  <c r="V155" i="9"/>
  <c r="P155" i="9"/>
  <c r="O155" i="9"/>
  <c r="W154" i="9"/>
  <c r="V154" i="9"/>
  <c r="AB154" i="9" s="1"/>
  <c r="P154" i="9"/>
  <c r="O154" i="9"/>
  <c r="W153" i="9"/>
  <c r="AC153" i="9" s="1"/>
  <c r="V153" i="9"/>
  <c r="P153" i="9"/>
  <c r="O153" i="9"/>
  <c r="AB152" i="9"/>
  <c r="W152" i="9"/>
  <c r="V152" i="9"/>
  <c r="P152" i="9"/>
  <c r="O152" i="9"/>
  <c r="W151" i="9"/>
  <c r="AB151" i="9" s="1"/>
  <c r="V151" i="9"/>
  <c r="P151" i="9"/>
  <c r="O151" i="9"/>
  <c r="W150" i="9"/>
  <c r="AC150" i="9" s="1"/>
  <c r="V150" i="9"/>
  <c r="P150" i="9"/>
  <c r="O150" i="9"/>
  <c r="W149" i="9"/>
  <c r="AC149" i="9" s="1"/>
  <c r="V149" i="9"/>
  <c r="P149" i="9"/>
  <c r="O149" i="9"/>
  <c r="W148" i="9"/>
  <c r="V148" i="9"/>
  <c r="P148" i="9"/>
  <c r="O148" i="9"/>
  <c r="W147" i="9"/>
  <c r="AB147" i="9" s="1"/>
  <c r="V147" i="9"/>
  <c r="P147" i="9"/>
  <c r="O147" i="9"/>
  <c r="W146" i="9"/>
  <c r="AC146" i="9" s="1"/>
  <c r="V146" i="9"/>
  <c r="P146" i="9"/>
  <c r="O146" i="9"/>
  <c r="W145" i="9"/>
  <c r="V145" i="9"/>
  <c r="AC145" i="9" s="1"/>
  <c r="P145" i="9"/>
  <c r="O145" i="9"/>
  <c r="W144" i="9"/>
  <c r="V144" i="9"/>
  <c r="AB144" i="9" s="1"/>
  <c r="P144" i="9"/>
  <c r="O144" i="9"/>
  <c r="W143" i="9"/>
  <c r="AB143" i="9" s="1"/>
  <c r="V143" i="9"/>
  <c r="P143" i="9"/>
  <c r="O143" i="9"/>
  <c r="W142" i="9"/>
  <c r="AC142" i="9" s="1"/>
  <c r="V142" i="9"/>
  <c r="P142" i="9"/>
  <c r="O142" i="9"/>
  <c r="AC141" i="9"/>
  <c r="W141" i="9"/>
  <c r="V141" i="9"/>
  <c r="P141" i="9"/>
  <c r="O141" i="9"/>
  <c r="W140" i="9"/>
  <c r="V140" i="9"/>
  <c r="P140" i="9"/>
  <c r="O140" i="9"/>
  <c r="W139" i="9"/>
  <c r="V139" i="9"/>
  <c r="AC139" i="9" s="1"/>
  <c r="P139" i="9"/>
  <c r="O139" i="9"/>
  <c r="AB138" i="9"/>
  <c r="AG138" i="9" s="1"/>
  <c r="W138" i="9"/>
  <c r="AC138" i="9" s="1"/>
  <c r="V138" i="9"/>
  <c r="P138" i="9"/>
  <c r="O138" i="9"/>
  <c r="W137" i="9"/>
  <c r="AC137" i="9" s="1"/>
  <c r="V137" i="9"/>
  <c r="P137" i="9"/>
  <c r="O137" i="9"/>
  <c r="W136" i="9"/>
  <c r="V136" i="9"/>
  <c r="P136" i="9"/>
  <c r="O136" i="9"/>
  <c r="W135" i="9"/>
  <c r="AC135" i="9" s="1"/>
  <c r="AH135" i="9" s="1"/>
  <c r="V135" i="9"/>
  <c r="AB135" i="9" s="1"/>
  <c r="P135" i="9"/>
  <c r="O135" i="9"/>
  <c r="W134" i="9"/>
  <c r="AC134" i="9" s="1"/>
  <c r="V134" i="9"/>
  <c r="P134" i="9"/>
  <c r="O134" i="9"/>
  <c r="W133" i="9"/>
  <c r="V133" i="9"/>
  <c r="P133" i="9"/>
  <c r="O133" i="9"/>
  <c r="AC132" i="9"/>
  <c r="AE132" i="9" s="1"/>
  <c r="W132" i="9"/>
  <c r="AB132" i="9" s="1"/>
  <c r="V132" i="9"/>
  <c r="P132" i="9"/>
  <c r="O132" i="9"/>
  <c r="W131" i="9"/>
  <c r="AC131" i="9" s="1"/>
  <c r="V131" i="9"/>
  <c r="P131" i="9"/>
  <c r="O131" i="9"/>
  <c r="W130" i="9"/>
  <c r="V130" i="9"/>
  <c r="AB130" i="9" s="1"/>
  <c r="P130" i="9"/>
  <c r="O130" i="9"/>
  <c r="W129" i="9"/>
  <c r="V129" i="9"/>
  <c r="P129" i="9"/>
  <c r="O129" i="9"/>
  <c r="W128" i="9"/>
  <c r="AB128" i="9" s="1"/>
  <c r="V128" i="9"/>
  <c r="P128" i="9"/>
  <c r="O128" i="9"/>
  <c r="AB127" i="9"/>
  <c r="AG127" i="9" s="1"/>
  <c r="W127" i="9"/>
  <c r="AC127" i="9" s="1"/>
  <c r="V127" i="9"/>
  <c r="P127" i="9"/>
  <c r="O127" i="9"/>
  <c r="W126" i="9"/>
  <c r="AC126" i="9" s="1"/>
  <c r="V126" i="9"/>
  <c r="P126" i="9"/>
  <c r="O126" i="9"/>
  <c r="W125" i="9"/>
  <c r="V125" i="9"/>
  <c r="P125" i="9"/>
  <c r="O125" i="9"/>
  <c r="AC124" i="9"/>
  <c r="W124" i="9"/>
  <c r="AB124" i="9" s="1"/>
  <c r="AH124" i="9" s="1"/>
  <c r="V124" i="9"/>
  <c r="P124" i="9"/>
  <c r="O124" i="9"/>
  <c r="W123" i="9"/>
  <c r="AC123" i="9" s="1"/>
  <c r="V123" i="9"/>
  <c r="AB123" i="9" s="1"/>
  <c r="P123" i="9"/>
  <c r="O123" i="9"/>
  <c r="W122" i="9"/>
  <c r="AC122" i="9" s="1"/>
  <c r="V122" i="9"/>
  <c r="P122" i="9"/>
  <c r="O122" i="9"/>
  <c r="W121" i="9"/>
  <c r="V121" i="9"/>
  <c r="P121" i="9"/>
  <c r="O121" i="9"/>
  <c r="W120" i="9"/>
  <c r="AB120" i="9" s="1"/>
  <c r="V120" i="9"/>
  <c r="P120" i="9"/>
  <c r="O120" i="9"/>
  <c r="W119" i="9"/>
  <c r="V119" i="9"/>
  <c r="AB119" i="9" s="1"/>
  <c r="P119" i="9"/>
  <c r="O119" i="9"/>
  <c r="W118" i="9"/>
  <c r="V118" i="9"/>
  <c r="AB118" i="9" s="1"/>
  <c r="P118" i="9"/>
  <c r="O118" i="9"/>
  <c r="W117" i="9"/>
  <c r="V117" i="9"/>
  <c r="P117" i="9"/>
  <c r="O117" i="9"/>
  <c r="W116" i="9"/>
  <c r="AB116" i="9" s="1"/>
  <c r="V116" i="9"/>
  <c r="P116" i="9"/>
  <c r="O116" i="9"/>
  <c r="AB115" i="9"/>
  <c r="W115" i="9"/>
  <c r="AC115" i="9" s="1"/>
  <c r="V115" i="9"/>
  <c r="P115" i="9"/>
  <c r="O115" i="9"/>
  <c r="W114" i="9"/>
  <c r="AC114" i="9" s="1"/>
  <c r="V114" i="9"/>
  <c r="P114" i="9"/>
  <c r="O114" i="9"/>
  <c r="W113" i="9"/>
  <c r="V113" i="9"/>
  <c r="P113" i="9"/>
  <c r="O113" i="9"/>
  <c r="W112" i="9"/>
  <c r="AB112" i="9" s="1"/>
  <c r="V112" i="9"/>
  <c r="P112" i="9"/>
  <c r="O112" i="9"/>
  <c r="W111" i="9"/>
  <c r="V111" i="9"/>
  <c r="AB111" i="9" s="1"/>
  <c r="P111" i="9"/>
  <c r="O111" i="9"/>
  <c r="W110" i="9"/>
  <c r="V110" i="9"/>
  <c r="P110" i="9"/>
  <c r="O110" i="9"/>
  <c r="W109" i="9"/>
  <c r="V109" i="9"/>
  <c r="P109" i="9"/>
  <c r="O109" i="9"/>
  <c r="W108" i="9"/>
  <c r="V108" i="9"/>
  <c r="P108" i="9"/>
  <c r="O108" i="9"/>
  <c r="W107" i="9"/>
  <c r="AC107" i="9" s="1"/>
  <c r="V107" i="9"/>
  <c r="AB107" i="9" s="1"/>
  <c r="AD107" i="9" s="1"/>
  <c r="P107" i="9"/>
  <c r="O107" i="9"/>
  <c r="W106" i="9"/>
  <c r="AC106" i="9" s="1"/>
  <c r="V106" i="9"/>
  <c r="P106" i="9"/>
  <c r="O106" i="9"/>
  <c r="AC105" i="9"/>
  <c r="W105" i="9"/>
  <c r="V105" i="9"/>
  <c r="P105" i="9"/>
  <c r="O105" i="9"/>
  <c r="W104" i="9"/>
  <c r="AC104" i="9" s="1"/>
  <c r="V104" i="9"/>
  <c r="P104" i="9"/>
  <c r="O104" i="9"/>
  <c r="W103" i="9"/>
  <c r="AC103" i="9" s="1"/>
  <c r="V103" i="9"/>
  <c r="P103" i="9"/>
  <c r="O103" i="9"/>
  <c r="W102" i="9"/>
  <c r="V102" i="9"/>
  <c r="AC102" i="9" s="1"/>
  <c r="P102" i="9"/>
  <c r="O102" i="9"/>
  <c r="W101" i="9"/>
  <c r="V101" i="9"/>
  <c r="AB101" i="9" s="1"/>
  <c r="P101" i="9"/>
  <c r="O101" i="9"/>
  <c r="W100" i="9"/>
  <c r="AC100" i="9" s="1"/>
  <c r="V100" i="9"/>
  <c r="AB100" i="9" s="1"/>
  <c r="P100" i="9"/>
  <c r="O100" i="9"/>
  <c r="AB99" i="9"/>
  <c r="W99" i="9"/>
  <c r="V99" i="9"/>
  <c r="P99" i="9"/>
  <c r="O99" i="9"/>
  <c r="W98" i="9"/>
  <c r="AC98" i="9" s="1"/>
  <c r="V98" i="9"/>
  <c r="P98" i="9"/>
  <c r="O98" i="9"/>
  <c r="W97" i="9"/>
  <c r="AC97" i="9" s="1"/>
  <c r="V97" i="9"/>
  <c r="P97" i="9"/>
  <c r="O97" i="9"/>
  <c r="W96" i="9"/>
  <c r="V96" i="9"/>
  <c r="P96" i="9"/>
  <c r="O96" i="9"/>
  <c r="W95" i="9"/>
  <c r="AC95" i="9" s="1"/>
  <c r="AE95" i="9" s="1"/>
  <c r="V95" i="9"/>
  <c r="AB95" i="9" s="1"/>
  <c r="P95" i="9"/>
  <c r="O95" i="9"/>
  <c r="AB94" i="9"/>
  <c r="W94" i="9"/>
  <c r="AC94" i="9" s="1"/>
  <c r="V94" i="9"/>
  <c r="P94" i="9"/>
  <c r="O94" i="9"/>
  <c r="W93" i="9"/>
  <c r="AC93" i="9" s="1"/>
  <c r="V93" i="9"/>
  <c r="P93" i="9"/>
  <c r="O93" i="9"/>
  <c r="W92" i="9"/>
  <c r="V92" i="9"/>
  <c r="P92" i="9"/>
  <c r="O92" i="9"/>
  <c r="W91" i="9"/>
  <c r="V91" i="9"/>
  <c r="AC91" i="9" s="1"/>
  <c r="P91" i="9"/>
  <c r="O91" i="9"/>
  <c r="W90" i="9"/>
  <c r="AC90" i="9" s="1"/>
  <c r="V90" i="9"/>
  <c r="AB90" i="9" s="1"/>
  <c r="P90" i="9"/>
  <c r="O90" i="9"/>
  <c r="W89" i="9"/>
  <c r="AC89" i="9" s="1"/>
  <c r="V89" i="9"/>
  <c r="P89" i="9"/>
  <c r="O89" i="9"/>
  <c r="W88" i="9"/>
  <c r="V88" i="9"/>
  <c r="P88" i="9"/>
  <c r="O88" i="9"/>
  <c r="AC87" i="9"/>
  <c r="W87" i="9"/>
  <c r="AB87" i="9" s="1"/>
  <c r="AD87" i="9" s="1"/>
  <c r="V87" i="9"/>
  <c r="P87" i="9"/>
  <c r="O87" i="9"/>
  <c r="W86" i="9"/>
  <c r="V86" i="9"/>
  <c r="AB86" i="9" s="1"/>
  <c r="P86" i="9"/>
  <c r="O86" i="9"/>
  <c r="W85" i="9"/>
  <c r="V85" i="9"/>
  <c r="AB85" i="9" s="1"/>
  <c r="P85" i="9"/>
  <c r="O85" i="9"/>
  <c r="W84" i="9"/>
  <c r="V84" i="9"/>
  <c r="AB84" i="9" s="1"/>
  <c r="P84" i="9"/>
  <c r="O84" i="9"/>
  <c r="AB83" i="9"/>
  <c r="W83" i="9"/>
  <c r="AC83" i="9" s="1"/>
  <c r="AE83" i="9" s="1"/>
  <c r="V83" i="9"/>
  <c r="P83" i="9"/>
  <c r="O83" i="9"/>
  <c r="W82" i="9"/>
  <c r="AC82" i="9" s="1"/>
  <c r="V82" i="9"/>
  <c r="P82" i="9"/>
  <c r="O82" i="9"/>
  <c r="W81" i="9"/>
  <c r="AC81" i="9" s="1"/>
  <c r="V81" i="9"/>
  <c r="P81" i="9"/>
  <c r="O81" i="9"/>
  <c r="W80" i="9"/>
  <c r="V80" i="9"/>
  <c r="P80" i="9"/>
  <c r="O80" i="9"/>
  <c r="W79" i="9"/>
  <c r="AC79" i="9" s="1"/>
  <c r="AE79" i="9" s="1"/>
  <c r="V79" i="9"/>
  <c r="AB79" i="9" s="1"/>
  <c r="P79" i="9"/>
  <c r="O79" i="9"/>
  <c r="AB78" i="9"/>
  <c r="W78" i="9"/>
  <c r="V78" i="9"/>
  <c r="P78" i="9"/>
  <c r="O78" i="9"/>
  <c r="W77" i="9"/>
  <c r="V77" i="9"/>
  <c r="AB77" i="9" s="1"/>
  <c r="P77" i="9"/>
  <c r="O77" i="9"/>
  <c r="W76" i="9"/>
  <c r="V76" i="9"/>
  <c r="AB76" i="9" s="1"/>
  <c r="P76" i="9"/>
  <c r="O76" i="9"/>
  <c r="W75" i="9"/>
  <c r="V75" i="9"/>
  <c r="AC75" i="9" s="1"/>
  <c r="P75" i="9"/>
  <c r="O75" i="9"/>
  <c r="W74" i="9"/>
  <c r="AC74" i="9" s="1"/>
  <c r="V74" i="9"/>
  <c r="AB74" i="9" s="1"/>
  <c r="P74" i="9"/>
  <c r="O74" i="9"/>
  <c r="W73" i="9"/>
  <c r="AC73" i="9" s="1"/>
  <c r="V73" i="9"/>
  <c r="P73" i="9"/>
  <c r="O73" i="9"/>
  <c r="W72" i="9"/>
  <c r="V72" i="9"/>
  <c r="P72" i="9"/>
  <c r="O72" i="9"/>
  <c r="AC71" i="9"/>
  <c r="AE71" i="9" s="1"/>
  <c r="AB71" i="9"/>
  <c r="W71" i="9"/>
  <c r="V71" i="9"/>
  <c r="P71" i="9"/>
  <c r="O71" i="9"/>
  <c r="W70" i="9"/>
  <c r="V70" i="9"/>
  <c r="AB70" i="9" s="1"/>
  <c r="P70" i="9"/>
  <c r="O70" i="9"/>
  <c r="W69" i="9"/>
  <c r="V69" i="9"/>
  <c r="AB69" i="9" s="1"/>
  <c r="P69" i="9"/>
  <c r="O69" i="9"/>
  <c r="W68" i="9"/>
  <c r="V68" i="9"/>
  <c r="P68" i="9"/>
  <c r="O68" i="9"/>
  <c r="AB67" i="9"/>
  <c r="W67" i="9"/>
  <c r="AC67" i="9" s="1"/>
  <c r="AE67" i="9" s="1"/>
  <c r="V67" i="9"/>
  <c r="P67" i="9"/>
  <c r="O67" i="9"/>
  <c r="W66" i="9"/>
  <c r="AC66" i="9" s="1"/>
  <c r="V66" i="9"/>
  <c r="P66" i="9"/>
  <c r="W29" i="9" s="1"/>
  <c r="O66" i="9"/>
  <c r="W65" i="9"/>
  <c r="AC65" i="9" s="1"/>
  <c r="V65" i="9"/>
  <c r="P65" i="9"/>
  <c r="O65" i="9"/>
  <c r="W64" i="9"/>
  <c r="V64" i="9"/>
  <c r="P64" i="9"/>
  <c r="W45" i="9" s="1"/>
  <c r="AC45" i="9" s="1"/>
  <c r="O64" i="9"/>
  <c r="Z63" i="9"/>
  <c r="W63" i="9"/>
  <c r="AC63" i="9" s="1"/>
  <c r="V63" i="9"/>
  <c r="P63" i="9"/>
  <c r="O63" i="9"/>
  <c r="AC62" i="9"/>
  <c r="W62" i="9"/>
  <c r="AB62" i="9" s="1"/>
  <c r="V62" i="9"/>
  <c r="P62" i="9"/>
  <c r="W35" i="9" s="1"/>
  <c r="O62" i="9"/>
  <c r="W61" i="9"/>
  <c r="V61" i="9"/>
  <c r="P61" i="9"/>
  <c r="W34" i="9" s="1"/>
  <c r="AC34" i="9" s="1"/>
  <c r="O61" i="9"/>
  <c r="Z60" i="9"/>
  <c r="W60" i="9"/>
  <c r="V60" i="9"/>
  <c r="AB60" i="9" s="1"/>
  <c r="P60" i="9"/>
  <c r="O60" i="9"/>
  <c r="V56" i="9" s="1"/>
  <c r="W59" i="9"/>
  <c r="V59" i="9"/>
  <c r="P59" i="9"/>
  <c r="O59" i="9"/>
  <c r="V37" i="9" s="1"/>
  <c r="W58" i="9"/>
  <c r="V58" i="9"/>
  <c r="P58" i="9"/>
  <c r="O58" i="9"/>
  <c r="P57" i="9"/>
  <c r="O57" i="9"/>
  <c r="V54" i="9" s="1"/>
  <c r="AB54" i="9" s="1"/>
  <c r="P56" i="9"/>
  <c r="O56" i="9"/>
  <c r="P55" i="9"/>
  <c r="W42" i="9" s="1"/>
  <c r="O55" i="9"/>
  <c r="V42" i="9" s="1"/>
  <c r="AB42" i="9" s="1"/>
  <c r="W54" i="9"/>
  <c r="P54" i="9"/>
  <c r="W51" i="9" s="1"/>
  <c r="O54" i="9"/>
  <c r="V51" i="9" s="1"/>
  <c r="AC51" i="9" s="1"/>
  <c r="P53" i="9"/>
  <c r="W33" i="9" s="1"/>
  <c r="AC33" i="9" s="1"/>
  <c r="O53" i="9"/>
  <c r="Z52" i="9"/>
  <c r="W52" i="9"/>
  <c r="V52" i="9"/>
  <c r="P52" i="9"/>
  <c r="O52" i="9"/>
  <c r="V40" i="9" s="1"/>
  <c r="AA51" i="9"/>
  <c r="P51" i="9"/>
  <c r="W41" i="9" s="1"/>
  <c r="AC41" i="9" s="1"/>
  <c r="O51" i="9"/>
  <c r="W50" i="9"/>
  <c r="V50" i="9"/>
  <c r="AC50" i="9" s="1"/>
  <c r="P50" i="9"/>
  <c r="O50" i="9"/>
  <c r="W49" i="9"/>
  <c r="AC49" i="9" s="1"/>
  <c r="V49" i="9"/>
  <c r="AB49" i="9" s="1"/>
  <c r="AG49" i="9" s="1"/>
  <c r="P49" i="9"/>
  <c r="W57" i="9" s="1"/>
  <c r="O49" i="9"/>
  <c r="V57" i="9" s="1"/>
  <c r="W48" i="9"/>
  <c r="AC48" i="9" s="1"/>
  <c r="V48" i="9"/>
  <c r="P48" i="9"/>
  <c r="W55" i="9" s="1"/>
  <c r="AC55" i="9" s="1"/>
  <c r="O48" i="9"/>
  <c r="V55" i="9" s="1"/>
  <c r="W47" i="9"/>
  <c r="AC47" i="9" s="1"/>
  <c r="V47" i="9"/>
  <c r="P47" i="9"/>
  <c r="W53" i="9" s="1"/>
  <c r="O47" i="9"/>
  <c r="V53" i="9" s="1"/>
  <c r="W46" i="9"/>
  <c r="AC46" i="9" s="1"/>
  <c r="V46" i="9"/>
  <c r="P46" i="9"/>
  <c r="O46" i="9"/>
  <c r="V45" i="9"/>
  <c r="P45" i="9"/>
  <c r="O45" i="9"/>
  <c r="V26" i="9" s="1"/>
  <c r="AC26" i="9" s="1"/>
  <c r="W44" i="9"/>
  <c r="AB44" i="9" s="1"/>
  <c r="V44" i="9"/>
  <c r="P44" i="9"/>
  <c r="O44" i="9"/>
  <c r="W43" i="9"/>
  <c r="AC43" i="9" s="1"/>
  <c r="V43" i="9"/>
  <c r="P43" i="9"/>
  <c r="W17" i="9" s="1"/>
  <c r="AC17" i="9" s="1"/>
  <c r="O43" i="9"/>
  <c r="P42" i="9"/>
  <c r="W24" i="9" s="1"/>
  <c r="AB24" i="9" s="1"/>
  <c r="O42" i="9"/>
  <c r="V41" i="9"/>
  <c r="P41" i="9"/>
  <c r="O41" i="9"/>
  <c r="W40" i="9"/>
  <c r="P40" i="9"/>
  <c r="O40" i="9"/>
  <c r="W39" i="9"/>
  <c r="AC39" i="9" s="1"/>
  <c r="V39" i="9"/>
  <c r="P39" i="9"/>
  <c r="O39" i="9"/>
  <c r="W38" i="9"/>
  <c r="AC38" i="9" s="1"/>
  <c r="V38" i="9"/>
  <c r="P38" i="9"/>
  <c r="O38" i="9"/>
  <c r="W37" i="9"/>
  <c r="P37" i="9"/>
  <c r="O37" i="9"/>
  <c r="V22" i="9" s="1"/>
  <c r="AC22" i="9" s="1"/>
  <c r="W36" i="9"/>
  <c r="AB36" i="9" s="1"/>
  <c r="V36" i="9"/>
  <c r="P36" i="9"/>
  <c r="O36" i="9"/>
  <c r="Z35" i="9"/>
  <c r="V35" i="9"/>
  <c r="P35" i="9"/>
  <c r="O35" i="9"/>
  <c r="V34" i="9"/>
  <c r="P34" i="9"/>
  <c r="O34" i="9"/>
  <c r="V33" i="9"/>
  <c r="P33" i="9"/>
  <c r="O33" i="9"/>
  <c r="Z32" i="9"/>
  <c r="W32" i="9"/>
  <c r="V32" i="9"/>
  <c r="P32" i="9"/>
  <c r="O32" i="9"/>
  <c r="AC31" i="9"/>
  <c r="W31" i="9"/>
  <c r="V31" i="9"/>
  <c r="AB31" i="9" s="1"/>
  <c r="P31" i="9"/>
  <c r="O31" i="9"/>
  <c r="V14" i="9" s="1"/>
  <c r="AB14" i="9" s="1"/>
  <c r="Z30" i="9"/>
  <c r="W30" i="9"/>
  <c r="V30" i="9"/>
  <c r="AB30" i="9" s="1"/>
  <c r="P30" i="9"/>
  <c r="O30" i="9"/>
  <c r="V29" i="9"/>
  <c r="P29" i="9"/>
  <c r="O29" i="9"/>
  <c r="Z28" i="9"/>
  <c r="W28" i="9"/>
  <c r="V28" i="9"/>
  <c r="P28" i="9"/>
  <c r="O28" i="9"/>
  <c r="AA27" i="9"/>
  <c r="W27" i="9"/>
  <c r="V27" i="9"/>
  <c r="P27" i="9"/>
  <c r="O27" i="9"/>
  <c r="Z26" i="9"/>
  <c r="W26" i="9"/>
  <c r="P26" i="9"/>
  <c r="O26" i="9"/>
  <c r="W25" i="9"/>
  <c r="AC25" i="9" s="1"/>
  <c r="V25" i="9"/>
  <c r="P25" i="9"/>
  <c r="O25" i="9"/>
  <c r="Z24" i="9"/>
  <c r="V24" i="9"/>
  <c r="P24" i="9"/>
  <c r="O24" i="9"/>
  <c r="W23" i="9"/>
  <c r="V23" i="9"/>
  <c r="AB23" i="9" s="1"/>
  <c r="P23" i="9"/>
  <c r="O23" i="9"/>
  <c r="AA22" i="9"/>
  <c r="W22" i="9"/>
  <c r="P22" i="9"/>
  <c r="O22" i="9"/>
  <c r="AC21" i="9"/>
  <c r="W21" i="9"/>
  <c r="V21" i="9"/>
  <c r="AB21" i="9" s="1"/>
  <c r="P21" i="9"/>
  <c r="O21" i="9"/>
  <c r="W20" i="9"/>
  <c r="AC20" i="9" s="1"/>
  <c r="V20" i="9"/>
  <c r="P20" i="9"/>
  <c r="O20" i="9"/>
  <c r="W19" i="9"/>
  <c r="AC19" i="9" s="1"/>
  <c r="V19" i="9"/>
  <c r="P19" i="9"/>
  <c r="O19" i="9"/>
  <c r="W18" i="9"/>
  <c r="V18" i="9"/>
  <c r="P18" i="9"/>
  <c r="O18" i="9"/>
  <c r="V17" i="9"/>
  <c r="P17" i="9"/>
  <c r="O17" i="9"/>
  <c r="W16" i="9"/>
  <c r="AC16" i="9" s="1"/>
  <c r="V16" i="9"/>
  <c r="AB16" i="9" s="1"/>
  <c r="AD16" i="9" s="1"/>
  <c r="P16" i="9"/>
  <c r="W14" i="9" s="1"/>
  <c r="O16" i="9"/>
  <c r="W15" i="9"/>
  <c r="AC15" i="9" s="1"/>
  <c r="V15" i="9"/>
  <c r="P15" i="9"/>
  <c r="W11" i="9" s="1"/>
  <c r="O15" i="9"/>
  <c r="AA14" i="9"/>
  <c r="Z14" i="9"/>
  <c r="P14" i="9"/>
  <c r="O14" i="9"/>
  <c r="W13" i="9"/>
  <c r="V13" i="9"/>
  <c r="AB13" i="9" s="1"/>
  <c r="P13" i="9"/>
  <c r="O13" i="9"/>
  <c r="AA12" i="9"/>
  <c r="W12" i="9"/>
  <c r="V12" i="9"/>
  <c r="P12" i="9"/>
  <c r="O12" i="9"/>
  <c r="AA11" i="9"/>
  <c r="P11" i="9"/>
  <c r="O11" i="9"/>
  <c r="AA10" i="9"/>
  <c r="Z10" i="9"/>
  <c r="W10" i="9"/>
  <c r="P10" i="9"/>
  <c r="O10" i="9"/>
  <c r="J10" i="9"/>
  <c r="S9" i="9"/>
  <c r="S10" i="9" s="1"/>
  <c r="S11" i="9" s="1"/>
  <c r="S12" i="9" s="1"/>
  <c r="S13" i="9" s="1"/>
  <c r="S14" i="9" s="1"/>
  <c r="S15" i="9" s="1"/>
  <c r="S16" i="9" s="1"/>
  <c r="S17" i="9" s="1"/>
  <c r="S18" i="9" s="1"/>
  <c r="S19" i="9" s="1"/>
  <c r="S20" i="9" s="1"/>
  <c r="S21" i="9" s="1"/>
  <c r="S22" i="9" s="1"/>
  <c r="S23" i="9" s="1"/>
  <c r="S24" i="9" s="1"/>
  <c r="S25" i="9" s="1"/>
  <c r="S26" i="9" s="1"/>
  <c r="S27" i="9" s="1"/>
  <c r="S28" i="9" s="1"/>
  <c r="S29" i="9" s="1"/>
  <c r="S30" i="9" s="1"/>
  <c r="S31" i="9" s="1"/>
  <c r="S32" i="9" s="1"/>
  <c r="S33" i="9" s="1"/>
  <c r="S34" i="9" s="1"/>
  <c r="S35" i="9" s="1"/>
  <c r="S36" i="9" s="1"/>
  <c r="S37" i="9" s="1"/>
  <c r="S38" i="9" s="1"/>
  <c r="S39" i="9" s="1"/>
  <c r="S40" i="9" s="1"/>
  <c r="S41" i="9" s="1"/>
  <c r="S42" i="9" s="1"/>
  <c r="S43" i="9" s="1"/>
  <c r="S44" i="9" s="1"/>
  <c r="S45" i="9" s="1"/>
  <c r="S46" i="9" s="1"/>
  <c r="S47" i="9" s="1"/>
  <c r="S48" i="9" s="1"/>
  <c r="S49" i="9" s="1"/>
  <c r="S50" i="9" s="1"/>
  <c r="S51" i="9" s="1"/>
  <c r="S52" i="9" s="1"/>
  <c r="S53" i="9" s="1"/>
  <c r="S54" i="9" s="1"/>
  <c r="S55" i="9" s="1"/>
  <c r="S56" i="9" s="1"/>
  <c r="S57" i="9" s="1"/>
  <c r="S58" i="9" s="1"/>
  <c r="S59" i="9" s="1"/>
  <c r="S60" i="9" s="1"/>
  <c r="S61" i="9" s="1"/>
  <c r="S62" i="9" s="1"/>
  <c r="S63" i="9" s="1"/>
  <c r="S64" i="9" s="1"/>
  <c r="S65" i="9" s="1"/>
  <c r="S66" i="9" s="1"/>
  <c r="S67" i="9" s="1"/>
  <c r="S68" i="9" s="1"/>
  <c r="S69" i="9" s="1"/>
  <c r="S70" i="9" s="1"/>
  <c r="S71" i="9" s="1"/>
  <c r="S72" i="9" s="1"/>
  <c r="S73" i="9" s="1"/>
  <c r="S74" i="9" s="1"/>
  <c r="S75" i="9" s="1"/>
  <c r="S76" i="9" s="1"/>
  <c r="S77" i="9" s="1"/>
  <c r="S78" i="9" s="1"/>
  <c r="S79" i="9" s="1"/>
  <c r="S80" i="9" s="1"/>
  <c r="S81" i="9" s="1"/>
  <c r="S82" i="9" s="1"/>
  <c r="S83" i="9" s="1"/>
  <c r="S84" i="9" s="1"/>
  <c r="S85" i="9" s="1"/>
  <c r="S86" i="9" s="1"/>
  <c r="S87" i="9" s="1"/>
  <c r="S88" i="9" s="1"/>
  <c r="S89" i="9" s="1"/>
  <c r="S90" i="9" s="1"/>
  <c r="S91" i="9" s="1"/>
  <c r="S92" i="9" s="1"/>
  <c r="S93" i="9" s="1"/>
  <c r="S94" i="9" s="1"/>
  <c r="S95" i="9" s="1"/>
  <c r="S96" i="9" s="1"/>
  <c r="S97" i="9" s="1"/>
  <c r="S98" i="9" s="1"/>
  <c r="S99" i="9" s="1"/>
  <c r="S100" i="9" s="1"/>
  <c r="S101" i="9" s="1"/>
  <c r="S102" i="9" s="1"/>
  <c r="S103" i="9" s="1"/>
  <c r="S104" i="9" s="1"/>
  <c r="S105" i="9" s="1"/>
  <c r="S106" i="9" s="1"/>
  <c r="S107" i="9" s="1"/>
  <c r="S108" i="9" s="1"/>
  <c r="S109" i="9" s="1"/>
  <c r="S110" i="9" s="1"/>
  <c r="S111" i="9" s="1"/>
  <c r="S112" i="9" s="1"/>
  <c r="S113" i="9" s="1"/>
  <c r="S114" i="9" s="1"/>
  <c r="S115" i="9" s="1"/>
  <c r="S116" i="9" s="1"/>
  <c r="S117" i="9" s="1"/>
  <c r="S118" i="9" s="1"/>
  <c r="S119" i="9" s="1"/>
  <c r="S120" i="9" s="1"/>
  <c r="S121" i="9" s="1"/>
  <c r="S122" i="9" s="1"/>
  <c r="S123" i="9" s="1"/>
  <c r="S124" i="9" s="1"/>
  <c r="S125" i="9" s="1"/>
  <c r="S126" i="9" s="1"/>
  <c r="S127" i="9" s="1"/>
  <c r="S128" i="9" s="1"/>
  <c r="S129" i="9" s="1"/>
  <c r="S130" i="9" s="1"/>
  <c r="S131" i="9" s="1"/>
  <c r="S132" i="9" s="1"/>
  <c r="S133" i="9" s="1"/>
  <c r="S134" i="9" s="1"/>
  <c r="S135" i="9" s="1"/>
  <c r="S136" i="9" s="1"/>
  <c r="S137" i="9" s="1"/>
  <c r="S138" i="9" s="1"/>
  <c r="S139" i="9" s="1"/>
  <c r="S140" i="9" s="1"/>
  <c r="S141" i="9" s="1"/>
  <c r="S142" i="9" s="1"/>
  <c r="S143" i="9" s="1"/>
  <c r="S144" i="9" s="1"/>
  <c r="S145" i="9" s="1"/>
  <c r="S146" i="9" s="1"/>
  <c r="S147" i="9" s="1"/>
  <c r="S148" i="9" s="1"/>
  <c r="S149" i="9" s="1"/>
  <c r="S150" i="9" s="1"/>
  <c r="S151" i="9" s="1"/>
  <c r="S152" i="9" s="1"/>
  <c r="S153" i="9" s="1"/>
  <c r="S154" i="9" s="1"/>
  <c r="S155" i="9" s="1"/>
  <c r="S156" i="9" s="1"/>
  <c r="S157" i="9" s="1"/>
  <c r="S158" i="9" s="1"/>
  <c r="S159" i="9" s="1"/>
  <c r="S160" i="9" s="1"/>
  <c r="S161" i="9" s="1"/>
  <c r="S162" i="9" s="1"/>
  <c r="S163" i="9" s="1"/>
  <c r="S164" i="9" s="1"/>
  <c r="S165" i="9" s="1"/>
  <c r="S166" i="9" s="1"/>
  <c r="S167" i="9" s="1"/>
  <c r="S168" i="9" s="1"/>
  <c r="S169" i="9" s="1"/>
  <c r="S170" i="9" s="1"/>
  <c r="S171" i="9" s="1"/>
  <c r="S172" i="9" s="1"/>
  <c r="S173" i="9" s="1"/>
  <c r="S174" i="9" s="1"/>
  <c r="S175" i="9" s="1"/>
  <c r="S176" i="9" s="1"/>
  <c r="S177" i="9" s="1"/>
  <c r="S178" i="9" s="1"/>
  <c r="S179" i="9" s="1"/>
  <c r="S180" i="9" s="1"/>
  <c r="S181" i="9" s="1"/>
  <c r="S182" i="9" s="1"/>
  <c r="S183" i="9" s="1"/>
  <c r="S184" i="9" s="1"/>
  <c r="S185" i="9" s="1"/>
  <c r="S186" i="9" s="1"/>
  <c r="S187" i="9" s="1"/>
  <c r="S188" i="9" s="1"/>
  <c r="S189" i="9" s="1"/>
  <c r="S190" i="9" s="1"/>
  <c r="S191" i="9" s="1"/>
  <c r="S192" i="9" s="1"/>
  <c r="S193" i="9" s="1"/>
  <c r="S194" i="9" s="1"/>
  <c r="S195" i="9" s="1"/>
  <c r="S196" i="9" s="1"/>
  <c r="S197" i="9" s="1"/>
  <c r="S198" i="9" s="1"/>
  <c r="S199" i="9" s="1"/>
  <c r="S200" i="9" s="1"/>
  <c r="P9" i="9"/>
  <c r="W9" i="9" s="1"/>
  <c r="O9" i="9"/>
  <c r="V9" i="9" s="1"/>
  <c r="AB9" i="9" s="1"/>
  <c r="AA8" i="9"/>
  <c r="P8" i="9"/>
  <c r="P201" i="9" s="1"/>
  <c r="O8" i="9"/>
  <c r="AN7" i="9"/>
  <c r="Z12" i="9" s="1"/>
  <c r="AA61" i="9" s="1"/>
  <c r="AB61" i="9" s="1"/>
  <c r="E201" i="8"/>
  <c r="D201" i="8"/>
  <c r="W200" i="8"/>
  <c r="V200" i="8"/>
  <c r="AC200" i="8" s="1"/>
  <c r="P200" i="8"/>
  <c r="O200" i="8"/>
  <c r="W199" i="8"/>
  <c r="V199" i="8"/>
  <c r="P199" i="8"/>
  <c r="O199" i="8"/>
  <c r="W198" i="8"/>
  <c r="V198" i="8"/>
  <c r="P198" i="8"/>
  <c r="O198" i="8"/>
  <c r="W197" i="8"/>
  <c r="V197" i="8"/>
  <c r="P197" i="8"/>
  <c r="O197" i="8"/>
  <c r="W196" i="8"/>
  <c r="V196" i="8"/>
  <c r="P196" i="8"/>
  <c r="O196" i="8"/>
  <c r="W195" i="8"/>
  <c r="V195" i="8"/>
  <c r="P195" i="8"/>
  <c r="O195" i="8"/>
  <c r="W194" i="8"/>
  <c r="V194" i="8"/>
  <c r="P194" i="8"/>
  <c r="O194" i="8"/>
  <c r="W193" i="8"/>
  <c r="V193" i="8"/>
  <c r="AB193" i="8" s="1"/>
  <c r="P193" i="8"/>
  <c r="O193" i="8"/>
  <c r="W192" i="8"/>
  <c r="V192" i="8"/>
  <c r="AB192" i="8" s="1"/>
  <c r="P192" i="8"/>
  <c r="O192" i="8"/>
  <c r="W191" i="8"/>
  <c r="V191" i="8"/>
  <c r="P191" i="8"/>
  <c r="O191" i="8"/>
  <c r="W190" i="8"/>
  <c r="V190" i="8"/>
  <c r="AB190" i="8" s="1"/>
  <c r="P190" i="8"/>
  <c r="O190" i="8"/>
  <c r="W189" i="8"/>
  <c r="V189" i="8"/>
  <c r="P189" i="8"/>
  <c r="O189" i="8"/>
  <c r="W188" i="8"/>
  <c r="V188" i="8"/>
  <c r="AB188" i="8" s="1"/>
  <c r="P188" i="8"/>
  <c r="O188" i="8"/>
  <c r="W187" i="8"/>
  <c r="V187" i="8"/>
  <c r="P187" i="8"/>
  <c r="O187" i="8"/>
  <c r="W186" i="8"/>
  <c r="V186" i="8"/>
  <c r="AB186" i="8" s="1"/>
  <c r="P186" i="8"/>
  <c r="O186" i="8"/>
  <c r="W185" i="8"/>
  <c r="V185" i="8"/>
  <c r="AB185" i="8" s="1"/>
  <c r="P185" i="8"/>
  <c r="O185" i="8"/>
  <c r="W184" i="8"/>
  <c r="AC184" i="8" s="1"/>
  <c r="V184" i="8"/>
  <c r="AB184" i="8" s="1"/>
  <c r="P184" i="8"/>
  <c r="O184" i="8"/>
  <c r="W183" i="8"/>
  <c r="V183" i="8"/>
  <c r="P183" i="8"/>
  <c r="O183" i="8"/>
  <c r="W182" i="8"/>
  <c r="AC182" i="8" s="1"/>
  <c r="V182" i="8"/>
  <c r="P182" i="8"/>
  <c r="O182" i="8"/>
  <c r="W181" i="8"/>
  <c r="V181" i="8"/>
  <c r="P181" i="8"/>
  <c r="O181" i="8"/>
  <c r="W180" i="8"/>
  <c r="AC180" i="8" s="1"/>
  <c r="V180" i="8"/>
  <c r="P180" i="8"/>
  <c r="O180" i="8"/>
  <c r="W179" i="8"/>
  <c r="AC179" i="8" s="1"/>
  <c r="V179" i="8"/>
  <c r="P179" i="8"/>
  <c r="O179" i="8"/>
  <c r="W178" i="8"/>
  <c r="AC178" i="8" s="1"/>
  <c r="V178" i="8"/>
  <c r="P178" i="8"/>
  <c r="O178" i="8"/>
  <c r="W177" i="8"/>
  <c r="V177" i="8"/>
  <c r="P177" i="8"/>
  <c r="O177" i="8"/>
  <c r="W176" i="8"/>
  <c r="AC176" i="8" s="1"/>
  <c r="V176" i="8"/>
  <c r="P176" i="8"/>
  <c r="O176" i="8"/>
  <c r="W175" i="8"/>
  <c r="V175" i="8"/>
  <c r="P175" i="8"/>
  <c r="O175" i="8"/>
  <c r="W174" i="8"/>
  <c r="V174" i="8"/>
  <c r="P174" i="8"/>
  <c r="O174" i="8"/>
  <c r="W173" i="8"/>
  <c r="V173" i="8"/>
  <c r="P173" i="8"/>
  <c r="O173" i="8"/>
  <c r="W172" i="8"/>
  <c r="V172" i="8"/>
  <c r="P172" i="8"/>
  <c r="O172" i="8"/>
  <c r="W171" i="8"/>
  <c r="V171" i="8"/>
  <c r="P171" i="8"/>
  <c r="O171" i="8"/>
  <c r="W170" i="8"/>
  <c r="V170" i="8"/>
  <c r="P170" i="8"/>
  <c r="O170" i="8"/>
  <c r="W169" i="8"/>
  <c r="V169" i="8"/>
  <c r="P169" i="8"/>
  <c r="O169" i="8"/>
  <c r="W168" i="8"/>
  <c r="AC168" i="8" s="1"/>
  <c r="V168" i="8"/>
  <c r="P168" i="8"/>
  <c r="O168" i="8"/>
  <c r="W167" i="8"/>
  <c r="AC167" i="8" s="1"/>
  <c r="V167" i="8"/>
  <c r="P167" i="8"/>
  <c r="O167" i="8"/>
  <c r="W166" i="8"/>
  <c r="AC166" i="8" s="1"/>
  <c r="V166" i="8"/>
  <c r="P166" i="8"/>
  <c r="O166" i="8"/>
  <c r="W165" i="8"/>
  <c r="AC165" i="8" s="1"/>
  <c r="V165" i="8"/>
  <c r="P165" i="8"/>
  <c r="O165" i="8"/>
  <c r="W164" i="8"/>
  <c r="AC164" i="8" s="1"/>
  <c r="V164" i="8"/>
  <c r="P164" i="8"/>
  <c r="O164" i="8"/>
  <c r="W163" i="8"/>
  <c r="V163" i="8"/>
  <c r="P163" i="8"/>
  <c r="O163" i="8"/>
  <c r="W162" i="8"/>
  <c r="AB162" i="8" s="1"/>
  <c r="V162" i="8"/>
  <c r="P162" i="8"/>
  <c r="O162" i="8"/>
  <c r="AC161" i="8"/>
  <c r="W161" i="8"/>
  <c r="V161" i="8"/>
  <c r="P161" i="8"/>
  <c r="O161" i="8"/>
  <c r="W160" i="8"/>
  <c r="V160" i="8"/>
  <c r="P160" i="8"/>
  <c r="O160" i="8"/>
  <c r="W159" i="8"/>
  <c r="V159" i="8"/>
  <c r="P159" i="8"/>
  <c r="O159" i="8"/>
  <c r="W158" i="8"/>
  <c r="V158" i="8"/>
  <c r="P158" i="8"/>
  <c r="O158" i="8"/>
  <c r="W157" i="8"/>
  <c r="V157" i="8"/>
  <c r="P157" i="8"/>
  <c r="O157" i="8"/>
  <c r="W156" i="8"/>
  <c r="V156" i="8"/>
  <c r="P156" i="8"/>
  <c r="O156" i="8"/>
  <c r="W155" i="8"/>
  <c r="V155" i="8"/>
  <c r="AC155" i="8" s="1"/>
  <c r="P155" i="8"/>
  <c r="O155" i="8"/>
  <c r="W154" i="8"/>
  <c r="V154" i="8"/>
  <c r="P154" i="8"/>
  <c r="O154" i="8"/>
  <c r="W153" i="8"/>
  <c r="V153" i="8"/>
  <c r="P153" i="8"/>
  <c r="O153" i="8"/>
  <c r="W152" i="8"/>
  <c r="V152" i="8"/>
  <c r="P152" i="8"/>
  <c r="O152" i="8"/>
  <c r="W151" i="8"/>
  <c r="V151" i="8"/>
  <c r="P151" i="8"/>
  <c r="O151" i="8"/>
  <c r="W150" i="8"/>
  <c r="V150" i="8"/>
  <c r="P150" i="8"/>
  <c r="O150" i="8"/>
  <c r="W149" i="8"/>
  <c r="V149" i="8"/>
  <c r="P149" i="8"/>
  <c r="O149" i="8"/>
  <c r="W148" i="8"/>
  <c r="V148" i="8"/>
  <c r="P148" i="8"/>
  <c r="O148" i="8"/>
  <c r="W147" i="8"/>
  <c r="V147" i="8"/>
  <c r="P147" i="8"/>
  <c r="O147" i="8"/>
  <c r="W146" i="8"/>
  <c r="V146" i="8"/>
  <c r="AB146" i="8" s="1"/>
  <c r="P146" i="8"/>
  <c r="O146" i="8"/>
  <c r="W145" i="8"/>
  <c r="V145" i="8"/>
  <c r="P145" i="8"/>
  <c r="O145" i="8"/>
  <c r="W144" i="8"/>
  <c r="V144" i="8"/>
  <c r="P144" i="8"/>
  <c r="O144" i="8"/>
  <c r="W143" i="8"/>
  <c r="V143" i="8"/>
  <c r="P143" i="8"/>
  <c r="O143" i="8"/>
  <c r="W142" i="8"/>
  <c r="V142" i="8"/>
  <c r="P142" i="8"/>
  <c r="O142" i="8"/>
  <c r="W141" i="8"/>
  <c r="V141" i="8"/>
  <c r="P141" i="8"/>
  <c r="O141" i="8"/>
  <c r="W140" i="8"/>
  <c r="V140" i="8"/>
  <c r="P140" i="8"/>
  <c r="O140" i="8"/>
  <c r="W139" i="8"/>
  <c r="V139" i="8"/>
  <c r="P139" i="8"/>
  <c r="O139" i="8"/>
  <c r="W138" i="8"/>
  <c r="V138" i="8"/>
  <c r="P138" i="8"/>
  <c r="O138" i="8"/>
  <c r="W137" i="8"/>
  <c r="V137" i="8"/>
  <c r="P137" i="8"/>
  <c r="O137" i="8"/>
  <c r="W136" i="8"/>
  <c r="V136" i="8"/>
  <c r="P136" i="8"/>
  <c r="O136" i="8"/>
  <c r="W135" i="8"/>
  <c r="AC135" i="8" s="1"/>
  <c r="V135" i="8"/>
  <c r="P135" i="8"/>
  <c r="O135" i="8"/>
  <c r="W134" i="8"/>
  <c r="AC134" i="8" s="1"/>
  <c r="V134" i="8"/>
  <c r="P134" i="8"/>
  <c r="O134" i="8"/>
  <c r="W133" i="8"/>
  <c r="V133" i="8"/>
  <c r="P133" i="8"/>
  <c r="O133" i="8"/>
  <c r="W132" i="8"/>
  <c r="V132" i="8"/>
  <c r="P132" i="8"/>
  <c r="O132" i="8"/>
  <c r="W131" i="8"/>
  <c r="V131" i="8"/>
  <c r="P131" i="8"/>
  <c r="O131" i="8"/>
  <c r="W130" i="8"/>
  <c r="AC130" i="8" s="1"/>
  <c r="V130" i="8"/>
  <c r="P130" i="8"/>
  <c r="O130" i="8"/>
  <c r="W129" i="8"/>
  <c r="V129" i="8"/>
  <c r="P129" i="8"/>
  <c r="O129" i="8"/>
  <c r="W128" i="8"/>
  <c r="V128" i="8"/>
  <c r="P128" i="8"/>
  <c r="O128" i="8"/>
  <c r="W127" i="8"/>
  <c r="V127" i="8"/>
  <c r="P127" i="8"/>
  <c r="O127" i="8"/>
  <c r="W126" i="8"/>
  <c r="V126" i="8"/>
  <c r="P126" i="8"/>
  <c r="O126" i="8"/>
  <c r="W125" i="8"/>
  <c r="V125" i="8"/>
  <c r="P125" i="8"/>
  <c r="O125" i="8"/>
  <c r="W124" i="8"/>
  <c r="V124" i="8"/>
  <c r="P124" i="8"/>
  <c r="O124" i="8"/>
  <c r="W123" i="8"/>
  <c r="V123" i="8"/>
  <c r="P123" i="8"/>
  <c r="O123" i="8"/>
  <c r="W122" i="8"/>
  <c r="V122" i="8"/>
  <c r="P122" i="8"/>
  <c r="O122" i="8"/>
  <c r="W121" i="8"/>
  <c r="V121" i="8"/>
  <c r="P121" i="8"/>
  <c r="O121" i="8"/>
  <c r="W120" i="8"/>
  <c r="AB120" i="8" s="1"/>
  <c r="V120" i="8"/>
  <c r="P120" i="8"/>
  <c r="O120" i="8"/>
  <c r="W119" i="8"/>
  <c r="V119" i="8"/>
  <c r="AB119" i="8" s="1"/>
  <c r="P119" i="8"/>
  <c r="O119" i="8"/>
  <c r="W118" i="8"/>
  <c r="V118" i="8"/>
  <c r="AC118" i="8" s="1"/>
  <c r="P118" i="8"/>
  <c r="O118" i="8"/>
  <c r="W117" i="8"/>
  <c r="V117" i="8"/>
  <c r="P117" i="8"/>
  <c r="O117" i="8"/>
  <c r="W116" i="8"/>
  <c r="V116" i="8"/>
  <c r="P116" i="8"/>
  <c r="O116" i="8"/>
  <c r="W115" i="8"/>
  <c r="V115" i="8"/>
  <c r="P115" i="8"/>
  <c r="O115" i="8"/>
  <c r="W114" i="8"/>
  <c r="V114" i="8"/>
  <c r="AB114" i="8" s="1"/>
  <c r="P114" i="8"/>
  <c r="O114" i="8"/>
  <c r="W113" i="8"/>
  <c r="V113" i="8"/>
  <c r="AB113" i="8" s="1"/>
  <c r="P113" i="8"/>
  <c r="O113" i="8"/>
  <c r="W112" i="8"/>
  <c r="V112" i="8"/>
  <c r="P112" i="8"/>
  <c r="O112" i="8"/>
  <c r="W111" i="8"/>
  <c r="V111" i="8"/>
  <c r="AB111" i="8" s="1"/>
  <c r="P111" i="8"/>
  <c r="O111" i="8"/>
  <c r="W110" i="8"/>
  <c r="V110" i="8"/>
  <c r="AB110" i="8" s="1"/>
  <c r="P110" i="8"/>
  <c r="O110" i="8"/>
  <c r="W109" i="8"/>
  <c r="V109" i="8"/>
  <c r="P109" i="8"/>
  <c r="O109" i="8"/>
  <c r="W108" i="8"/>
  <c r="V108" i="8"/>
  <c r="P108" i="8"/>
  <c r="O108" i="8"/>
  <c r="W107" i="8"/>
  <c r="V107" i="8"/>
  <c r="P107" i="8"/>
  <c r="O107" i="8"/>
  <c r="W106" i="8"/>
  <c r="V106" i="8"/>
  <c r="AC106" i="8" s="1"/>
  <c r="P106" i="8"/>
  <c r="O106" i="8"/>
  <c r="W105" i="8"/>
  <c r="V105" i="8"/>
  <c r="AB105" i="8" s="1"/>
  <c r="P105" i="8"/>
  <c r="O105" i="8"/>
  <c r="W104" i="8"/>
  <c r="V104" i="8"/>
  <c r="P104" i="8"/>
  <c r="O104" i="8"/>
  <c r="W103" i="8"/>
  <c r="V103" i="8"/>
  <c r="AB103" i="8" s="1"/>
  <c r="P103" i="8"/>
  <c r="O103" i="8"/>
  <c r="W102" i="8"/>
  <c r="V102" i="8"/>
  <c r="P102" i="8"/>
  <c r="O102" i="8"/>
  <c r="W101" i="8"/>
  <c r="V101" i="8"/>
  <c r="P101" i="8"/>
  <c r="O101" i="8"/>
  <c r="W100" i="8"/>
  <c r="V100" i="8"/>
  <c r="P100" i="8"/>
  <c r="O100" i="8"/>
  <c r="W99" i="8"/>
  <c r="V99" i="8"/>
  <c r="P99" i="8"/>
  <c r="O99" i="8"/>
  <c r="W98" i="8"/>
  <c r="V98" i="8"/>
  <c r="AC98" i="8" s="1"/>
  <c r="P98" i="8"/>
  <c r="O98" i="8"/>
  <c r="W97" i="8"/>
  <c r="V97" i="8"/>
  <c r="AB97" i="8" s="1"/>
  <c r="P97" i="8"/>
  <c r="O97" i="8"/>
  <c r="W96" i="8"/>
  <c r="V96" i="8"/>
  <c r="P96" i="8"/>
  <c r="O96" i="8"/>
  <c r="W95" i="8"/>
  <c r="V95" i="8"/>
  <c r="AB95" i="8" s="1"/>
  <c r="P95" i="8"/>
  <c r="O95" i="8"/>
  <c r="W94" i="8"/>
  <c r="V94" i="8"/>
  <c r="P94" i="8"/>
  <c r="O94" i="8"/>
  <c r="W93" i="8"/>
  <c r="V93" i="8"/>
  <c r="P93" i="8"/>
  <c r="O93" i="8"/>
  <c r="W92" i="8"/>
  <c r="V92" i="8"/>
  <c r="P92" i="8"/>
  <c r="O92" i="8"/>
  <c r="W91" i="8"/>
  <c r="V91" i="8"/>
  <c r="P91" i="8"/>
  <c r="O91" i="8"/>
  <c r="W90" i="8"/>
  <c r="AC90" i="8" s="1"/>
  <c r="V90" i="8"/>
  <c r="P90" i="8"/>
  <c r="O90" i="8"/>
  <c r="W89" i="8"/>
  <c r="V89" i="8"/>
  <c r="P89" i="8"/>
  <c r="O89" i="8"/>
  <c r="W88" i="8"/>
  <c r="V88" i="8"/>
  <c r="P88" i="8"/>
  <c r="O88" i="8"/>
  <c r="W87" i="8"/>
  <c r="V87" i="8"/>
  <c r="P87" i="8"/>
  <c r="O87" i="8"/>
  <c r="W86" i="8"/>
  <c r="V86" i="8"/>
  <c r="P86" i="8"/>
  <c r="O86" i="8"/>
  <c r="W85" i="8"/>
  <c r="V85" i="8"/>
  <c r="P85" i="8"/>
  <c r="O85" i="8"/>
  <c r="W84" i="8"/>
  <c r="V84" i="8"/>
  <c r="P84" i="8"/>
  <c r="O84" i="8"/>
  <c r="W83" i="8"/>
  <c r="V83" i="8"/>
  <c r="P83" i="8"/>
  <c r="O83" i="8"/>
  <c r="W82" i="8"/>
  <c r="V82" i="8"/>
  <c r="P82" i="8"/>
  <c r="O82" i="8"/>
  <c r="W81" i="8"/>
  <c r="V81" i="8"/>
  <c r="P81" i="8"/>
  <c r="O81" i="8"/>
  <c r="W80" i="8"/>
  <c r="V80" i="8"/>
  <c r="P80" i="8"/>
  <c r="W49" i="8" s="1"/>
  <c r="O80" i="8"/>
  <c r="W79" i="8"/>
  <c r="V79" i="8"/>
  <c r="P79" i="8"/>
  <c r="W48" i="8" s="1"/>
  <c r="O79" i="8"/>
  <c r="W78" i="8"/>
  <c r="V78" i="8"/>
  <c r="P78" i="8"/>
  <c r="O78" i="8"/>
  <c r="W77" i="8"/>
  <c r="AC77" i="8" s="1"/>
  <c r="V77" i="8"/>
  <c r="P77" i="8"/>
  <c r="O77" i="8"/>
  <c r="W76" i="8"/>
  <c r="V76" i="8"/>
  <c r="P76" i="8"/>
  <c r="W39" i="8" s="1"/>
  <c r="O76" i="8"/>
  <c r="W75" i="8"/>
  <c r="V75" i="8"/>
  <c r="P75" i="8"/>
  <c r="O75" i="8"/>
  <c r="W74" i="8"/>
  <c r="V74" i="8"/>
  <c r="P74" i="8"/>
  <c r="W30" i="8" s="1"/>
  <c r="O74" i="8"/>
  <c r="AC73" i="8"/>
  <c r="AB73" i="8"/>
  <c r="W73" i="8"/>
  <c r="V73" i="8"/>
  <c r="P73" i="8"/>
  <c r="O73" i="8"/>
  <c r="W72" i="8"/>
  <c r="V72" i="8"/>
  <c r="P72" i="8"/>
  <c r="W31" i="8" s="1"/>
  <c r="O72" i="8"/>
  <c r="V31" i="8" s="1"/>
  <c r="W71" i="8"/>
  <c r="V71" i="8"/>
  <c r="P71" i="8"/>
  <c r="O71" i="8"/>
  <c r="W70" i="8"/>
  <c r="V70" i="8"/>
  <c r="P70" i="8"/>
  <c r="W36" i="8" s="1"/>
  <c r="O70" i="8"/>
  <c r="W69" i="8"/>
  <c r="AC69" i="8" s="1"/>
  <c r="V69" i="8"/>
  <c r="P69" i="8"/>
  <c r="W37" i="8" s="1"/>
  <c r="O69" i="8"/>
  <c r="W68" i="8"/>
  <c r="V68" i="8"/>
  <c r="AB68" i="8" s="1"/>
  <c r="P68" i="8"/>
  <c r="O68" i="8"/>
  <c r="W67" i="8"/>
  <c r="V67" i="8"/>
  <c r="AB67" i="8" s="1"/>
  <c r="P67" i="8"/>
  <c r="O67" i="8"/>
  <c r="W66" i="8"/>
  <c r="V66" i="8"/>
  <c r="P66" i="8"/>
  <c r="O66" i="8"/>
  <c r="W65" i="8"/>
  <c r="V65" i="8"/>
  <c r="P65" i="8"/>
  <c r="W46" i="8" s="1"/>
  <c r="O65" i="8"/>
  <c r="W64" i="8"/>
  <c r="V64" i="8"/>
  <c r="P64" i="8"/>
  <c r="W45" i="8" s="1"/>
  <c r="O64" i="8"/>
  <c r="Z63" i="8"/>
  <c r="W63" i="8"/>
  <c r="V63" i="8"/>
  <c r="P63" i="8"/>
  <c r="O63" i="8"/>
  <c r="W62" i="8"/>
  <c r="AC62" i="8" s="1"/>
  <c r="V62" i="8"/>
  <c r="P62" i="8"/>
  <c r="O62" i="8"/>
  <c r="W61" i="8"/>
  <c r="V61" i="8"/>
  <c r="P61" i="8"/>
  <c r="W34" i="8" s="1"/>
  <c r="O61" i="8"/>
  <c r="Z60" i="8"/>
  <c r="W60" i="8"/>
  <c r="V60" i="8"/>
  <c r="P60" i="8"/>
  <c r="O60" i="8"/>
  <c r="W59" i="8"/>
  <c r="V59" i="8"/>
  <c r="P59" i="8"/>
  <c r="O59" i="8"/>
  <c r="V37" i="8" s="1"/>
  <c r="W58" i="8"/>
  <c r="AC58" i="8" s="1"/>
  <c r="V58" i="8"/>
  <c r="P58" i="8"/>
  <c r="O58" i="8"/>
  <c r="P57" i="8"/>
  <c r="O57" i="8"/>
  <c r="V54" i="8" s="1"/>
  <c r="P56" i="8"/>
  <c r="W38" i="8" s="1"/>
  <c r="O56" i="8"/>
  <c r="P55" i="8"/>
  <c r="O55" i="8"/>
  <c r="P54" i="8"/>
  <c r="W51" i="8" s="1"/>
  <c r="O54" i="8"/>
  <c r="V51" i="8" s="1"/>
  <c r="P53" i="8"/>
  <c r="W33" i="8" s="1"/>
  <c r="O53" i="8"/>
  <c r="Z52" i="8"/>
  <c r="W52" i="8"/>
  <c r="V52" i="8"/>
  <c r="P52" i="8"/>
  <c r="W40" i="8" s="1"/>
  <c r="O52" i="8"/>
  <c r="V40" i="8" s="1"/>
  <c r="AA51" i="8"/>
  <c r="P51" i="8"/>
  <c r="O51" i="8"/>
  <c r="V41" i="8" s="1"/>
  <c r="W50" i="8"/>
  <c r="V50" i="8"/>
  <c r="P50" i="8"/>
  <c r="O50" i="8"/>
  <c r="V29" i="8" s="1"/>
  <c r="V49" i="8"/>
  <c r="P49" i="8"/>
  <c r="W57" i="8" s="1"/>
  <c r="O49" i="8"/>
  <c r="V57" i="8" s="1"/>
  <c r="V48" i="8"/>
  <c r="P48" i="8"/>
  <c r="W55" i="8" s="1"/>
  <c r="O48" i="8"/>
  <c r="V55" i="8" s="1"/>
  <c r="W47" i="8"/>
  <c r="V47" i="8"/>
  <c r="P47" i="8"/>
  <c r="W53" i="8" s="1"/>
  <c r="O47" i="8"/>
  <c r="V53" i="8" s="1"/>
  <c r="V46" i="8"/>
  <c r="AB46" i="8" s="1"/>
  <c r="P46" i="8"/>
  <c r="W28" i="8" s="1"/>
  <c r="O46" i="8"/>
  <c r="V28" i="8" s="1"/>
  <c r="V45" i="8"/>
  <c r="P45" i="8"/>
  <c r="W26" i="8" s="1"/>
  <c r="O45" i="8"/>
  <c r="V26" i="8" s="1"/>
  <c r="W44" i="8"/>
  <c r="V44" i="8"/>
  <c r="P44" i="8"/>
  <c r="O44" i="8"/>
  <c r="W43" i="8"/>
  <c r="V43" i="8"/>
  <c r="P43" i="8"/>
  <c r="W17" i="8" s="1"/>
  <c r="O43" i="8"/>
  <c r="V17" i="8" s="1"/>
  <c r="AC17" i="8" s="1"/>
  <c r="P42" i="8"/>
  <c r="W24" i="8" s="1"/>
  <c r="O42" i="8"/>
  <c r="P41" i="8"/>
  <c r="O41" i="8"/>
  <c r="P40" i="8"/>
  <c r="O40" i="8"/>
  <c r="V39" i="8"/>
  <c r="P39" i="8"/>
  <c r="O39" i="8"/>
  <c r="V38" i="8"/>
  <c r="AC38" i="8" s="1"/>
  <c r="P38" i="8"/>
  <c r="O38" i="8"/>
  <c r="P37" i="8"/>
  <c r="W22" i="8" s="1"/>
  <c r="O37" i="8"/>
  <c r="V22" i="8" s="1"/>
  <c r="V36" i="8"/>
  <c r="P36" i="8"/>
  <c r="O36" i="8"/>
  <c r="Z35" i="8"/>
  <c r="W35" i="8"/>
  <c r="V35" i="8"/>
  <c r="P35" i="8"/>
  <c r="O35" i="8"/>
  <c r="V34" i="8"/>
  <c r="AB34" i="8" s="1"/>
  <c r="P34" i="8"/>
  <c r="O34" i="8"/>
  <c r="V33" i="8"/>
  <c r="P33" i="8"/>
  <c r="O33" i="8"/>
  <c r="Z32" i="8"/>
  <c r="W32" i="8"/>
  <c r="V32" i="8"/>
  <c r="P32" i="8"/>
  <c r="O32" i="8"/>
  <c r="P31" i="8"/>
  <c r="O31" i="8"/>
  <c r="Z30" i="8"/>
  <c r="P30" i="8"/>
  <c r="O30" i="8"/>
  <c r="P29" i="8"/>
  <c r="O29" i="8"/>
  <c r="Z28" i="8"/>
  <c r="P28" i="8"/>
  <c r="O28" i="8"/>
  <c r="AA27" i="8"/>
  <c r="W27" i="8"/>
  <c r="V27" i="8"/>
  <c r="P27" i="8"/>
  <c r="O27" i="8"/>
  <c r="Z26" i="8"/>
  <c r="P26" i="8"/>
  <c r="O26" i="8"/>
  <c r="W25" i="8"/>
  <c r="V25" i="8"/>
  <c r="P25" i="8"/>
  <c r="O25" i="8"/>
  <c r="Z24" i="8"/>
  <c r="V24" i="8"/>
  <c r="P24" i="8"/>
  <c r="O24" i="8"/>
  <c r="W23" i="8"/>
  <c r="V23" i="8"/>
  <c r="P23" i="8"/>
  <c r="O23" i="8"/>
  <c r="AA22" i="8"/>
  <c r="P22" i="8"/>
  <c r="O22" i="8"/>
  <c r="W21" i="8"/>
  <c r="V21" i="8"/>
  <c r="P21" i="8"/>
  <c r="O21" i="8"/>
  <c r="W20" i="8"/>
  <c r="V20" i="8"/>
  <c r="P20" i="8"/>
  <c r="O20" i="8"/>
  <c r="W19" i="8"/>
  <c r="V19" i="8"/>
  <c r="P19" i="8"/>
  <c r="O19" i="8"/>
  <c r="W18" i="8"/>
  <c r="V18" i="8"/>
  <c r="P18" i="8"/>
  <c r="O18" i="8"/>
  <c r="P17" i="8"/>
  <c r="W13" i="8" s="1"/>
  <c r="O17" i="8"/>
  <c r="V13" i="8" s="1"/>
  <c r="W16" i="8"/>
  <c r="V16" i="8"/>
  <c r="P16" i="8"/>
  <c r="O16" i="8"/>
  <c r="W15" i="8"/>
  <c r="V15" i="8"/>
  <c r="P15" i="8"/>
  <c r="O15" i="8"/>
  <c r="AA14" i="8"/>
  <c r="Z14" i="8"/>
  <c r="P14" i="8"/>
  <c r="O14" i="8"/>
  <c r="P13" i="8"/>
  <c r="O13" i="8"/>
  <c r="AA12" i="8"/>
  <c r="Z12" i="8"/>
  <c r="AA61" i="8" s="1"/>
  <c r="W12" i="8"/>
  <c r="V12" i="8"/>
  <c r="P12" i="8"/>
  <c r="O12" i="8"/>
  <c r="AA11" i="8"/>
  <c r="P11" i="8"/>
  <c r="O11" i="8"/>
  <c r="Z10" i="8"/>
  <c r="P10" i="8"/>
  <c r="O10" i="8"/>
  <c r="J10" i="8"/>
  <c r="AA10" i="8" s="1"/>
  <c r="S9" i="8"/>
  <c r="S10" i="8" s="1"/>
  <c r="S11" i="8" s="1"/>
  <c r="S12" i="8" s="1"/>
  <c r="S13" i="8" s="1"/>
  <c r="S14" i="8" s="1"/>
  <c r="S15" i="8" s="1"/>
  <c r="S16" i="8" s="1"/>
  <c r="S17" i="8" s="1"/>
  <c r="S18" i="8" s="1"/>
  <c r="S19" i="8" s="1"/>
  <c r="S20" i="8" s="1"/>
  <c r="S21" i="8" s="1"/>
  <c r="S22" i="8" s="1"/>
  <c r="S23" i="8" s="1"/>
  <c r="S24" i="8" s="1"/>
  <c r="S25" i="8" s="1"/>
  <c r="S26" i="8" s="1"/>
  <c r="S27" i="8" s="1"/>
  <c r="S28" i="8" s="1"/>
  <c r="S29" i="8" s="1"/>
  <c r="S30" i="8" s="1"/>
  <c r="S31" i="8" s="1"/>
  <c r="S32" i="8" s="1"/>
  <c r="S33" i="8" s="1"/>
  <c r="S34" i="8" s="1"/>
  <c r="S35" i="8" s="1"/>
  <c r="S36" i="8" s="1"/>
  <c r="S37" i="8" s="1"/>
  <c r="S38" i="8" s="1"/>
  <c r="S39" i="8" s="1"/>
  <c r="S40" i="8" s="1"/>
  <c r="S41" i="8" s="1"/>
  <c r="S42" i="8" s="1"/>
  <c r="S43" i="8" s="1"/>
  <c r="S44" i="8" s="1"/>
  <c r="S45" i="8" s="1"/>
  <c r="S46" i="8" s="1"/>
  <c r="S47" i="8" s="1"/>
  <c r="S48" i="8" s="1"/>
  <c r="S49" i="8" s="1"/>
  <c r="S50" i="8" s="1"/>
  <c r="S51" i="8" s="1"/>
  <c r="S52" i="8" s="1"/>
  <c r="S53" i="8" s="1"/>
  <c r="S54" i="8" s="1"/>
  <c r="S55" i="8" s="1"/>
  <c r="S56" i="8" s="1"/>
  <c r="S57" i="8" s="1"/>
  <c r="S58" i="8" s="1"/>
  <c r="S59" i="8" s="1"/>
  <c r="S60" i="8" s="1"/>
  <c r="S61" i="8" s="1"/>
  <c r="S62" i="8" s="1"/>
  <c r="S63" i="8" s="1"/>
  <c r="S64" i="8" s="1"/>
  <c r="S65" i="8" s="1"/>
  <c r="S66" i="8" s="1"/>
  <c r="S67" i="8" s="1"/>
  <c r="S68" i="8" s="1"/>
  <c r="S69" i="8" s="1"/>
  <c r="S70" i="8" s="1"/>
  <c r="S71" i="8" s="1"/>
  <c r="S72" i="8" s="1"/>
  <c r="S73" i="8" s="1"/>
  <c r="S74" i="8" s="1"/>
  <c r="S75" i="8" s="1"/>
  <c r="S76" i="8" s="1"/>
  <c r="S77" i="8" s="1"/>
  <c r="S78" i="8" s="1"/>
  <c r="S79" i="8" s="1"/>
  <c r="S80" i="8" s="1"/>
  <c r="S81" i="8" s="1"/>
  <c r="S82" i="8" s="1"/>
  <c r="S83" i="8" s="1"/>
  <c r="S84" i="8" s="1"/>
  <c r="S85" i="8" s="1"/>
  <c r="S86" i="8" s="1"/>
  <c r="S87" i="8" s="1"/>
  <c r="S88" i="8" s="1"/>
  <c r="S89" i="8" s="1"/>
  <c r="S90" i="8" s="1"/>
  <c r="S91" i="8" s="1"/>
  <c r="S92" i="8" s="1"/>
  <c r="S93" i="8" s="1"/>
  <c r="S94" i="8" s="1"/>
  <c r="S95" i="8" s="1"/>
  <c r="S96" i="8" s="1"/>
  <c r="S97" i="8" s="1"/>
  <c r="S98" i="8" s="1"/>
  <c r="S99" i="8" s="1"/>
  <c r="S100" i="8" s="1"/>
  <c r="S101" i="8" s="1"/>
  <c r="S102" i="8" s="1"/>
  <c r="S103" i="8" s="1"/>
  <c r="S104" i="8" s="1"/>
  <c r="S105" i="8" s="1"/>
  <c r="S106" i="8" s="1"/>
  <c r="S107" i="8" s="1"/>
  <c r="S108" i="8" s="1"/>
  <c r="S109" i="8" s="1"/>
  <c r="S110" i="8" s="1"/>
  <c r="S111" i="8" s="1"/>
  <c r="S112" i="8" s="1"/>
  <c r="S113" i="8" s="1"/>
  <c r="S114" i="8" s="1"/>
  <c r="S115" i="8" s="1"/>
  <c r="S116" i="8" s="1"/>
  <c r="S117" i="8" s="1"/>
  <c r="S118" i="8" s="1"/>
  <c r="S119" i="8" s="1"/>
  <c r="S120" i="8" s="1"/>
  <c r="S121" i="8" s="1"/>
  <c r="S122" i="8" s="1"/>
  <c r="S123" i="8" s="1"/>
  <c r="S124" i="8" s="1"/>
  <c r="S125" i="8" s="1"/>
  <c r="S126" i="8" s="1"/>
  <c r="S127" i="8" s="1"/>
  <c r="S128" i="8" s="1"/>
  <c r="S129" i="8" s="1"/>
  <c r="S130" i="8" s="1"/>
  <c r="S131" i="8" s="1"/>
  <c r="S132" i="8" s="1"/>
  <c r="S133" i="8" s="1"/>
  <c r="S134" i="8" s="1"/>
  <c r="S135" i="8" s="1"/>
  <c r="S136" i="8" s="1"/>
  <c r="S137" i="8" s="1"/>
  <c r="S138" i="8" s="1"/>
  <c r="S139" i="8" s="1"/>
  <c r="S140" i="8" s="1"/>
  <c r="S141" i="8" s="1"/>
  <c r="S142" i="8" s="1"/>
  <c r="S143" i="8" s="1"/>
  <c r="S144" i="8" s="1"/>
  <c r="S145" i="8" s="1"/>
  <c r="S146" i="8" s="1"/>
  <c r="S147" i="8" s="1"/>
  <c r="S148" i="8" s="1"/>
  <c r="S149" i="8" s="1"/>
  <c r="S150" i="8" s="1"/>
  <c r="S151" i="8" s="1"/>
  <c r="S152" i="8" s="1"/>
  <c r="S153" i="8" s="1"/>
  <c r="S154" i="8" s="1"/>
  <c r="S155" i="8" s="1"/>
  <c r="S156" i="8" s="1"/>
  <c r="S157" i="8" s="1"/>
  <c r="S158" i="8" s="1"/>
  <c r="S159" i="8" s="1"/>
  <c r="S160" i="8" s="1"/>
  <c r="S161" i="8" s="1"/>
  <c r="S162" i="8" s="1"/>
  <c r="S163" i="8" s="1"/>
  <c r="S164" i="8" s="1"/>
  <c r="S165" i="8" s="1"/>
  <c r="S166" i="8" s="1"/>
  <c r="S167" i="8" s="1"/>
  <c r="S168" i="8" s="1"/>
  <c r="S169" i="8" s="1"/>
  <c r="S170" i="8" s="1"/>
  <c r="S171" i="8" s="1"/>
  <c r="S172" i="8" s="1"/>
  <c r="S173" i="8" s="1"/>
  <c r="S174" i="8" s="1"/>
  <c r="S175" i="8" s="1"/>
  <c r="S176" i="8" s="1"/>
  <c r="S177" i="8" s="1"/>
  <c r="S178" i="8" s="1"/>
  <c r="S179" i="8" s="1"/>
  <c r="S180" i="8" s="1"/>
  <c r="S181" i="8" s="1"/>
  <c r="S182" i="8" s="1"/>
  <c r="S183" i="8" s="1"/>
  <c r="S184" i="8" s="1"/>
  <c r="S185" i="8" s="1"/>
  <c r="S186" i="8" s="1"/>
  <c r="S187" i="8" s="1"/>
  <c r="S188" i="8" s="1"/>
  <c r="S189" i="8" s="1"/>
  <c r="S190" i="8" s="1"/>
  <c r="S191" i="8" s="1"/>
  <c r="S192" i="8" s="1"/>
  <c r="S193" i="8" s="1"/>
  <c r="S194" i="8" s="1"/>
  <c r="S195" i="8" s="1"/>
  <c r="S196" i="8" s="1"/>
  <c r="S197" i="8" s="1"/>
  <c r="S198" i="8" s="1"/>
  <c r="S199" i="8" s="1"/>
  <c r="S200" i="8" s="1"/>
  <c r="P9" i="8"/>
  <c r="W9" i="8" s="1"/>
  <c r="O9" i="8"/>
  <c r="AA8" i="8"/>
  <c r="P8" i="8"/>
  <c r="O8" i="8"/>
  <c r="AN7" i="8"/>
  <c r="AC40" i="9" l="1"/>
  <c r="AB40" i="9"/>
  <c r="AD40" i="9" s="1"/>
  <c r="AD79" i="9"/>
  <c r="AE181" i="9"/>
  <c r="AH181" i="9"/>
  <c r="AC42" i="9"/>
  <c r="AD123" i="9"/>
  <c r="AG123" i="9"/>
  <c r="AB37" i="9"/>
  <c r="AC37" i="9"/>
  <c r="AD95" i="9"/>
  <c r="AE185" i="9"/>
  <c r="AH185" i="9"/>
  <c r="AG193" i="9"/>
  <c r="AD18" i="10"/>
  <c r="V9" i="8"/>
  <c r="AB12" i="8"/>
  <c r="AB19" i="8"/>
  <c r="AC21" i="8"/>
  <c r="AB35" i="8"/>
  <c r="AC47" i="8"/>
  <c r="W41" i="8"/>
  <c r="AB41" i="8" s="1"/>
  <c r="W54" i="8"/>
  <c r="W56" i="8"/>
  <c r="AB64" i="8"/>
  <c r="AC93" i="8"/>
  <c r="AC101" i="8"/>
  <c r="AC109" i="8"/>
  <c r="AC113" i="8"/>
  <c r="AE113" i="8" s="1"/>
  <c r="AC129" i="8"/>
  <c r="AB133" i="8"/>
  <c r="AC188" i="8"/>
  <c r="AC196" i="8"/>
  <c r="AC197" i="8"/>
  <c r="AC199" i="8"/>
  <c r="V11" i="9"/>
  <c r="AB11" i="9" s="1"/>
  <c r="AB18" i="9"/>
  <c r="AB19" i="9"/>
  <c r="AB25" i="9"/>
  <c r="AC30" i="9"/>
  <c r="AC36" i="9"/>
  <c r="AC44" i="9"/>
  <c r="AB53" i="9"/>
  <c r="AB57" i="9"/>
  <c r="W56" i="9"/>
  <c r="AC56" i="9" s="1"/>
  <c r="AC69" i="9"/>
  <c r="AC70" i="9"/>
  <c r="AD70" i="9" s="1"/>
  <c r="AB80" i="9"/>
  <c r="AB81" i="9"/>
  <c r="AC85" i="9"/>
  <c r="AC86" i="9"/>
  <c r="AD86" i="9" s="1"/>
  <c r="AB96" i="9"/>
  <c r="AB97" i="9"/>
  <c r="AB108" i="9"/>
  <c r="AC110" i="9"/>
  <c r="AC111" i="9"/>
  <c r="AG111" i="9" s="1"/>
  <c r="AC116" i="9"/>
  <c r="AE116" i="9" s="1"/>
  <c r="AC118" i="9"/>
  <c r="AE118" i="9" s="1"/>
  <c r="AC119" i="9"/>
  <c r="AD119" i="9" s="1"/>
  <c r="AC128" i="9"/>
  <c r="AC130" i="9"/>
  <c r="AE130" i="9" s="1"/>
  <c r="AD138" i="9"/>
  <c r="AB139" i="9"/>
  <c r="AH139" i="9" s="1"/>
  <c r="AC147" i="9"/>
  <c r="AC148" i="9"/>
  <c r="AB149" i="9"/>
  <c r="AC154" i="9"/>
  <c r="AG154" i="9" s="1"/>
  <c r="AC158" i="9"/>
  <c r="AC159" i="9"/>
  <c r="AB165" i="9"/>
  <c r="AB173" i="9"/>
  <c r="AC176" i="9"/>
  <c r="AD176" i="9" s="1"/>
  <c r="AB178" i="9"/>
  <c r="AB179" i="9"/>
  <c r="AB183" i="9"/>
  <c r="AE183" i="9" s="1"/>
  <c r="AC198" i="9"/>
  <c r="AC199" i="9"/>
  <c r="AC13" i="10"/>
  <c r="AC19" i="10"/>
  <c r="AB20" i="10"/>
  <c r="AB32" i="10"/>
  <c r="AC38" i="10"/>
  <c r="AC41" i="10"/>
  <c r="AB55" i="10"/>
  <c r="AC57" i="10"/>
  <c r="AC29" i="10"/>
  <c r="AC70" i="10"/>
  <c r="AE70" i="10" s="1"/>
  <c r="W30" i="10"/>
  <c r="AE77" i="10"/>
  <c r="AH77" i="10"/>
  <c r="AE89" i="10"/>
  <c r="AH89" i="10"/>
  <c r="AC92" i="10"/>
  <c r="AE136" i="11"/>
  <c r="AG164" i="11"/>
  <c r="AB15" i="8"/>
  <c r="AB52" i="8"/>
  <c r="AB33" i="8"/>
  <c r="AC48" i="8"/>
  <c r="AC49" i="8"/>
  <c r="AC119" i="8"/>
  <c r="AH119" i="8" s="1"/>
  <c r="AB200" i="8"/>
  <c r="AD200" i="8" s="1"/>
  <c r="AC14" i="9"/>
  <c r="AC27" i="9"/>
  <c r="AB45" i="9"/>
  <c r="AB50" i="9"/>
  <c r="AD50" i="9" s="1"/>
  <c r="AC52" i="9"/>
  <c r="AC60" i="9"/>
  <c r="AD60" i="9" s="1"/>
  <c r="AB75" i="9"/>
  <c r="AD75" i="9" s="1"/>
  <c r="AB91" i="9"/>
  <c r="AD91" i="9" s="1"/>
  <c r="AB92" i="9"/>
  <c r="AB93" i="9"/>
  <c r="AB105" i="9"/>
  <c r="AC140" i="9"/>
  <c r="AB141" i="9"/>
  <c r="AB150" i="9"/>
  <c r="AC152" i="9"/>
  <c r="AB155" i="9"/>
  <c r="AB160" i="9"/>
  <c r="AH160" i="9" s="1"/>
  <c r="AB174" i="9"/>
  <c r="AD174" i="9" s="1"/>
  <c r="AB187" i="9"/>
  <c r="AE187" i="9" s="1"/>
  <c r="AB189" i="9"/>
  <c r="AG189" i="9" s="1"/>
  <c r="AB200" i="9"/>
  <c r="AD200" i="9" s="1"/>
  <c r="AC53" i="10"/>
  <c r="V37" i="10"/>
  <c r="AB37" i="10" s="1"/>
  <c r="AE65" i="10"/>
  <c r="AH65" i="10"/>
  <c r="AB36" i="10"/>
  <c r="AC73" i="10"/>
  <c r="AB81" i="10"/>
  <c r="AC81" i="10"/>
  <c r="AE140" i="11"/>
  <c r="AH140" i="11"/>
  <c r="AC61" i="8"/>
  <c r="AC45" i="8"/>
  <c r="AB31" i="8"/>
  <c r="AG73" i="8"/>
  <c r="AB74" i="8"/>
  <c r="AB77" i="8"/>
  <c r="AB81" i="8"/>
  <c r="AB87" i="8"/>
  <c r="AB89" i="8"/>
  <c r="AC137" i="8"/>
  <c r="AC138" i="8"/>
  <c r="AC141" i="8"/>
  <c r="AC144" i="8"/>
  <c r="AC145" i="8"/>
  <c r="AC151" i="8"/>
  <c r="AC156" i="8"/>
  <c r="AB168" i="8"/>
  <c r="AB169" i="8"/>
  <c r="AB172" i="8"/>
  <c r="O201" i="9"/>
  <c r="AC13" i="9"/>
  <c r="AB15" i="9"/>
  <c r="V10" i="9"/>
  <c r="AB10" i="9" s="1"/>
  <c r="AB20" i="9"/>
  <c r="AC28" i="9"/>
  <c r="AC32" i="9"/>
  <c r="AB38" i="9"/>
  <c r="AB46" i="9"/>
  <c r="AC58" i="9"/>
  <c r="AC59" i="9"/>
  <c r="AB63" i="9"/>
  <c r="AE63" i="9" s="1"/>
  <c r="AB66" i="9"/>
  <c r="AD66" i="9" s="1"/>
  <c r="AD71" i="9"/>
  <c r="AB72" i="9"/>
  <c r="AB73" i="9"/>
  <c r="AC77" i="9"/>
  <c r="AC78" i="9"/>
  <c r="AB82" i="9"/>
  <c r="AB88" i="9"/>
  <c r="AB89" i="9"/>
  <c r="AB98" i="9"/>
  <c r="AB103" i="9"/>
  <c r="AD103" i="9" s="1"/>
  <c r="AC112" i="9"/>
  <c r="AC120" i="9"/>
  <c r="AB122" i="9"/>
  <c r="AB131" i="9"/>
  <c r="AB142" i="9"/>
  <c r="AC144" i="9"/>
  <c r="AG144" i="9" s="1"/>
  <c r="AB146" i="9"/>
  <c r="AB157" i="9"/>
  <c r="AD157" i="9" s="1"/>
  <c r="AB162" i="9"/>
  <c r="AH168" i="9"/>
  <c r="AC169" i="9"/>
  <c r="AB170" i="9"/>
  <c r="AD170" i="9" s="1"/>
  <c r="AB180" i="9"/>
  <c r="AD180" i="9" s="1"/>
  <c r="AB197" i="9"/>
  <c r="O201" i="10"/>
  <c r="AC16" i="10"/>
  <c r="AC17" i="10"/>
  <c r="V10" i="10"/>
  <c r="AB21" i="10"/>
  <c r="AD21" i="10" s="1"/>
  <c r="AC23" i="10"/>
  <c r="AH23" i="10" s="1"/>
  <c r="AC24" i="10"/>
  <c r="AC26" i="10"/>
  <c r="AB27" i="10"/>
  <c r="AC33" i="10"/>
  <c r="AH33" i="10" s="1"/>
  <c r="AC37" i="10"/>
  <c r="AC44" i="10"/>
  <c r="AC45" i="10"/>
  <c r="AC51" i="10"/>
  <c r="AC42" i="10"/>
  <c r="AC56" i="10"/>
  <c r="AC63" i="10"/>
  <c r="AC75" i="10"/>
  <c r="AC76" i="10"/>
  <c r="AG76" i="10" s="1"/>
  <c r="AC48" i="10"/>
  <c r="AC49" i="10"/>
  <c r="AG49" i="10" s="1"/>
  <c r="AC85" i="10"/>
  <c r="AD85" i="10" s="1"/>
  <c r="AE102" i="10"/>
  <c r="AH102" i="10"/>
  <c r="AE192" i="10"/>
  <c r="AD16" i="12"/>
  <c r="AB17" i="9"/>
  <c r="AE17" i="9" s="1"/>
  <c r="AC29" i="9"/>
  <c r="AB33" i="9"/>
  <c r="AB34" i="9"/>
  <c r="AC35" i="9"/>
  <c r="AB41" i="9"/>
  <c r="AE41" i="9" s="1"/>
  <c r="AE62" i="9"/>
  <c r="AD83" i="9"/>
  <c r="AE87" i="9"/>
  <c r="AG152" i="9"/>
  <c r="AE174" i="9"/>
  <c r="AD177" i="9"/>
  <c r="AG181" i="9"/>
  <c r="AE196" i="9"/>
  <c r="AB11" i="10"/>
  <c r="AB14" i="10"/>
  <c r="W10" i="10"/>
  <c r="AD23" i="10"/>
  <c r="AB28" i="10"/>
  <c r="AB30" i="10"/>
  <c r="AB40" i="10"/>
  <c r="AB26" i="10"/>
  <c r="AB46" i="10"/>
  <c r="AC46" i="10"/>
  <c r="AB54" i="10"/>
  <c r="AC58" i="10"/>
  <c r="AB58" i="10"/>
  <c r="AC35" i="10"/>
  <c r="AB64" i="10"/>
  <c r="AC64" i="10"/>
  <c r="AC88" i="10"/>
  <c r="AB88" i="10"/>
  <c r="AE153" i="10"/>
  <c r="AH153" i="10"/>
  <c r="AG155" i="11"/>
  <c r="AD155" i="11"/>
  <c r="AC71" i="10"/>
  <c r="AC72" i="10"/>
  <c r="AC79" i="10"/>
  <c r="AC80" i="10"/>
  <c r="AG80" i="10" s="1"/>
  <c r="AC93" i="10"/>
  <c r="AC98" i="10"/>
  <c r="AC112" i="10"/>
  <c r="AE112" i="10" s="1"/>
  <c r="AC113" i="10"/>
  <c r="AG113" i="10" s="1"/>
  <c r="AC114" i="10"/>
  <c r="AC118" i="10"/>
  <c r="AE118" i="10" s="1"/>
  <c r="AC120" i="10"/>
  <c r="AC121" i="10"/>
  <c r="AD121" i="10" s="1"/>
  <c r="AC129" i="10"/>
  <c r="AE129" i="10" s="1"/>
  <c r="AC135" i="10"/>
  <c r="AC136" i="10"/>
  <c r="AD136" i="10" s="1"/>
  <c r="AC137" i="10"/>
  <c r="AC146" i="10"/>
  <c r="AD146" i="10" s="1"/>
  <c r="AG148" i="10"/>
  <c r="AB152" i="10"/>
  <c r="AD152" i="10" s="1"/>
  <c r="AC160" i="10"/>
  <c r="AC166" i="10"/>
  <c r="AC167" i="10"/>
  <c r="AC168" i="10"/>
  <c r="AC180" i="10"/>
  <c r="AE180" i="10" s="1"/>
  <c r="AC186" i="10"/>
  <c r="AC187" i="10"/>
  <c r="AC196" i="10"/>
  <c r="AE196" i="10" s="1"/>
  <c r="AB12" i="11"/>
  <c r="V11" i="11"/>
  <c r="AB11" i="11" s="1"/>
  <c r="AB16" i="11"/>
  <c r="AB17" i="11"/>
  <c r="AC23" i="11"/>
  <c r="AC27" i="11"/>
  <c r="AC35" i="11"/>
  <c r="AB40" i="11"/>
  <c r="AB41" i="11"/>
  <c r="AC43" i="11"/>
  <c r="AD43" i="11" s="1"/>
  <c r="AC53" i="11"/>
  <c r="AC50" i="11"/>
  <c r="AC52" i="11"/>
  <c r="AC66" i="11"/>
  <c r="AC67" i="11"/>
  <c r="AC70" i="11"/>
  <c r="AC71" i="11"/>
  <c r="AC80" i="11"/>
  <c r="AH80" i="11" s="1"/>
  <c r="AC84" i="11"/>
  <c r="AH84" i="11" s="1"/>
  <c r="AB102" i="11"/>
  <c r="AB118" i="11"/>
  <c r="AB126" i="11"/>
  <c r="AD137" i="11"/>
  <c r="AC145" i="11"/>
  <c r="AE145" i="11" s="1"/>
  <c r="AG161" i="11"/>
  <c r="AD174" i="11"/>
  <c r="AE177" i="11"/>
  <c r="W10" i="12"/>
  <c r="AH20" i="12"/>
  <c r="AC46" i="12"/>
  <c r="AB45" i="12"/>
  <c r="AH96" i="12"/>
  <c r="AH104" i="13"/>
  <c r="AC25" i="10"/>
  <c r="AC67" i="10"/>
  <c r="AC68" i="10"/>
  <c r="AC83" i="10"/>
  <c r="AC84" i="10"/>
  <c r="AG84" i="10" s="1"/>
  <c r="AB87" i="10"/>
  <c r="AB96" i="10"/>
  <c r="AC100" i="10"/>
  <c r="AC101" i="10"/>
  <c r="AG101" i="10" s="1"/>
  <c r="AB104" i="10"/>
  <c r="AE104" i="10" s="1"/>
  <c r="AC116" i="10"/>
  <c r="AE116" i="10" s="1"/>
  <c r="AC117" i="10"/>
  <c r="AB128" i="10"/>
  <c r="AC139" i="10"/>
  <c r="AC140" i="10"/>
  <c r="AC143" i="10"/>
  <c r="AC144" i="10"/>
  <c r="AC147" i="10"/>
  <c r="AB149" i="10"/>
  <c r="AE149" i="10" s="1"/>
  <c r="AB154" i="10"/>
  <c r="AD154" i="10" s="1"/>
  <c r="AB169" i="10"/>
  <c r="AG169" i="10" s="1"/>
  <c r="AB178" i="10"/>
  <c r="AC182" i="10"/>
  <c r="AC183" i="10"/>
  <c r="AB189" i="10"/>
  <c r="AB194" i="10"/>
  <c r="AC198" i="10"/>
  <c r="AC199" i="10"/>
  <c r="AC12" i="11"/>
  <c r="V14" i="11"/>
  <c r="AB14" i="11" s="1"/>
  <c r="AC16" i="11"/>
  <c r="AE16" i="11" s="1"/>
  <c r="AC18" i="11"/>
  <c r="AC19" i="11"/>
  <c r="AC25" i="11"/>
  <c r="AB31" i="11"/>
  <c r="AC40" i="11"/>
  <c r="AE40" i="11" s="1"/>
  <c r="AB44" i="11"/>
  <c r="AC55" i="11"/>
  <c r="AB57" i="11"/>
  <c r="AB63" i="11"/>
  <c r="AB73" i="11"/>
  <c r="AE73" i="11" s="1"/>
  <c r="AB78" i="11"/>
  <c r="AB82" i="11"/>
  <c r="AB86" i="11"/>
  <c r="AB87" i="11"/>
  <c r="AE87" i="11" s="1"/>
  <c r="AC88" i="11"/>
  <c r="AG88" i="11" s="1"/>
  <c r="AB107" i="11"/>
  <c r="AE107" i="11" s="1"/>
  <c r="AB111" i="11"/>
  <c r="AH111" i="11" s="1"/>
  <c r="AB123" i="11"/>
  <c r="AE123" i="11" s="1"/>
  <c r="AC128" i="11"/>
  <c r="AC142" i="11"/>
  <c r="AC143" i="11"/>
  <c r="AB156" i="11"/>
  <c r="AC162" i="11"/>
  <c r="AB168" i="11"/>
  <c r="AD168" i="11" s="1"/>
  <c r="AC169" i="11"/>
  <c r="AB178" i="11"/>
  <c r="AB179" i="11"/>
  <c r="AC183" i="11"/>
  <c r="AE183" i="11" s="1"/>
  <c r="AC187" i="11"/>
  <c r="AE187" i="11" s="1"/>
  <c r="AC191" i="11"/>
  <c r="AE191" i="11" s="1"/>
  <c r="AC195" i="11"/>
  <c r="AC196" i="11"/>
  <c r="AD196" i="11" s="1"/>
  <c r="AB197" i="11"/>
  <c r="AE197" i="11" s="1"/>
  <c r="P201" i="12"/>
  <c r="AC15" i="12"/>
  <c r="AB18" i="12"/>
  <c r="AB23" i="12"/>
  <c r="AC33" i="12"/>
  <c r="AC34" i="12"/>
  <c r="AC28" i="12"/>
  <c r="AC49" i="12"/>
  <c r="AE49" i="12" s="1"/>
  <c r="AC52" i="12"/>
  <c r="AG52" i="12" s="1"/>
  <c r="W42" i="12"/>
  <c r="AC42" i="12" s="1"/>
  <c r="AB37" i="12"/>
  <c r="AC62" i="12"/>
  <c r="AB63" i="12"/>
  <c r="AG63" i="12" s="1"/>
  <c r="AB68" i="12"/>
  <c r="AC70" i="12"/>
  <c r="AH70" i="12" s="1"/>
  <c r="AC80" i="12"/>
  <c r="AD80" i="12" s="1"/>
  <c r="AD125" i="12"/>
  <c r="AG125" i="12"/>
  <c r="AB40" i="13"/>
  <c r="AB45" i="13"/>
  <c r="AC45" i="13"/>
  <c r="AH75" i="13"/>
  <c r="AE106" i="10"/>
  <c r="AE126" i="10"/>
  <c r="AD140" i="10"/>
  <c r="AD144" i="10"/>
  <c r="AH145" i="10"/>
  <c r="AE163" i="10"/>
  <c r="AE188" i="10"/>
  <c r="AC26" i="11"/>
  <c r="AD27" i="11"/>
  <c r="AC28" i="11"/>
  <c r="AD35" i="11"/>
  <c r="AB37" i="11"/>
  <c r="AC46" i="11"/>
  <c r="AD65" i="11"/>
  <c r="AE68" i="11"/>
  <c r="AE72" i="11"/>
  <c r="AG102" i="11"/>
  <c r="AG118" i="11"/>
  <c r="AD129" i="11"/>
  <c r="AE132" i="11"/>
  <c r="AD145" i="11"/>
  <c r="AE148" i="11"/>
  <c r="AE152" i="11"/>
  <c r="AE155" i="11"/>
  <c r="AH177" i="11"/>
  <c r="AB9" i="12"/>
  <c r="AE9" i="12" s="1"/>
  <c r="V11" i="12"/>
  <c r="AC26" i="12"/>
  <c r="AB29" i="12"/>
  <c r="AD29" i="12" s="1"/>
  <c r="AB38" i="12"/>
  <c r="AD76" i="12"/>
  <c r="AG105" i="12"/>
  <c r="AD188" i="12"/>
  <c r="AG188" i="12"/>
  <c r="AD192" i="12"/>
  <c r="AG192" i="12"/>
  <c r="AD196" i="12"/>
  <c r="AC56" i="13"/>
  <c r="AB56" i="13"/>
  <c r="AD67" i="13"/>
  <c r="AC91" i="10"/>
  <c r="AB105" i="10"/>
  <c r="AG105" i="10" s="1"/>
  <c r="AH106" i="10"/>
  <c r="AC108" i="10"/>
  <c r="AE108" i="10" s="1"/>
  <c r="AC109" i="10"/>
  <c r="AG109" i="10" s="1"/>
  <c r="AE110" i="10"/>
  <c r="AE122" i="10"/>
  <c r="AC124" i="10"/>
  <c r="AC125" i="10"/>
  <c r="AD130" i="10"/>
  <c r="AC131" i="10"/>
  <c r="AC132" i="10"/>
  <c r="AG132" i="10" s="1"/>
  <c r="AE133" i="10"/>
  <c r="AG140" i="10"/>
  <c r="AB141" i="10"/>
  <c r="AE141" i="10" s="1"/>
  <c r="AG144" i="10"/>
  <c r="AC151" i="10"/>
  <c r="AB156" i="10"/>
  <c r="AB163" i="10"/>
  <c r="AG163" i="10" s="1"/>
  <c r="AC164" i="10"/>
  <c r="AH172" i="10"/>
  <c r="AC174" i="10"/>
  <c r="AE184" i="10"/>
  <c r="AC190" i="10"/>
  <c r="AC191" i="10"/>
  <c r="AC15" i="11"/>
  <c r="W10" i="11"/>
  <c r="AC20" i="11"/>
  <c r="AB22" i="11"/>
  <c r="AC24" i="11"/>
  <c r="AB29" i="11"/>
  <c r="AE29" i="11" s="1"/>
  <c r="AC33" i="11"/>
  <c r="AC34" i="11"/>
  <c r="AD34" i="11" s="1"/>
  <c r="AC36" i="11"/>
  <c r="AC38" i="11"/>
  <c r="AC39" i="11"/>
  <c r="AD39" i="11" s="1"/>
  <c r="AB42" i="11"/>
  <c r="AB47" i="11"/>
  <c r="AB48" i="11"/>
  <c r="AE48" i="11" s="1"/>
  <c r="AC51" i="11"/>
  <c r="AB62" i="11"/>
  <c r="AE64" i="11"/>
  <c r="AB81" i="11"/>
  <c r="AE81" i="11" s="1"/>
  <c r="AB85" i="11"/>
  <c r="AE85" i="11" s="1"/>
  <c r="AB89" i="11"/>
  <c r="AE89" i="11" s="1"/>
  <c r="AB92" i="11"/>
  <c r="AB97" i="11"/>
  <c r="AC99" i="11"/>
  <c r="AC100" i="11"/>
  <c r="AB103" i="11"/>
  <c r="AE103" i="11" s="1"/>
  <c r="AB108" i="11"/>
  <c r="AD108" i="11" s="1"/>
  <c r="AC110" i="11"/>
  <c r="AD110" i="11" s="1"/>
  <c r="AC112" i="11"/>
  <c r="AD112" i="11" s="1"/>
  <c r="AC114" i="11"/>
  <c r="AC116" i="11"/>
  <c r="AB119" i="11"/>
  <c r="AE119" i="11" s="1"/>
  <c r="AC124" i="11"/>
  <c r="AC125" i="11"/>
  <c r="AB127" i="11"/>
  <c r="AH132" i="11"/>
  <c r="AC134" i="11"/>
  <c r="AC135" i="11"/>
  <c r="AB149" i="11"/>
  <c r="AB166" i="11"/>
  <c r="AB167" i="11"/>
  <c r="AC171" i="11"/>
  <c r="AE171" i="11" s="1"/>
  <c r="AB173" i="11"/>
  <c r="AC198" i="11"/>
  <c r="AC199" i="11"/>
  <c r="AB12" i="12"/>
  <c r="V8" i="12"/>
  <c r="W11" i="12"/>
  <c r="AC11" i="12" s="1"/>
  <c r="W14" i="12"/>
  <c r="V10" i="12"/>
  <c r="AB21" i="12"/>
  <c r="AC25" i="12"/>
  <c r="AC27" i="12"/>
  <c r="AB32" i="12"/>
  <c r="AB36" i="12"/>
  <c r="AC39" i="12"/>
  <c r="AC48" i="12"/>
  <c r="AD48" i="12" s="1"/>
  <c r="AB51" i="12"/>
  <c r="AE72" i="12"/>
  <c r="AH72" i="12"/>
  <c r="AE105" i="12"/>
  <c r="AH105" i="12"/>
  <c r="AE110" i="12"/>
  <c r="AH100" i="13"/>
  <c r="AC65" i="12"/>
  <c r="AB66" i="12"/>
  <c r="AB77" i="12"/>
  <c r="AE77" i="12" s="1"/>
  <c r="AB82" i="12"/>
  <c r="AC85" i="12"/>
  <c r="AH85" i="12" s="1"/>
  <c r="AB92" i="12"/>
  <c r="AG92" i="12" s="1"/>
  <c r="AB93" i="12"/>
  <c r="AB98" i="12"/>
  <c r="AB101" i="12"/>
  <c r="AD101" i="12" s="1"/>
  <c r="AB109" i="12"/>
  <c r="AD109" i="12" s="1"/>
  <c r="AB110" i="12"/>
  <c r="AD110" i="12" s="1"/>
  <c r="AB113" i="12"/>
  <c r="AE113" i="12" s="1"/>
  <c r="AC118" i="12"/>
  <c r="AB123" i="12"/>
  <c r="AD123" i="12" s="1"/>
  <c r="AB126" i="12"/>
  <c r="AH126" i="12" s="1"/>
  <c r="AB134" i="12"/>
  <c r="AH134" i="12" s="1"/>
  <c r="AB154" i="12"/>
  <c r="AG154" i="12" s="1"/>
  <c r="AB155" i="12"/>
  <c r="AB157" i="12"/>
  <c r="AD157" i="12" s="1"/>
  <c r="AB169" i="12"/>
  <c r="AB170" i="12"/>
  <c r="AB174" i="12"/>
  <c r="AB177" i="12"/>
  <c r="AB178" i="12"/>
  <c r="AB182" i="12"/>
  <c r="AB189" i="12"/>
  <c r="AB193" i="12"/>
  <c r="AB198" i="12"/>
  <c r="AB199" i="12"/>
  <c r="AC200" i="12"/>
  <c r="AD200" i="12" s="1"/>
  <c r="AC12" i="13"/>
  <c r="W14" i="13"/>
  <c r="W10" i="13"/>
  <c r="AB21" i="13"/>
  <c r="AD21" i="13" s="1"/>
  <c r="AB22" i="13"/>
  <c r="AC27" i="13"/>
  <c r="AC48" i="13"/>
  <c r="AC87" i="13"/>
  <c r="AC92" i="13"/>
  <c r="AB93" i="13"/>
  <c r="AB100" i="13"/>
  <c r="AD100" i="13" s="1"/>
  <c r="AB110" i="13"/>
  <c r="AG110" i="13" s="1"/>
  <c r="AC113" i="13"/>
  <c r="AE113" i="13" s="1"/>
  <c r="AB120" i="13"/>
  <c r="AD120" i="13" s="1"/>
  <c r="AC129" i="13"/>
  <c r="AE129" i="13" s="1"/>
  <c r="AD169" i="13"/>
  <c r="AG169" i="13"/>
  <c r="AG88" i="12"/>
  <c r="AB89" i="12"/>
  <c r="AB94" i="12"/>
  <c r="AD104" i="12"/>
  <c r="AB106" i="12"/>
  <c r="AB107" i="12"/>
  <c r="AB111" i="12"/>
  <c r="AD111" i="12" s="1"/>
  <c r="AB114" i="12"/>
  <c r="AH114" i="12" s="1"/>
  <c r="AD117" i="12"/>
  <c r="AB127" i="12"/>
  <c r="AD127" i="12" s="1"/>
  <c r="AD131" i="12"/>
  <c r="AB136" i="12"/>
  <c r="AC143" i="12"/>
  <c r="AC147" i="12"/>
  <c r="AB149" i="12"/>
  <c r="AB151" i="12"/>
  <c r="AD160" i="12"/>
  <c r="AC161" i="12"/>
  <c r="AB186" i="12"/>
  <c r="AB190" i="12"/>
  <c r="AB194" i="12"/>
  <c r="AC28" i="13"/>
  <c r="AB53" i="13"/>
  <c r="AC50" i="13"/>
  <c r="AC42" i="13"/>
  <c r="AB106" i="13"/>
  <c r="AB117" i="13"/>
  <c r="AE117" i="13" s="1"/>
  <c r="AB122" i="13"/>
  <c r="AC146" i="13"/>
  <c r="AB148" i="13"/>
  <c r="AB158" i="13"/>
  <c r="AD158" i="13" s="1"/>
  <c r="AC158" i="13"/>
  <c r="AE169" i="13"/>
  <c r="AB173" i="13"/>
  <c r="AD177" i="13"/>
  <c r="AG177" i="13"/>
  <c r="AH37" i="14"/>
  <c r="AH45" i="14"/>
  <c r="AB35" i="14"/>
  <c r="AD144" i="14"/>
  <c r="AG144" i="14"/>
  <c r="AB84" i="12"/>
  <c r="AG84" i="12" s="1"/>
  <c r="AB100" i="12"/>
  <c r="AG100" i="12" s="1"/>
  <c r="AH118" i="12"/>
  <c r="AB121" i="12"/>
  <c r="AG156" i="12"/>
  <c r="AB171" i="12"/>
  <c r="AD171" i="12" s="1"/>
  <c r="AB176" i="12"/>
  <c r="AG176" i="12" s="1"/>
  <c r="AB179" i="12"/>
  <c r="AD179" i="12" s="1"/>
  <c r="AB184" i="12"/>
  <c r="AD186" i="12"/>
  <c r="AC13" i="13"/>
  <c r="AC15" i="13"/>
  <c r="AC16" i="13"/>
  <c r="AD16" i="13" s="1"/>
  <c r="AC19" i="13"/>
  <c r="AC20" i="13"/>
  <c r="AD20" i="13" s="1"/>
  <c r="AC24" i="13"/>
  <c r="AB26" i="13"/>
  <c r="AC29" i="13"/>
  <c r="AD29" i="13" s="1"/>
  <c r="AB31" i="13"/>
  <c r="AD31" i="13" s="1"/>
  <c r="AB36" i="13"/>
  <c r="AB39" i="13"/>
  <c r="AC43" i="13"/>
  <c r="AC44" i="13"/>
  <c r="AD44" i="13" s="1"/>
  <c r="AC49" i="13"/>
  <c r="AB54" i="13"/>
  <c r="AC65" i="13"/>
  <c r="AC66" i="13"/>
  <c r="AH71" i="13"/>
  <c r="AC73" i="13"/>
  <c r="AC74" i="13"/>
  <c r="AH79" i="13"/>
  <c r="AC81" i="13"/>
  <c r="AC82" i="13"/>
  <c r="AB95" i="13"/>
  <c r="AD95" i="13" s="1"/>
  <c r="AB112" i="13"/>
  <c r="AD112" i="13" s="1"/>
  <c r="AD128" i="13"/>
  <c r="AB147" i="13"/>
  <c r="AD147" i="13" s="1"/>
  <c r="AH148" i="13"/>
  <c r="AC30" i="14"/>
  <c r="AB30" i="14"/>
  <c r="V14" i="12"/>
  <c r="AC43" i="12"/>
  <c r="AC53" i="12"/>
  <c r="AC55" i="12"/>
  <c r="AC50" i="12"/>
  <c r="W54" i="12"/>
  <c r="AC54" i="12" s="1"/>
  <c r="AC58" i="12"/>
  <c r="AB59" i="12"/>
  <c r="AC60" i="12"/>
  <c r="AC74" i="12"/>
  <c r="AB81" i="12"/>
  <c r="AE81" i="12" s="1"/>
  <c r="AB86" i="12"/>
  <c r="AC90" i="12"/>
  <c r="AB91" i="12"/>
  <c r="AB97" i="12"/>
  <c r="AH97" i="12" s="1"/>
  <c r="AB102" i="12"/>
  <c r="AB103" i="12"/>
  <c r="AC115" i="12"/>
  <c r="AD115" i="12" s="1"/>
  <c r="AG117" i="12"/>
  <c r="AB119" i="12"/>
  <c r="AD119" i="12" s="1"/>
  <c r="AB122" i="12"/>
  <c r="AH122" i="12" s="1"/>
  <c r="AB130" i="12"/>
  <c r="AG131" i="12"/>
  <c r="AC132" i="12"/>
  <c r="AB139" i="12"/>
  <c r="AB143" i="12"/>
  <c r="AB144" i="12"/>
  <c r="AB145" i="12"/>
  <c r="AC152" i="12"/>
  <c r="AC153" i="12"/>
  <c r="AB158" i="12"/>
  <c r="AB159" i="12"/>
  <c r="AC163" i="12"/>
  <c r="AE163" i="12" s="1"/>
  <c r="AC165" i="12"/>
  <c r="AB173" i="12"/>
  <c r="AD173" i="12" s="1"/>
  <c r="AB181" i="12"/>
  <c r="AD181" i="12" s="1"/>
  <c r="AB185" i="12"/>
  <c r="AH185" i="12" s="1"/>
  <c r="AB197" i="12"/>
  <c r="AE197" i="12" s="1"/>
  <c r="P201" i="13"/>
  <c r="AB12" i="13"/>
  <c r="V11" i="13"/>
  <c r="AB11" i="13" s="1"/>
  <c r="V14" i="13"/>
  <c r="AB14" i="13" s="1"/>
  <c r="V10" i="13"/>
  <c r="AB10" i="13" s="1"/>
  <c r="AC25" i="13"/>
  <c r="AB27" i="13"/>
  <c r="AB34" i="13"/>
  <c r="AB35" i="13"/>
  <c r="AC46" i="13"/>
  <c r="AB47" i="13"/>
  <c r="AC57" i="13"/>
  <c r="AB58" i="13"/>
  <c r="AC63" i="13"/>
  <c r="AC68" i="13"/>
  <c r="AB69" i="13"/>
  <c r="AC76" i="13"/>
  <c r="AB77" i="13"/>
  <c r="AC85" i="13"/>
  <c r="AC86" i="13"/>
  <c r="AC88" i="13"/>
  <c r="AB89" i="13"/>
  <c r="AB91" i="13"/>
  <c r="AC97" i="13"/>
  <c r="AC98" i="13"/>
  <c r="AC99" i="13"/>
  <c r="AB105" i="13"/>
  <c r="AH105" i="13" s="1"/>
  <c r="AB109" i="13"/>
  <c r="AE109" i="13" s="1"/>
  <c r="AB114" i="13"/>
  <c r="AB125" i="13"/>
  <c r="AE125" i="13" s="1"/>
  <c r="AB130" i="13"/>
  <c r="AB133" i="13"/>
  <c r="AH133" i="13" s="1"/>
  <c r="AC138" i="13"/>
  <c r="AE138" i="13" s="1"/>
  <c r="AB152" i="13"/>
  <c r="AH152" i="13" s="1"/>
  <c r="AB164" i="13"/>
  <c r="AH164" i="13" s="1"/>
  <c r="AC165" i="13"/>
  <c r="AH165" i="13" s="1"/>
  <c r="AB165" i="13"/>
  <c r="AE196" i="13"/>
  <c r="AB49" i="14"/>
  <c r="AD49" i="14" s="1"/>
  <c r="AD135" i="14"/>
  <c r="AG135" i="14"/>
  <c r="AD151" i="14"/>
  <c r="AG151" i="14"/>
  <c r="AC191" i="13"/>
  <c r="AC192" i="13"/>
  <c r="AG192" i="13" s="1"/>
  <c r="AB197" i="13"/>
  <c r="P201" i="14"/>
  <c r="AB12" i="14"/>
  <c r="V11" i="14"/>
  <c r="AB11" i="14" s="1"/>
  <c r="V14" i="14"/>
  <c r="AB14" i="14" s="1"/>
  <c r="V10" i="14"/>
  <c r="AC25" i="14"/>
  <c r="AB27" i="14"/>
  <c r="AC31" i="14"/>
  <c r="AH31" i="14" s="1"/>
  <c r="AC33" i="14"/>
  <c r="AB34" i="14"/>
  <c r="AB39" i="14"/>
  <c r="AC40" i="14"/>
  <c r="AB57" i="14"/>
  <c r="AC50" i="14"/>
  <c r="AC58" i="14"/>
  <c r="AC64" i="14"/>
  <c r="AB67" i="14"/>
  <c r="AB68" i="14"/>
  <c r="AC69" i="14"/>
  <c r="AB70" i="14"/>
  <c r="AC79" i="14"/>
  <c r="AC80" i="14"/>
  <c r="AC83" i="14"/>
  <c r="AB84" i="14"/>
  <c r="AB85" i="14"/>
  <c r="AB86" i="14"/>
  <c r="AC94" i="14"/>
  <c r="AC100" i="14"/>
  <c r="AC101" i="14"/>
  <c r="AC103" i="14"/>
  <c r="AB112" i="14"/>
  <c r="AE112" i="14" s="1"/>
  <c r="AC116" i="14"/>
  <c r="AB118" i="14"/>
  <c r="AH118" i="14" s="1"/>
  <c r="AB121" i="14"/>
  <c r="AG121" i="14" s="1"/>
  <c r="AB122" i="14"/>
  <c r="AH122" i="14" s="1"/>
  <c r="AB125" i="14"/>
  <c r="AB127" i="14"/>
  <c r="AB128" i="14"/>
  <c r="AC129" i="14"/>
  <c r="AB145" i="14"/>
  <c r="AB146" i="14"/>
  <c r="AC153" i="14"/>
  <c r="AC51" i="15"/>
  <c r="AC71" i="15"/>
  <c r="AB71" i="15"/>
  <c r="AB134" i="13"/>
  <c r="AC140" i="13"/>
  <c r="AC142" i="13"/>
  <c r="AB144" i="13"/>
  <c r="AE144" i="13" s="1"/>
  <c r="AB149" i="13"/>
  <c r="AD149" i="13" s="1"/>
  <c r="AB150" i="13"/>
  <c r="AC151" i="13"/>
  <c r="AG151" i="13" s="1"/>
  <c r="AC153" i="13"/>
  <c r="AD153" i="13" s="1"/>
  <c r="AB155" i="13"/>
  <c r="AG155" i="13" s="1"/>
  <c r="AB174" i="13"/>
  <c r="AB175" i="13"/>
  <c r="AB182" i="13"/>
  <c r="AB183" i="13"/>
  <c r="AB193" i="13"/>
  <c r="AB198" i="13"/>
  <c r="AB199" i="13"/>
  <c r="AC12" i="14"/>
  <c r="W14" i="14"/>
  <c r="W10" i="14"/>
  <c r="AB22" i="14"/>
  <c r="AC27" i="14"/>
  <c r="AC46" i="14"/>
  <c r="AB47" i="14"/>
  <c r="AC51" i="14"/>
  <c r="AB52" i="14"/>
  <c r="AB59" i="14"/>
  <c r="AB60" i="14"/>
  <c r="AC66" i="14"/>
  <c r="AB71" i="14"/>
  <c r="AB72" i="14"/>
  <c r="AC73" i="14"/>
  <c r="AB74" i="14"/>
  <c r="AE74" i="14" s="1"/>
  <c r="AC87" i="14"/>
  <c r="AB88" i="14"/>
  <c r="AB89" i="14"/>
  <c r="AB90" i="14"/>
  <c r="AE90" i="14" s="1"/>
  <c r="AG101" i="14"/>
  <c r="AB104" i="14"/>
  <c r="AE104" i="14" s="1"/>
  <c r="AC113" i="14"/>
  <c r="AB123" i="14"/>
  <c r="AD123" i="14" s="1"/>
  <c r="AB130" i="14"/>
  <c r="AB134" i="14"/>
  <c r="AD136" i="14"/>
  <c r="AD140" i="14"/>
  <c r="AB141" i="14"/>
  <c r="AD141" i="14" s="1"/>
  <c r="AB150" i="14"/>
  <c r="AD152" i="14"/>
  <c r="AB161" i="14"/>
  <c r="AB172" i="14"/>
  <c r="AC184" i="14"/>
  <c r="AB184" i="14"/>
  <c r="AG184" i="14" s="1"/>
  <c r="AC192" i="14"/>
  <c r="AB192" i="14"/>
  <c r="AC19" i="15"/>
  <c r="AB19" i="15"/>
  <c r="AC25" i="15"/>
  <c r="AB25" i="15"/>
  <c r="AC46" i="15"/>
  <c r="AB31" i="15"/>
  <c r="AD79" i="15"/>
  <c r="AB161" i="13"/>
  <c r="AB167" i="13"/>
  <c r="AB170" i="13"/>
  <c r="AB171" i="13"/>
  <c r="AE185" i="13"/>
  <c r="AE197" i="13"/>
  <c r="AB13" i="14"/>
  <c r="AH21" i="14"/>
  <c r="AC28" i="14"/>
  <c r="AC36" i="14"/>
  <c r="AC42" i="14"/>
  <c r="AC56" i="14"/>
  <c r="AG58" i="14"/>
  <c r="AE70" i="14"/>
  <c r="AE86" i="14"/>
  <c r="AD103" i="14"/>
  <c r="AD129" i="14"/>
  <c r="AH156" i="14"/>
  <c r="W14" i="15"/>
  <c r="AC14" i="15" s="1"/>
  <c r="AC35" i="15"/>
  <c r="AB35" i="15"/>
  <c r="AC47" i="15"/>
  <c r="AB47" i="15"/>
  <c r="V29" i="15"/>
  <c r="AB29" i="15" s="1"/>
  <c r="AC64" i="15"/>
  <c r="AB64" i="15"/>
  <c r="AD83" i="15"/>
  <c r="AE164" i="15"/>
  <c r="AH164" i="15"/>
  <c r="AC172" i="13"/>
  <c r="AE172" i="13" s="1"/>
  <c r="AB176" i="13"/>
  <c r="AC180" i="13"/>
  <c r="AE180" i="13" s="1"/>
  <c r="AB184" i="13"/>
  <c r="AH185" i="13"/>
  <c r="AC187" i="13"/>
  <c r="AC188" i="13"/>
  <c r="AG188" i="13" s="1"/>
  <c r="AE189" i="13"/>
  <c r="AB200" i="13"/>
  <c r="O201" i="14"/>
  <c r="AC15" i="14"/>
  <c r="AC16" i="14"/>
  <c r="AC19" i="14"/>
  <c r="AC20" i="14"/>
  <c r="AC24" i="14"/>
  <c r="AB26" i="14"/>
  <c r="AC43" i="14"/>
  <c r="AC44" i="14"/>
  <c r="AB53" i="14"/>
  <c r="AB48" i="14"/>
  <c r="V54" i="14"/>
  <c r="AB54" i="14" s="1"/>
  <c r="AC75" i="14"/>
  <c r="AC76" i="14"/>
  <c r="AC92" i="14"/>
  <c r="AC93" i="14"/>
  <c r="AC95" i="14"/>
  <c r="AB96" i="14"/>
  <c r="AC97" i="14"/>
  <c r="AB98" i="14"/>
  <c r="AC99" i="14"/>
  <c r="AC106" i="14"/>
  <c r="AC108" i="14"/>
  <c r="AC109" i="14"/>
  <c r="AG109" i="14" s="1"/>
  <c r="AB113" i="14"/>
  <c r="AD113" i="14" s="1"/>
  <c r="AC119" i="14"/>
  <c r="AC120" i="14"/>
  <c r="AE120" i="14" s="1"/>
  <c r="AC124" i="14"/>
  <c r="AC131" i="14"/>
  <c r="AG136" i="14"/>
  <c r="AC139" i="14"/>
  <c r="AD139" i="14" s="1"/>
  <c r="AB142" i="14"/>
  <c r="AB149" i="14"/>
  <c r="AD149" i="14" s="1"/>
  <c r="AG152" i="14"/>
  <c r="AB154" i="14"/>
  <c r="AB157" i="14"/>
  <c r="AB158" i="14"/>
  <c r="AB164" i="14"/>
  <c r="AD168" i="14"/>
  <c r="AB177" i="14"/>
  <c r="AC177" i="14"/>
  <c r="AD186" i="14"/>
  <c r="AC197" i="14"/>
  <c r="AE197" i="14" s="1"/>
  <c r="AC9" i="15"/>
  <c r="AB10" i="15"/>
  <c r="AC37" i="15"/>
  <c r="AC39" i="15"/>
  <c r="AB39" i="15"/>
  <c r="AD39" i="15" s="1"/>
  <c r="AC41" i="15"/>
  <c r="AC42" i="15"/>
  <c r="AC56" i="15"/>
  <c r="AH34" i="15"/>
  <c r="AC83" i="15"/>
  <c r="AE83" i="15" s="1"/>
  <c r="AE95" i="15"/>
  <c r="AE105" i="15"/>
  <c r="AE109" i="15"/>
  <c r="AD173" i="15"/>
  <c r="AE176" i="15"/>
  <c r="AC21" i="7"/>
  <c r="AB21" i="7"/>
  <c r="AG21" i="7" s="1"/>
  <c r="AC41" i="7"/>
  <c r="AB41" i="7"/>
  <c r="AE149" i="7"/>
  <c r="AH149" i="7"/>
  <c r="AE196" i="14"/>
  <c r="W11" i="15"/>
  <c r="AC17" i="15"/>
  <c r="AC18" i="15"/>
  <c r="AC26" i="15"/>
  <c r="AD26" i="15" s="1"/>
  <c r="AC28" i="15"/>
  <c r="AD28" i="15" s="1"/>
  <c r="AC45" i="15"/>
  <c r="AB48" i="15"/>
  <c r="AB52" i="15"/>
  <c r="AC81" i="15"/>
  <c r="AC82" i="15"/>
  <c r="AB87" i="15"/>
  <c r="AD87" i="15" s="1"/>
  <c r="AE91" i="15"/>
  <c r="AC97" i="15"/>
  <c r="AC98" i="15"/>
  <c r="AC100" i="15"/>
  <c r="AD100" i="15" s="1"/>
  <c r="AC103" i="15"/>
  <c r="AC104" i="15"/>
  <c r="AH105" i="15"/>
  <c r="AC107" i="15"/>
  <c r="AC108" i="15"/>
  <c r="AH109" i="15"/>
  <c r="AC111" i="15"/>
  <c r="AC112" i="15"/>
  <c r="AC119" i="15"/>
  <c r="AC137" i="15"/>
  <c r="AC138" i="15"/>
  <c r="AE142" i="15"/>
  <c r="AC144" i="15"/>
  <c r="AH144" i="15" s="1"/>
  <c r="AB156" i="15"/>
  <c r="AC162" i="15"/>
  <c r="AB168" i="15"/>
  <c r="AE168" i="15" s="1"/>
  <c r="AE172" i="15"/>
  <c r="AD187" i="15"/>
  <c r="AC193" i="15"/>
  <c r="AD200" i="15"/>
  <c r="AD104" i="7"/>
  <c r="AG104" i="7"/>
  <c r="AC165" i="14"/>
  <c r="AB167" i="14"/>
  <c r="AB178" i="14"/>
  <c r="AC180" i="14"/>
  <c r="AD180" i="14" s="1"/>
  <c r="AC182" i="14"/>
  <c r="AB189" i="14"/>
  <c r="AE189" i="14" s="1"/>
  <c r="AB194" i="14"/>
  <c r="AC198" i="14"/>
  <c r="AC199" i="14"/>
  <c r="AC200" i="14"/>
  <c r="W8" i="15"/>
  <c r="AB8" i="15" s="1"/>
  <c r="AC15" i="15"/>
  <c r="AD15" i="15" s="1"/>
  <c r="V11" i="15"/>
  <c r="AB21" i="15"/>
  <c r="AC32" i="15"/>
  <c r="AC43" i="15"/>
  <c r="AD43" i="15" s="1"/>
  <c r="AB53" i="15"/>
  <c r="W54" i="15"/>
  <c r="AC54" i="15" s="1"/>
  <c r="AB59" i="15"/>
  <c r="AB66" i="15"/>
  <c r="AB68" i="15"/>
  <c r="AB72" i="15"/>
  <c r="AB84" i="15"/>
  <c r="AB89" i="15"/>
  <c r="AC93" i="15"/>
  <c r="AC94" i="15"/>
  <c r="AC116" i="15"/>
  <c r="AD116" i="15" s="1"/>
  <c r="AB120" i="15"/>
  <c r="AD120" i="15" s="1"/>
  <c r="AB126" i="15"/>
  <c r="AD126" i="15" s="1"/>
  <c r="AC132" i="15"/>
  <c r="AB139" i="15"/>
  <c r="AB141" i="15"/>
  <c r="AB142" i="15"/>
  <c r="AH142" i="15" s="1"/>
  <c r="AC145" i="15"/>
  <c r="AC146" i="15"/>
  <c r="AB153" i="15"/>
  <c r="AD153" i="15" s="1"/>
  <c r="AB169" i="15"/>
  <c r="AC174" i="15"/>
  <c r="AC175" i="15"/>
  <c r="AH176" i="15"/>
  <c r="AC178" i="15"/>
  <c r="AC179" i="15"/>
  <c r="AC186" i="15"/>
  <c r="AC187" i="15"/>
  <c r="AE187" i="15" s="1"/>
  <c r="AE196" i="15"/>
  <c r="AC200" i="15"/>
  <c r="AE200" i="15" s="1"/>
  <c r="AB24" i="7"/>
  <c r="AH116" i="7"/>
  <c r="AE137" i="7"/>
  <c r="AB169" i="14"/>
  <c r="AD169" i="14" s="1"/>
  <c r="AB170" i="14"/>
  <c r="AB173" i="14"/>
  <c r="AB174" i="14"/>
  <c r="AB181" i="14"/>
  <c r="AE181" i="14" s="1"/>
  <c r="AB185" i="14"/>
  <c r="AH185" i="14" s="1"/>
  <c r="AB188" i="14"/>
  <c r="AB190" i="14"/>
  <c r="AC193" i="14"/>
  <c r="AE193" i="14" s="1"/>
  <c r="O201" i="15"/>
  <c r="AC13" i="15"/>
  <c r="AB16" i="15"/>
  <c r="AC20" i="15"/>
  <c r="AE20" i="15" s="1"/>
  <c r="AB22" i="15"/>
  <c r="AC27" i="15"/>
  <c r="AD27" i="15" s="1"/>
  <c r="AB32" i="15"/>
  <c r="AC40" i="15"/>
  <c r="AE40" i="15" s="1"/>
  <c r="AB44" i="15"/>
  <c r="AC49" i="15"/>
  <c r="AC52" i="15"/>
  <c r="AC58" i="15"/>
  <c r="AE58" i="15" s="1"/>
  <c r="AC60" i="15"/>
  <c r="AC63" i="15"/>
  <c r="AC65" i="15"/>
  <c r="AE65" i="15" s="1"/>
  <c r="AB80" i="15"/>
  <c r="AB85" i="15"/>
  <c r="AC88" i="15"/>
  <c r="AE88" i="15" s="1"/>
  <c r="AB96" i="15"/>
  <c r="AB102" i="15"/>
  <c r="AD102" i="15" s="1"/>
  <c r="AC113" i="15"/>
  <c r="AE113" i="15" s="1"/>
  <c r="AB117" i="15"/>
  <c r="AE117" i="15" s="1"/>
  <c r="AC121" i="15"/>
  <c r="AH121" i="15" s="1"/>
  <c r="AB122" i="15"/>
  <c r="AB123" i="15"/>
  <c r="AC124" i="15"/>
  <c r="AG124" i="15" s="1"/>
  <c r="AC125" i="15"/>
  <c r="AC128" i="15"/>
  <c r="AC134" i="15"/>
  <c r="AB136" i="15"/>
  <c r="AH136" i="15" s="1"/>
  <c r="AB147" i="15"/>
  <c r="AB149" i="15"/>
  <c r="AB150" i="15"/>
  <c r="AE150" i="15" s="1"/>
  <c r="AC152" i="15"/>
  <c r="AH152" i="15" s="1"/>
  <c r="AB155" i="15"/>
  <c r="AG155" i="15" s="1"/>
  <c r="AC158" i="15"/>
  <c r="AB161" i="15"/>
  <c r="AC180" i="15"/>
  <c r="AE180" i="15" s="1"/>
  <c r="AB184" i="15"/>
  <c r="AG184" i="15" s="1"/>
  <c r="AG188" i="15"/>
  <c r="AB189" i="15"/>
  <c r="AE189" i="15" s="1"/>
  <c r="AD192" i="15"/>
  <c r="AG192" i="15"/>
  <c r="AB12" i="7"/>
  <c r="AC31" i="7"/>
  <c r="AB31" i="7"/>
  <c r="AD31" i="7" s="1"/>
  <c r="AC30" i="7"/>
  <c r="AH104" i="7"/>
  <c r="AE141" i="7"/>
  <c r="AG149" i="7"/>
  <c r="AD196" i="7"/>
  <c r="AC198" i="15"/>
  <c r="AC199" i="15"/>
  <c r="AC12" i="7"/>
  <c r="AC14" i="7"/>
  <c r="AC13" i="7"/>
  <c r="V11" i="7"/>
  <c r="AB11" i="7" s="1"/>
  <c r="AC19" i="7"/>
  <c r="AC20" i="7"/>
  <c r="AC27" i="7"/>
  <c r="AC32" i="7"/>
  <c r="AC36" i="7"/>
  <c r="AC43" i="7"/>
  <c r="AC44" i="7"/>
  <c r="AC47" i="7"/>
  <c r="AC48" i="7"/>
  <c r="AB85" i="7"/>
  <c r="AG85" i="7" s="1"/>
  <c r="AB93" i="7"/>
  <c r="AG93" i="7" s="1"/>
  <c r="AB101" i="7"/>
  <c r="AG101" i="7" s="1"/>
  <c r="AE108" i="7"/>
  <c r="AC110" i="7"/>
  <c r="AC111" i="7"/>
  <c r="AG111" i="7" s="1"/>
  <c r="AB115" i="7"/>
  <c r="AG115" i="7" s="1"/>
  <c r="AB120" i="7"/>
  <c r="AG120" i="7" s="1"/>
  <c r="AH124" i="7"/>
  <c r="AB129" i="7"/>
  <c r="AG129" i="7" s="1"/>
  <c r="AB141" i="7"/>
  <c r="AG141" i="7" s="1"/>
  <c r="AB144" i="7"/>
  <c r="AD144" i="7" s="1"/>
  <c r="AC147" i="7"/>
  <c r="AC148" i="7"/>
  <c r="AC151" i="7"/>
  <c r="AC152" i="7"/>
  <c r="AE152" i="7" s="1"/>
  <c r="AE153" i="7"/>
  <c r="AB156" i="7"/>
  <c r="AG156" i="7" s="1"/>
  <c r="AB159" i="7"/>
  <c r="AE159" i="7" s="1"/>
  <c r="AB164" i="7"/>
  <c r="AH164" i="7" s="1"/>
  <c r="AB167" i="7"/>
  <c r="AE167" i="7" s="1"/>
  <c r="AB172" i="7"/>
  <c r="AB175" i="7"/>
  <c r="AB180" i="7"/>
  <c r="AB184" i="7"/>
  <c r="AD184" i="7" s="1"/>
  <c r="AC15" i="7"/>
  <c r="AB16" i="7"/>
  <c r="AC17" i="7"/>
  <c r="V10" i="7"/>
  <c r="AB33" i="7"/>
  <c r="AB37" i="7"/>
  <c r="AG37" i="7" s="1"/>
  <c r="AB39" i="7"/>
  <c r="AB45" i="7"/>
  <c r="AG45" i="7" s="1"/>
  <c r="AB53" i="7"/>
  <c r="AB55" i="7"/>
  <c r="AB57" i="7"/>
  <c r="AB49" i="7"/>
  <c r="AD49" i="7" s="1"/>
  <c r="AB63" i="7"/>
  <c r="AB66" i="7"/>
  <c r="AC87" i="7"/>
  <c r="AC88" i="7"/>
  <c r="AC95" i="7"/>
  <c r="AC96" i="7"/>
  <c r="AC102" i="7"/>
  <c r="AD102" i="7" s="1"/>
  <c r="AC103" i="7"/>
  <c r="AC107" i="7"/>
  <c r="AD107" i="7" s="1"/>
  <c r="AC122" i="7"/>
  <c r="AC123" i="7"/>
  <c r="AC128" i="7"/>
  <c r="AE128" i="7" s="1"/>
  <c r="AC132" i="7"/>
  <c r="AE132" i="7" s="1"/>
  <c r="AD138" i="7"/>
  <c r="AC155" i="7"/>
  <c r="AD155" i="7" s="1"/>
  <c r="AD161" i="7"/>
  <c r="AB181" i="15"/>
  <c r="AD181" i="15" s="1"/>
  <c r="AB197" i="15"/>
  <c r="O201" i="7"/>
  <c r="W9" i="7"/>
  <c r="AB18" i="7"/>
  <c r="AH18" i="7" s="1"/>
  <c r="W10" i="7"/>
  <c r="AC23" i="7"/>
  <c r="AD23" i="7" s="1"/>
  <c r="AB25" i="7"/>
  <c r="AB34" i="7"/>
  <c r="AC38" i="7"/>
  <c r="AC40" i="7"/>
  <c r="AC50" i="7"/>
  <c r="AB52" i="7"/>
  <c r="AC62" i="7"/>
  <c r="AB65" i="7"/>
  <c r="AE65" i="7" s="1"/>
  <c r="AB68" i="7"/>
  <c r="AC70" i="7"/>
  <c r="AD70" i="7" s="1"/>
  <c r="AC72" i="7"/>
  <c r="AB78" i="7"/>
  <c r="AB80" i="7"/>
  <c r="AC82" i="7"/>
  <c r="AB83" i="7"/>
  <c r="AC90" i="7"/>
  <c r="AB91" i="7"/>
  <c r="AC98" i="7"/>
  <c r="AB99" i="7"/>
  <c r="AC113" i="7"/>
  <c r="AB114" i="7"/>
  <c r="AC118" i="7"/>
  <c r="AC119" i="7"/>
  <c r="AC133" i="7"/>
  <c r="AC135" i="7"/>
  <c r="AC136" i="7"/>
  <c r="AE136" i="7" s="1"/>
  <c r="AB142" i="7"/>
  <c r="AB146" i="7"/>
  <c r="AD146" i="7" s="1"/>
  <c r="AB170" i="7"/>
  <c r="AB174" i="7"/>
  <c r="AB178" i="7"/>
  <c r="AB181" i="7"/>
  <c r="AB182" i="7"/>
  <c r="AB193" i="7"/>
  <c r="AE193" i="7" s="1"/>
  <c r="AB198" i="7"/>
  <c r="AC35" i="7"/>
  <c r="AB56" i="7"/>
  <c r="AE89" i="7"/>
  <c r="AE97" i="7"/>
  <c r="AH112" i="7"/>
  <c r="AE145" i="7"/>
  <c r="AD154" i="7"/>
  <c r="AE12" i="7"/>
  <c r="AH12" i="7"/>
  <c r="AH14" i="7"/>
  <c r="AE14" i="7"/>
  <c r="AH19" i="7"/>
  <c r="AE19" i="7"/>
  <c r="AG23" i="7"/>
  <c r="AE32" i="7"/>
  <c r="AH32" i="7"/>
  <c r="AG38" i="7"/>
  <c r="AD38" i="7"/>
  <c r="AH43" i="7"/>
  <c r="AE43" i="7"/>
  <c r="AH47" i="7"/>
  <c r="AE47" i="7"/>
  <c r="AG50" i="7"/>
  <c r="AD50" i="7"/>
  <c r="AB46" i="7"/>
  <c r="AC46" i="7"/>
  <c r="AB13" i="7"/>
  <c r="AD16" i="7"/>
  <c r="AG16" i="7"/>
  <c r="AE17" i="7"/>
  <c r="AH17" i="7"/>
  <c r="AB10" i="7"/>
  <c r="AG33" i="7"/>
  <c r="AD33" i="7"/>
  <c r="AD39" i="7"/>
  <c r="AG39" i="7"/>
  <c r="AE41" i="7"/>
  <c r="AH41" i="7"/>
  <c r="AB9" i="7"/>
  <c r="AC9" i="7"/>
  <c r="AH16" i="7"/>
  <c r="AE16" i="7"/>
  <c r="AG18" i="7"/>
  <c r="AD18" i="7"/>
  <c r="AC10" i="7"/>
  <c r="AH23" i="7"/>
  <c r="AD25" i="7"/>
  <c r="AG25" i="7"/>
  <c r="AE31" i="7"/>
  <c r="AH31" i="7"/>
  <c r="AD32" i="7"/>
  <c r="AG34" i="7"/>
  <c r="AD34" i="7"/>
  <c r="AB22" i="7"/>
  <c r="AC22" i="7"/>
  <c r="AH38" i="7"/>
  <c r="AH39" i="7"/>
  <c r="AE39" i="7"/>
  <c r="AG42" i="7"/>
  <c r="AD42" i="7"/>
  <c r="AC53" i="7"/>
  <c r="AG53" i="7" s="1"/>
  <c r="AE50" i="7"/>
  <c r="AH13" i="7"/>
  <c r="AE13" i="7"/>
  <c r="AC11" i="7"/>
  <c r="AG12" i="7"/>
  <c r="AD12" i="7"/>
  <c r="AG14" i="7"/>
  <c r="AD14" i="7"/>
  <c r="AG17" i="7"/>
  <c r="AG19" i="7"/>
  <c r="AD19" i="7"/>
  <c r="AE21" i="7"/>
  <c r="AH21" i="7"/>
  <c r="AH25" i="7"/>
  <c r="AE25" i="7"/>
  <c r="AH33" i="7"/>
  <c r="AH34" i="7"/>
  <c r="AE34" i="7"/>
  <c r="AE37" i="7"/>
  <c r="AH37" i="7"/>
  <c r="AD41" i="7"/>
  <c r="AD43" i="7"/>
  <c r="AG43" i="7"/>
  <c r="AE45" i="7"/>
  <c r="AH45" i="7"/>
  <c r="AG47" i="7"/>
  <c r="AD47" i="7"/>
  <c r="AE49" i="7"/>
  <c r="AH49" i="7"/>
  <c r="AC57" i="7"/>
  <c r="AG57" i="7" s="1"/>
  <c r="AG49" i="7"/>
  <c r="AH50" i="7"/>
  <c r="AC51" i="7"/>
  <c r="AC52" i="7"/>
  <c r="AD52" i="7" s="1"/>
  <c r="AD56" i="7"/>
  <c r="AG56" i="7"/>
  <c r="AD62" i="7"/>
  <c r="AG62" i="7"/>
  <c r="AE72" i="7"/>
  <c r="AH72" i="7"/>
  <c r="AD75" i="7"/>
  <c r="AG75" i="7"/>
  <c r="AB77" i="7"/>
  <c r="AC77" i="7"/>
  <c r="AH78" i="7"/>
  <c r="AE78" i="7"/>
  <c r="AD87" i="7"/>
  <c r="AG87" i="7"/>
  <c r="AD95" i="7"/>
  <c r="AG95" i="7"/>
  <c r="AG31" i="7"/>
  <c r="AG32" i="7"/>
  <c r="P201" i="7"/>
  <c r="AB20" i="7"/>
  <c r="AB29" i="7"/>
  <c r="AB30" i="7"/>
  <c r="AH30" i="7" s="1"/>
  <c r="AB36" i="7"/>
  <c r="AB40" i="7"/>
  <c r="AB44" i="7"/>
  <c r="AC55" i="7"/>
  <c r="AG55" i="7" s="1"/>
  <c r="AB48" i="7"/>
  <c r="AH48" i="7" s="1"/>
  <c r="AE56" i="7"/>
  <c r="AB58" i="7"/>
  <c r="AG59" i="7"/>
  <c r="AG60" i="7"/>
  <c r="AC63" i="7"/>
  <c r="AC64" i="7"/>
  <c r="AB64" i="7"/>
  <c r="AH67" i="7"/>
  <c r="AC68" i="7"/>
  <c r="AG68" i="7" s="1"/>
  <c r="AG70" i="7"/>
  <c r="AD71" i="7"/>
  <c r="AG71" i="7"/>
  <c r="AD72" i="7"/>
  <c r="AB73" i="7"/>
  <c r="AC73" i="7"/>
  <c r="AH74" i="7"/>
  <c r="AE74" i="7"/>
  <c r="AH87" i="7"/>
  <c r="AE87" i="7"/>
  <c r="AH95" i="7"/>
  <c r="AE95" i="7"/>
  <c r="AH102" i="7"/>
  <c r="AE102" i="7"/>
  <c r="AC24" i="7"/>
  <c r="AG41" i="7"/>
  <c r="AH42" i="7"/>
  <c r="V8" i="7"/>
  <c r="AB15" i="7"/>
  <c r="AD17" i="7"/>
  <c r="AE18" i="7"/>
  <c r="AD21" i="7"/>
  <c r="AE23" i="7"/>
  <c r="AB26" i="7"/>
  <c r="AH26" i="7" s="1"/>
  <c r="AB27" i="7"/>
  <c r="AB28" i="7"/>
  <c r="AE33" i="7"/>
  <c r="AB35" i="7"/>
  <c r="AH35" i="7" s="1"/>
  <c r="AD37" i="7"/>
  <c r="AE38" i="7"/>
  <c r="AD45" i="7"/>
  <c r="AH56" i="7"/>
  <c r="AH60" i="7"/>
  <c r="AE60" i="7"/>
  <c r="AC61" i="7"/>
  <c r="AE62" i="7"/>
  <c r="AD63" i="7"/>
  <c r="AG63" i="7"/>
  <c r="AG65" i="7"/>
  <c r="AD65" i="7"/>
  <c r="AD67" i="7"/>
  <c r="AG67" i="7"/>
  <c r="AD68" i="7"/>
  <c r="AB69" i="7"/>
  <c r="AC69" i="7"/>
  <c r="AH70" i="7"/>
  <c r="AE70" i="7"/>
  <c r="AE75" i="7"/>
  <c r="AD78" i="7"/>
  <c r="AH79" i="7"/>
  <c r="AC80" i="7"/>
  <c r="AG80" i="7" s="1"/>
  <c r="AD83" i="7"/>
  <c r="AG83" i="7"/>
  <c r="AD91" i="7"/>
  <c r="AG91" i="7"/>
  <c r="AD99" i="7"/>
  <c r="AG99" i="7"/>
  <c r="W8" i="7"/>
  <c r="AB54" i="7"/>
  <c r="AH59" i="7"/>
  <c r="AE59" i="7"/>
  <c r="AH62" i="7"/>
  <c r="AH65" i="7"/>
  <c r="AH66" i="7"/>
  <c r="AE66" i="7"/>
  <c r="AE71" i="7"/>
  <c r="AG72" i="7"/>
  <c r="AD74" i="7"/>
  <c r="AH75" i="7"/>
  <c r="AC76" i="7"/>
  <c r="AG76" i="7" s="1"/>
  <c r="AG78" i="7"/>
  <c r="AD79" i="7"/>
  <c r="AG79" i="7"/>
  <c r="AD80" i="7"/>
  <c r="AH83" i="7"/>
  <c r="AE83" i="7"/>
  <c r="AH91" i="7"/>
  <c r="AE91" i="7"/>
  <c r="AH92" i="7"/>
  <c r="AH99" i="7"/>
  <c r="AE99" i="7"/>
  <c r="AH100" i="7"/>
  <c r="AC81" i="7"/>
  <c r="AD81" i="7" s="1"/>
  <c r="AB84" i="7"/>
  <c r="AE84" i="7" s="1"/>
  <c r="AH85" i="7"/>
  <c r="AB88" i="7"/>
  <c r="AH89" i="7"/>
  <c r="AB92" i="7"/>
  <c r="AE92" i="7" s="1"/>
  <c r="AH93" i="7"/>
  <c r="AB96" i="7"/>
  <c r="AH97" i="7"/>
  <c r="AB100" i="7"/>
  <c r="AE100" i="7" s="1"/>
  <c r="AB103" i="7"/>
  <c r="AE110" i="7"/>
  <c r="AH110" i="7"/>
  <c r="AE111" i="7"/>
  <c r="AH111" i="7"/>
  <c r="AD122" i="7"/>
  <c r="AG122" i="7"/>
  <c r="AD85" i="7"/>
  <c r="AD89" i="7"/>
  <c r="AD93" i="7"/>
  <c r="AD97" i="7"/>
  <c r="AD101" i="7"/>
  <c r="AE104" i="7"/>
  <c r="AC105" i="7"/>
  <c r="AE107" i="7"/>
  <c r="AH107" i="7"/>
  <c r="AG108" i="7"/>
  <c r="AD118" i="7"/>
  <c r="AG118" i="7"/>
  <c r="AE122" i="7"/>
  <c r="AH122" i="7"/>
  <c r="AE123" i="7"/>
  <c r="AH123" i="7"/>
  <c r="AB82" i="7"/>
  <c r="AH82" i="7" s="1"/>
  <c r="AB86" i="7"/>
  <c r="AB90" i="7"/>
  <c r="AH90" i="7" s="1"/>
  <c r="AB94" i="7"/>
  <c r="AH94" i="7" s="1"/>
  <c r="AB98" i="7"/>
  <c r="AH98" i="7" s="1"/>
  <c r="AC109" i="7"/>
  <c r="AB109" i="7"/>
  <c r="AD114" i="7"/>
  <c r="AG114" i="7"/>
  <c r="AE118" i="7"/>
  <c r="AH118" i="7"/>
  <c r="AE119" i="7"/>
  <c r="AH119" i="7"/>
  <c r="AG123" i="7"/>
  <c r="AE135" i="7"/>
  <c r="AH101" i="7"/>
  <c r="AG102" i="7"/>
  <c r="AH103" i="7"/>
  <c r="AC106" i="7"/>
  <c r="AG107" i="7"/>
  <c r="AH108" i="7"/>
  <c r="AD110" i="7"/>
  <c r="AG110" i="7"/>
  <c r="AE114" i="7"/>
  <c r="AH114" i="7"/>
  <c r="AE115" i="7"/>
  <c r="AH115" i="7"/>
  <c r="AG119" i="7"/>
  <c r="AH129" i="7"/>
  <c r="AE129" i="7"/>
  <c r="AD108" i="7"/>
  <c r="AD112" i="7"/>
  <c r="AD116" i="7"/>
  <c r="AD120" i="7"/>
  <c r="AD124" i="7"/>
  <c r="AB126" i="7"/>
  <c r="AE126" i="7" s="1"/>
  <c r="AB127" i="7"/>
  <c r="AH127" i="7" s="1"/>
  <c r="AE127" i="7"/>
  <c r="AD132" i="7"/>
  <c r="AB133" i="7"/>
  <c r="AE133" i="7" s="1"/>
  <c r="AG136" i="7"/>
  <c r="AB139" i="7"/>
  <c r="AB140" i="7"/>
  <c r="AE140" i="7" s="1"/>
  <c r="AD141" i="7"/>
  <c r="AG144" i="7"/>
  <c r="AB147" i="7"/>
  <c r="AB148" i="7"/>
  <c r="AE148" i="7" s="1"/>
  <c r="AD149" i="7"/>
  <c r="AG152" i="7"/>
  <c r="AE161" i="7"/>
  <c r="AH161" i="7"/>
  <c r="AE169" i="7"/>
  <c r="AH169" i="7"/>
  <c r="AD169" i="7"/>
  <c r="AD176" i="7"/>
  <c r="AG176" i="7"/>
  <c r="AD111" i="7"/>
  <c r="AE112" i="7"/>
  <c r="AB113" i="7"/>
  <c r="AH113" i="7" s="1"/>
  <c r="AD115" i="7"/>
  <c r="AE116" i="7"/>
  <c r="AB117" i="7"/>
  <c r="AD119" i="7"/>
  <c r="AE120" i="7"/>
  <c r="AB121" i="7"/>
  <c r="AH121" i="7" s="1"/>
  <c r="AD123" i="7"/>
  <c r="AE124" i="7"/>
  <c r="AB125" i="7"/>
  <c r="AE125" i="7" s="1"/>
  <c r="AH128" i="7"/>
  <c r="AB130" i="7"/>
  <c r="AB131" i="7"/>
  <c r="AE131" i="7"/>
  <c r="AC134" i="7"/>
  <c r="AH136" i="7"/>
  <c r="AH137" i="7"/>
  <c r="AG138" i="7"/>
  <c r="AH138" i="7"/>
  <c r="AH139" i="7"/>
  <c r="AC142" i="7"/>
  <c r="AD142" i="7" s="1"/>
  <c r="AH144" i="7"/>
  <c r="AH145" i="7"/>
  <c r="AG146" i="7"/>
  <c r="AH146" i="7"/>
  <c r="AC150" i="7"/>
  <c r="AD150" i="7" s="1"/>
  <c r="AH152" i="7"/>
  <c r="AH153" i="7"/>
  <c r="AG154" i="7"/>
  <c r="AH154" i="7"/>
  <c r="AH155" i="7"/>
  <c r="AE155" i="7"/>
  <c r="AB158" i="7"/>
  <c r="AH158" i="7" s="1"/>
  <c r="AB166" i="7"/>
  <c r="AH132" i="7"/>
  <c r="AB135" i="7"/>
  <c r="AD137" i="7"/>
  <c r="AB143" i="7"/>
  <c r="AD145" i="7"/>
  <c r="AB151" i="7"/>
  <c r="AD153" i="7"/>
  <c r="AE158" i="7"/>
  <c r="AD160" i="7"/>
  <c r="AG160" i="7"/>
  <c r="AC163" i="7"/>
  <c r="AB163" i="7"/>
  <c r="AE166" i="7"/>
  <c r="AD168" i="7"/>
  <c r="AG168" i="7"/>
  <c r="AC171" i="7"/>
  <c r="AB171" i="7"/>
  <c r="AC174" i="7"/>
  <c r="AG174" i="7" s="1"/>
  <c r="AD129" i="7"/>
  <c r="AH135" i="7"/>
  <c r="AH140" i="7"/>
  <c r="AH148" i="7"/>
  <c r="AH151" i="7"/>
  <c r="AB157" i="7"/>
  <c r="AC157" i="7"/>
  <c r="AD159" i="7"/>
  <c r="AG159" i="7"/>
  <c r="AE160" i="7"/>
  <c r="AH160" i="7"/>
  <c r="AB165" i="7"/>
  <c r="AC165" i="7"/>
  <c r="AD167" i="7"/>
  <c r="AG167" i="7"/>
  <c r="AE168" i="7"/>
  <c r="AH168" i="7"/>
  <c r="AB173" i="7"/>
  <c r="AC173" i="7"/>
  <c r="AD175" i="7"/>
  <c r="AG175" i="7"/>
  <c r="AE175" i="7"/>
  <c r="AE176" i="7"/>
  <c r="AC182" i="7"/>
  <c r="AG182" i="7" s="1"/>
  <c r="AD156" i="7"/>
  <c r="AB162" i="7"/>
  <c r="AD177" i="7"/>
  <c r="AB179" i="7"/>
  <c r="AE179" i="7" s="1"/>
  <c r="AE184" i="7"/>
  <c r="AH185" i="7"/>
  <c r="AC186" i="7"/>
  <c r="AE188" i="7"/>
  <c r="AH189" i="7"/>
  <c r="AC190" i="7"/>
  <c r="AD190" i="7" s="1"/>
  <c r="AE192" i="7"/>
  <c r="AH193" i="7"/>
  <c r="AC194" i="7"/>
  <c r="AE196" i="7"/>
  <c r="AH197" i="7"/>
  <c r="AC198" i="7"/>
  <c r="AE200" i="7"/>
  <c r="AH159" i="7"/>
  <c r="AG161" i="7"/>
  <c r="AH162" i="7"/>
  <c r="AE164" i="7"/>
  <c r="AH167" i="7"/>
  <c r="AG169" i="7"/>
  <c r="AC170" i="7"/>
  <c r="AG170" i="7" s="1"/>
  <c r="AE172" i="7"/>
  <c r="AH175" i="7"/>
  <c r="AH176" i="7"/>
  <c r="AG177" i="7"/>
  <c r="AH177" i="7"/>
  <c r="AC178" i="7"/>
  <c r="AG178" i="7" s="1"/>
  <c r="AE180" i="7"/>
  <c r="AC181" i="7"/>
  <c r="AC183" i="7"/>
  <c r="AB183" i="7"/>
  <c r="AG184" i="7"/>
  <c r="AG185" i="7"/>
  <c r="AD185" i="7"/>
  <c r="AD186" i="7"/>
  <c r="AC187" i="7"/>
  <c r="AB187" i="7"/>
  <c r="AG188" i="7"/>
  <c r="AG189" i="7"/>
  <c r="AD189" i="7"/>
  <c r="AC191" i="7"/>
  <c r="AB191" i="7"/>
  <c r="AG192" i="7"/>
  <c r="AG193" i="7"/>
  <c r="AD193" i="7"/>
  <c r="AC195" i="7"/>
  <c r="AB195" i="7"/>
  <c r="AG196" i="7"/>
  <c r="AG197" i="7"/>
  <c r="AD197" i="7"/>
  <c r="AD198" i="7"/>
  <c r="AC199" i="7"/>
  <c r="AB199" i="7"/>
  <c r="AG200" i="7"/>
  <c r="AH184" i="7"/>
  <c r="AH188" i="7"/>
  <c r="AH192" i="7"/>
  <c r="AH196" i="7"/>
  <c r="AH200" i="7"/>
  <c r="AB55" i="8"/>
  <c r="W29" i="8"/>
  <c r="AC29" i="8" s="1"/>
  <c r="AD184" i="8"/>
  <c r="AD188" i="8"/>
  <c r="O201" i="8"/>
  <c r="W14" i="8"/>
  <c r="W11" i="8"/>
  <c r="AC46" i="8"/>
  <c r="AE46" i="8" s="1"/>
  <c r="AC94" i="8"/>
  <c r="AB99" i="8"/>
  <c r="AB101" i="8"/>
  <c r="AE101" i="8" s="1"/>
  <c r="AC121" i="8"/>
  <c r="AC122" i="8"/>
  <c r="AC127" i="8"/>
  <c r="AB129" i="8"/>
  <c r="AB130" i="8"/>
  <c r="AB145" i="8"/>
  <c r="AD145" i="8" s="1"/>
  <c r="AC146" i="8"/>
  <c r="AE146" i="8" s="1"/>
  <c r="AC148" i="8"/>
  <c r="AC149" i="8"/>
  <c r="AC185" i="8"/>
  <c r="AE185" i="8" s="1"/>
  <c r="AC18" i="8"/>
  <c r="AB40" i="8"/>
  <c r="AC26" i="8"/>
  <c r="AC131" i="8"/>
  <c r="AC133" i="8"/>
  <c r="AD133" i="8" s="1"/>
  <c r="AB134" i="8"/>
  <c r="AD134" i="8" s="1"/>
  <c r="AC152" i="8"/>
  <c r="AC153" i="8"/>
  <c r="AB155" i="8"/>
  <c r="AB159" i="8"/>
  <c r="AC169" i="8"/>
  <c r="AE169" i="8" s="1"/>
  <c r="AB173" i="8"/>
  <c r="AB176" i="8"/>
  <c r="AC189" i="8"/>
  <c r="AC192" i="8"/>
  <c r="AB197" i="8"/>
  <c r="AE197" i="8" s="1"/>
  <c r="AB198" i="8"/>
  <c r="AB199" i="8"/>
  <c r="AB13" i="8"/>
  <c r="V11" i="8"/>
  <c r="AB23" i="8"/>
  <c r="AB24" i="8"/>
  <c r="AB25" i="8"/>
  <c r="AB32" i="8"/>
  <c r="AB43" i="8"/>
  <c r="AB44" i="8"/>
  <c r="AC50" i="8"/>
  <c r="AB58" i="8"/>
  <c r="AE58" i="8" s="1"/>
  <c r="AC64" i="8"/>
  <c r="AH64" i="8" s="1"/>
  <c r="AB70" i="8"/>
  <c r="AC78" i="8"/>
  <c r="AC81" i="8"/>
  <c r="AE81" i="8" s="1"/>
  <c r="AC83" i="8"/>
  <c r="AC84" i="8"/>
  <c r="AC85" i="8"/>
  <c r="AC86" i="8"/>
  <c r="AB91" i="8"/>
  <c r="AB93" i="8"/>
  <c r="AE93" i="8" s="1"/>
  <c r="AC102" i="8"/>
  <c r="AB107" i="8"/>
  <c r="AB109" i="8"/>
  <c r="AE109" i="8" s="1"/>
  <c r="AC114" i="8"/>
  <c r="AH114" i="8" s="1"/>
  <c r="AC115" i="8"/>
  <c r="AC117" i="8"/>
  <c r="AB141" i="8"/>
  <c r="AD141" i="8" s="1"/>
  <c r="AB164" i="8"/>
  <c r="AD164" i="8" s="1"/>
  <c r="AC172" i="8"/>
  <c r="AC193" i="8"/>
  <c r="AE193" i="8" s="1"/>
  <c r="AH81" i="8"/>
  <c r="AC33" i="8"/>
  <c r="AE33" i="8" s="1"/>
  <c r="AB36" i="8"/>
  <c r="AB38" i="8"/>
  <c r="AE73" i="8"/>
  <c r="AH73" i="8"/>
  <c r="AC80" i="8"/>
  <c r="AE164" i="8"/>
  <c r="AC41" i="8"/>
  <c r="AE77" i="8"/>
  <c r="AB17" i="8"/>
  <c r="AC35" i="8"/>
  <c r="AC37" i="8"/>
  <c r="AB39" i="8"/>
  <c r="AC53" i="8"/>
  <c r="AB29" i="8"/>
  <c r="AB50" i="8"/>
  <c r="AB54" i="8"/>
  <c r="AB62" i="8"/>
  <c r="AB11" i="8"/>
  <c r="V14" i="8"/>
  <c r="AC19" i="8"/>
  <c r="AB20" i="8"/>
  <c r="AB45" i="8"/>
  <c r="AD45" i="8" s="1"/>
  <c r="AB63" i="8"/>
  <c r="AC110" i="8"/>
  <c r="AH110" i="8" s="1"/>
  <c r="AB117" i="8"/>
  <c r="AE117" i="8" s="1"/>
  <c r="AD192" i="8"/>
  <c r="V56" i="8"/>
  <c r="AC55" i="8"/>
  <c r="AE55" i="8" s="1"/>
  <c r="AC79" i="8"/>
  <c r="AB69" i="8"/>
  <c r="AC12" i="8"/>
  <c r="AC13" i="8"/>
  <c r="V10" i="8"/>
  <c r="AB21" i="8"/>
  <c r="AG21" i="8" s="1"/>
  <c r="AC23" i="8"/>
  <c r="AH23" i="8" s="1"/>
  <c r="AC24" i="8"/>
  <c r="AC51" i="8"/>
  <c r="V42" i="8"/>
  <c r="AC60" i="8"/>
  <c r="AC65" i="8"/>
  <c r="AB65" i="8"/>
  <c r="AC70" i="8"/>
  <c r="AE70" i="8" s="1"/>
  <c r="V30" i="8"/>
  <c r="AB30" i="8" s="1"/>
  <c r="AB78" i="8"/>
  <c r="AE78" i="8" s="1"/>
  <c r="AB82" i="8"/>
  <c r="AB85" i="8"/>
  <c r="AC89" i="8"/>
  <c r="AE89" i="8" s="1"/>
  <c r="AD93" i="8"/>
  <c r="AC97" i="8"/>
  <c r="AE97" i="8" s="1"/>
  <c r="AD101" i="8"/>
  <c r="AC105" i="8"/>
  <c r="AE105" i="8" s="1"/>
  <c r="AD109" i="8"/>
  <c r="AD113" i="8"/>
  <c r="AG113" i="8"/>
  <c r="AB126" i="8"/>
  <c r="AC126" i="8"/>
  <c r="AB138" i="8"/>
  <c r="AE50" i="8"/>
  <c r="AD130" i="8"/>
  <c r="AG130" i="8"/>
  <c r="AB142" i="8"/>
  <c r="AC142" i="8"/>
  <c r="AE176" i="8"/>
  <c r="AH176" i="8"/>
  <c r="AB122" i="8"/>
  <c r="AE133" i="8"/>
  <c r="AB136" i="8"/>
  <c r="AB139" i="8"/>
  <c r="AB140" i="8"/>
  <c r="AB156" i="8"/>
  <c r="AE172" i="8"/>
  <c r="AB163" i="8"/>
  <c r="AE168" i="8"/>
  <c r="AH172" i="8"/>
  <c r="AC174" i="8"/>
  <c r="AC175" i="8"/>
  <c r="AB180" i="8"/>
  <c r="AE180" i="8" s="1"/>
  <c r="AB196" i="8"/>
  <c r="AD196" i="8" s="1"/>
  <c r="AE200" i="8"/>
  <c r="AC91" i="8"/>
  <c r="AC99" i="8"/>
  <c r="AC103" i="8"/>
  <c r="AC107" i="8"/>
  <c r="AC123" i="8"/>
  <c r="AC124" i="8"/>
  <c r="AC125" i="8"/>
  <c r="AB135" i="8"/>
  <c r="AD135" i="8" s="1"/>
  <c r="AC150" i="8"/>
  <c r="AB151" i="8"/>
  <c r="AE151" i="8" s="1"/>
  <c r="AC157" i="8"/>
  <c r="AC158" i="8"/>
  <c r="AC159" i="8"/>
  <c r="AG159" i="8" s="1"/>
  <c r="AC160" i="8"/>
  <c r="AB161" i="8"/>
  <c r="AH161" i="8" s="1"/>
  <c r="AC170" i="8"/>
  <c r="AC171" i="8"/>
  <c r="AB181" i="8"/>
  <c r="AB182" i="8"/>
  <c r="AC87" i="8"/>
  <c r="AC95" i="8"/>
  <c r="W8" i="8"/>
  <c r="AC15" i="8"/>
  <c r="AB16" i="8"/>
  <c r="AB18" i="8"/>
  <c r="W10" i="8"/>
  <c r="AC10" i="8" s="1"/>
  <c r="AC25" i="8"/>
  <c r="AC27" i="8"/>
  <c r="AC32" i="8"/>
  <c r="AE32" i="8" s="1"/>
  <c r="AB26" i="8"/>
  <c r="AB47" i="8"/>
  <c r="AE47" i="8" s="1"/>
  <c r="AC57" i="8"/>
  <c r="AB59" i="8"/>
  <c r="AB60" i="8"/>
  <c r="AG60" i="8" s="1"/>
  <c r="AC34" i="8"/>
  <c r="AG34" i="8" s="1"/>
  <c r="AC68" i="8"/>
  <c r="AC71" i="8"/>
  <c r="AC72" i="8"/>
  <c r="AC75" i="8"/>
  <c r="AC76" i="8"/>
  <c r="AB86" i="8"/>
  <c r="AE86" i="8" s="1"/>
  <c r="AB90" i="8"/>
  <c r="AE90" i="8" s="1"/>
  <c r="AB94" i="8"/>
  <c r="AH94" i="8" s="1"/>
  <c r="AB98" i="8"/>
  <c r="AE98" i="8" s="1"/>
  <c r="AB102" i="8"/>
  <c r="AE102" i="8" s="1"/>
  <c r="AB106" i="8"/>
  <c r="AH106" i="8" s="1"/>
  <c r="AC111" i="8"/>
  <c r="AB115" i="8"/>
  <c r="AB127" i="8"/>
  <c r="AB128" i="8"/>
  <c r="AB131" i="8"/>
  <c r="AB132" i="8"/>
  <c r="AB152" i="8"/>
  <c r="AB154" i="8"/>
  <c r="AB177" i="8"/>
  <c r="AB189" i="8"/>
  <c r="AE189" i="8" s="1"/>
  <c r="AB194" i="8"/>
  <c r="AB9" i="15"/>
  <c r="AB12" i="15"/>
  <c r="W201" i="15"/>
  <c r="AC8" i="15"/>
  <c r="AH15" i="15"/>
  <c r="AE15" i="15"/>
  <c r="AD19" i="15"/>
  <c r="AG21" i="15"/>
  <c r="AD21" i="15"/>
  <c r="AD25" i="15"/>
  <c r="AE31" i="15"/>
  <c r="AH31" i="15"/>
  <c r="AE32" i="15"/>
  <c r="AH32" i="15"/>
  <c r="AD36" i="15"/>
  <c r="AG36" i="15"/>
  <c r="AG41" i="15"/>
  <c r="AD41" i="15"/>
  <c r="AH43" i="15"/>
  <c r="AE43" i="15"/>
  <c r="AD47" i="15"/>
  <c r="AG49" i="15"/>
  <c r="AD49" i="15"/>
  <c r="AG59" i="15"/>
  <c r="AD59" i="15"/>
  <c r="AG66" i="15"/>
  <c r="AD66" i="15"/>
  <c r="AG68" i="15"/>
  <c r="AD68" i="15"/>
  <c r="AC10" i="15"/>
  <c r="AC12" i="15"/>
  <c r="AH13" i="15"/>
  <c r="AE13" i="15"/>
  <c r="AD16" i="15"/>
  <c r="AG16" i="15"/>
  <c r="AE21" i="15"/>
  <c r="AH21" i="15"/>
  <c r="AH27" i="15"/>
  <c r="AE27" i="15"/>
  <c r="AG32" i="15"/>
  <c r="AD32" i="15"/>
  <c r="AD35" i="15"/>
  <c r="AG37" i="15"/>
  <c r="AD37" i="15"/>
  <c r="AE41" i="15"/>
  <c r="AH41" i="15"/>
  <c r="AD44" i="15"/>
  <c r="AG44" i="15"/>
  <c r="AC53" i="15"/>
  <c r="AE48" i="15"/>
  <c r="AE49" i="15"/>
  <c r="AH49" i="15"/>
  <c r="AH52" i="15"/>
  <c r="AE52" i="15"/>
  <c r="AE59" i="15"/>
  <c r="AH59" i="15"/>
  <c r="AE60" i="15"/>
  <c r="AH60" i="15"/>
  <c r="AE66" i="15"/>
  <c r="AH66" i="15"/>
  <c r="AE9" i="15"/>
  <c r="AH9" i="15"/>
  <c r="AG17" i="15"/>
  <c r="AD17" i="15"/>
  <c r="AH19" i="15"/>
  <c r="AE19" i="15"/>
  <c r="AH25" i="15"/>
  <c r="AE25" i="15"/>
  <c r="AH35" i="15"/>
  <c r="AE35" i="15"/>
  <c r="AE37" i="15"/>
  <c r="AH37" i="15"/>
  <c r="AG45" i="15"/>
  <c r="AD45" i="15"/>
  <c r="AH47" i="15"/>
  <c r="AE47" i="15"/>
  <c r="AH56" i="15"/>
  <c r="AE56" i="15"/>
  <c r="AG56" i="15"/>
  <c r="AD56" i="15"/>
  <c r="AG60" i="15"/>
  <c r="AD60" i="15"/>
  <c r="AB61" i="15"/>
  <c r="AH64" i="15"/>
  <c r="AE64" i="15"/>
  <c r="AD13" i="15"/>
  <c r="AC11" i="15"/>
  <c r="AE16" i="15"/>
  <c r="AE17" i="15"/>
  <c r="AH17" i="15"/>
  <c r="AD20" i="15"/>
  <c r="AG20" i="15"/>
  <c r="AH26" i="15"/>
  <c r="AE26" i="15"/>
  <c r="AH28" i="15"/>
  <c r="AE28" i="15"/>
  <c r="AG31" i="15"/>
  <c r="AD31" i="15"/>
  <c r="AD40" i="15"/>
  <c r="AG40" i="15"/>
  <c r="AE44" i="15"/>
  <c r="AE45" i="15"/>
  <c r="AH45" i="15"/>
  <c r="AD48" i="15"/>
  <c r="AG48" i="15"/>
  <c r="AC57" i="15"/>
  <c r="AD57" i="15" s="1"/>
  <c r="AG52" i="15"/>
  <c r="AD52" i="15"/>
  <c r="AB55" i="15"/>
  <c r="AH55" i="15" s="1"/>
  <c r="AD58" i="15"/>
  <c r="AG58" i="15"/>
  <c r="AD65" i="15"/>
  <c r="AG65" i="15"/>
  <c r="P201" i="15"/>
  <c r="AC22" i="15"/>
  <c r="AB30" i="15"/>
  <c r="AE30" i="15" s="1"/>
  <c r="AE34" i="15"/>
  <c r="AE39" i="15"/>
  <c r="AC61" i="15"/>
  <c r="AG71" i="15"/>
  <c r="AB73" i="15"/>
  <c r="AG84" i="15"/>
  <c r="AD84" i="15"/>
  <c r="AG89" i="15"/>
  <c r="AD89" i="15"/>
  <c r="AH93" i="15"/>
  <c r="AE93" i="15"/>
  <c r="V201" i="15"/>
  <c r="AG13" i="15"/>
  <c r="AG15" i="15"/>
  <c r="AH16" i="15"/>
  <c r="AG19" i="15"/>
  <c r="AH20" i="15"/>
  <c r="AG25" i="15"/>
  <c r="AG26" i="15"/>
  <c r="AG27" i="15"/>
  <c r="AG28" i="15"/>
  <c r="AG34" i="15"/>
  <c r="AG35" i="15"/>
  <c r="AH36" i="15"/>
  <c r="AG39" i="15"/>
  <c r="AH40" i="15"/>
  <c r="AG43" i="15"/>
  <c r="AH44" i="15"/>
  <c r="AG47" i="15"/>
  <c r="AH48" i="15"/>
  <c r="AH58" i="15"/>
  <c r="AG64" i="15"/>
  <c r="AH65" i="15"/>
  <c r="AE68" i="15"/>
  <c r="AH73" i="15"/>
  <c r="AG80" i="15"/>
  <c r="AD80" i="15"/>
  <c r="AG85" i="15"/>
  <c r="AD85" i="15"/>
  <c r="AH89" i="15"/>
  <c r="AE89" i="15"/>
  <c r="AG96" i="15"/>
  <c r="AD96" i="15"/>
  <c r="AB18" i="15"/>
  <c r="AH18" i="15" s="1"/>
  <c r="AB23" i="15"/>
  <c r="AE23" i="15" s="1"/>
  <c r="AB24" i="15"/>
  <c r="AB33" i="15"/>
  <c r="AB38" i="15"/>
  <c r="AH38" i="15" s="1"/>
  <c r="AB42" i="15"/>
  <c r="AH42" i="15" s="1"/>
  <c r="AB46" i="15"/>
  <c r="AE46" i="15" s="1"/>
  <c r="AB50" i="15"/>
  <c r="AB51" i="15"/>
  <c r="AH51" i="15" s="1"/>
  <c r="AB62" i="15"/>
  <c r="AB63" i="15"/>
  <c r="AH63" i="15" s="1"/>
  <c r="AB67" i="15"/>
  <c r="AB69" i="15"/>
  <c r="AB70" i="15"/>
  <c r="AH70" i="15" s="1"/>
  <c r="AD71" i="15"/>
  <c r="AE75" i="15"/>
  <c r="AH76" i="15"/>
  <c r="AC77" i="15"/>
  <c r="AD77" i="15" s="1"/>
  <c r="AG81" i="15"/>
  <c r="AD81" i="15"/>
  <c r="AE84" i="15"/>
  <c r="AH85" i="15"/>
  <c r="AE85" i="15"/>
  <c r="AG92" i="15"/>
  <c r="AD92" i="15"/>
  <c r="AG97" i="15"/>
  <c r="AD97" i="15"/>
  <c r="AH68" i="15"/>
  <c r="AH69" i="15"/>
  <c r="AC72" i="15"/>
  <c r="AD72" i="15" s="1"/>
  <c r="AE73" i="15"/>
  <c r="AC74" i="15"/>
  <c r="AB74" i="15"/>
  <c r="AG75" i="15"/>
  <c r="AG76" i="15"/>
  <c r="AD76" i="15"/>
  <c r="AC78" i="15"/>
  <c r="AB78" i="15"/>
  <c r="AE80" i="15"/>
  <c r="AH81" i="15"/>
  <c r="AE81" i="15"/>
  <c r="AG88" i="15"/>
  <c r="AD88" i="15"/>
  <c r="AG93" i="15"/>
  <c r="AD93" i="15"/>
  <c r="AE96" i="15"/>
  <c r="AH97" i="15"/>
  <c r="AE97" i="15"/>
  <c r="AG79" i="15"/>
  <c r="AH80" i="15"/>
  <c r="AG83" i="15"/>
  <c r="AH84" i="15"/>
  <c r="AG87" i="15"/>
  <c r="AH88" i="15"/>
  <c r="AG91" i="15"/>
  <c r="AH92" i="15"/>
  <c r="AG95" i="15"/>
  <c r="AH96" i="15"/>
  <c r="AE122" i="15"/>
  <c r="AH122" i="15"/>
  <c r="AG123" i="15"/>
  <c r="AD123" i="15"/>
  <c r="AD125" i="15"/>
  <c r="AG125" i="15"/>
  <c r="AH128" i="15"/>
  <c r="AE128" i="15"/>
  <c r="AE137" i="15"/>
  <c r="AH137" i="15"/>
  <c r="AE145" i="15"/>
  <c r="AH145" i="15"/>
  <c r="AH75" i="15"/>
  <c r="AH79" i="15"/>
  <c r="AB82" i="15"/>
  <c r="AE82" i="15" s="1"/>
  <c r="AH83" i="15"/>
  <c r="AB86" i="15"/>
  <c r="AH87" i="15"/>
  <c r="AB90" i="15"/>
  <c r="AH91" i="15"/>
  <c r="AB94" i="15"/>
  <c r="AH95" i="15"/>
  <c r="AB98" i="15"/>
  <c r="AH98" i="15" s="1"/>
  <c r="AC99" i="15"/>
  <c r="AE100" i="15"/>
  <c r="AE101" i="15"/>
  <c r="AH104" i="15"/>
  <c r="AE104" i="15"/>
  <c r="AH108" i="15"/>
  <c r="AE108" i="15"/>
  <c r="AH112" i="15"/>
  <c r="AE112" i="15"/>
  <c r="AC114" i="15"/>
  <c r="AB114" i="15"/>
  <c r="AH117" i="15"/>
  <c r="AC118" i="15"/>
  <c r="AG118" i="15" s="1"/>
  <c r="AG119" i="15"/>
  <c r="AD119" i="15"/>
  <c r="AG120" i="15"/>
  <c r="AD121" i="15"/>
  <c r="AG121" i="15"/>
  <c r="AD122" i="15"/>
  <c r="AH123" i="15"/>
  <c r="AH124" i="15"/>
  <c r="AE124" i="15"/>
  <c r="AE132" i="15"/>
  <c r="AH132" i="15"/>
  <c r="AC135" i="15"/>
  <c r="AB135" i="15"/>
  <c r="AD139" i="15"/>
  <c r="AG139" i="15"/>
  <c r="AC143" i="15"/>
  <c r="AB143" i="15"/>
  <c r="AD147" i="15"/>
  <c r="AG147" i="15"/>
  <c r="AD99" i="15"/>
  <c r="AG100" i="15"/>
  <c r="AG101" i="15"/>
  <c r="AB103" i="15"/>
  <c r="AD104" i="15"/>
  <c r="AC106" i="15"/>
  <c r="AB106" i="15"/>
  <c r="AD108" i="15"/>
  <c r="AC110" i="15"/>
  <c r="AB110" i="15"/>
  <c r="AD112" i="15"/>
  <c r="AH113" i="15"/>
  <c r="AB115" i="15"/>
  <c r="AH115" i="15" s="1"/>
  <c r="AG116" i="15"/>
  <c r="AD117" i="15"/>
  <c r="AG117" i="15"/>
  <c r="AD118" i="15"/>
  <c r="AH119" i="15"/>
  <c r="AH120" i="15"/>
  <c r="AE120" i="15"/>
  <c r="AE123" i="15"/>
  <c r="AE125" i="15"/>
  <c r="AG126" i="15"/>
  <c r="AD128" i="15"/>
  <c r="AH129" i="15"/>
  <c r="AC130" i="15"/>
  <c r="AD132" i="15"/>
  <c r="AD136" i="15"/>
  <c r="AG136" i="15"/>
  <c r="AD144" i="15"/>
  <c r="AG144" i="15"/>
  <c r="AH100" i="15"/>
  <c r="AH101" i="15"/>
  <c r="AG102" i="15"/>
  <c r="AH102" i="15"/>
  <c r="AH103" i="15"/>
  <c r="AG104" i="15"/>
  <c r="AB107" i="15"/>
  <c r="AG108" i="15"/>
  <c r="AB111" i="15"/>
  <c r="AE111" i="15" s="1"/>
  <c r="AG112" i="15"/>
  <c r="AD113" i="15"/>
  <c r="AG113" i="15"/>
  <c r="AH116" i="15"/>
  <c r="AE116" i="15"/>
  <c r="AE119" i="15"/>
  <c r="AE121" i="15"/>
  <c r="AG122" i="15"/>
  <c r="AD124" i="15"/>
  <c r="AH125" i="15"/>
  <c r="AE126" i="15"/>
  <c r="AH126" i="15"/>
  <c r="AB127" i="15"/>
  <c r="AG128" i="15"/>
  <c r="AD129" i="15"/>
  <c r="AG129" i="15"/>
  <c r="AD130" i="15"/>
  <c r="AB131" i="15"/>
  <c r="AC131" i="15"/>
  <c r="AE136" i="15"/>
  <c r="AG137" i="15"/>
  <c r="AD137" i="15"/>
  <c r="AE144" i="15"/>
  <c r="AG145" i="15"/>
  <c r="AD145" i="15"/>
  <c r="AC133" i="15"/>
  <c r="AH139" i="15"/>
  <c r="AE139" i="15"/>
  <c r="AB140" i="15"/>
  <c r="AE140" i="15" s="1"/>
  <c r="AC141" i="15"/>
  <c r="AG141" i="15" s="1"/>
  <c r="AH147" i="15"/>
  <c r="AE147" i="15"/>
  <c r="AB148" i="15"/>
  <c r="AE148" i="15" s="1"/>
  <c r="AC149" i="15"/>
  <c r="AB151" i="15"/>
  <c r="AE152" i="15"/>
  <c r="AG153" i="15"/>
  <c r="AD155" i="15"/>
  <c r="AB165" i="15"/>
  <c r="AC165" i="15"/>
  <c r="AG105" i="15"/>
  <c r="AG109" i="15"/>
  <c r="AB138" i="15"/>
  <c r="AB146" i="15"/>
  <c r="AH146" i="15" s="1"/>
  <c r="AE153" i="15"/>
  <c r="AH153" i="15"/>
  <c r="AB154" i="15"/>
  <c r="AD156" i="15"/>
  <c r="AG156" i="15"/>
  <c r="AE156" i="15"/>
  <c r="AH158" i="15"/>
  <c r="AE158" i="15"/>
  <c r="AE161" i="15"/>
  <c r="AH161" i="15"/>
  <c r="AH151" i="15"/>
  <c r="AE151" i="15"/>
  <c r="AD152" i="15"/>
  <c r="AG152" i="15"/>
  <c r="AH154" i="15"/>
  <c r="AC157" i="15"/>
  <c r="AB157" i="15"/>
  <c r="AB160" i="15"/>
  <c r="AC160" i="15"/>
  <c r="AC163" i="15"/>
  <c r="AB163" i="15"/>
  <c r="AG132" i="15"/>
  <c r="AG134" i="15"/>
  <c r="AD134" i="15"/>
  <c r="AG142" i="15"/>
  <c r="AD142" i="15"/>
  <c r="AG150" i="15"/>
  <c r="AD150" i="15"/>
  <c r="AE154" i="15"/>
  <c r="AH156" i="15"/>
  <c r="AD161" i="15"/>
  <c r="AG161" i="15"/>
  <c r="AH155" i="15"/>
  <c r="AG158" i="15"/>
  <c r="AC159" i="15"/>
  <c r="AD159" i="15" s="1"/>
  <c r="AB162" i="15"/>
  <c r="AE162" i="15" s="1"/>
  <c r="AB166" i="15"/>
  <c r="AE166" i="15" s="1"/>
  <c r="AB167" i="15"/>
  <c r="AE167" i="15" s="1"/>
  <c r="AD168" i="15"/>
  <c r="AB174" i="15"/>
  <c r="AB175" i="15"/>
  <c r="AE175" i="15" s="1"/>
  <c r="AD176" i="15"/>
  <c r="AB182" i="15"/>
  <c r="AB183" i="15"/>
  <c r="AE183" i="15" s="1"/>
  <c r="AD184" i="15"/>
  <c r="AG187" i="15"/>
  <c r="AD189" i="15"/>
  <c r="AE193" i="15"/>
  <c r="AG197" i="15"/>
  <c r="AD197" i="15"/>
  <c r="AC169" i="15"/>
  <c r="AG169" i="15" s="1"/>
  <c r="AH172" i="15"/>
  <c r="AG173" i="15"/>
  <c r="AH173" i="15"/>
  <c r="AH174" i="15"/>
  <c r="AC177" i="15"/>
  <c r="AH180" i="15"/>
  <c r="AG181" i="15"/>
  <c r="AH181" i="15"/>
  <c r="AH182" i="15"/>
  <c r="AC185" i="15"/>
  <c r="AG185" i="15" s="1"/>
  <c r="AH187" i="15"/>
  <c r="AH188" i="15"/>
  <c r="AG189" i="15"/>
  <c r="AH189" i="15"/>
  <c r="AC190" i="15"/>
  <c r="AE192" i="15"/>
  <c r="AH193" i="15"/>
  <c r="AC194" i="15"/>
  <c r="AG198" i="15"/>
  <c r="AD198" i="15"/>
  <c r="AE155" i="15"/>
  <c r="AD158" i="15"/>
  <c r="AD164" i="15"/>
  <c r="AG168" i="15"/>
  <c r="AD169" i="15"/>
  <c r="AB170" i="15"/>
  <c r="AH170" i="15" s="1"/>
  <c r="AB171" i="15"/>
  <c r="AD172" i="15"/>
  <c r="AD177" i="15"/>
  <c r="AB178" i="15"/>
  <c r="AB179" i="15"/>
  <c r="AD180" i="15"/>
  <c r="AB186" i="15"/>
  <c r="AD188" i="15"/>
  <c r="AC191" i="15"/>
  <c r="AB191" i="15"/>
  <c r="AG193" i="15"/>
  <c r="AD193" i="15"/>
  <c r="AC195" i="15"/>
  <c r="AB195" i="15"/>
  <c r="AE197" i="15"/>
  <c r="AH198" i="15"/>
  <c r="AE198" i="15"/>
  <c r="AH199" i="15"/>
  <c r="AE199" i="15"/>
  <c r="AG196" i="15"/>
  <c r="AH197" i="15"/>
  <c r="AG200" i="15"/>
  <c r="AH192" i="15"/>
  <c r="AH196" i="15"/>
  <c r="AB199" i="15"/>
  <c r="AH200" i="15"/>
  <c r="AE12" i="14"/>
  <c r="AH12" i="14"/>
  <c r="AC14" i="14"/>
  <c r="AD14" i="14" s="1"/>
  <c r="AC10" i="14"/>
  <c r="AE27" i="14"/>
  <c r="AH27" i="14"/>
  <c r="AG28" i="14"/>
  <c r="AD28" i="14"/>
  <c r="AE34" i="14"/>
  <c r="AH34" i="14"/>
  <c r="AE35" i="14"/>
  <c r="AH35" i="14"/>
  <c r="AE39" i="14"/>
  <c r="AH39" i="14"/>
  <c r="AG47" i="14"/>
  <c r="AD47" i="14"/>
  <c r="AE51" i="14"/>
  <c r="AH51" i="14"/>
  <c r="AD52" i="14"/>
  <c r="AG52" i="14"/>
  <c r="AD56" i="14"/>
  <c r="AG56" i="14"/>
  <c r="AC57" i="14"/>
  <c r="AD57" i="14" s="1"/>
  <c r="AG13" i="14"/>
  <c r="AD13" i="14"/>
  <c r="AG15" i="14"/>
  <c r="AD15" i="14"/>
  <c r="AG19" i="14"/>
  <c r="AD19" i="14"/>
  <c r="AD24" i="14"/>
  <c r="AG24" i="14"/>
  <c r="AE28" i="14"/>
  <c r="AH28" i="14"/>
  <c r="AH36" i="14"/>
  <c r="AE36" i="14"/>
  <c r="AG43" i="14"/>
  <c r="AD43" i="14"/>
  <c r="AE47" i="14"/>
  <c r="AH47" i="14"/>
  <c r="AH48" i="14"/>
  <c r="AE48" i="14"/>
  <c r="AC41" i="14"/>
  <c r="AB41" i="14"/>
  <c r="AE52" i="14"/>
  <c r="AH52" i="14"/>
  <c r="AC53" i="14"/>
  <c r="AG53" i="14" s="1"/>
  <c r="AE56" i="14"/>
  <c r="AH56" i="14"/>
  <c r="AC9" i="14"/>
  <c r="AE13" i="14"/>
  <c r="AH13" i="14"/>
  <c r="AH15" i="14"/>
  <c r="AE15" i="14"/>
  <c r="AH16" i="14"/>
  <c r="AE16" i="14"/>
  <c r="AE19" i="14"/>
  <c r="AH19" i="14"/>
  <c r="AH20" i="14"/>
  <c r="AE20" i="14"/>
  <c r="AE24" i="14"/>
  <c r="AH24" i="14"/>
  <c r="AG25" i="14"/>
  <c r="AD25" i="14"/>
  <c r="AG26" i="14"/>
  <c r="AD26" i="14"/>
  <c r="AH29" i="14"/>
  <c r="AE29" i="14"/>
  <c r="AG36" i="14"/>
  <c r="AE43" i="14"/>
  <c r="AH43" i="14"/>
  <c r="AH44" i="14"/>
  <c r="AE44" i="14"/>
  <c r="AG48" i="14"/>
  <c r="AG40" i="14"/>
  <c r="AD40" i="14"/>
  <c r="AC54" i="14"/>
  <c r="AD54" i="14" s="1"/>
  <c r="AD12" i="14"/>
  <c r="AG12" i="14"/>
  <c r="AG16" i="14"/>
  <c r="AG20" i="14"/>
  <c r="AH25" i="14"/>
  <c r="AE25" i="14"/>
  <c r="AE26" i="14"/>
  <c r="AH26" i="14"/>
  <c r="AG27" i="14"/>
  <c r="AD27" i="14"/>
  <c r="AG29" i="14"/>
  <c r="AH30" i="14"/>
  <c r="AE30" i="14"/>
  <c r="AG34" i="14"/>
  <c r="AD34" i="14"/>
  <c r="AG35" i="14"/>
  <c r="AD35" i="14"/>
  <c r="AG39" i="14"/>
  <c r="AD39" i="14"/>
  <c r="AH40" i="14"/>
  <c r="AE40" i="14"/>
  <c r="AC17" i="14"/>
  <c r="AB17" i="14"/>
  <c r="AG44" i="14"/>
  <c r="AC55" i="14"/>
  <c r="AG55" i="14" s="1"/>
  <c r="AG57" i="14"/>
  <c r="AD51" i="14"/>
  <c r="AG51" i="14"/>
  <c r="AE58" i="14"/>
  <c r="AH58" i="14"/>
  <c r="AC22" i="14"/>
  <c r="W8" i="14"/>
  <c r="AD16" i="14"/>
  <c r="AB18" i="14"/>
  <c r="AH18" i="14" s="1"/>
  <c r="AD20" i="14"/>
  <c r="AE21" i="14"/>
  <c r="AB23" i="14"/>
  <c r="AH23" i="14" s="1"/>
  <c r="AD29" i="14"/>
  <c r="AD30" i="14"/>
  <c r="AE31" i="14"/>
  <c r="AB33" i="14"/>
  <c r="AH33" i="14" s="1"/>
  <c r="AD36" i="14"/>
  <c r="AE37" i="14"/>
  <c r="AB38" i="14"/>
  <c r="AB42" i="14"/>
  <c r="AH42" i="14" s="1"/>
  <c r="AD44" i="14"/>
  <c r="AE45" i="14"/>
  <c r="AB46" i="14"/>
  <c r="AD48" i="14"/>
  <c r="AE49" i="14"/>
  <c r="AB50" i="14"/>
  <c r="AD58" i="14"/>
  <c r="AC59" i="14"/>
  <c r="AD59" i="14" s="1"/>
  <c r="AE66" i="14"/>
  <c r="AH67" i="14"/>
  <c r="AE67" i="14"/>
  <c r="AH68" i="14"/>
  <c r="AE68" i="14"/>
  <c r="AG71" i="14"/>
  <c r="AD71" i="14"/>
  <c r="AD72" i="14"/>
  <c r="AG72" i="14"/>
  <c r="AG74" i="14"/>
  <c r="AD74" i="14"/>
  <c r="AE82" i="14"/>
  <c r="AH84" i="14"/>
  <c r="AE84" i="14"/>
  <c r="AE85" i="14"/>
  <c r="AH85" i="14"/>
  <c r="AD88" i="14"/>
  <c r="AG88" i="14"/>
  <c r="AD89" i="14"/>
  <c r="AG89" i="14"/>
  <c r="AG90" i="14"/>
  <c r="AD90" i="14"/>
  <c r="AG21" i="14"/>
  <c r="AG31" i="14"/>
  <c r="AB32" i="14"/>
  <c r="AG37" i="14"/>
  <c r="AG45" i="14"/>
  <c r="AG49" i="14"/>
  <c r="AC60" i="14"/>
  <c r="AB61" i="14"/>
  <c r="AC63" i="14"/>
  <c r="AB63" i="14"/>
  <c r="AH71" i="14"/>
  <c r="AE71" i="14"/>
  <c r="AH72" i="14"/>
  <c r="AE72" i="14"/>
  <c r="AG75" i="14"/>
  <c r="AD75" i="14"/>
  <c r="AD76" i="14"/>
  <c r="AG76" i="14"/>
  <c r="AG78" i="14"/>
  <c r="AD78" i="14"/>
  <c r="AH88" i="14"/>
  <c r="AE88" i="14"/>
  <c r="AE89" i="14"/>
  <c r="AH89" i="14"/>
  <c r="AD92" i="14"/>
  <c r="AG92" i="14"/>
  <c r="AD93" i="14"/>
  <c r="AG93" i="14"/>
  <c r="AG94" i="14"/>
  <c r="AD94" i="14"/>
  <c r="AG60" i="14"/>
  <c r="AD60" i="14"/>
  <c r="AD64" i="14"/>
  <c r="AG64" i="14"/>
  <c r="AG66" i="14"/>
  <c r="AD66" i="14"/>
  <c r="AH75" i="14"/>
  <c r="AE75" i="14"/>
  <c r="AH76" i="14"/>
  <c r="AE76" i="14"/>
  <c r="AG79" i="14"/>
  <c r="AD79" i="14"/>
  <c r="AD80" i="14"/>
  <c r="AG80" i="14"/>
  <c r="AG82" i="14"/>
  <c r="AD82" i="14"/>
  <c r="AH92" i="14"/>
  <c r="AE92" i="14"/>
  <c r="AE93" i="14"/>
  <c r="AH93" i="14"/>
  <c r="AD96" i="14"/>
  <c r="AG96" i="14"/>
  <c r="AH106" i="14"/>
  <c r="AE106" i="14"/>
  <c r="AH108" i="14"/>
  <c r="AE108" i="14"/>
  <c r="V8" i="14"/>
  <c r="AC61" i="14"/>
  <c r="AC62" i="14"/>
  <c r="AB62" i="14"/>
  <c r="AH64" i="14"/>
  <c r="AE64" i="14"/>
  <c r="AG67" i="14"/>
  <c r="AD67" i="14"/>
  <c r="AD68" i="14"/>
  <c r="AG68" i="14"/>
  <c r="AG70" i="14"/>
  <c r="AD70" i="14"/>
  <c r="AE78" i="14"/>
  <c r="AH79" i="14"/>
  <c r="AE79" i="14"/>
  <c r="AH80" i="14"/>
  <c r="AE80" i="14"/>
  <c r="AD84" i="14"/>
  <c r="AG84" i="14"/>
  <c r="AD85" i="14"/>
  <c r="AG85" i="14"/>
  <c r="AG86" i="14"/>
  <c r="AD86" i="14"/>
  <c r="AE94" i="14"/>
  <c r="AH96" i="14"/>
  <c r="AE96" i="14"/>
  <c r="AH98" i="14"/>
  <c r="AE98" i="14"/>
  <c r="AH100" i="14"/>
  <c r="AE100" i="14"/>
  <c r="AB65" i="14"/>
  <c r="AH65" i="14" s="1"/>
  <c r="AH66" i="14"/>
  <c r="AB69" i="14"/>
  <c r="AE69" i="14" s="1"/>
  <c r="AH70" i="14"/>
  <c r="AB73" i="14"/>
  <c r="AH73" i="14" s="1"/>
  <c r="AH74" i="14"/>
  <c r="AB77" i="14"/>
  <c r="AE77" i="14" s="1"/>
  <c r="AH78" i="14"/>
  <c r="AB81" i="14"/>
  <c r="AH81" i="14" s="1"/>
  <c r="AH82" i="14"/>
  <c r="AH86" i="14"/>
  <c r="AH90" i="14"/>
  <c r="AH94" i="14"/>
  <c r="AB97" i="14"/>
  <c r="AH97" i="14" s="1"/>
  <c r="AB99" i="14"/>
  <c r="AD101" i="14"/>
  <c r="AH103" i="14"/>
  <c r="AE103" i="14"/>
  <c r="AG103" i="14"/>
  <c r="AD104" i="14"/>
  <c r="AG104" i="14"/>
  <c r="AH104" i="14"/>
  <c r="AC105" i="14"/>
  <c r="AG105" i="14" s="1"/>
  <c r="AB107" i="14"/>
  <c r="AD109" i="14"/>
  <c r="AH110" i="14"/>
  <c r="AD112" i="14"/>
  <c r="AG112" i="14"/>
  <c r="AG113" i="14"/>
  <c r="AG114" i="14"/>
  <c r="AD114" i="14"/>
  <c r="AH116" i="14"/>
  <c r="AE117" i="14"/>
  <c r="AH117" i="14"/>
  <c r="AE122" i="14"/>
  <c r="AG123" i="14"/>
  <c r="AD125" i="14"/>
  <c r="AH126" i="14"/>
  <c r="AC127" i="14"/>
  <c r="AD127" i="14" s="1"/>
  <c r="AD128" i="14"/>
  <c r="AG128" i="14"/>
  <c r="AG129" i="14"/>
  <c r="AG130" i="14"/>
  <c r="AD130" i="14"/>
  <c r="AB102" i="14"/>
  <c r="AH102" i="14" s="1"/>
  <c r="AG110" i="14"/>
  <c r="AD110" i="14"/>
  <c r="AH112" i="14"/>
  <c r="AE113" i="14"/>
  <c r="AH113" i="14"/>
  <c r="AE116" i="14"/>
  <c r="AE118" i="14"/>
  <c r="AG119" i="14"/>
  <c r="AD121" i="14"/>
  <c r="AH123" i="14"/>
  <c r="AE123" i="14"/>
  <c r="AB124" i="14"/>
  <c r="AH124" i="14" s="1"/>
  <c r="AG125" i="14"/>
  <c r="AG126" i="14"/>
  <c r="AD126" i="14"/>
  <c r="AH128" i="14"/>
  <c r="AE129" i="14"/>
  <c r="AH129" i="14"/>
  <c r="AG132" i="14"/>
  <c r="AD132" i="14"/>
  <c r="AB83" i="14"/>
  <c r="AB87" i="14"/>
  <c r="AH87" i="14" s="1"/>
  <c r="AB91" i="14"/>
  <c r="AB95" i="14"/>
  <c r="AE95" i="14" s="1"/>
  <c r="AE99" i="14"/>
  <c r="AD100" i="14"/>
  <c r="AG100" i="14"/>
  <c r="AE101" i="14"/>
  <c r="AH101" i="14"/>
  <c r="AH107" i="14"/>
  <c r="AE107" i="14"/>
  <c r="AD108" i="14"/>
  <c r="AG108" i="14"/>
  <c r="AE109" i="14"/>
  <c r="AH109" i="14"/>
  <c r="AH119" i="14"/>
  <c r="AE119" i="14"/>
  <c r="AD120" i="14"/>
  <c r="AG120" i="14"/>
  <c r="AG122" i="14"/>
  <c r="AD122" i="14"/>
  <c r="AE125" i="14"/>
  <c r="AH125" i="14"/>
  <c r="AE128" i="14"/>
  <c r="AH130" i="14"/>
  <c r="AE130" i="14"/>
  <c r="AG98" i="14"/>
  <c r="AD98" i="14"/>
  <c r="AG106" i="14"/>
  <c r="AD106" i="14"/>
  <c r="AC111" i="14"/>
  <c r="AB111" i="14"/>
  <c r="AH114" i="14"/>
  <c r="AC115" i="14"/>
  <c r="AG115" i="14" s="1"/>
  <c r="AD116" i="14"/>
  <c r="AG116" i="14"/>
  <c r="AG117" i="14"/>
  <c r="AG118" i="14"/>
  <c r="AD118" i="14"/>
  <c r="AD119" i="14"/>
  <c r="AH120" i="14"/>
  <c r="AE121" i="14"/>
  <c r="AH121" i="14"/>
  <c r="AE124" i="14"/>
  <c r="AG127" i="14"/>
  <c r="AE132" i="14"/>
  <c r="AG146" i="14"/>
  <c r="AD153" i="14"/>
  <c r="AG153" i="14"/>
  <c r="AB131" i="14"/>
  <c r="AH131" i="14" s="1"/>
  <c r="AH135" i="14"/>
  <c r="AH136" i="14"/>
  <c r="AC138" i="14"/>
  <c r="AE139" i="14"/>
  <c r="AE140" i="14"/>
  <c r="AH143" i="14"/>
  <c r="AH144" i="14"/>
  <c r="AC146" i="14"/>
  <c r="AE147" i="14"/>
  <c r="AE148" i="14"/>
  <c r="AH151" i="14"/>
  <c r="AD155" i="14"/>
  <c r="AG155" i="14"/>
  <c r="AD159" i="14"/>
  <c r="AG159" i="14"/>
  <c r="AE161" i="14"/>
  <c r="AD161" i="14"/>
  <c r="AH161" i="14"/>
  <c r="AE164" i="14"/>
  <c r="AH164" i="14"/>
  <c r="AE165" i="14"/>
  <c r="AD138" i="14"/>
  <c r="AG139" i="14"/>
  <c r="AG140" i="14"/>
  <c r="AD146" i="14"/>
  <c r="AG147" i="14"/>
  <c r="AG148" i="14"/>
  <c r="AE153" i="14"/>
  <c r="AE155" i="14"/>
  <c r="AH155" i="14"/>
  <c r="AH157" i="14"/>
  <c r="AE157" i="14"/>
  <c r="AB160" i="14"/>
  <c r="AC160" i="14"/>
  <c r="AC163" i="14"/>
  <c r="AB163" i="14"/>
  <c r="AC166" i="14"/>
  <c r="AB166" i="14"/>
  <c r="AH169" i="14"/>
  <c r="AE169" i="14"/>
  <c r="AD171" i="14"/>
  <c r="AG171" i="14"/>
  <c r="AH132" i="14"/>
  <c r="AG133" i="14"/>
  <c r="AH133" i="14"/>
  <c r="AC134" i="14"/>
  <c r="AE135" i="14"/>
  <c r="AE136" i="14"/>
  <c r="AC137" i="14"/>
  <c r="AH139" i="14"/>
  <c r="AH140" i="14"/>
  <c r="AG141" i="14"/>
  <c r="AH141" i="14"/>
  <c r="AC142" i="14"/>
  <c r="AE143" i="14"/>
  <c r="AE144" i="14"/>
  <c r="AC145" i="14"/>
  <c r="AG145" i="14" s="1"/>
  <c r="AH147" i="14"/>
  <c r="AH148" i="14"/>
  <c r="AG149" i="14"/>
  <c r="AH149" i="14"/>
  <c r="AC150" i="14"/>
  <c r="AE151" i="14"/>
  <c r="AH152" i="14"/>
  <c r="AE152" i="14"/>
  <c r="AH153" i="14"/>
  <c r="AD157" i="14"/>
  <c r="AH159" i="14"/>
  <c r="AG164" i="14"/>
  <c r="AD164" i="14"/>
  <c r="AE171" i="14"/>
  <c r="AD156" i="14"/>
  <c r="AC162" i="14"/>
  <c r="AG162" i="14" s="1"/>
  <c r="AB165" i="14"/>
  <c r="AC167" i="14"/>
  <c r="AD167" i="14" s="1"/>
  <c r="AG168" i="14"/>
  <c r="AH171" i="14"/>
  <c r="AD172" i="14"/>
  <c r="AC173" i="14"/>
  <c r="AC175" i="14"/>
  <c r="AB175" i="14"/>
  <c r="AG176" i="14"/>
  <c r="AG177" i="14"/>
  <c r="AD177" i="14"/>
  <c r="AC179" i="14"/>
  <c r="AB179" i="14"/>
  <c r="AE180" i="14"/>
  <c r="AH180" i="14"/>
  <c r="AE185" i="14"/>
  <c r="AG186" i="14"/>
  <c r="AD188" i="14"/>
  <c r="AH189" i="14"/>
  <c r="AC190" i="14"/>
  <c r="AE192" i="14"/>
  <c r="AH193" i="14"/>
  <c r="AC194" i="14"/>
  <c r="AH198" i="14"/>
  <c r="AE198" i="14"/>
  <c r="AH199" i="14"/>
  <c r="AE199" i="14"/>
  <c r="AE200" i="14"/>
  <c r="AH200" i="14"/>
  <c r="AH168" i="14"/>
  <c r="AG169" i="14"/>
  <c r="AG182" i="14"/>
  <c r="AD184" i="14"/>
  <c r="AH186" i="14"/>
  <c r="AE186" i="14"/>
  <c r="AG188" i="14"/>
  <c r="AG189" i="14"/>
  <c r="AD189" i="14"/>
  <c r="AC191" i="14"/>
  <c r="AB191" i="14"/>
  <c r="AG192" i="14"/>
  <c r="AG193" i="14"/>
  <c r="AD193" i="14"/>
  <c r="AD200" i="14"/>
  <c r="AC154" i="14"/>
  <c r="AG157" i="14"/>
  <c r="AC170" i="14"/>
  <c r="AG170" i="14" s="1"/>
  <c r="AG173" i="14"/>
  <c r="AC174" i="14"/>
  <c r="AH182" i="14"/>
  <c r="AE182" i="14"/>
  <c r="AG185" i="14"/>
  <c r="AD185" i="14"/>
  <c r="AC187" i="14"/>
  <c r="AB187" i="14"/>
  <c r="AE188" i="14"/>
  <c r="AH188" i="14"/>
  <c r="AG197" i="14"/>
  <c r="AD197" i="14"/>
  <c r="AE156" i="14"/>
  <c r="AC158" i="14"/>
  <c r="AG158" i="14" s="1"/>
  <c r="AG161" i="14"/>
  <c r="AE172" i="14"/>
  <c r="AD174" i="14"/>
  <c r="AE176" i="14"/>
  <c r="AH177" i="14"/>
  <c r="AC178" i="14"/>
  <c r="AG180" i="14"/>
  <c r="AG181" i="14"/>
  <c r="AD181" i="14"/>
  <c r="AD182" i="14"/>
  <c r="AC183" i="14"/>
  <c r="AB183" i="14"/>
  <c r="AE184" i="14"/>
  <c r="AH184" i="14"/>
  <c r="AG190" i="14"/>
  <c r="AG198" i="14"/>
  <c r="AD198" i="14"/>
  <c r="AD199" i="14"/>
  <c r="AG199" i="14"/>
  <c r="AG196" i="14"/>
  <c r="AH197" i="14"/>
  <c r="AG200" i="14"/>
  <c r="AH176" i="14"/>
  <c r="AH192" i="14"/>
  <c r="AB195" i="14"/>
  <c r="AH196" i="14"/>
  <c r="AC9" i="13"/>
  <c r="AH13" i="13"/>
  <c r="AE13" i="13"/>
  <c r="AE15" i="13"/>
  <c r="AH15" i="13"/>
  <c r="AH16" i="13"/>
  <c r="AE16" i="13"/>
  <c r="AE19" i="13"/>
  <c r="AH19" i="13"/>
  <c r="AH20" i="13"/>
  <c r="AE20" i="13"/>
  <c r="AE24" i="13"/>
  <c r="AH24" i="13"/>
  <c r="AG25" i="13"/>
  <c r="AD25" i="13"/>
  <c r="AG26" i="13"/>
  <c r="AD26" i="13"/>
  <c r="AH29" i="13"/>
  <c r="AE29" i="13"/>
  <c r="AG36" i="13"/>
  <c r="AG39" i="13"/>
  <c r="AD39" i="13"/>
  <c r="AG42" i="13"/>
  <c r="AD42" i="13"/>
  <c r="AE43" i="13"/>
  <c r="AH43" i="13"/>
  <c r="AH44" i="13"/>
  <c r="AE44" i="13"/>
  <c r="AE49" i="13"/>
  <c r="AG54" i="13"/>
  <c r="AD54" i="13"/>
  <c r="AG12" i="13"/>
  <c r="AD12" i="13"/>
  <c r="AH25" i="13"/>
  <c r="AE25" i="13"/>
  <c r="AE26" i="13"/>
  <c r="AH26" i="13"/>
  <c r="AG27" i="13"/>
  <c r="AD27" i="13"/>
  <c r="AH30" i="13"/>
  <c r="AE30" i="13"/>
  <c r="AG34" i="13"/>
  <c r="AD34" i="13"/>
  <c r="AH39" i="13"/>
  <c r="AE39" i="13"/>
  <c r="AH40" i="13"/>
  <c r="AE40" i="13"/>
  <c r="AC17" i="13"/>
  <c r="AB17" i="13"/>
  <c r="AD45" i="13"/>
  <c r="AG45" i="13"/>
  <c r="AG47" i="13"/>
  <c r="AD47" i="13"/>
  <c r="AC41" i="13"/>
  <c r="AB41" i="13"/>
  <c r="AC53" i="13"/>
  <c r="AE63" i="13"/>
  <c r="AH63" i="13"/>
  <c r="AE12" i="13"/>
  <c r="AH12" i="13"/>
  <c r="AC14" i="13"/>
  <c r="AD14" i="13" s="1"/>
  <c r="AC10" i="13"/>
  <c r="AH27" i="13"/>
  <c r="AE27" i="13"/>
  <c r="AG28" i="13"/>
  <c r="AD28" i="13"/>
  <c r="AH34" i="13"/>
  <c r="AE34" i="13"/>
  <c r="AG40" i="13"/>
  <c r="AE45" i="13"/>
  <c r="AE47" i="13"/>
  <c r="AH47" i="13"/>
  <c r="AH48" i="13"/>
  <c r="AE48" i="13"/>
  <c r="AE56" i="13"/>
  <c r="AH56" i="13"/>
  <c r="AD9" i="13"/>
  <c r="AG9" i="13"/>
  <c r="AG13" i="13"/>
  <c r="AD13" i="13"/>
  <c r="AG15" i="13"/>
  <c r="AD15" i="13"/>
  <c r="AG19" i="13"/>
  <c r="AD19" i="13"/>
  <c r="AG24" i="13"/>
  <c r="AD24" i="13"/>
  <c r="AE28" i="13"/>
  <c r="AH28" i="13"/>
  <c r="AG30" i="13"/>
  <c r="AH36" i="13"/>
  <c r="AE36" i="13"/>
  <c r="AD37" i="13"/>
  <c r="AG37" i="13"/>
  <c r="AG43" i="13"/>
  <c r="AD43" i="13"/>
  <c r="AG53" i="13"/>
  <c r="AD53" i="13"/>
  <c r="AB55" i="13"/>
  <c r="AD48" i="13"/>
  <c r="AD49" i="13"/>
  <c r="AG49" i="13"/>
  <c r="AE42" i="13"/>
  <c r="AH42" i="13"/>
  <c r="AG56" i="13"/>
  <c r="AG16" i="13"/>
  <c r="AG20" i="13"/>
  <c r="AC22" i="13"/>
  <c r="AG29" i="13"/>
  <c r="AC32" i="13"/>
  <c r="AD32" i="13" s="1"/>
  <c r="AG44" i="13"/>
  <c r="AH45" i="13"/>
  <c r="AG48" i="13"/>
  <c r="AH49" i="13"/>
  <c r="W8" i="13"/>
  <c r="AB18" i="13"/>
  <c r="AE21" i="13"/>
  <c r="AB23" i="13"/>
  <c r="AH23" i="13" s="1"/>
  <c r="AD30" i="13"/>
  <c r="AE31" i="13"/>
  <c r="AB33" i="13"/>
  <c r="AC35" i="13"/>
  <c r="AG35" i="13" s="1"/>
  <c r="AD36" i="13"/>
  <c r="AE37" i="13"/>
  <c r="AB38" i="13"/>
  <c r="AD40" i="13"/>
  <c r="AB46" i="13"/>
  <c r="AH46" i="13" s="1"/>
  <c r="AB50" i="13"/>
  <c r="AE50" i="13" s="1"/>
  <c r="AB51" i="13"/>
  <c r="AC52" i="13"/>
  <c r="AG52" i="13" s="1"/>
  <c r="AH54" i="13"/>
  <c r="AD56" i="13"/>
  <c r="AC61" i="13"/>
  <c r="AD61" i="13" s="1"/>
  <c r="AE65" i="13"/>
  <c r="AH65" i="13"/>
  <c r="AE73" i="13"/>
  <c r="AH73" i="13"/>
  <c r="AE81" i="13"/>
  <c r="AH81" i="13"/>
  <c r="AG85" i="13"/>
  <c r="AD85" i="13"/>
  <c r="AD87" i="13"/>
  <c r="AG87" i="13"/>
  <c r="AG97" i="13"/>
  <c r="AD97" i="13"/>
  <c r="O201" i="13"/>
  <c r="AG21" i="13"/>
  <c r="AG31" i="13"/>
  <c r="AB59" i="13"/>
  <c r="AH59" i="13" s="1"/>
  <c r="AG62" i="13"/>
  <c r="AD63" i="13"/>
  <c r="AG69" i="13"/>
  <c r="AD69" i="13"/>
  <c r="AG77" i="13"/>
  <c r="AD77" i="13"/>
  <c r="AE85" i="13"/>
  <c r="AH85" i="13"/>
  <c r="AG89" i="13"/>
  <c r="AD89" i="13"/>
  <c r="AD91" i="13"/>
  <c r="AG91" i="13"/>
  <c r="AE97" i="13"/>
  <c r="AH97" i="13"/>
  <c r="AC58" i="13"/>
  <c r="AD58" i="13" s="1"/>
  <c r="AE59" i="13"/>
  <c r="AH62" i="13"/>
  <c r="AC64" i="13"/>
  <c r="AD64" i="13" s="1"/>
  <c r="AE69" i="13"/>
  <c r="AH69" i="13"/>
  <c r="AE77" i="13"/>
  <c r="AH77" i="13"/>
  <c r="AH87" i="13"/>
  <c r="AE89" i="13"/>
  <c r="AH89" i="13"/>
  <c r="AG93" i="13"/>
  <c r="AD93" i="13"/>
  <c r="AB57" i="13"/>
  <c r="V8" i="13"/>
  <c r="AE54" i="13"/>
  <c r="AC60" i="13"/>
  <c r="AD62" i="13"/>
  <c r="AG63" i="13"/>
  <c r="AG65" i="13"/>
  <c r="AD65" i="13"/>
  <c r="AG73" i="13"/>
  <c r="AD73" i="13"/>
  <c r="AG81" i="13"/>
  <c r="AD81" i="13"/>
  <c r="AD83" i="13"/>
  <c r="AG83" i="13"/>
  <c r="AH91" i="13"/>
  <c r="AE93" i="13"/>
  <c r="AH93" i="13"/>
  <c r="AE67" i="13"/>
  <c r="AB68" i="13"/>
  <c r="AE68" i="13" s="1"/>
  <c r="AE71" i="13"/>
  <c r="AB72" i="13"/>
  <c r="AE72" i="13" s="1"/>
  <c r="AE75" i="13"/>
  <c r="AB76" i="13"/>
  <c r="AE76" i="13" s="1"/>
  <c r="AE79" i="13"/>
  <c r="AB80" i="13"/>
  <c r="AE80" i="13" s="1"/>
  <c r="AE83" i="13"/>
  <c r="AB84" i="13"/>
  <c r="AH84" i="13" s="1"/>
  <c r="AE87" i="13"/>
  <c r="AB88" i="13"/>
  <c r="AE88" i="13" s="1"/>
  <c r="AE91" i="13"/>
  <c r="AB92" i="13"/>
  <c r="AE92" i="13" s="1"/>
  <c r="AE95" i="13"/>
  <c r="AB96" i="13"/>
  <c r="AH96" i="13" s="1"/>
  <c r="AB98" i="13"/>
  <c r="AH98" i="13" s="1"/>
  <c r="AG100" i="13"/>
  <c r="AG102" i="13"/>
  <c r="AG106" i="13"/>
  <c r="AH134" i="13"/>
  <c r="AE134" i="13"/>
  <c r="AG67" i="13"/>
  <c r="AG71" i="13"/>
  <c r="AG75" i="13"/>
  <c r="AG79" i="13"/>
  <c r="AG95" i="13"/>
  <c r="AE102" i="13"/>
  <c r="AH102" i="13"/>
  <c r="AE106" i="13"/>
  <c r="AH106" i="13"/>
  <c r="AH108" i="13"/>
  <c r="AH109" i="13"/>
  <c r="AE110" i="13"/>
  <c r="AH110" i="13"/>
  <c r="AH112" i="13"/>
  <c r="AH113" i="13"/>
  <c r="AC114" i="13"/>
  <c r="AG114" i="13" s="1"/>
  <c r="AH116" i="13"/>
  <c r="AH117" i="13"/>
  <c r="AC118" i="13"/>
  <c r="AH120" i="13"/>
  <c r="AH121" i="13"/>
  <c r="AC122" i="13"/>
  <c r="AG122" i="13" s="1"/>
  <c r="AH124" i="13"/>
  <c r="AH125" i="13"/>
  <c r="AC126" i="13"/>
  <c r="AD126" i="13" s="1"/>
  <c r="AH128" i="13"/>
  <c r="AH129" i="13"/>
  <c r="AC130" i="13"/>
  <c r="AG130" i="13" s="1"/>
  <c r="AB66" i="13"/>
  <c r="AB70" i="13"/>
  <c r="AB74" i="13"/>
  <c r="AE74" i="13" s="1"/>
  <c r="AB78" i="13"/>
  <c r="AB82" i="13"/>
  <c r="AB86" i="13"/>
  <c r="AB90" i="13"/>
  <c r="AH90" i="13" s="1"/>
  <c r="AB94" i="13"/>
  <c r="AH94" i="13" s="1"/>
  <c r="AB99" i="13"/>
  <c r="AH99" i="13" s="1"/>
  <c r="AD102" i="13"/>
  <c r="AB103" i="13"/>
  <c r="AC103" i="13"/>
  <c r="AG104" i="13"/>
  <c r="AD105" i="13"/>
  <c r="AG105" i="13"/>
  <c r="AD106" i="13"/>
  <c r="AB107" i="13"/>
  <c r="AC107" i="13"/>
  <c r="AG108" i="13"/>
  <c r="AD109" i="13"/>
  <c r="AG109" i="13"/>
  <c r="AD110" i="13"/>
  <c r="AB111" i="13"/>
  <c r="AC111" i="13"/>
  <c r="AG112" i="13"/>
  <c r="AD113" i="13"/>
  <c r="AG113" i="13"/>
  <c r="AD114" i="13"/>
  <c r="AB115" i="13"/>
  <c r="AC115" i="13"/>
  <c r="AG116" i="13"/>
  <c r="AD117" i="13"/>
  <c r="AG117" i="13"/>
  <c r="AD118" i="13"/>
  <c r="AB119" i="13"/>
  <c r="AC119" i="13"/>
  <c r="AG120" i="13"/>
  <c r="AD121" i="13"/>
  <c r="AG121" i="13"/>
  <c r="AD122" i="13"/>
  <c r="AB123" i="13"/>
  <c r="AC123" i="13"/>
  <c r="AG124" i="13"/>
  <c r="AD125" i="13"/>
  <c r="AG125" i="13"/>
  <c r="AB127" i="13"/>
  <c r="AC127" i="13"/>
  <c r="AG128" i="13"/>
  <c r="AD129" i="13"/>
  <c r="AG129" i="13"/>
  <c r="AD130" i="13"/>
  <c r="AH132" i="13"/>
  <c r="AE100" i="13"/>
  <c r="AC101" i="13"/>
  <c r="AH140" i="13"/>
  <c r="AE140" i="13"/>
  <c r="AB132" i="13"/>
  <c r="AD133" i="13"/>
  <c r="AD135" i="13"/>
  <c r="AD138" i="13"/>
  <c r="AG138" i="13"/>
  <c r="AH138" i="13"/>
  <c r="AD143" i="13"/>
  <c r="AH144" i="13"/>
  <c r="AC145" i="13"/>
  <c r="AD146" i="13"/>
  <c r="AG146" i="13"/>
  <c r="AG147" i="13"/>
  <c r="AG148" i="13"/>
  <c r="AD148" i="13"/>
  <c r="AH150" i="13"/>
  <c r="AE151" i="13"/>
  <c r="AH151" i="13"/>
  <c r="AE155" i="13"/>
  <c r="AG161" i="13"/>
  <c r="AD161" i="13"/>
  <c r="AH168" i="13"/>
  <c r="AE168" i="13"/>
  <c r="AE104" i="13"/>
  <c r="AE108" i="13"/>
  <c r="AE112" i="13"/>
  <c r="AE116" i="13"/>
  <c r="AE120" i="13"/>
  <c r="AE124" i="13"/>
  <c r="AE128" i="13"/>
  <c r="AG133" i="13"/>
  <c r="AB136" i="13"/>
  <c r="AC137" i="13"/>
  <c r="AB139" i="13"/>
  <c r="AH139" i="13" s="1"/>
  <c r="AE143" i="13"/>
  <c r="AH143" i="13"/>
  <c r="AG144" i="13"/>
  <c r="AD144" i="13"/>
  <c r="AH146" i="13"/>
  <c r="AE147" i="13"/>
  <c r="AH147" i="13"/>
  <c r="AE150" i="13"/>
  <c r="AE152" i="13"/>
  <c r="AG153" i="13"/>
  <c r="AD155" i="13"/>
  <c r="AG164" i="13"/>
  <c r="AE165" i="13"/>
  <c r="AD134" i="13"/>
  <c r="AG134" i="13"/>
  <c r="AE135" i="13"/>
  <c r="AH135" i="13"/>
  <c r="AB142" i="13"/>
  <c r="AE146" i="13"/>
  <c r="AE148" i="13"/>
  <c r="AG149" i="13"/>
  <c r="AD151" i="13"/>
  <c r="AH153" i="13"/>
  <c r="AE153" i="13"/>
  <c r="AB154" i="13"/>
  <c r="AD156" i="13"/>
  <c r="AG156" i="13"/>
  <c r="AE156" i="13"/>
  <c r="AH158" i="13"/>
  <c r="AE158" i="13"/>
  <c r="AE161" i="13"/>
  <c r="AH161" i="13"/>
  <c r="AE164" i="13"/>
  <c r="AD172" i="13"/>
  <c r="AG172" i="13"/>
  <c r="AB131" i="13"/>
  <c r="AE133" i="13"/>
  <c r="AE139" i="13"/>
  <c r="AG140" i="13"/>
  <c r="AD140" i="13"/>
  <c r="AC141" i="13"/>
  <c r="AG141" i="13" s="1"/>
  <c r="AG145" i="13"/>
  <c r="AH149" i="13"/>
  <c r="AE149" i="13"/>
  <c r="AD150" i="13"/>
  <c r="AG150" i="13"/>
  <c r="AG152" i="13"/>
  <c r="AD152" i="13"/>
  <c r="AH154" i="13"/>
  <c r="AC157" i="13"/>
  <c r="AB157" i="13"/>
  <c r="AC160" i="13"/>
  <c r="AB160" i="13"/>
  <c r="AC163" i="13"/>
  <c r="AB163" i="13"/>
  <c r="AG165" i="13"/>
  <c r="AD165" i="13"/>
  <c r="AB166" i="13"/>
  <c r="AC166" i="13"/>
  <c r="AD168" i="13"/>
  <c r="AG168" i="13"/>
  <c r="AD173" i="13"/>
  <c r="AH173" i="13"/>
  <c r="AG173" i="13"/>
  <c r="AD187" i="13"/>
  <c r="AG187" i="13"/>
  <c r="AD191" i="13"/>
  <c r="AG191" i="13"/>
  <c r="AG193" i="13"/>
  <c r="AD193" i="13"/>
  <c r="AC195" i="13"/>
  <c r="AB195" i="13"/>
  <c r="AH198" i="13"/>
  <c r="AE198" i="13"/>
  <c r="AH199" i="13"/>
  <c r="AE199" i="13"/>
  <c r="AE200" i="13"/>
  <c r="AH200" i="13"/>
  <c r="AC167" i="13"/>
  <c r="AH169" i="13"/>
  <c r="AC171" i="13"/>
  <c r="AE173" i="13"/>
  <c r="AC174" i="13"/>
  <c r="AH176" i="13"/>
  <c r="AH177" i="13"/>
  <c r="AC179" i="13"/>
  <c r="AE181" i="13"/>
  <c r="AC182" i="13"/>
  <c r="AG182" i="13" s="1"/>
  <c r="AH184" i="13"/>
  <c r="AH187" i="13"/>
  <c r="AH191" i="13"/>
  <c r="AD200" i="13"/>
  <c r="AH155" i="13"/>
  <c r="AG158" i="13"/>
  <c r="AD164" i="13"/>
  <c r="AD179" i="13"/>
  <c r="AG180" i="13"/>
  <c r="AG181" i="13"/>
  <c r="AE187" i="13"/>
  <c r="AE188" i="13"/>
  <c r="AH188" i="13"/>
  <c r="AE191" i="13"/>
  <c r="AE192" i="13"/>
  <c r="AH192" i="13"/>
  <c r="AE193" i="13"/>
  <c r="AG197" i="13"/>
  <c r="AD197" i="13"/>
  <c r="AC159" i="13"/>
  <c r="AG159" i="13" s="1"/>
  <c r="AB162" i="13"/>
  <c r="AE162" i="13" s="1"/>
  <c r="AC170" i="13"/>
  <c r="AH172" i="13"/>
  <c r="AG174" i="13"/>
  <c r="AC175" i="13"/>
  <c r="AE176" i="13"/>
  <c r="AE177" i="13"/>
  <c r="AC178" i="13"/>
  <c r="AG178" i="13" s="1"/>
  <c r="AH180" i="13"/>
  <c r="AH181" i="13"/>
  <c r="AC183" i="13"/>
  <c r="AG183" i="13" s="1"/>
  <c r="AE184" i="13"/>
  <c r="AC186" i="13"/>
  <c r="AB186" i="13"/>
  <c r="AD188" i="13"/>
  <c r="AC190" i="13"/>
  <c r="AB190" i="13"/>
  <c r="AD192" i="13"/>
  <c r="AH193" i="13"/>
  <c r="AC194" i="13"/>
  <c r="AG198" i="13"/>
  <c r="AD198" i="13"/>
  <c r="AD199" i="13"/>
  <c r="AG199" i="13"/>
  <c r="AG196" i="13"/>
  <c r="AH197" i="13"/>
  <c r="AG200" i="13"/>
  <c r="AD185" i="13"/>
  <c r="AD189" i="13"/>
  <c r="AH196" i="13"/>
  <c r="AD9" i="12"/>
  <c r="AG9" i="12"/>
  <c r="AB11" i="12"/>
  <c r="AE18" i="12"/>
  <c r="AH18" i="12"/>
  <c r="AE23" i="12"/>
  <c r="AH23" i="12"/>
  <c r="AE31" i="12"/>
  <c r="AG33" i="12"/>
  <c r="AD33" i="12"/>
  <c r="AE37" i="12"/>
  <c r="AE38" i="12"/>
  <c r="AH38" i="12"/>
  <c r="AE45" i="12"/>
  <c r="AE46" i="12"/>
  <c r="AH46" i="12"/>
  <c r="AD49" i="12"/>
  <c r="AG49" i="12"/>
  <c r="AC40" i="12"/>
  <c r="AB40" i="12"/>
  <c r="AE62" i="12"/>
  <c r="AH62" i="12"/>
  <c r="AE66" i="12"/>
  <c r="AH66" i="12"/>
  <c r="AH68" i="12"/>
  <c r="AE68" i="12"/>
  <c r="AG12" i="12"/>
  <c r="AD12" i="12"/>
  <c r="V201" i="12"/>
  <c r="AH11" i="12"/>
  <c r="AE11" i="12"/>
  <c r="AB10" i="12"/>
  <c r="AD21" i="12"/>
  <c r="AG21" i="12"/>
  <c r="AH30" i="12"/>
  <c r="AE30" i="12"/>
  <c r="AE33" i="12"/>
  <c r="AH33" i="12"/>
  <c r="AH36" i="12"/>
  <c r="AE36" i="12"/>
  <c r="AH44" i="12"/>
  <c r="AE44" i="12"/>
  <c r="AB53" i="12"/>
  <c r="AH53" i="12" s="1"/>
  <c r="AG50" i="12"/>
  <c r="AD50" i="12"/>
  <c r="AB55" i="12"/>
  <c r="AE55" i="12" s="1"/>
  <c r="AB56" i="12"/>
  <c r="AC56" i="12"/>
  <c r="AG62" i="12"/>
  <c r="AE63" i="12"/>
  <c r="AH63" i="12"/>
  <c r="AG68" i="12"/>
  <c r="AE12" i="12"/>
  <c r="AH12" i="12"/>
  <c r="AD31" i="12"/>
  <c r="AG31" i="12"/>
  <c r="AB14" i="12"/>
  <c r="AD37" i="12"/>
  <c r="AG37" i="12"/>
  <c r="AD45" i="12"/>
  <c r="AG45" i="12"/>
  <c r="AE53" i="12"/>
  <c r="AH55" i="12"/>
  <c r="AC57" i="12"/>
  <c r="AB57" i="12"/>
  <c r="AE50" i="12"/>
  <c r="AH50" i="12"/>
  <c r="AD59" i="12"/>
  <c r="AG59" i="12"/>
  <c r="AH60" i="12"/>
  <c r="AC13" i="12"/>
  <c r="AD13" i="12" s="1"/>
  <c r="AG18" i="12"/>
  <c r="AD18" i="12"/>
  <c r="AE21" i="12"/>
  <c r="AG23" i="12"/>
  <c r="AD23" i="12"/>
  <c r="AH29" i="12"/>
  <c r="AE29" i="12"/>
  <c r="AD30" i="12"/>
  <c r="AD36" i="12"/>
  <c r="AG38" i="12"/>
  <c r="AD38" i="12"/>
  <c r="AC17" i="12"/>
  <c r="AB17" i="12"/>
  <c r="AD44" i="12"/>
  <c r="AG46" i="12"/>
  <c r="AD46" i="12"/>
  <c r="AH48" i="12"/>
  <c r="AE48" i="12"/>
  <c r="AC41" i="12"/>
  <c r="AB41" i="12"/>
  <c r="AE52" i="12"/>
  <c r="AH52" i="12"/>
  <c r="AE59" i="12"/>
  <c r="AH59" i="12"/>
  <c r="AC61" i="12"/>
  <c r="AG64" i="12"/>
  <c r="AD64" i="12"/>
  <c r="AD66" i="12"/>
  <c r="AG66" i="12"/>
  <c r="AH9" i="12"/>
  <c r="AG16" i="12"/>
  <c r="AH31" i="12"/>
  <c r="AC32" i="12"/>
  <c r="AG36" i="12"/>
  <c r="AG44" i="12"/>
  <c r="AH45" i="12"/>
  <c r="AG48" i="12"/>
  <c r="AH49" i="12"/>
  <c r="O201" i="12"/>
  <c r="AE16" i="12"/>
  <c r="AE20" i="12"/>
  <c r="AB22" i="12"/>
  <c r="AC24" i="12"/>
  <c r="AG24" i="12" s="1"/>
  <c r="AC51" i="12"/>
  <c r="AD51" i="12" s="1"/>
  <c r="AB60" i="12"/>
  <c r="AE60" i="12" s="1"/>
  <c r="AB61" i="12"/>
  <c r="AD72" i="12"/>
  <c r="AH76" i="12"/>
  <c r="AH77" i="12"/>
  <c r="AC78" i="12"/>
  <c r="AD78" i="12" s="1"/>
  <c r="AH80" i="12"/>
  <c r="AH81" i="12"/>
  <c r="AE82" i="12"/>
  <c r="AH82" i="12"/>
  <c r="AD89" i="12"/>
  <c r="AG89" i="12"/>
  <c r="AD94" i="12"/>
  <c r="AG94" i="12"/>
  <c r="AE98" i="12"/>
  <c r="AH98" i="12"/>
  <c r="AD52" i="12"/>
  <c r="AB58" i="12"/>
  <c r="AH58" i="12" s="1"/>
  <c r="AD62" i="12"/>
  <c r="AD63" i="12"/>
  <c r="AE64" i="12"/>
  <c r="AB65" i="12"/>
  <c r="AH65" i="12" s="1"/>
  <c r="AB69" i="12"/>
  <c r="AG70" i="12"/>
  <c r="AE70" i="12"/>
  <c r="AC73" i="12"/>
  <c r="AD73" i="12" s="1"/>
  <c r="AB75" i="12"/>
  <c r="AC75" i="12"/>
  <c r="AG76" i="12"/>
  <c r="AD77" i="12"/>
  <c r="AG77" i="12"/>
  <c r="AB79" i="12"/>
  <c r="AC79" i="12"/>
  <c r="AG80" i="12"/>
  <c r="AD81" i="12"/>
  <c r="AG81" i="12"/>
  <c r="AD85" i="12"/>
  <c r="AG85" i="12"/>
  <c r="AD90" i="12"/>
  <c r="AG90" i="12"/>
  <c r="AH93" i="12"/>
  <c r="AE94" i="12"/>
  <c r="AH94" i="12"/>
  <c r="AE101" i="12"/>
  <c r="AH101" i="12"/>
  <c r="AG101" i="12"/>
  <c r="AG29" i="12"/>
  <c r="AG30" i="12"/>
  <c r="AB15" i="12"/>
  <c r="AH15" i="12" s="1"/>
  <c r="AB19" i="12"/>
  <c r="AE19" i="12" s="1"/>
  <c r="AB25" i="12"/>
  <c r="AB26" i="12"/>
  <c r="AB27" i="12"/>
  <c r="AH27" i="12" s="1"/>
  <c r="AB28" i="12"/>
  <c r="AB34" i="12"/>
  <c r="AB35" i="12"/>
  <c r="AB39" i="12"/>
  <c r="AH39" i="12" s="1"/>
  <c r="AB43" i="12"/>
  <c r="AE43" i="12" s="1"/>
  <c r="AB47" i="12"/>
  <c r="AE47" i="12" s="1"/>
  <c r="AB67" i="12"/>
  <c r="AC71" i="12"/>
  <c r="AG71" i="12" s="1"/>
  <c r="AG72" i="12"/>
  <c r="AB74" i="12"/>
  <c r="AD86" i="12"/>
  <c r="AG86" i="12"/>
  <c r="AH89" i="12"/>
  <c r="AE90" i="12"/>
  <c r="AH90" i="12"/>
  <c r="AD97" i="12"/>
  <c r="AG97" i="12"/>
  <c r="AG20" i="12"/>
  <c r="AH21" i="12"/>
  <c r="AH37" i="12"/>
  <c r="W8" i="12"/>
  <c r="AD68" i="12"/>
  <c r="AG73" i="12"/>
  <c r="AH74" i="12"/>
  <c r="AD82" i="12"/>
  <c r="AG82" i="12"/>
  <c r="AE86" i="12"/>
  <c r="AH86" i="12"/>
  <c r="AD93" i="12"/>
  <c r="AG93" i="12"/>
  <c r="AD98" i="12"/>
  <c r="AG98" i="12"/>
  <c r="AC83" i="12"/>
  <c r="AG83" i="12" s="1"/>
  <c r="AD84" i="12"/>
  <c r="AE85" i="12"/>
  <c r="AC87" i="12"/>
  <c r="AD88" i="12"/>
  <c r="AE89" i="12"/>
  <c r="AC91" i="12"/>
  <c r="AG91" i="12" s="1"/>
  <c r="AD92" i="12"/>
  <c r="AE93" i="12"/>
  <c r="AC95" i="12"/>
  <c r="AG95" i="12" s="1"/>
  <c r="AD96" i="12"/>
  <c r="AE97" i="12"/>
  <c r="AC99" i="12"/>
  <c r="AG99" i="12" s="1"/>
  <c r="AC103" i="12"/>
  <c r="AD103" i="12" s="1"/>
  <c r="AD105" i="12"/>
  <c r="AG108" i="12"/>
  <c r="AG109" i="12"/>
  <c r="AG111" i="12"/>
  <c r="AE114" i="12"/>
  <c r="AG115" i="12"/>
  <c r="AE118" i="12"/>
  <c r="AG119" i="12"/>
  <c r="AE122" i="12"/>
  <c r="AG123" i="12"/>
  <c r="AE126" i="12"/>
  <c r="AG127" i="12"/>
  <c r="AG142" i="12"/>
  <c r="AE76" i="12"/>
  <c r="AE80" i="12"/>
  <c r="AE84" i="12"/>
  <c r="AE88" i="12"/>
  <c r="AE92" i="12"/>
  <c r="AE96" i="12"/>
  <c r="AD100" i="12"/>
  <c r="AH100" i="12"/>
  <c r="AC102" i="12"/>
  <c r="AG104" i="12"/>
  <c r="AC106" i="12"/>
  <c r="AH108" i="12"/>
  <c r="AG110" i="12"/>
  <c r="AH110" i="12"/>
  <c r="AH111" i="12"/>
  <c r="AE111" i="12"/>
  <c r="AH115" i="12"/>
  <c r="AE115" i="12"/>
  <c r="AH119" i="12"/>
  <c r="AE119" i="12"/>
  <c r="AH123" i="12"/>
  <c r="AE123" i="12"/>
  <c r="AH127" i="12"/>
  <c r="AE127" i="12"/>
  <c r="AD130" i="12"/>
  <c r="AG130" i="12"/>
  <c r="AD134" i="12"/>
  <c r="AG134" i="12"/>
  <c r="AH136" i="12"/>
  <c r="AE136" i="12"/>
  <c r="AD136" i="12"/>
  <c r="AE139" i="12"/>
  <c r="AH139" i="12"/>
  <c r="AE142" i="12"/>
  <c r="AH104" i="12"/>
  <c r="AC112" i="12"/>
  <c r="AB112" i="12"/>
  <c r="AG114" i="12"/>
  <c r="AD114" i="12"/>
  <c r="AC116" i="12"/>
  <c r="AB116" i="12"/>
  <c r="AG118" i="12"/>
  <c r="AD118" i="12"/>
  <c r="AC120" i="12"/>
  <c r="AB120" i="12"/>
  <c r="AG122" i="12"/>
  <c r="AD122" i="12"/>
  <c r="AC124" i="12"/>
  <c r="AB124" i="12"/>
  <c r="AG126" i="12"/>
  <c r="AD126" i="12"/>
  <c r="AC128" i="12"/>
  <c r="AB128" i="12"/>
  <c r="AH130" i="12"/>
  <c r="AE130" i="12"/>
  <c r="AH132" i="12"/>
  <c r="AE132" i="12"/>
  <c r="AC135" i="12"/>
  <c r="AB135" i="12"/>
  <c r="AC138" i="12"/>
  <c r="AB138" i="12"/>
  <c r="AC141" i="12"/>
  <c r="AB141" i="12"/>
  <c r="AG143" i="12"/>
  <c r="AD143" i="12"/>
  <c r="AG102" i="12"/>
  <c r="AG106" i="12"/>
  <c r="AC107" i="12"/>
  <c r="AE108" i="12"/>
  <c r="AE109" i="12"/>
  <c r="AD132" i="12"/>
  <c r="AG139" i="12"/>
  <c r="AD139" i="12"/>
  <c r="AB150" i="12"/>
  <c r="AC150" i="12"/>
  <c r="AG151" i="12"/>
  <c r="AD151" i="12"/>
  <c r="AH113" i="12"/>
  <c r="AH117" i="12"/>
  <c r="AH121" i="12"/>
  <c r="AH125" i="12"/>
  <c r="AC129" i="12"/>
  <c r="AD129" i="12" s="1"/>
  <c r="AH131" i="12"/>
  <c r="AG132" i="12"/>
  <c r="AC145" i="12"/>
  <c r="AD145" i="12" s="1"/>
  <c r="AG146" i="12"/>
  <c r="AD146" i="12"/>
  <c r="AB147" i="12"/>
  <c r="AE147" i="12" s="1"/>
  <c r="AD152" i="12"/>
  <c r="AG152" i="12"/>
  <c r="AE157" i="12"/>
  <c r="AG157" i="12"/>
  <c r="AH157" i="12"/>
  <c r="AE131" i="12"/>
  <c r="AC133" i="12"/>
  <c r="AD133" i="12" s="1"/>
  <c r="AG136" i="12"/>
  <c r="AD142" i="12"/>
  <c r="AC144" i="12"/>
  <c r="AH151" i="12"/>
  <c r="AH152" i="12"/>
  <c r="AE152" i="12"/>
  <c r="AC137" i="12"/>
  <c r="AB140" i="12"/>
  <c r="AH147" i="12"/>
  <c r="AB148" i="12"/>
  <c r="AC149" i="12"/>
  <c r="AE164" i="12"/>
  <c r="AH164" i="12"/>
  <c r="AB153" i="12"/>
  <c r="AH153" i="12" s="1"/>
  <c r="AH154" i="12"/>
  <c r="AC155" i="12"/>
  <c r="AD155" i="12" s="1"/>
  <c r="AE156" i="12"/>
  <c r="AD163" i="12"/>
  <c r="AB164" i="12"/>
  <c r="AB167" i="12"/>
  <c r="AE167" i="12" s="1"/>
  <c r="AG169" i="12"/>
  <c r="AC170" i="12"/>
  <c r="AE171" i="12"/>
  <c r="AE172" i="12"/>
  <c r="AC178" i="12"/>
  <c r="AE179" i="12"/>
  <c r="AE180" i="12"/>
  <c r="AC183" i="12"/>
  <c r="AB183" i="12"/>
  <c r="AG185" i="12"/>
  <c r="AD185" i="12"/>
  <c r="AC187" i="12"/>
  <c r="AB187" i="12"/>
  <c r="AG189" i="12"/>
  <c r="AD189" i="12"/>
  <c r="AC191" i="12"/>
  <c r="AB191" i="12"/>
  <c r="AG193" i="12"/>
  <c r="AD193" i="12"/>
  <c r="AC195" i="12"/>
  <c r="AB195" i="12"/>
  <c r="AG196" i="12"/>
  <c r="AG197" i="12"/>
  <c r="AD197" i="12"/>
  <c r="AH199" i="12"/>
  <c r="AE199" i="12"/>
  <c r="AE151" i="12"/>
  <c r="AD154" i="12"/>
  <c r="AC159" i="12"/>
  <c r="AG159" i="12" s="1"/>
  <c r="AB161" i="12"/>
  <c r="AB162" i="12"/>
  <c r="AE162" i="12" s="1"/>
  <c r="AB168" i="12"/>
  <c r="AG171" i="12"/>
  <c r="AG172" i="12"/>
  <c r="AB175" i="12"/>
  <c r="AH175" i="12" s="1"/>
  <c r="AD176" i="12"/>
  <c r="AG179" i="12"/>
  <c r="AG180" i="12"/>
  <c r="AD156" i="12"/>
  <c r="AC158" i="12"/>
  <c r="AG160" i="12"/>
  <c r="AH163" i="12"/>
  <c r="AB165" i="12"/>
  <c r="AB166" i="12"/>
  <c r="AE166" i="12" s="1"/>
  <c r="AC169" i="12"/>
  <c r="AH171" i="12"/>
  <c r="AH172" i="12"/>
  <c r="AG173" i="12"/>
  <c r="AH173" i="12"/>
  <c r="AC174" i="12"/>
  <c r="AE175" i="12"/>
  <c r="AC177" i="12"/>
  <c r="AH179" i="12"/>
  <c r="AH180" i="12"/>
  <c r="AG181" i="12"/>
  <c r="AH181" i="12"/>
  <c r="AC182" i="12"/>
  <c r="AE185" i="12"/>
  <c r="AG186" i="12"/>
  <c r="AE189" i="12"/>
  <c r="AE193" i="12"/>
  <c r="AH160" i="12"/>
  <c r="AH167" i="12"/>
  <c r="AG170" i="12"/>
  <c r="AG178" i="12"/>
  <c r="AH186" i="12"/>
  <c r="AE186" i="12"/>
  <c r="AE188" i="12"/>
  <c r="AH189" i="12"/>
  <c r="AC190" i="12"/>
  <c r="AE192" i="12"/>
  <c r="AH193" i="12"/>
  <c r="AC194" i="12"/>
  <c r="AG194" i="12" s="1"/>
  <c r="AE196" i="12"/>
  <c r="AH197" i="12"/>
  <c r="AC198" i="12"/>
  <c r="AD198" i="12" s="1"/>
  <c r="AD199" i="12"/>
  <c r="AG199" i="12"/>
  <c r="AE200" i="12"/>
  <c r="AH200" i="12"/>
  <c r="AG200" i="12"/>
  <c r="AH184" i="12"/>
  <c r="AH188" i="12"/>
  <c r="AH192" i="12"/>
  <c r="AH196" i="12"/>
  <c r="AH15" i="11"/>
  <c r="AE15" i="11"/>
  <c r="AC13" i="11"/>
  <c r="AB13" i="11"/>
  <c r="AC10" i="11"/>
  <c r="AE20" i="11"/>
  <c r="AG23" i="11"/>
  <c r="AD23" i="11"/>
  <c r="AD29" i="11"/>
  <c r="AG29" i="11"/>
  <c r="AH33" i="11"/>
  <c r="AE33" i="11"/>
  <c r="AH34" i="11"/>
  <c r="AE34" i="11"/>
  <c r="AE36" i="11"/>
  <c r="AH38" i="11"/>
  <c r="AE38" i="11"/>
  <c r="AH39" i="11"/>
  <c r="AE39" i="11"/>
  <c r="AG42" i="11"/>
  <c r="AD42" i="11"/>
  <c r="AB53" i="11"/>
  <c r="AH53" i="11" s="1"/>
  <c r="AD47" i="11"/>
  <c r="AD48" i="11"/>
  <c r="AG48" i="11"/>
  <c r="AG50" i="11"/>
  <c r="AD50" i="11"/>
  <c r="AB10" i="11"/>
  <c r="AG12" i="11"/>
  <c r="AD12" i="11"/>
  <c r="AD15" i="11"/>
  <c r="AD16" i="11"/>
  <c r="AG16" i="11"/>
  <c r="AG18" i="11"/>
  <c r="AD18" i="11"/>
  <c r="AH23" i="11"/>
  <c r="AE23" i="11"/>
  <c r="AD26" i="11"/>
  <c r="AH27" i="11"/>
  <c r="AE27" i="11"/>
  <c r="AD28" i="11"/>
  <c r="AH35" i="11"/>
  <c r="AE35" i="11"/>
  <c r="AD40" i="11"/>
  <c r="AG40" i="11"/>
  <c r="AG41" i="11"/>
  <c r="AD41" i="11"/>
  <c r="AH42" i="11"/>
  <c r="AE42" i="11"/>
  <c r="AH43" i="11"/>
  <c r="AE43" i="11"/>
  <c r="AE53" i="11"/>
  <c r="AB55" i="11"/>
  <c r="AH50" i="11"/>
  <c r="AE50" i="11"/>
  <c r="AH12" i="11"/>
  <c r="AE12" i="11"/>
  <c r="AH18" i="11"/>
  <c r="AE18" i="11"/>
  <c r="AH19" i="11"/>
  <c r="AE19" i="11"/>
  <c r="AH25" i="11"/>
  <c r="AE25" i="11"/>
  <c r="AD44" i="11"/>
  <c r="AG44" i="11"/>
  <c r="AG46" i="11"/>
  <c r="AD46" i="11"/>
  <c r="AH55" i="11"/>
  <c r="AE55" i="11"/>
  <c r="AD57" i="11"/>
  <c r="AG57" i="11"/>
  <c r="AD63" i="11"/>
  <c r="AG63" i="11"/>
  <c r="AB9" i="11"/>
  <c r="AC9" i="11"/>
  <c r="AD19" i="11"/>
  <c r="AD20" i="11"/>
  <c r="AG20" i="11"/>
  <c r="AD25" i="11"/>
  <c r="AH26" i="11"/>
  <c r="AE26" i="11"/>
  <c r="AH28" i="11"/>
  <c r="AE28" i="11"/>
  <c r="AG33" i="11"/>
  <c r="AD33" i="11"/>
  <c r="AD36" i="11"/>
  <c r="AG36" i="11"/>
  <c r="AG38" i="11"/>
  <c r="AD38" i="11"/>
  <c r="AE44" i="11"/>
  <c r="AH46" i="11"/>
  <c r="AE46" i="11"/>
  <c r="AH47" i="11"/>
  <c r="AE47" i="11"/>
  <c r="AE57" i="11"/>
  <c r="AH57" i="11"/>
  <c r="AE41" i="11"/>
  <c r="AH41" i="11"/>
  <c r="AC54" i="11"/>
  <c r="AB54" i="11"/>
  <c r="P201" i="11"/>
  <c r="AC17" i="11"/>
  <c r="AD17" i="11" s="1"/>
  <c r="AC21" i="11"/>
  <c r="AC22" i="11"/>
  <c r="AG22" i="11" s="1"/>
  <c r="AB30" i="11"/>
  <c r="AC31" i="11"/>
  <c r="AD31" i="11" s="1"/>
  <c r="AC32" i="11"/>
  <c r="AC37" i="11"/>
  <c r="AG37" i="11" s="1"/>
  <c r="AC45" i="11"/>
  <c r="AG45" i="11" s="1"/>
  <c r="AC49" i="11"/>
  <c r="AC60" i="11"/>
  <c r="AE62" i="11"/>
  <c r="AD64" i="11"/>
  <c r="AB70" i="11"/>
  <c r="AB71" i="11"/>
  <c r="AD72" i="11"/>
  <c r="AB90" i="11"/>
  <c r="AC90" i="11"/>
  <c r="V8" i="11"/>
  <c r="AG15" i="11"/>
  <c r="AH16" i="11"/>
  <c r="AG19" i="11"/>
  <c r="AH20" i="11"/>
  <c r="AG25" i="11"/>
  <c r="AG26" i="11"/>
  <c r="AG27" i="11"/>
  <c r="AG28" i="11"/>
  <c r="AH29" i="11"/>
  <c r="AG34" i="11"/>
  <c r="AG35" i="11"/>
  <c r="AH36" i="11"/>
  <c r="AG39" i="11"/>
  <c r="AH40" i="11"/>
  <c r="AG43" i="11"/>
  <c r="AH44" i="11"/>
  <c r="AG47" i="11"/>
  <c r="AH48" i="11"/>
  <c r="AH63" i="11"/>
  <c r="AE63" i="11"/>
  <c r="AH70" i="11"/>
  <c r="AG82" i="11"/>
  <c r="AG86" i="11"/>
  <c r="AH89" i="11"/>
  <c r="AH93" i="11"/>
  <c r="AE93" i="11"/>
  <c r="W8" i="11"/>
  <c r="AB24" i="11"/>
  <c r="AE24" i="11" s="1"/>
  <c r="AB51" i="11"/>
  <c r="AB52" i="11"/>
  <c r="AH52" i="11" s="1"/>
  <c r="AC56" i="11"/>
  <c r="AG56" i="11" s="1"/>
  <c r="AG58" i="11"/>
  <c r="AH58" i="11"/>
  <c r="AC59" i="11"/>
  <c r="AB61" i="11"/>
  <c r="AH62" i="11"/>
  <c r="AG64" i="11"/>
  <c r="AB66" i="11"/>
  <c r="AB67" i="11"/>
  <c r="AH67" i="11" s="1"/>
  <c r="AD68" i="11"/>
  <c r="AG72" i="11"/>
  <c r="AH73" i="11"/>
  <c r="AC74" i="11"/>
  <c r="AG74" i="11" s="1"/>
  <c r="AH76" i="11"/>
  <c r="AH77" i="11"/>
  <c r="AC78" i="11"/>
  <c r="AG78" i="11" s="1"/>
  <c r="AE82" i="11"/>
  <c r="AH82" i="11"/>
  <c r="AE86" i="11"/>
  <c r="AH86" i="11"/>
  <c r="AG87" i="11"/>
  <c r="AD87" i="11"/>
  <c r="AD89" i="11"/>
  <c r="AG89" i="11"/>
  <c r="AD59" i="11"/>
  <c r="AB60" i="11"/>
  <c r="AC61" i="11"/>
  <c r="AH64" i="11"/>
  <c r="AG65" i="11"/>
  <c r="AH65" i="11"/>
  <c r="AH66" i="11"/>
  <c r="AC69" i="11"/>
  <c r="AD69" i="11" s="1"/>
  <c r="AE70" i="11"/>
  <c r="AH71" i="11"/>
  <c r="AH72" i="11"/>
  <c r="AD73" i="11"/>
  <c r="AG73" i="11"/>
  <c r="AC75" i="11"/>
  <c r="AB75" i="11"/>
  <c r="AG76" i="11"/>
  <c r="AD77" i="11"/>
  <c r="AG77" i="11"/>
  <c r="AD78" i="11"/>
  <c r="AC79" i="11"/>
  <c r="AB79" i="11"/>
  <c r="AG80" i="11"/>
  <c r="AD81" i="11"/>
  <c r="AG81" i="11"/>
  <c r="AD82" i="11"/>
  <c r="AC83" i="11"/>
  <c r="AB83" i="11"/>
  <c r="AG84" i="11"/>
  <c r="AD85" i="11"/>
  <c r="AG85" i="11"/>
  <c r="AD86" i="11"/>
  <c r="AH87" i="11"/>
  <c r="AH88" i="11"/>
  <c r="AE88" i="11"/>
  <c r="AE76" i="11"/>
  <c r="AE80" i="11"/>
  <c r="AE84" i="11"/>
  <c r="AH92" i="11"/>
  <c r="AB94" i="11"/>
  <c r="AH94" i="11" s="1"/>
  <c r="AC97" i="11"/>
  <c r="AG100" i="11"/>
  <c r="AD102" i="11"/>
  <c r="AH103" i="11"/>
  <c r="AC104" i="11"/>
  <c r="AD104" i="11" s="1"/>
  <c r="AG106" i="11"/>
  <c r="AG107" i="11"/>
  <c r="AD107" i="11"/>
  <c r="AC109" i="11"/>
  <c r="AB109" i="11"/>
  <c r="AE110" i="11"/>
  <c r="AH110" i="11"/>
  <c r="AE115" i="11"/>
  <c r="AG116" i="11"/>
  <c r="AD118" i="11"/>
  <c r="AH119" i="11"/>
  <c r="AC120" i="11"/>
  <c r="AH124" i="11"/>
  <c r="AE124" i="11"/>
  <c r="AG127" i="11"/>
  <c r="AD127" i="11"/>
  <c r="AB99" i="11"/>
  <c r="AH100" i="11"/>
  <c r="AE100" i="11"/>
  <c r="AG103" i="11"/>
  <c r="AD103" i="11"/>
  <c r="AC105" i="11"/>
  <c r="AB105" i="11"/>
  <c r="AE106" i="11"/>
  <c r="AH106" i="11"/>
  <c r="AE111" i="11"/>
  <c r="AG112" i="11"/>
  <c r="AD114" i="11"/>
  <c r="AH116" i="11"/>
  <c r="AE116" i="11"/>
  <c r="AG119" i="11"/>
  <c r="AD119" i="11"/>
  <c r="AC121" i="11"/>
  <c r="AB121" i="11"/>
  <c r="AE122" i="11"/>
  <c r="AH122" i="11"/>
  <c r="AD126" i="11"/>
  <c r="AG128" i="11"/>
  <c r="AD128" i="11"/>
  <c r="AD93" i="11"/>
  <c r="AD100" i="11"/>
  <c r="AC101" i="11"/>
  <c r="AB101" i="11"/>
  <c r="AE102" i="11"/>
  <c r="AH102" i="11"/>
  <c r="AG108" i="11"/>
  <c r="AH112" i="11"/>
  <c r="AE112" i="11"/>
  <c r="AG114" i="11"/>
  <c r="AG115" i="11"/>
  <c r="AD115" i="11"/>
  <c r="AD116" i="11"/>
  <c r="AC117" i="11"/>
  <c r="AB117" i="11"/>
  <c r="AE118" i="11"/>
  <c r="AH118" i="11"/>
  <c r="AG123" i="11"/>
  <c r="AD123" i="11"/>
  <c r="AE127" i="11"/>
  <c r="AH128" i="11"/>
  <c r="AE128" i="11"/>
  <c r="AB91" i="11"/>
  <c r="AE91" i="11" s="1"/>
  <c r="AE92" i="11"/>
  <c r="AG95" i="11"/>
  <c r="AD95" i="11"/>
  <c r="AH95" i="11"/>
  <c r="AC96" i="11"/>
  <c r="AG96" i="11" s="1"/>
  <c r="AD97" i="11"/>
  <c r="AG97" i="11"/>
  <c r="AB98" i="11"/>
  <c r="AH98" i="11" s="1"/>
  <c r="AG104" i="11"/>
  <c r="AH108" i="11"/>
  <c r="AE108" i="11"/>
  <c r="AG111" i="11"/>
  <c r="AD111" i="11"/>
  <c r="AC113" i="11"/>
  <c r="AB113" i="11"/>
  <c r="AE114" i="11"/>
  <c r="AH114" i="11"/>
  <c r="AG120" i="11"/>
  <c r="AG124" i="11"/>
  <c r="AD124" i="11"/>
  <c r="AE126" i="11"/>
  <c r="AH126" i="11"/>
  <c r="AG122" i="11"/>
  <c r="AH123" i="11"/>
  <c r="AG126" i="11"/>
  <c r="AH127" i="11"/>
  <c r="AB153" i="11"/>
  <c r="AC153" i="11"/>
  <c r="AG173" i="11"/>
  <c r="AD173" i="11"/>
  <c r="AB125" i="11"/>
  <c r="AH129" i="11"/>
  <c r="AB130" i="11"/>
  <c r="AB131" i="11"/>
  <c r="AH131" i="11" s="1"/>
  <c r="AD132" i="11"/>
  <c r="AG136" i="11"/>
  <c r="AB138" i="11"/>
  <c r="AB139" i="11"/>
  <c r="AD140" i="11"/>
  <c r="AG144" i="11"/>
  <c r="AB146" i="11"/>
  <c r="AB147" i="11"/>
  <c r="AH147" i="11" s="1"/>
  <c r="AD148" i="11"/>
  <c r="AH152" i="11"/>
  <c r="AB154" i="11"/>
  <c r="AH154" i="11" s="1"/>
  <c r="AE156" i="11"/>
  <c r="AH130" i="11"/>
  <c r="AC133" i="11"/>
  <c r="AH135" i="11"/>
  <c r="AH136" i="11"/>
  <c r="AG137" i="11"/>
  <c r="AH137" i="11"/>
  <c r="AH138" i="11"/>
  <c r="AE139" i="11"/>
  <c r="AC141" i="11"/>
  <c r="AH144" i="11"/>
  <c r="AG145" i="11"/>
  <c r="AH145" i="11"/>
  <c r="AH146" i="11"/>
  <c r="AE147" i="11"/>
  <c r="AC149" i="11"/>
  <c r="AD156" i="11"/>
  <c r="AG156" i="11"/>
  <c r="AB157" i="11"/>
  <c r="AC157" i="11"/>
  <c r="AD159" i="11"/>
  <c r="AG159" i="11"/>
  <c r="AC160" i="11"/>
  <c r="AB160" i="11"/>
  <c r="AE161" i="11"/>
  <c r="AH161" i="11"/>
  <c r="AG132" i="11"/>
  <c r="AB134" i="11"/>
  <c r="AB135" i="11"/>
  <c r="AD136" i="11"/>
  <c r="AG140" i="11"/>
  <c r="AD141" i="11"/>
  <c r="AB142" i="11"/>
  <c r="AB143" i="11"/>
  <c r="AD144" i="11"/>
  <c r="AD149" i="11"/>
  <c r="AB150" i="11"/>
  <c r="AH150" i="11" s="1"/>
  <c r="AB151" i="11"/>
  <c r="AD152" i="11"/>
  <c r="AH156" i="11"/>
  <c r="AE165" i="11"/>
  <c r="AH165" i="11"/>
  <c r="AG165" i="11"/>
  <c r="AG152" i="11"/>
  <c r="AH159" i="11"/>
  <c r="AB162" i="11"/>
  <c r="AH162" i="11" s="1"/>
  <c r="AH168" i="11"/>
  <c r="AE173" i="11"/>
  <c r="AC182" i="11"/>
  <c r="AB182" i="11"/>
  <c r="AC186" i="11"/>
  <c r="AB186" i="11"/>
  <c r="AC190" i="11"/>
  <c r="AB190" i="11"/>
  <c r="AC194" i="11"/>
  <c r="AB194" i="11"/>
  <c r="AH198" i="11"/>
  <c r="AE198" i="11"/>
  <c r="AH199" i="11"/>
  <c r="AE199" i="11"/>
  <c r="AC163" i="11"/>
  <c r="AD163" i="11" s="1"/>
  <c r="AE164" i="11"/>
  <c r="AD171" i="11"/>
  <c r="AB172" i="11"/>
  <c r="AE172" i="11" s="1"/>
  <c r="AC179" i="11"/>
  <c r="AD179" i="11" s="1"/>
  <c r="AG180" i="11"/>
  <c r="AH181" i="11"/>
  <c r="AD183" i="11"/>
  <c r="AG183" i="11"/>
  <c r="AG184" i="11"/>
  <c r="AH185" i="11"/>
  <c r="AD187" i="11"/>
  <c r="AG187" i="11"/>
  <c r="AG188" i="11"/>
  <c r="AH189" i="11"/>
  <c r="AD191" i="11"/>
  <c r="AG191" i="11"/>
  <c r="AG192" i="11"/>
  <c r="AH193" i="11"/>
  <c r="AD195" i="11"/>
  <c r="AG195" i="11"/>
  <c r="AD200" i="11"/>
  <c r="AD161" i="11"/>
  <c r="AC167" i="11"/>
  <c r="AG167" i="11" s="1"/>
  <c r="AB169" i="11"/>
  <c r="AE169" i="11" s="1"/>
  <c r="AB170" i="11"/>
  <c r="AE170" i="11"/>
  <c r="AB175" i="11"/>
  <c r="AB176" i="11"/>
  <c r="AH176" i="11" s="1"/>
  <c r="AD177" i="11"/>
  <c r="AH183" i="11"/>
  <c r="AH187" i="11"/>
  <c r="AH191" i="11"/>
  <c r="AH195" i="11"/>
  <c r="AE195" i="11"/>
  <c r="AE196" i="11"/>
  <c r="AH196" i="11"/>
  <c r="AG197" i="11"/>
  <c r="AD197" i="11"/>
  <c r="AH155" i="11"/>
  <c r="AB158" i="11"/>
  <c r="AE158" i="11" s="1"/>
  <c r="AE159" i="11"/>
  <c r="AD164" i="11"/>
  <c r="AC166" i="11"/>
  <c r="AG168" i="11"/>
  <c r="AH171" i="11"/>
  <c r="AH173" i="11"/>
  <c r="AG174" i="11"/>
  <c r="AH174" i="11"/>
  <c r="AH175" i="11"/>
  <c r="AC178" i="11"/>
  <c r="AE180" i="11"/>
  <c r="AH180" i="11"/>
  <c r="AG181" i="11"/>
  <c r="AE184" i="11"/>
  <c r="AH184" i="11"/>
  <c r="AG185" i="11"/>
  <c r="AE188" i="11"/>
  <c r="AH188" i="11"/>
  <c r="AG189" i="11"/>
  <c r="AE192" i="11"/>
  <c r="AH192" i="11"/>
  <c r="AG193" i="11"/>
  <c r="AG198" i="11"/>
  <c r="AD198" i="11"/>
  <c r="AD199" i="11"/>
  <c r="AG199" i="11"/>
  <c r="AE200" i="11"/>
  <c r="AH200" i="11"/>
  <c r="AG196" i="11"/>
  <c r="AH197" i="11"/>
  <c r="AG200" i="11"/>
  <c r="AD181" i="11"/>
  <c r="AD185" i="11"/>
  <c r="AD189" i="11"/>
  <c r="AD193" i="11"/>
  <c r="AE11" i="10"/>
  <c r="AH11" i="10"/>
  <c r="AB12" i="10"/>
  <c r="AC14" i="10"/>
  <c r="AE13" i="10"/>
  <c r="AH13" i="10"/>
  <c r="AG20" i="10"/>
  <c r="AD20" i="10"/>
  <c r="AD26" i="10"/>
  <c r="AG26" i="10"/>
  <c r="AE29" i="10"/>
  <c r="AH29" i="10"/>
  <c r="AG32" i="10"/>
  <c r="AD33" i="10"/>
  <c r="AG33" i="10"/>
  <c r="AB34" i="10"/>
  <c r="AE35" i="10"/>
  <c r="AH35" i="10"/>
  <c r="AG36" i="10"/>
  <c r="AD36" i="10"/>
  <c r="AG41" i="10"/>
  <c r="AH46" i="10"/>
  <c r="AE48" i="10"/>
  <c r="AH48" i="10"/>
  <c r="AH49" i="10"/>
  <c r="AE49" i="10"/>
  <c r="AG58" i="10"/>
  <c r="AC12" i="10"/>
  <c r="AD13" i="10"/>
  <c r="AG13" i="10"/>
  <c r="AG16" i="10"/>
  <c r="AD16" i="10"/>
  <c r="AH20" i="10"/>
  <c r="AE20" i="10"/>
  <c r="AH21" i="10"/>
  <c r="AE21" i="10"/>
  <c r="AE26" i="10"/>
  <c r="AH26" i="10"/>
  <c r="AD27" i="10"/>
  <c r="AG27" i="10"/>
  <c r="AH31" i="10"/>
  <c r="AE31" i="10"/>
  <c r="AE36" i="10"/>
  <c r="AH36" i="10"/>
  <c r="AH37" i="10"/>
  <c r="AE37" i="10"/>
  <c r="AH43" i="10"/>
  <c r="AG44" i="10"/>
  <c r="AD44" i="10"/>
  <c r="AB57" i="10"/>
  <c r="AH57" i="10" s="1"/>
  <c r="AD50" i="10"/>
  <c r="AG50" i="10"/>
  <c r="AB56" i="10"/>
  <c r="AE56" i="10" s="1"/>
  <c r="AB9" i="10"/>
  <c r="AH9" i="10" s="1"/>
  <c r="AH16" i="10"/>
  <c r="AE16" i="10"/>
  <c r="AH17" i="10"/>
  <c r="AE17" i="10"/>
  <c r="AE27" i="10"/>
  <c r="AH27" i="10"/>
  <c r="AD28" i="10"/>
  <c r="AG28" i="10"/>
  <c r="AH32" i="10"/>
  <c r="AE32" i="10"/>
  <c r="AD38" i="10"/>
  <c r="AG38" i="10"/>
  <c r="AG40" i="10"/>
  <c r="AD40" i="10"/>
  <c r="AE44" i="10"/>
  <c r="AH44" i="10"/>
  <c r="AH45" i="10"/>
  <c r="AE45" i="10"/>
  <c r="AE57" i="10"/>
  <c r="AH50" i="10"/>
  <c r="AG54" i="10"/>
  <c r="AD54" i="10"/>
  <c r="AC55" i="10"/>
  <c r="AD55" i="10" s="1"/>
  <c r="AE58" i="10"/>
  <c r="AH58" i="10"/>
  <c r="AH56" i="10"/>
  <c r="AD11" i="10"/>
  <c r="AG11" i="10"/>
  <c r="AD14" i="10"/>
  <c r="AG14" i="10"/>
  <c r="AD17" i="10"/>
  <c r="AC10" i="10"/>
  <c r="AE28" i="10"/>
  <c r="AH28" i="10"/>
  <c r="AG29" i="10"/>
  <c r="AD29" i="10"/>
  <c r="AD35" i="10"/>
  <c r="AG35" i="10"/>
  <c r="AC22" i="10"/>
  <c r="AB22" i="10"/>
  <c r="AH38" i="10"/>
  <c r="AE40" i="10"/>
  <c r="AH40" i="10"/>
  <c r="AH41" i="10"/>
  <c r="AE41" i="10"/>
  <c r="AG45" i="10"/>
  <c r="AD46" i="10"/>
  <c r="AG46" i="10"/>
  <c r="AG48" i="10"/>
  <c r="AD48" i="10"/>
  <c r="AB53" i="10"/>
  <c r="AH53" i="10" s="1"/>
  <c r="AE54" i="10"/>
  <c r="AH54" i="10"/>
  <c r="AE34" i="10"/>
  <c r="AH34" i="10"/>
  <c r="AB42" i="10"/>
  <c r="AH42" i="10" s="1"/>
  <c r="AD64" i="10"/>
  <c r="AG64" i="10"/>
  <c r="AD66" i="10"/>
  <c r="AG17" i="10"/>
  <c r="AH18" i="10"/>
  <c r="AG21" i="10"/>
  <c r="V8" i="10"/>
  <c r="AB15" i="10"/>
  <c r="AB19" i="10"/>
  <c r="AE19" i="10" s="1"/>
  <c r="AE23" i="10"/>
  <c r="AB25" i="10"/>
  <c r="AE25" i="10" s="1"/>
  <c r="AC30" i="10"/>
  <c r="AD31" i="10"/>
  <c r="AD32" i="10"/>
  <c r="AE33" i="10"/>
  <c r="AD37" i="10"/>
  <c r="AE38" i="10"/>
  <c r="AB39" i="10"/>
  <c r="AH39" i="10" s="1"/>
  <c r="AD41" i="10"/>
  <c r="AB43" i="10"/>
  <c r="AD45" i="10"/>
  <c r="AE46" i="10"/>
  <c r="AB47" i="10"/>
  <c r="AH47" i="10" s="1"/>
  <c r="AD49" i="10"/>
  <c r="AE50" i="10"/>
  <c r="AD58" i="10"/>
  <c r="AC59" i="10"/>
  <c r="AD59" i="10" s="1"/>
  <c r="AB63" i="10"/>
  <c r="AC66" i="10"/>
  <c r="AH69" i="10"/>
  <c r="AG70" i="10"/>
  <c r="AH70" i="10"/>
  <c r="AC74" i="10"/>
  <c r="AB74" i="10"/>
  <c r="AD76" i="10"/>
  <c r="AC78" i="10"/>
  <c r="AB78" i="10"/>
  <c r="AD80" i="10"/>
  <c r="AC82" i="10"/>
  <c r="AB82" i="10"/>
  <c r="AD84" i="10"/>
  <c r="AC86" i="10"/>
  <c r="AB86" i="10"/>
  <c r="AD88" i="10"/>
  <c r="AC90" i="10"/>
  <c r="AB90" i="10"/>
  <c r="AE93" i="10"/>
  <c r="AE95" i="10"/>
  <c r="AH95" i="10"/>
  <c r="W201" i="10"/>
  <c r="AG18" i="10"/>
  <c r="AG23" i="10"/>
  <c r="AB24" i="10"/>
  <c r="AB51" i="10"/>
  <c r="AB52" i="10"/>
  <c r="AC60" i="10"/>
  <c r="AG60" i="10" s="1"/>
  <c r="AC62" i="10"/>
  <c r="AG62" i="10" s="1"/>
  <c r="AH64" i="10"/>
  <c r="AB67" i="10"/>
  <c r="AB68" i="10"/>
  <c r="AD69" i="10"/>
  <c r="AB75" i="10"/>
  <c r="AH75" i="10" s="1"/>
  <c r="AB79" i="10"/>
  <c r="AB83" i="10"/>
  <c r="AH83" i="10" s="1"/>
  <c r="AG87" i="10"/>
  <c r="AD87" i="10"/>
  <c r="AG91" i="10"/>
  <c r="AD91" i="10"/>
  <c r="AD93" i="10"/>
  <c r="AG93" i="10"/>
  <c r="AB94" i="10"/>
  <c r="AC94" i="10"/>
  <c r="AH63" i="10"/>
  <c r="AE63" i="10"/>
  <c r="AG66" i="10"/>
  <c r="AH67" i="10"/>
  <c r="AH79" i="10"/>
  <c r="AH87" i="10"/>
  <c r="AH91" i="10"/>
  <c r="AG95" i="10"/>
  <c r="AD95" i="10"/>
  <c r="P201" i="10"/>
  <c r="AB61" i="10"/>
  <c r="AH61" i="10" s="1"/>
  <c r="AD65" i="10"/>
  <c r="AG69" i="10"/>
  <c r="AD70" i="10"/>
  <c r="AB71" i="10"/>
  <c r="AH71" i="10" s="1"/>
  <c r="AB72" i="10"/>
  <c r="AE72" i="10" s="1"/>
  <c r="AD73" i="10"/>
  <c r="AE75" i="10"/>
  <c r="AH76" i="10"/>
  <c r="AE76" i="10"/>
  <c r="AE79" i="10"/>
  <c r="AH80" i="10"/>
  <c r="AE80" i="10"/>
  <c r="AH84" i="10"/>
  <c r="AE84" i="10"/>
  <c r="AE87" i="10"/>
  <c r="AH88" i="10"/>
  <c r="AE88" i="10"/>
  <c r="AE91" i="10"/>
  <c r="AD99" i="10"/>
  <c r="AB92" i="10"/>
  <c r="AE92" i="10" s="1"/>
  <c r="AC96" i="10"/>
  <c r="AG96" i="10" s="1"/>
  <c r="AC99" i="10"/>
  <c r="AE101" i="10"/>
  <c r="AH101" i="10"/>
  <c r="AE105" i="10"/>
  <c r="AH105" i="10"/>
  <c r="AE109" i="10"/>
  <c r="AH109" i="10"/>
  <c r="AE113" i="10"/>
  <c r="AH113" i="10"/>
  <c r="AE117" i="10"/>
  <c r="AH117" i="10"/>
  <c r="AD128" i="10"/>
  <c r="AG128" i="10"/>
  <c r="AG73" i="10"/>
  <c r="AG77" i="10"/>
  <c r="AG81" i="10"/>
  <c r="AG85" i="10"/>
  <c r="AG89" i="10"/>
  <c r="AH93" i="10"/>
  <c r="AG98" i="10"/>
  <c r="AB100" i="10"/>
  <c r="AE100" i="10" s="1"/>
  <c r="AD101" i="10"/>
  <c r="AC103" i="10"/>
  <c r="AB103" i="10"/>
  <c r="AD105" i="10"/>
  <c r="AC107" i="10"/>
  <c r="AB107" i="10"/>
  <c r="AD109" i="10"/>
  <c r="AC111" i="10"/>
  <c r="AB111" i="10"/>
  <c r="AD113" i="10"/>
  <c r="AC115" i="10"/>
  <c r="AB115" i="10"/>
  <c r="AD117" i="10"/>
  <c r="AD124" i="10"/>
  <c r="AG124" i="10"/>
  <c r="AG99" i="10"/>
  <c r="AH100" i="10"/>
  <c r="AD104" i="10"/>
  <c r="AG104" i="10"/>
  <c r="AD108" i="10"/>
  <c r="AG108" i="10"/>
  <c r="AD112" i="10"/>
  <c r="AG112" i="10"/>
  <c r="AD116" i="10"/>
  <c r="AG116" i="10"/>
  <c r="AD120" i="10"/>
  <c r="AG120" i="10"/>
  <c r="AH124" i="10"/>
  <c r="AE124" i="10"/>
  <c r="AE125" i="10"/>
  <c r="AH125" i="10"/>
  <c r="AB97" i="10"/>
  <c r="AD98" i="10"/>
  <c r="AH104" i="10"/>
  <c r="AH108" i="10"/>
  <c r="AH112" i="10"/>
  <c r="AH116" i="10"/>
  <c r="AH120" i="10"/>
  <c r="AE120" i="10"/>
  <c r="AE121" i="10"/>
  <c r="AH121" i="10"/>
  <c r="AD125" i="10"/>
  <c r="AG117" i="10"/>
  <c r="AH118" i="10"/>
  <c r="AG121" i="10"/>
  <c r="AH122" i="10"/>
  <c r="AG125" i="10"/>
  <c r="AH128" i="10"/>
  <c r="AG131" i="10"/>
  <c r="AD131" i="10"/>
  <c r="AG135" i="10"/>
  <c r="AD135" i="10"/>
  <c r="AG139" i="10"/>
  <c r="AD139" i="10"/>
  <c r="AE154" i="10"/>
  <c r="AH154" i="10"/>
  <c r="AD102" i="10"/>
  <c r="AD106" i="10"/>
  <c r="AD110" i="10"/>
  <c r="AD114" i="10"/>
  <c r="AD118" i="10"/>
  <c r="AD122" i="10"/>
  <c r="AD126" i="10"/>
  <c r="AH129" i="10"/>
  <c r="AG130" i="10"/>
  <c r="AH130" i="10"/>
  <c r="AH131" i="10"/>
  <c r="AH135" i="10"/>
  <c r="AH139" i="10"/>
  <c r="AD141" i="10"/>
  <c r="AG141" i="10"/>
  <c r="AH144" i="10"/>
  <c r="AE144" i="10"/>
  <c r="AE145" i="10"/>
  <c r="AG146" i="10"/>
  <c r="AD148" i="10"/>
  <c r="AH149" i="10"/>
  <c r="AC150" i="10"/>
  <c r="AG150" i="10" s="1"/>
  <c r="AB151" i="10"/>
  <c r="AG152" i="10"/>
  <c r="AD153" i="10"/>
  <c r="AG153" i="10"/>
  <c r="AG165" i="10"/>
  <c r="AD165" i="10"/>
  <c r="AB119" i="10"/>
  <c r="AE119" i="10" s="1"/>
  <c r="AB123" i="10"/>
  <c r="AD129" i="10"/>
  <c r="AE131" i="10"/>
  <c r="AH132" i="10"/>
  <c r="AE132" i="10"/>
  <c r="AD133" i="10"/>
  <c r="AE135" i="10"/>
  <c r="AH136" i="10"/>
  <c r="AE136" i="10"/>
  <c r="AD137" i="10"/>
  <c r="AE139" i="10"/>
  <c r="AH140" i="10"/>
  <c r="AE140" i="10"/>
  <c r="AC142" i="10"/>
  <c r="AB142" i="10"/>
  <c r="AE146" i="10"/>
  <c r="AH146" i="10"/>
  <c r="AB147" i="10"/>
  <c r="AD149" i="10"/>
  <c r="AG149" i="10"/>
  <c r="AD150" i="10"/>
  <c r="AH152" i="10"/>
  <c r="AE152" i="10"/>
  <c r="AE169" i="10"/>
  <c r="AH169" i="10"/>
  <c r="AH174" i="10"/>
  <c r="AE174" i="10"/>
  <c r="AD174" i="10"/>
  <c r="AH126" i="10"/>
  <c r="AB127" i="10"/>
  <c r="AE128" i="10"/>
  <c r="AC134" i="10"/>
  <c r="AB134" i="10"/>
  <c r="AC138" i="10"/>
  <c r="AB138" i="10"/>
  <c r="AB143" i="10"/>
  <c r="AH143" i="10" s="1"/>
  <c r="AD145" i="10"/>
  <c r="AG145" i="10"/>
  <c r="AH147" i="10"/>
  <c r="AH148" i="10"/>
  <c r="AE148" i="10"/>
  <c r="AG154" i="10"/>
  <c r="AE160" i="10"/>
  <c r="AH160" i="10"/>
  <c r="AC156" i="10"/>
  <c r="AD156" i="10" s="1"/>
  <c r="AD160" i="10"/>
  <c r="AE165" i="10"/>
  <c r="AC179" i="10"/>
  <c r="AB179" i="10"/>
  <c r="AH182" i="10"/>
  <c r="AE182" i="10"/>
  <c r="AG189" i="10"/>
  <c r="AD189" i="10"/>
  <c r="AG194" i="10"/>
  <c r="AD194" i="10"/>
  <c r="AH198" i="10"/>
  <c r="AE198" i="10"/>
  <c r="AH199" i="10"/>
  <c r="AE199" i="10"/>
  <c r="AG133" i="10"/>
  <c r="AG137" i="10"/>
  <c r="AC155" i="10"/>
  <c r="AD155" i="10" s="1"/>
  <c r="AB157" i="10"/>
  <c r="AD163" i="10"/>
  <c r="AB164" i="10"/>
  <c r="AE164" i="10" s="1"/>
  <c r="AB167" i="10"/>
  <c r="AH167" i="10" s="1"/>
  <c r="AC171" i="10"/>
  <c r="AD171" i="10" s="1"/>
  <c r="AE172" i="10"/>
  <c r="AB173" i="10"/>
  <c r="AE173" i="10" s="1"/>
  <c r="AG174" i="10"/>
  <c r="AE176" i="10"/>
  <c r="AG185" i="10"/>
  <c r="AD185" i="10"/>
  <c r="AG190" i="10"/>
  <c r="AD190" i="10"/>
  <c r="AH194" i="10"/>
  <c r="AE194" i="10"/>
  <c r="AC159" i="10"/>
  <c r="AB161" i="10"/>
  <c r="AE161" i="10" s="1"/>
  <c r="AB162" i="10"/>
  <c r="AE162" i="10" s="1"/>
  <c r="AB168" i="10"/>
  <c r="AD169" i="10"/>
  <c r="AC170" i="10"/>
  <c r="AC175" i="10"/>
  <c r="AD175" i="10" s="1"/>
  <c r="AG176" i="10"/>
  <c r="AD177" i="10"/>
  <c r="AG181" i="10"/>
  <c r="AD181" i="10"/>
  <c r="AG186" i="10"/>
  <c r="AD186" i="10"/>
  <c r="AE189" i="10"/>
  <c r="AH190" i="10"/>
  <c r="AE190" i="10"/>
  <c r="AG197" i="10"/>
  <c r="AD197" i="10"/>
  <c r="AC158" i="10"/>
  <c r="AG158" i="10" s="1"/>
  <c r="AG160" i="10"/>
  <c r="AH163" i="10"/>
  <c r="AH165" i="10"/>
  <c r="AB166" i="10"/>
  <c r="AH166" i="10" s="1"/>
  <c r="AD172" i="10"/>
  <c r="AH176" i="10"/>
  <c r="AG177" i="10"/>
  <c r="AH177" i="10"/>
  <c r="AC178" i="10"/>
  <c r="AG178" i="10" s="1"/>
  <c r="AG182" i="10"/>
  <c r="AD182" i="10"/>
  <c r="AE185" i="10"/>
  <c r="AH186" i="10"/>
  <c r="AE186" i="10"/>
  <c r="AG193" i="10"/>
  <c r="AD193" i="10"/>
  <c r="AG198" i="10"/>
  <c r="AD198" i="10"/>
  <c r="AD199" i="10"/>
  <c r="AG199" i="10"/>
  <c r="AE200" i="10"/>
  <c r="AH200" i="10"/>
  <c r="AG180" i="10"/>
  <c r="AH181" i="10"/>
  <c r="AG184" i="10"/>
  <c r="AH185" i="10"/>
  <c r="AG188" i="10"/>
  <c r="AH189" i="10"/>
  <c r="AG192" i="10"/>
  <c r="AH193" i="10"/>
  <c r="AG196" i="10"/>
  <c r="AH197" i="10"/>
  <c r="AG200" i="10"/>
  <c r="AH180" i="10"/>
  <c r="AB183" i="10"/>
  <c r="AE183" i="10" s="1"/>
  <c r="AH184" i="10"/>
  <c r="AB187" i="10"/>
  <c r="AE187" i="10" s="1"/>
  <c r="AH188" i="10"/>
  <c r="AB191" i="10"/>
  <c r="AH191" i="10" s="1"/>
  <c r="AH192" i="10"/>
  <c r="AB195" i="10"/>
  <c r="AH195" i="10" s="1"/>
  <c r="AH196" i="10"/>
  <c r="AC12" i="9"/>
  <c r="AG13" i="9"/>
  <c r="AD13" i="9"/>
  <c r="AG14" i="9"/>
  <c r="AD14" i="9"/>
  <c r="AE14" i="9"/>
  <c r="AH14" i="9"/>
  <c r="AH19" i="9"/>
  <c r="AE19" i="9"/>
  <c r="AH20" i="9"/>
  <c r="AE20" i="9"/>
  <c r="AD21" i="9"/>
  <c r="AG21" i="9"/>
  <c r="AH25" i="9"/>
  <c r="AE25" i="9"/>
  <c r="AD31" i="9"/>
  <c r="AG31" i="9"/>
  <c r="AD37" i="9"/>
  <c r="AG37" i="9"/>
  <c r="AE42" i="9"/>
  <c r="AH42" i="9"/>
  <c r="AD45" i="9"/>
  <c r="AG45" i="9"/>
  <c r="AC53" i="9"/>
  <c r="AC57" i="9"/>
  <c r="AD57" i="9" s="1"/>
  <c r="AC9" i="9"/>
  <c r="AH13" i="9"/>
  <c r="AE13" i="9"/>
  <c r="AG15" i="9"/>
  <c r="AD15" i="9"/>
  <c r="AD10" i="9"/>
  <c r="AD20" i="9"/>
  <c r="AD30" i="9"/>
  <c r="AD36" i="9"/>
  <c r="AG38" i="9"/>
  <c r="AD38" i="9"/>
  <c r="AH40" i="9"/>
  <c r="AE40" i="9"/>
  <c r="AD44" i="9"/>
  <c r="AG46" i="9"/>
  <c r="AD46" i="9"/>
  <c r="AC10" i="9"/>
  <c r="AG10" i="9" s="1"/>
  <c r="AH15" i="9"/>
  <c r="AE15" i="9"/>
  <c r="AH16" i="9"/>
  <c r="AE16" i="9"/>
  <c r="AD17" i="9"/>
  <c r="AG17" i="9"/>
  <c r="AE21" i="9"/>
  <c r="AE31" i="9"/>
  <c r="AG33" i="9"/>
  <c r="AD33" i="9"/>
  <c r="AG34" i="9"/>
  <c r="AD34" i="9"/>
  <c r="AE37" i="9"/>
  <c r="AE38" i="9"/>
  <c r="AH38" i="9"/>
  <c r="AD41" i="9"/>
  <c r="AG41" i="9"/>
  <c r="AE45" i="9"/>
  <c r="AE46" i="9"/>
  <c r="AH46" i="9"/>
  <c r="AH49" i="9"/>
  <c r="AE49" i="9"/>
  <c r="AE50" i="9"/>
  <c r="AH50" i="9"/>
  <c r="AB12" i="9"/>
  <c r="AG19" i="9"/>
  <c r="AD19" i="9"/>
  <c r="AG25" i="9"/>
  <c r="AD25" i="9"/>
  <c r="AH30" i="9"/>
  <c r="AE30" i="9"/>
  <c r="AE33" i="9"/>
  <c r="AH33" i="9"/>
  <c r="AH34" i="9"/>
  <c r="AE34" i="9"/>
  <c r="AH36" i="9"/>
  <c r="AE36" i="9"/>
  <c r="AG42" i="9"/>
  <c r="AD42" i="9"/>
  <c r="AH44" i="9"/>
  <c r="AE44" i="9"/>
  <c r="AG53" i="9"/>
  <c r="AD53" i="9"/>
  <c r="AB55" i="9"/>
  <c r="AE55" i="9" s="1"/>
  <c r="AG57" i="9"/>
  <c r="AC18" i="9"/>
  <c r="AB22" i="9"/>
  <c r="AE22" i="9" s="1"/>
  <c r="AC23" i="9"/>
  <c r="AD23" i="9" s="1"/>
  <c r="AC24" i="9"/>
  <c r="AD24" i="9" s="1"/>
  <c r="AB32" i="9"/>
  <c r="AB47" i="9"/>
  <c r="AH47" i="9" s="1"/>
  <c r="AG50" i="9"/>
  <c r="AB51" i="9"/>
  <c r="AE51" i="9" s="1"/>
  <c r="AC54" i="9"/>
  <c r="AH60" i="9"/>
  <c r="AE60" i="9"/>
  <c r="AD62" i="9"/>
  <c r="AH66" i="9"/>
  <c r="AE66" i="9"/>
  <c r="AD67" i="9"/>
  <c r="AG77" i="9"/>
  <c r="AD77" i="9"/>
  <c r="AH81" i="9"/>
  <c r="AE81" i="9"/>
  <c r="AH82" i="9"/>
  <c r="AE82" i="9"/>
  <c r="AG93" i="9"/>
  <c r="AD93" i="9"/>
  <c r="AH97" i="9"/>
  <c r="AE97" i="9"/>
  <c r="AH98" i="9"/>
  <c r="AE98" i="9"/>
  <c r="AG105" i="9"/>
  <c r="AD105" i="9"/>
  <c r="AG20" i="9"/>
  <c r="AH21" i="9"/>
  <c r="AB29" i="9"/>
  <c r="AG30" i="9"/>
  <c r="AH31" i="9"/>
  <c r="AG36" i="9"/>
  <c r="AH37" i="9"/>
  <c r="AG40" i="9"/>
  <c r="AH41" i="9"/>
  <c r="AG44" i="9"/>
  <c r="AH45" i="9"/>
  <c r="AC61" i="9"/>
  <c r="AB64" i="9"/>
  <c r="AC64" i="9"/>
  <c r="AB68" i="9"/>
  <c r="AC68" i="9"/>
  <c r="AG73" i="9"/>
  <c r="AD73" i="9"/>
  <c r="AH77" i="9"/>
  <c r="AE77" i="9"/>
  <c r="AH78" i="9"/>
  <c r="AE78" i="9"/>
  <c r="AD82" i="9"/>
  <c r="AG89" i="9"/>
  <c r="AD89" i="9"/>
  <c r="AH93" i="9"/>
  <c r="AE93" i="9"/>
  <c r="AH94" i="9"/>
  <c r="AE94" i="9"/>
  <c r="AD98" i="9"/>
  <c r="AG16" i="9"/>
  <c r="AH17" i="9"/>
  <c r="V8" i="9"/>
  <c r="AB26" i="9"/>
  <c r="AE26" i="9" s="1"/>
  <c r="AB27" i="9"/>
  <c r="AB28" i="9"/>
  <c r="AE28" i="9" s="1"/>
  <c r="AB35" i="9"/>
  <c r="AH35" i="9" s="1"/>
  <c r="AB39" i="9"/>
  <c r="AH39" i="9" s="1"/>
  <c r="AB43" i="9"/>
  <c r="AB48" i="9"/>
  <c r="AB52" i="9"/>
  <c r="AH52" i="9" s="1"/>
  <c r="AB58" i="9"/>
  <c r="AH58" i="9" s="1"/>
  <c r="AB59" i="9"/>
  <c r="AH59" i="9" s="1"/>
  <c r="AG62" i="9"/>
  <c r="AD63" i="9"/>
  <c r="AG63" i="9"/>
  <c r="AH63" i="9"/>
  <c r="AB65" i="9"/>
  <c r="AE65" i="9" s="1"/>
  <c r="AG66" i="9"/>
  <c r="AH67" i="9"/>
  <c r="AG69" i="9"/>
  <c r="AD69" i="9"/>
  <c r="AH73" i="9"/>
  <c r="AE73" i="9"/>
  <c r="AH74" i="9"/>
  <c r="AE74" i="9"/>
  <c r="AD78" i="9"/>
  <c r="AG85" i="9"/>
  <c r="AD85" i="9"/>
  <c r="AH89" i="9"/>
  <c r="AE89" i="9"/>
  <c r="AH90" i="9"/>
  <c r="AE90" i="9"/>
  <c r="AD94" i="9"/>
  <c r="AE100" i="9"/>
  <c r="AH100" i="9"/>
  <c r="AH105" i="9"/>
  <c r="W8" i="9"/>
  <c r="AD49" i="9"/>
  <c r="AG54" i="9"/>
  <c r="AE59" i="9"/>
  <c r="AH62" i="9"/>
  <c r="AH69" i="9"/>
  <c r="AE69" i="9"/>
  <c r="AH70" i="9"/>
  <c r="AE70" i="9"/>
  <c r="AD74" i="9"/>
  <c r="AG81" i="9"/>
  <c r="AD81" i="9"/>
  <c r="AH85" i="9"/>
  <c r="AE85" i="9"/>
  <c r="AH86" i="9"/>
  <c r="AE86" i="9"/>
  <c r="AD90" i="9"/>
  <c r="AG97" i="9"/>
  <c r="AD97" i="9"/>
  <c r="AG100" i="9"/>
  <c r="AG67" i="9"/>
  <c r="AG71" i="9"/>
  <c r="AC72" i="9"/>
  <c r="AG72" i="9" s="1"/>
  <c r="AG75" i="9"/>
  <c r="AC76" i="9"/>
  <c r="AG79" i="9"/>
  <c r="AC80" i="9"/>
  <c r="AD80" i="9" s="1"/>
  <c r="AG83" i="9"/>
  <c r="AC84" i="9"/>
  <c r="AG87" i="9"/>
  <c r="AC88" i="9"/>
  <c r="AG91" i="9"/>
  <c r="AC92" i="9"/>
  <c r="AG95" i="9"/>
  <c r="AC96" i="9"/>
  <c r="AG96" i="9" s="1"/>
  <c r="AC101" i="9"/>
  <c r="AG101" i="9" s="1"/>
  <c r="AH103" i="9"/>
  <c r="AG103" i="9"/>
  <c r="AB106" i="9"/>
  <c r="AE106" i="9" s="1"/>
  <c r="AG107" i="9"/>
  <c r="AB110" i="9"/>
  <c r="AG116" i="9"/>
  <c r="AD116" i="9"/>
  <c r="AE119" i="9"/>
  <c r="AH119" i="9"/>
  <c r="AC121" i="9"/>
  <c r="AB121" i="9"/>
  <c r="AB126" i="9"/>
  <c r="AH126" i="9" s="1"/>
  <c r="AH130" i="9"/>
  <c r="AG132" i="9"/>
  <c r="AD132" i="9"/>
  <c r="AE135" i="9"/>
  <c r="AG150" i="9"/>
  <c r="AD150" i="9"/>
  <c r="AG70" i="9"/>
  <c r="AH71" i="9"/>
  <c r="AG74" i="9"/>
  <c r="AH75" i="9"/>
  <c r="AG78" i="9"/>
  <c r="AH79" i="9"/>
  <c r="AG82" i="9"/>
  <c r="AH83" i="9"/>
  <c r="AG86" i="9"/>
  <c r="AH87" i="9"/>
  <c r="AG90" i="9"/>
  <c r="AH91" i="9"/>
  <c r="AG94" i="9"/>
  <c r="AH95" i="9"/>
  <c r="AG98" i="9"/>
  <c r="AD100" i="9"/>
  <c r="AE105" i="9"/>
  <c r="AE107" i="9"/>
  <c r="AH107" i="9"/>
  <c r="AH110" i="9"/>
  <c r="AG112" i="9"/>
  <c r="AD112" i="9"/>
  <c r="AE115" i="9"/>
  <c r="AH115" i="9"/>
  <c r="AC117" i="9"/>
  <c r="AB117" i="9"/>
  <c r="AD122" i="9"/>
  <c r="AG122" i="9"/>
  <c r="AG128" i="9"/>
  <c r="AD128" i="9"/>
  <c r="AE131" i="9"/>
  <c r="AH131" i="9"/>
  <c r="AC133" i="9"/>
  <c r="AB133" i="9"/>
  <c r="AD135" i="9"/>
  <c r="AG135" i="9"/>
  <c r="AC136" i="9"/>
  <c r="AB136" i="9"/>
  <c r="AG142" i="9"/>
  <c r="AD142" i="9"/>
  <c r="AB104" i="9"/>
  <c r="AC108" i="9"/>
  <c r="AG108" i="9" s="1"/>
  <c r="AE110" i="9"/>
  <c r="AE111" i="9"/>
  <c r="AH111" i="9"/>
  <c r="AE112" i="9"/>
  <c r="AC113" i="9"/>
  <c r="AB113" i="9"/>
  <c r="AD115" i="9"/>
  <c r="AH116" i="9"/>
  <c r="AD118" i="9"/>
  <c r="AG118" i="9"/>
  <c r="AG119" i="9"/>
  <c r="AH122" i="9"/>
  <c r="AG124" i="9"/>
  <c r="AD124" i="9"/>
  <c r="AE127" i="9"/>
  <c r="AH127" i="9"/>
  <c r="AE128" i="9"/>
  <c r="AC129" i="9"/>
  <c r="AB129" i="9"/>
  <c r="AD131" i="9"/>
  <c r="AH132" i="9"/>
  <c r="AC99" i="9"/>
  <c r="AB102" i="9"/>
  <c r="AE102" i="9" s="1"/>
  <c r="AE103" i="9"/>
  <c r="AC109" i="9"/>
  <c r="AB109" i="9"/>
  <c r="AD111" i="9"/>
  <c r="AH112" i="9"/>
  <c r="AB114" i="9"/>
  <c r="AG115" i="9"/>
  <c r="AH118" i="9"/>
  <c r="AG120" i="9"/>
  <c r="AD120" i="9"/>
  <c r="AE122" i="9"/>
  <c r="AE123" i="9"/>
  <c r="AH123" i="9"/>
  <c r="AE124" i="9"/>
  <c r="AC125" i="9"/>
  <c r="AB125" i="9"/>
  <c r="AD127" i="9"/>
  <c r="AH128" i="9"/>
  <c r="AD130" i="9"/>
  <c r="AG130" i="9"/>
  <c r="AG131" i="9"/>
  <c r="AG141" i="9"/>
  <c r="AD141" i="9"/>
  <c r="AH141" i="9"/>
  <c r="AH142" i="9"/>
  <c r="AE142" i="9"/>
  <c r="AG149" i="9"/>
  <c r="AD149" i="9"/>
  <c r="AH149" i="9"/>
  <c r="AH150" i="9"/>
  <c r="AE150" i="9"/>
  <c r="AE156" i="9"/>
  <c r="AH156" i="9"/>
  <c r="AD165" i="9"/>
  <c r="AG165" i="9"/>
  <c r="AC143" i="9"/>
  <c r="AD143" i="9" s="1"/>
  <c r="AD144" i="9"/>
  <c r="AC151" i="9"/>
  <c r="AD151" i="9" s="1"/>
  <c r="AD152" i="9"/>
  <c r="AB137" i="9"/>
  <c r="AH138" i="9"/>
  <c r="AE138" i="9"/>
  <c r="AD139" i="9"/>
  <c r="AG139" i="9"/>
  <c r="AB140" i="9"/>
  <c r="AE140" i="9" s="1"/>
  <c r="AE144" i="9"/>
  <c r="AH144" i="9"/>
  <c r="AB145" i="9"/>
  <c r="AE145" i="9" s="1"/>
  <c r="AH146" i="9"/>
  <c r="AE146" i="9"/>
  <c r="AD147" i="9"/>
  <c r="AG147" i="9"/>
  <c r="AB148" i="9"/>
  <c r="AE148" i="9" s="1"/>
  <c r="AE152" i="9"/>
  <c r="AH152" i="9"/>
  <c r="AB153" i="9"/>
  <c r="AH154" i="9"/>
  <c r="AE154" i="9"/>
  <c r="AG157" i="9"/>
  <c r="AD160" i="9"/>
  <c r="AG160" i="9"/>
  <c r="AE160" i="9"/>
  <c r="AH162" i="9"/>
  <c r="AE162" i="9"/>
  <c r="AE165" i="9"/>
  <c r="AH165" i="9"/>
  <c r="AE168" i="9"/>
  <c r="AB134" i="9"/>
  <c r="AE134" i="9" s="1"/>
  <c r="AE141" i="9"/>
  <c r="AE149" i="9"/>
  <c r="AD156" i="9"/>
  <c r="AG156" i="9"/>
  <c r="AC161" i="9"/>
  <c r="AB161" i="9"/>
  <c r="AB164" i="9"/>
  <c r="AC164" i="9"/>
  <c r="AC167" i="9"/>
  <c r="AB167" i="9"/>
  <c r="AG173" i="9"/>
  <c r="AD173" i="9"/>
  <c r="AE157" i="9"/>
  <c r="AG162" i="9"/>
  <c r="AD168" i="9"/>
  <c r="AE173" i="9"/>
  <c r="AE184" i="9"/>
  <c r="AH184" i="9"/>
  <c r="AE188" i="9"/>
  <c r="AH188" i="9"/>
  <c r="AE192" i="9"/>
  <c r="AH192" i="9"/>
  <c r="AB159" i="9"/>
  <c r="AH159" i="9" s="1"/>
  <c r="AC163" i="9"/>
  <c r="AD163" i="9" s="1"/>
  <c r="AB166" i="9"/>
  <c r="AB172" i="9"/>
  <c r="AE172" i="9" s="1"/>
  <c r="AH176" i="9"/>
  <c r="AH177" i="9"/>
  <c r="AG178" i="9"/>
  <c r="AC179" i="9"/>
  <c r="AG179" i="9" s="1"/>
  <c r="AC182" i="9"/>
  <c r="AB182" i="9"/>
  <c r="AD184" i="9"/>
  <c r="AC186" i="9"/>
  <c r="AB186" i="9"/>
  <c r="AD188" i="9"/>
  <c r="AC190" i="9"/>
  <c r="AB190" i="9"/>
  <c r="AD192" i="9"/>
  <c r="AC194" i="9"/>
  <c r="AB194" i="9"/>
  <c r="AG197" i="9"/>
  <c r="AD197" i="9"/>
  <c r="AB169" i="9"/>
  <c r="AE169" i="9" s="1"/>
  <c r="AG170" i="9"/>
  <c r="AE170" i="9"/>
  <c r="AG180" i="9"/>
  <c r="AD183" i="9"/>
  <c r="AG183" i="9"/>
  <c r="AG184" i="9"/>
  <c r="AD187" i="9"/>
  <c r="AG187" i="9"/>
  <c r="AG188" i="9"/>
  <c r="AH189" i="9"/>
  <c r="AB191" i="9"/>
  <c r="AH191" i="9" s="1"/>
  <c r="AG192" i="9"/>
  <c r="AH193" i="9"/>
  <c r="AB195" i="9"/>
  <c r="AG198" i="9"/>
  <c r="AD198" i="9"/>
  <c r="AC155" i="9"/>
  <c r="AH157" i="9"/>
  <c r="AB158" i="9"/>
  <c r="AE159" i="9"/>
  <c r="AD162" i="9"/>
  <c r="AG168" i="9"/>
  <c r="AC171" i="9"/>
  <c r="AH173" i="9"/>
  <c r="AG174" i="9"/>
  <c r="AH174" i="9"/>
  <c r="AC175" i="9"/>
  <c r="AG175" i="9" s="1"/>
  <c r="AE176" i="9"/>
  <c r="AE177" i="9"/>
  <c r="AC178" i="9"/>
  <c r="AH180" i="9"/>
  <c r="AH183" i="9"/>
  <c r="AH187" i="9"/>
  <c r="AH195" i="9"/>
  <c r="AE197" i="9"/>
  <c r="AH198" i="9"/>
  <c r="AE198" i="9"/>
  <c r="AE199" i="9"/>
  <c r="AG196" i="9"/>
  <c r="AH197" i="9"/>
  <c r="AG200" i="9"/>
  <c r="AD181" i="9"/>
  <c r="AD185" i="9"/>
  <c r="AD189" i="9"/>
  <c r="AD193" i="9"/>
  <c r="AH196" i="9"/>
  <c r="AB199" i="9"/>
  <c r="AH199" i="9" s="1"/>
  <c r="AH200" i="9"/>
  <c r="AD18" i="8"/>
  <c r="AG18" i="8"/>
  <c r="AG12" i="8"/>
  <c r="AD12" i="8"/>
  <c r="AG17" i="8"/>
  <c r="AD19" i="8"/>
  <c r="AG19" i="8"/>
  <c r="AH21" i="8"/>
  <c r="AE21" i="8"/>
  <c r="AE29" i="8"/>
  <c r="AD29" i="8"/>
  <c r="AH29" i="8"/>
  <c r="AG32" i="8"/>
  <c r="AD32" i="8"/>
  <c r="AD33" i="8"/>
  <c r="AG33" i="8"/>
  <c r="AH12" i="8"/>
  <c r="AE12" i="8"/>
  <c r="AE13" i="8"/>
  <c r="AH13" i="8"/>
  <c r="AH18" i="8"/>
  <c r="AE19" i="8"/>
  <c r="AH19" i="8"/>
  <c r="AD23" i="8"/>
  <c r="AG23" i="8"/>
  <c r="AE35" i="8"/>
  <c r="AH35" i="8"/>
  <c r="AB28" i="8"/>
  <c r="AC28" i="8"/>
  <c r="AC9" i="8"/>
  <c r="AB9" i="8"/>
  <c r="AG13" i="8"/>
  <c r="AD13" i="8"/>
  <c r="AD15" i="8"/>
  <c r="AG15" i="8"/>
  <c r="AH17" i="8"/>
  <c r="AE17" i="8"/>
  <c r="AB10" i="8"/>
  <c r="AH10" i="8" s="1"/>
  <c r="AD24" i="8"/>
  <c r="AG24" i="8"/>
  <c r="AD25" i="8"/>
  <c r="AG25" i="8"/>
  <c r="AE26" i="8"/>
  <c r="AH26" i="8"/>
  <c r="AE24" i="8"/>
  <c r="AH24" i="8"/>
  <c r="AD55" i="8"/>
  <c r="AG55" i="8"/>
  <c r="AE15" i="8"/>
  <c r="AH15" i="8"/>
  <c r="AE25" i="8"/>
  <c r="AH25" i="8"/>
  <c r="AC22" i="8"/>
  <c r="AB22" i="8"/>
  <c r="AD26" i="8"/>
  <c r="AG26" i="8"/>
  <c r="AE34" i="8"/>
  <c r="AH34" i="8"/>
  <c r="AG35" i="8"/>
  <c r="AD35" i="8"/>
  <c r="AC16" i="8"/>
  <c r="AD17" i="8"/>
  <c r="AE18" i="8"/>
  <c r="AC20" i="8"/>
  <c r="AG20" i="8" s="1"/>
  <c r="AD21" i="8"/>
  <c r="AE23" i="8"/>
  <c r="AB27" i="8"/>
  <c r="AD34" i="8"/>
  <c r="AG45" i="8"/>
  <c r="AH46" i="8"/>
  <c r="AG47" i="8"/>
  <c r="AH47" i="8"/>
  <c r="AC52" i="8"/>
  <c r="AE60" i="8"/>
  <c r="AC63" i="8"/>
  <c r="AD65" i="8"/>
  <c r="AH69" i="8"/>
  <c r="V8" i="8"/>
  <c r="AC8" i="8" s="1"/>
  <c r="AC31" i="8"/>
  <c r="AD31" i="8" s="1"/>
  <c r="AH33" i="8"/>
  <c r="AB37" i="8"/>
  <c r="AE38" i="8"/>
  <c r="AC39" i="8"/>
  <c r="AC43" i="8"/>
  <c r="AG43" i="8" s="1"/>
  <c r="AH45" i="8"/>
  <c r="AD46" i="8"/>
  <c r="AG50" i="8"/>
  <c r="AB51" i="8"/>
  <c r="AE51" i="8" s="1"/>
  <c r="AC54" i="8"/>
  <c r="W42" i="8"/>
  <c r="W201" i="8" s="1"/>
  <c r="AD58" i="8"/>
  <c r="AG58" i="8"/>
  <c r="AD63" i="8"/>
  <c r="AG65" i="8"/>
  <c r="AC67" i="8"/>
  <c r="AB53" i="8"/>
  <c r="AE53" i="8" s="1"/>
  <c r="AH55" i="8"/>
  <c r="AH65" i="8"/>
  <c r="AB66" i="8"/>
  <c r="AC66" i="8"/>
  <c r="AD68" i="8"/>
  <c r="AG68" i="8"/>
  <c r="AE68" i="8"/>
  <c r="AH32" i="8"/>
  <c r="P201" i="8"/>
  <c r="AG29" i="8"/>
  <c r="AC36" i="8"/>
  <c r="AD36" i="8" s="1"/>
  <c r="AH38" i="8"/>
  <c r="AG39" i="8"/>
  <c r="AC40" i="8"/>
  <c r="AC44" i="8"/>
  <c r="AE45" i="8"/>
  <c r="AG46" i="8"/>
  <c r="AD47" i="8"/>
  <c r="AB48" i="8"/>
  <c r="AB57" i="8"/>
  <c r="AB49" i="8"/>
  <c r="AE49" i="8" s="1"/>
  <c r="AD50" i="8"/>
  <c r="AH58" i="8"/>
  <c r="AC59" i="8"/>
  <c r="AD60" i="8"/>
  <c r="AB61" i="8"/>
  <c r="AG63" i="8"/>
  <c r="AE64" i="8"/>
  <c r="AD69" i="8"/>
  <c r="AG69" i="8"/>
  <c r="AH62" i="8"/>
  <c r="AD64" i="8"/>
  <c r="AH68" i="8"/>
  <c r="AG70" i="8"/>
  <c r="AH70" i="8"/>
  <c r="AC74" i="8"/>
  <c r="AG74" i="8" s="1"/>
  <c r="AH77" i="8"/>
  <c r="AG78" i="8"/>
  <c r="AH78" i="8"/>
  <c r="AC82" i="8"/>
  <c r="AG82" i="8" s="1"/>
  <c r="AG122" i="8"/>
  <c r="AD122" i="8"/>
  <c r="AH127" i="8"/>
  <c r="AE127" i="8"/>
  <c r="AD129" i="8"/>
  <c r="AG129" i="8"/>
  <c r="AE131" i="8"/>
  <c r="AH131" i="8"/>
  <c r="AD131" i="8"/>
  <c r="AB75" i="8"/>
  <c r="AB76" i="8"/>
  <c r="AH76" i="8" s="1"/>
  <c r="AD77" i="8"/>
  <c r="AB83" i="8"/>
  <c r="AE83" i="8" s="1"/>
  <c r="AB84" i="8"/>
  <c r="AD85" i="8"/>
  <c r="AG87" i="8"/>
  <c r="AG91" i="8"/>
  <c r="AG95" i="8"/>
  <c r="AG99" i="8"/>
  <c r="AG103" i="8"/>
  <c r="AE106" i="8"/>
  <c r="AG107" i="8"/>
  <c r="AE110" i="8"/>
  <c r="AG111" i="8"/>
  <c r="AE114" i="8"/>
  <c r="AG115" i="8"/>
  <c r="AD117" i="8"/>
  <c r="AG117" i="8"/>
  <c r="AH129" i="8"/>
  <c r="AE69" i="8"/>
  <c r="AH75" i="8"/>
  <c r="AH83" i="8"/>
  <c r="AE85" i="8"/>
  <c r="AH85" i="8"/>
  <c r="AH87" i="8"/>
  <c r="AE87" i="8"/>
  <c r="AH91" i="8"/>
  <c r="AE91" i="8"/>
  <c r="AH95" i="8"/>
  <c r="AE95" i="8"/>
  <c r="AH99" i="8"/>
  <c r="AE99" i="8"/>
  <c r="AH103" i="8"/>
  <c r="AE103" i="8"/>
  <c r="AH107" i="8"/>
  <c r="AE107" i="8"/>
  <c r="AH111" i="8"/>
  <c r="AE111" i="8"/>
  <c r="AH115" i="8"/>
  <c r="AE115" i="8"/>
  <c r="AE62" i="8"/>
  <c r="AG64" i="8"/>
  <c r="AD70" i="8"/>
  <c r="AB71" i="8"/>
  <c r="AB72" i="8"/>
  <c r="AH72" i="8" s="1"/>
  <c r="AD73" i="8"/>
  <c r="AG77" i="8"/>
  <c r="AD78" i="8"/>
  <c r="AB79" i="8"/>
  <c r="AH79" i="8" s="1"/>
  <c r="AB80" i="8"/>
  <c r="AD81" i="8"/>
  <c r="AG85" i="8"/>
  <c r="AG86" i="8"/>
  <c r="AD86" i="8"/>
  <c r="AD87" i="8"/>
  <c r="AC88" i="8"/>
  <c r="AB88" i="8"/>
  <c r="AG89" i="8"/>
  <c r="AG90" i="8"/>
  <c r="AD90" i="8"/>
  <c r="AD91" i="8"/>
  <c r="AC92" i="8"/>
  <c r="AB92" i="8"/>
  <c r="AG93" i="8"/>
  <c r="AG94" i="8"/>
  <c r="AD94" i="8"/>
  <c r="AD95" i="8"/>
  <c r="AC96" i="8"/>
  <c r="AB96" i="8"/>
  <c r="AG97" i="8"/>
  <c r="AG98" i="8"/>
  <c r="AD98" i="8"/>
  <c r="AD99" i="8"/>
  <c r="AC100" i="8"/>
  <c r="AB100" i="8"/>
  <c r="AG101" i="8"/>
  <c r="AG102" i="8"/>
  <c r="AD102" i="8"/>
  <c r="AD103" i="8"/>
  <c r="AC104" i="8"/>
  <c r="AB104" i="8"/>
  <c r="AG105" i="8"/>
  <c r="AG106" i="8"/>
  <c r="AD106" i="8"/>
  <c r="AD107" i="8"/>
  <c r="AC108" i="8"/>
  <c r="AB108" i="8"/>
  <c r="AG110" i="8"/>
  <c r="AD110" i="8"/>
  <c r="AD111" i="8"/>
  <c r="AC112" i="8"/>
  <c r="AB112" i="8"/>
  <c r="AG114" i="8"/>
  <c r="AD114" i="8"/>
  <c r="AD115" i="8"/>
  <c r="AC116" i="8"/>
  <c r="AB116" i="8"/>
  <c r="AG128" i="8"/>
  <c r="AE122" i="8"/>
  <c r="AH126" i="8"/>
  <c r="AG127" i="8"/>
  <c r="AB143" i="8"/>
  <c r="AC143" i="8"/>
  <c r="AB147" i="8"/>
  <c r="AC147" i="8"/>
  <c r="AH152" i="8"/>
  <c r="AE152" i="8"/>
  <c r="AD155" i="8"/>
  <c r="AG155" i="8"/>
  <c r="AG156" i="8"/>
  <c r="AD156" i="8"/>
  <c r="AH89" i="8"/>
  <c r="AH93" i="8"/>
  <c r="AH97" i="8"/>
  <c r="AH101" i="8"/>
  <c r="AH105" i="8"/>
  <c r="AH109" i="8"/>
  <c r="AH113" i="8"/>
  <c r="AD119" i="8"/>
  <c r="AB121" i="8"/>
  <c r="AE121" i="8" s="1"/>
  <c r="AB124" i="8"/>
  <c r="AE124" i="8" s="1"/>
  <c r="AE126" i="8"/>
  <c r="AC128" i="8"/>
  <c r="AE129" i="8"/>
  <c r="AH130" i="8"/>
  <c r="AG131" i="8"/>
  <c r="AC132" i="8"/>
  <c r="AE134" i="8"/>
  <c r="AC140" i="8"/>
  <c r="AD140" i="8" s="1"/>
  <c r="AG141" i="8"/>
  <c r="AH142" i="8"/>
  <c r="AB144" i="8"/>
  <c r="AH144" i="8" s="1"/>
  <c r="AG145" i="8"/>
  <c r="AH146" i="8"/>
  <c r="AB148" i="8"/>
  <c r="AE155" i="8"/>
  <c r="AB118" i="8"/>
  <c r="AG119" i="8"/>
  <c r="AE119" i="8"/>
  <c r="AB125" i="8"/>
  <c r="AE125" i="8" s="1"/>
  <c r="AD126" i="8"/>
  <c r="AE130" i="8"/>
  <c r="AD132" i="8"/>
  <c r="AG133" i="8"/>
  <c r="AG134" i="8"/>
  <c r="AB137" i="8"/>
  <c r="AE137" i="8" s="1"/>
  <c r="AH148" i="8"/>
  <c r="AG151" i="8"/>
  <c r="AD151" i="8"/>
  <c r="AH159" i="8"/>
  <c r="AE159" i="8"/>
  <c r="AC120" i="8"/>
  <c r="AD120" i="8" s="1"/>
  <c r="AH122" i="8"/>
  <c r="AB123" i="8"/>
  <c r="AD127" i="8"/>
  <c r="AH133" i="8"/>
  <c r="AH134" i="8"/>
  <c r="AG135" i="8"/>
  <c r="AH135" i="8"/>
  <c r="AC136" i="8"/>
  <c r="AE138" i="8"/>
  <c r="AC139" i="8"/>
  <c r="AG139" i="8" s="1"/>
  <c r="AH141" i="8"/>
  <c r="AE141" i="8"/>
  <c r="AD142" i="8"/>
  <c r="AE144" i="8"/>
  <c r="AH145" i="8"/>
  <c r="AE145" i="8"/>
  <c r="AD146" i="8"/>
  <c r="AE148" i="8"/>
  <c r="AG152" i="8"/>
  <c r="AD152" i="8"/>
  <c r="AG142" i="8"/>
  <c r="AG146" i="8"/>
  <c r="AB150" i="8"/>
  <c r="AH150" i="8" s="1"/>
  <c r="AH151" i="8"/>
  <c r="AE156" i="8"/>
  <c r="AB160" i="8"/>
  <c r="AH160" i="8" s="1"/>
  <c r="AG161" i="8"/>
  <c r="AE161" i="8"/>
  <c r="AC163" i="8"/>
  <c r="AG163" i="8" s="1"/>
  <c r="AG164" i="8"/>
  <c r="AH168" i="8"/>
  <c r="AG169" i="8"/>
  <c r="AH169" i="8"/>
  <c r="AC173" i="8"/>
  <c r="AG173" i="8" s="1"/>
  <c r="AC181" i="8"/>
  <c r="AG181" i="8" s="1"/>
  <c r="AB149" i="8"/>
  <c r="AH149" i="8" s="1"/>
  <c r="AB153" i="8"/>
  <c r="AH153" i="8" s="1"/>
  <c r="AH155" i="8"/>
  <c r="AB158" i="8"/>
  <c r="AH158" i="8" s="1"/>
  <c r="AC162" i="8"/>
  <c r="AG162" i="8" s="1"/>
  <c r="AH164" i="8"/>
  <c r="AB165" i="8"/>
  <c r="AH165" i="8" s="1"/>
  <c r="AB166" i="8"/>
  <c r="AE166" i="8" s="1"/>
  <c r="AB167" i="8"/>
  <c r="AH167" i="8" s="1"/>
  <c r="AD168" i="8"/>
  <c r="AG172" i="8"/>
  <c r="AB174" i="8"/>
  <c r="AH174" i="8" s="1"/>
  <c r="AB175" i="8"/>
  <c r="AE175" i="8" s="1"/>
  <c r="AD176" i="8"/>
  <c r="AG180" i="8"/>
  <c r="AG182" i="8"/>
  <c r="AD159" i="8"/>
  <c r="AC177" i="8"/>
  <c r="AD177" i="8" s="1"/>
  <c r="AE178" i="8"/>
  <c r="AH182" i="8"/>
  <c r="AE182" i="8"/>
  <c r="AE184" i="8"/>
  <c r="AH185" i="8"/>
  <c r="AC186" i="8"/>
  <c r="AD186" i="8" s="1"/>
  <c r="AE188" i="8"/>
  <c r="AH189" i="8"/>
  <c r="AC190" i="8"/>
  <c r="AG190" i="8" s="1"/>
  <c r="AE192" i="8"/>
  <c r="AH193" i="8"/>
  <c r="AC194" i="8"/>
  <c r="AG194" i="8" s="1"/>
  <c r="AE196" i="8"/>
  <c r="AH197" i="8"/>
  <c r="AC198" i="8"/>
  <c r="AD198" i="8" s="1"/>
  <c r="AD199" i="8"/>
  <c r="AG199" i="8"/>
  <c r="AC154" i="8"/>
  <c r="AH156" i="8"/>
  <c r="AB157" i="8"/>
  <c r="AH157" i="8" s="1"/>
  <c r="AD161" i="8"/>
  <c r="AG168" i="8"/>
  <c r="AD169" i="8"/>
  <c r="AB170" i="8"/>
  <c r="AH170" i="8" s="1"/>
  <c r="AB171" i="8"/>
  <c r="AD172" i="8"/>
  <c r="AG176" i="8"/>
  <c r="AB178" i="8"/>
  <c r="AH178" i="8" s="1"/>
  <c r="AB179" i="8"/>
  <c r="AH179" i="8" s="1"/>
  <c r="AD180" i="8"/>
  <c r="AD182" i="8"/>
  <c r="AC183" i="8"/>
  <c r="AB183" i="8"/>
  <c r="AG184" i="8"/>
  <c r="AG185" i="8"/>
  <c r="AD185" i="8"/>
  <c r="AC187" i="8"/>
  <c r="AB187" i="8"/>
  <c r="AG188" i="8"/>
  <c r="AG189" i="8"/>
  <c r="AD189" i="8"/>
  <c r="AD190" i="8"/>
  <c r="AC191" i="8"/>
  <c r="AB191" i="8"/>
  <c r="AG192" i="8"/>
  <c r="AG193" i="8"/>
  <c r="AD193" i="8"/>
  <c r="AC195" i="8"/>
  <c r="AB195" i="8"/>
  <c r="AG196" i="8"/>
  <c r="AG197" i="8"/>
  <c r="AD197" i="8"/>
  <c r="AH199" i="8"/>
  <c r="AE199" i="8"/>
  <c r="AG200" i="8"/>
  <c r="AH184" i="8"/>
  <c r="AH188" i="8"/>
  <c r="AH192" i="8"/>
  <c r="AH196" i="8"/>
  <c r="AH200" i="8"/>
  <c r="AG41" i="8" l="1"/>
  <c r="AH41" i="8"/>
  <c r="AE41" i="8"/>
  <c r="AD8" i="15"/>
  <c r="AG8" i="15"/>
  <c r="AE191" i="10"/>
  <c r="AG156" i="10"/>
  <c r="AD60" i="10"/>
  <c r="AE9" i="10"/>
  <c r="AE131" i="11"/>
  <c r="AE99" i="13"/>
  <c r="AE81" i="14"/>
  <c r="AG59" i="14"/>
  <c r="AE73" i="14"/>
  <c r="AE23" i="14"/>
  <c r="AH166" i="15"/>
  <c r="AB14" i="8"/>
  <c r="AH50" i="8"/>
  <c r="AD41" i="8"/>
  <c r="AG142" i="7"/>
  <c r="AH84" i="7"/>
  <c r="AG81" i="7"/>
  <c r="AG52" i="7"/>
  <c r="AD66" i="7"/>
  <c r="AG66" i="7"/>
  <c r="AH141" i="7"/>
  <c r="AH156" i="7"/>
  <c r="AH184" i="15"/>
  <c r="AG155" i="7"/>
  <c r="AE93" i="7"/>
  <c r="AG128" i="7"/>
  <c r="AE184" i="15"/>
  <c r="AE177" i="14"/>
  <c r="AD176" i="13"/>
  <c r="AG176" i="13"/>
  <c r="AD64" i="15"/>
  <c r="AH150" i="15"/>
  <c r="AD192" i="14"/>
  <c r="AE102" i="15"/>
  <c r="AB54" i="15"/>
  <c r="AD31" i="14"/>
  <c r="AE105" i="13"/>
  <c r="AE143" i="12"/>
  <c r="AH143" i="12"/>
  <c r="AE134" i="12"/>
  <c r="AH92" i="12"/>
  <c r="AC14" i="12"/>
  <c r="AD62" i="11"/>
  <c r="AG62" i="11"/>
  <c r="AH84" i="12"/>
  <c r="AE176" i="12"/>
  <c r="AE100" i="12"/>
  <c r="AD70" i="12"/>
  <c r="AC10" i="12"/>
  <c r="AE137" i="10"/>
  <c r="AH137" i="10"/>
  <c r="AB42" i="12"/>
  <c r="AC14" i="11"/>
  <c r="AG88" i="10"/>
  <c r="AG118" i="10"/>
  <c r="AB10" i="10"/>
  <c r="AE120" i="9"/>
  <c r="AH120" i="9"/>
  <c r="AD88" i="11"/>
  <c r="AH81" i="11"/>
  <c r="AD132" i="10"/>
  <c r="AE73" i="10"/>
  <c r="AH73" i="10"/>
  <c r="AG37" i="10"/>
  <c r="AH170" i="9"/>
  <c r="AB56" i="9"/>
  <c r="AG60" i="9"/>
  <c r="AE200" i="9"/>
  <c r="AD101" i="9"/>
  <c r="AE98" i="11"/>
  <c r="AE58" i="12"/>
  <c r="AH95" i="14"/>
  <c r="AE42" i="14"/>
  <c r="AG190" i="7"/>
  <c r="AE26" i="7"/>
  <c r="AD57" i="7"/>
  <c r="AE30" i="7"/>
  <c r="AD172" i="7"/>
  <c r="AG172" i="7"/>
  <c r="AD152" i="7"/>
  <c r="AE156" i="7"/>
  <c r="AE101" i="7"/>
  <c r="AE146" i="7"/>
  <c r="AE181" i="15"/>
  <c r="AE87" i="15"/>
  <c r="AH49" i="14"/>
  <c r="AC11" i="14"/>
  <c r="AD184" i="12"/>
  <c r="AG184" i="12"/>
  <c r="AE181" i="12"/>
  <c r="AC11" i="13"/>
  <c r="AG110" i="11"/>
  <c r="AD196" i="10"/>
  <c r="AE85" i="10"/>
  <c r="AH85" i="10"/>
  <c r="AH85" i="11"/>
  <c r="AH141" i="10"/>
  <c r="AG129" i="10"/>
  <c r="AE81" i="10"/>
  <c r="AH81" i="10"/>
  <c r="AE180" i="9"/>
  <c r="AH147" i="9"/>
  <c r="AE147" i="9"/>
  <c r="AE139" i="9"/>
  <c r="AD154" i="9"/>
  <c r="AE97" i="14"/>
  <c r="AE33" i="14"/>
  <c r="AG150" i="7"/>
  <c r="AD182" i="7"/>
  <c r="AE113" i="7"/>
  <c r="AD53" i="7"/>
  <c r="AD136" i="7"/>
  <c r="AH120" i="7"/>
  <c r="AH134" i="15"/>
  <c r="AE134" i="15"/>
  <c r="AB11" i="15"/>
  <c r="AG180" i="15"/>
  <c r="AH172" i="7"/>
  <c r="AG132" i="7"/>
  <c r="AE85" i="7"/>
  <c r="AH39" i="15"/>
  <c r="AD184" i="13"/>
  <c r="AG184" i="13"/>
  <c r="AH168" i="15"/>
  <c r="AH181" i="14"/>
  <c r="AH172" i="14"/>
  <c r="AG172" i="14"/>
  <c r="AE149" i="14"/>
  <c r="AB10" i="14"/>
  <c r="AG30" i="14"/>
  <c r="AD121" i="12"/>
  <c r="AG121" i="12"/>
  <c r="AE173" i="12"/>
  <c r="AB14" i="15"/>
  <c r="AH31" i="13"/>
  <c r="AE154" i="12"/>
  <c r="AE184" i="12"/>
  <c r="AH109" i="12"/>
  <c r="AE98" i="10"/>
  <c r="AH98" i="10"/>
  <c r="AD180" i="10"/>
  <c r="AG136" i="10"/>
  <c r="AE64" i="10"/>
  <c r="AE168" i="11"/>
  <c r="AC11" i="11"/>
  <c r="AD80" i="11"/>
  <c r="AD81" i="10"/>
  <c r="AH107" i="11"/>
  <c r="AG176" i="9"/>
  <c r="AE91" i="9"/>
  <c r="AE83" i="10"/>
  <c r="AE53" i="10"/>
  <c r="AG145" i="12"/>
  <c r="AH14" i="12"/>
  <c r="AE65" i="14"/>
  <c r="AG54" i="14"/>
  <c r="AE18" i="14"/>
  <c r="AD185" i="15"/>
  <c r="AG109" i="8"/>
  <c r="AD180" i="7"/>
  <c r="AG180" i="7"/>
  <c r="AD164" i="7"/>
  <c r="AG164" i="7"/>
  <c r="AE144" i="7"/>
  <c r="AH180" i="7"/>
  <c r="AD128" i="7"/>
  <c r="AE71" i="15"/>
  <c r="AH71" i="15"/>
  <c r="AC29" i="15"/>
  <c r="AD180" i="13"/>
  <c r="AE141" i="14"/>
  <c r="AD113" i="12"/>
  <c r="AG113" i="12"/>
  <c r="AH21" i="13"/>
  <c r="AG92" i="11"/>
  <c r="AD92" i="11"/>
  <c r="AG163" i="12"/>
  <c r="AB54" i="12"/>
  <c r="AH176" i="12"/>
  <c r="AE121" i="12"/>
  <c r="AH95" i="13"/>
  <c r="AG171" i="11"/>
  <c r="AE114" i="10"/>
  <c r="AH114" i="10"/>
  <c r="AG146" i="9"/>
  <c r="AD146" i="9"/>
  <c r="AD84" i="11"/>
  <c r="AG114" i="10"/>
  <c r="AE75" i="9"/>
  <c r="AE189" i="9"/>
  <c r="AC11" i="9"/>
  <c r="AD195" i="7"/>
  <c r="AG195" i="7"/>
  <c r="AD187" i="7"/>
  <c r="AG187" i="7"/>
  <c r="AE181" i="7"/>
  <c r="AH181" i="7"/>
  <c r="AD181" i="7"/>
  <c r="AH194" i="7"/>
  <c r="AE194" i="7"/>
  <c r="AG194" i="7"/>
  <c r="AG181" i="7"/>
  <c r="AE165" i="7"/>
  <c r="AH165" i="7"/>
  <c r="AD163" i="7"/>
  <c r="AG163" i="7"/>
  <c r="AD130" i="7"/>
  <c r="AG130" i="7"/>
  <c r="AD117" i="7"/>
  <c r="AG117" i="7"/>
  <c r="AG147" i="7"/>
  <c r="AE147" i="7"/>
  <c r="AD147" i="7"/>
  <c r="AG139" i="7"/>
  <c r="AE139" i="7"/>
  <c r="AD139" i="7"/>
  <c r="AE130" i="7"/>
  <c r="AH106" i="7"/>
  <c r="AE106" i="7"/>
  <c r="AG106" i="7"/>
  <c r="AG86" i="7"/>
  <c r="AD86" i="7"/>
  <c r="AH117" i="7"/>
  <c r="AE105" i="7"/>
  <c r="AH105" i="7"/>
  <c r="AD105" i="7"/>
  <c r="AD96" i="7"/>
  <c r="AG96" i="7"/>
  <c r="AD88" i="7"/>
  <c r="AG88" i="7"/>
  <c r="W201" i="7"/>
  <c r="AC8" i="7"/>
  <c r="AH69" i="7"/>
  <c r="AE69" i="7"/>
  <c r="AG15" i="7"/>
  <c r="AD15" i="7"/>
  <c r="AE24" i="7"/>
  <c r="AH24" i="7"/>
  <c r="AH96" i="7"/>
  <c r="AH88" i="7"/>
  <c r="AG73" i="7"/>
  <c r="AD73" i="7"/>
  <c r="AE64" i="7"/>
  <c r="AH64" i="7"/>
  <c r="AG58" i="7"/>
  <c r="AD58" i="7"/>
  <c r="AD44" i="7"/>
  <c r="AG44" i="7"/>
  <c r="AD29" i="7"/>
  <c r="AG29" i="7"/>
  <c r="AE94" i="7"/>
  <c r="AE86" i="7"/>
  <c r="AH77" i="7"/>
  <c r="AE77" i="7"/>
  <c r="AE51" i="7"/>
  <c r="AH51" i="7"/>
  <c r="AG22" i="7"/>
  <c r="AD22" i="7"/>
  <c r="AE9" i="7"/>
  <c r="AH9" i="7"/>
  <c r="AD24" i="7"/>
  <c r="AH15" i="7"/>
  <c r="AH46" i="7"/>
  <c r="AE46" i="7"/>
  <c r="AE48" i="7"/>
  <c r="AE44" i="7"/>
  <c r="AH195" i="7"/>
  <c r="AE195" i="7"/>
  <c r="AH187" i="7"/>
  <c r="AE187" i="7"/>
  <c r="AH170" i="7"/>
  <c r="AE170" i="7"/>
  <c r="AD170" i="7"/>
  <c r="AH198" i="7"/>
  <c r="AE198" i="7"/>
  <c r="AD179" i="7"/>
  <c r="AG179" i="7"/>
  <c r="AG162" i="7"/>
  <c r="AE162" i="7"/>
  <c r="AD162" i="7"/>
  <c r="AH179" i="7"/>
  <c r="AG165" i="7"/>
  <c r="AD165" i="7"/>
  <c r="AH174" i="7"/>
  <c r="AE174" i="7"/>
  <c r="AH163" i="7"/>
  <c r="AE163" i="7"/>
  <c r="AG143" i="7"/>
  <c r="AD143" i="7"/>
  <c r="AG166" i="7"/>
  <c r="AD166" i="7"/>
  <c r="AE150" i="7"/>
  <c r="AH150" i="7"/>
  <c r="AE134" i="7"/>
  <c r="AH134" i="7"/>
  <c r="AD121" i="7"/>
  <c r="AG121" i="7"/>
  <c r="AG127" i="7"/>
  <c r="AD127" i="7"/>
  <c r="AE143" i="7"/>
  <c r="AG105" i="7"/>
  <c r="AG98" i="7"/>
  <c r="AD98" i="7"/>
  <c r="AG82" i="7"/>
  <c r="AD82" i="7"/>
  <c r="AD103" i="7"/>
  <c r="AG103" i="7"/>
  <c r="AE58" i="7"/>
  <c r="AE80" i="7"/>
  <c r="AH80" i="7"/>
  <c r="AG69" i="7"/>
  <c r="AD69" i="7"/>
  <c r="AH58" i="7"/>
  <c r="AD28" i="7"/>
  <c r="AG28" i="7"/>
  <c r="V201" i="7"/>
  <c r="AB8" i="7"/>
  <c r="AE103" i="7"/>
  <c r="AE96" i="7"/>
  <c r="AE88" i="7"/>
  <c r="AE68" i="7"/>
  <c r="AH68" i="7"/>
  <c r="AE63" i="7"/>
  <c r="AH63" i="7"/>
  <c r="AD40" i="7"/>
  <c r="AG40" i="7"/>
  <c r="AD20" i="7"/>
  <c r="AG20" i="7"/>
  <c r="AD106" i="7"/>
  <c r="AH86" i="7"/>
  <c r="AG77" i="7"/>
  <c r="AD77" i="7"/>
  <c r="AH11" i="7"/>
  <c r="AE11" i="7"/>
  <c r="AG9" i="7"/>
  <c r="AD9" i="7"/>
  <c r="AG24" i="7"/>
  <c r="AD13" i="7"/>
  <c r="AG13" i="7"/>
  <c r="AG46" i="7"/>
  <c r="AD46" i="7"/>
  <c r="AH44" i="7"/>
  <c r="AD199" i="7"/>
  <c r="AG199" i="7"/>
  <c r="AD194" i="7"/>
  <c r="AD191" i="7"/>
  <c r="AG191" i="7"/>
  <c r="AD183" i="7"/>
  <c r="AG183" i="7"/>
  <c r="AH186" i="7"/>
  <c r="AE186" i="7"/>
  <c r="AG186" i="7"/>
  <c r="AE173" i="7"/>
  <c r="AH173" i="7"/>
  <c r="AE157" i="7"/>
  <c r="AH157" i="7"/>
  <c r="AD171" i="7"/>
  <c r="AG171" i="7"/>
  <c r="AG158" i="7"/>
  <c r="AD158" i="7"/>
  <c r="AH147" i="7"/>
  <c r="AD125" i="7"/>
  <c r="AG125" i="7"/>
  <c r="AD133" i="7"/>
  <c r="AG133" i="7"/>
  <c r="AG126" i="7"/>
  <c r="AD126" i="7"/>
  <c r="AH125" i="7"/>
  <c r="AG109" i="7"/>
  <c r="AD109" i="7"/>
  <c r="AG94" i="7"/>
  <c r="AD94" i="7"/>
  <c r="AD134" i="7"/>
  <c r="AD100" i="7"/>
  <c r="AG100" i="7"/>
  <c r="AD92" i="7"/>
  <c r="AG92" i="7"/>
  <c r="AD84" i="7"/>
  <c r="AG84" i="7"/>
  <c r="AE76" i="7"/>
  <c r="AH76" i="7"/>
  <c r="AD76" i="7"/>
  <c r="AG54" i="7"/>
  <c r="AD54" i="7"/>
  <c r="AH61" i="7"/>
  <c r="AE61" i="7"/>
  <c r="AG27" i="7"/>
  <c r="AD27" i="7"/>
  <c r="AD48" i="7"/>
  <c r="AG48" i="7"/>
  <c r="AD36" i="7"/>
  <c r="AG36" i="7"/>
  <c r="AH40" i="7"/>
  <c r="AE29" i="7"/>
  <c r="AD51" i="7"/>
  <c r="AE28" i="7"/>
  <c r="AG10" i="7"/>
  <c r="AD10" i="7"/>
  <c r="AG61" i="7"/>
  <c r="AE36" i="7"/>
  <c r="AE27" i="7"/>
  <c r="AE20" i="7"/>
  <c r="AG11" i="7"/>
  <c r="AH199" i="7"/>
  <c r="AE199" i="7"/>
  <c r="AH191" i="7"/>
  <c r="AE191" i="7"/>
  <c r="AH183" i="7"/>
  <c r="AE183" i="7"/>
  <c r="AH178" i="7"/>
  <c r="AE178" i="7"/>
  <c r="AD178" i="7"/>
  <c r="AH190" i="7"/>
  <c r="AE190" i="7"/>
  <c r="AG198" i="7"/>
  <c r="AH182" i="7"/>
  <c r="AE182" i="7"/>
  <c r="AG173" i="7"/>
  <c r="AD173" i="7"/>
  <c r="AG157" i="7"/>
  <c r="AD157" i="7"/>
  <c r="AH143" i="7"/>
  <c r="AG134" i="7"/>
  <c r="AH171" i="7"/>
  <c r="AE171" i="7"/>
  <c r="AH166" i="7"/>
  <c r="AG151" i="7"/>
  <c r="AD151" i="7"/>
  <c r="AG135" i="7"/>
  <c r="AD135" i="7"/>
  <c r="AD174" i="7"/>
  <c r="AE142" i="7"/>
  <c r="AH142" i="7"/>
  <c r="AG131" i="7"/>
  <c r="AD131" i="7"/>
  <c r="AD113" i="7"/>
  <c r="AG113" i="7"/>
  <c r="AD148" i="7"/>
  <c r="AG148" i="7"/>
  <c r="AD140" i="7"/>
  <c r="AG140" i="7"/>
  <c r="AH130" i="7"/>
  <c r="AH126" i="7"/>
  <c r="AH133" i="7"/>
  <c r="AH109" i="7"/>
  <c r="AE109" i="7"/>
  <c r="AG90" i="7"/>
  <c r="AD90" i="7"/>
  <c r="AH131" i="7"/>
  <c r="AE117" i="7"/>
  <c r="AE151" i="7"/>
  <c r="AE121" i="7"/>
  <c r="AE81" i="7"/>
  <c r="AH81" i="7"/>
  <c r="AE54" i="7"/>
  <c r="AE98" i="7"/>
  <c r="AE90" i="7"/>
  <c r="AE82" i="7"/>
  <c r="AH54" i="7"/>
  <c r="AD35" i="7"/>
  <c r="AG35" i="7"/>
  <c r="AG26" i="7"/>
  <c r="AD26" i="7"/>
  <c r="AH73" i="7"/>
  <c r="AE73" i="7"/>
  <c r="AG64" i="7"/>
  <c r="AD64" i="7"/>
  <c r="AH55" i="7"/>
  <c r="AE55" i="7"/>
  <c r="AD30" i="7"/>
  <c r="AG30" i="7"/>
  <c r="AH52" i="7"/>
  <c r="AE52" i="7"/>
  <c r="AE57" i="7"/>
  <c r="AH57" i="7"/>
  <c r="AE35" i="7"/>
  <c r="AE53" i="7"/>
  <c r="AH53" i="7"/>
  <c r="AE40" i="7"/>
  <c r="AE22" i="7"/>
  <c r="AH22" i="7"/>
  <c r="AH29" i="7"/>
  <c r="AH10" i="7"/>
  <c r="AE10" i="7"/>
  <c r="AG51" i="7"/>
  <c r="AD55" i="7"/>
  <c r="AH28" i="7"/>
  <c r="AE15" i="7"/>
  <c r="AD61" i="7"/>
  <c r="AH36" i="7"/>
  <c r="AH27" i="7"/>
  <c r="AH20" i="7"/>
  <c r="AD11" i="7"/>
  <c r="AE158" i="8"/>
  <c r="AH166" i="8"/>
  <c r="AG81" i="8"/>
  <c r="AC11" i="8"/>
  <c r="AD194" i="8"/>
  <c r="AE142" i="8"/>
  <c r="AG126" i="8"/>
  <c r="AH175" i="8"/>
  <c r="AE10" i="8"/>
  <c r="AH90" i="8"/>
  <c r="AD97" i="8"/>
  <c r="AH98" i="8"/>
  <c r="AH102" i="8"/>
  <c r="AE94" i="8"/>
  <c r="AH180" i="8"/>
  <c r="AD138" i="8"/>
  <c r="AG138" i="8"/>
  <c r="AH117" i="8"/>
  <c r="AD89" i="8"/>
  <c r="AD38" i="8"/>
  <c r="AG38" i="8"/>
  <c r="AC14" i="8"/>
  <c r="AE135" i="8"/>
  <c r="AE65" i="8"/>
  <c r="AH86" i="8"/>
  <c r="AH138" i="8"/>
  <c r="AG31" i="8"/>
  <c r="AH60" i="8"/>
  <c r="AC56" i="8"/>
  <c r="AB56" i="8"/>
  <c r="AG62" i="8"/>
  <c r="AD62" i="8"/>
  <c r="AD105" i="8"/>
  <c r="AC30" i="8"/>
  <c r="AD199" i="15"/>
  <c r="AG199" i="15"/>
  <c r="AH195" i="15"/>
  <c r="AE195" i="15"/>
  <c r="AH191" i="15"/>
  <c r="AE191" i="15"/>
  <c r="AD175" i="15"/>
  <c r="AG175" i="15"/>
  <c r="AG166" i="15"/>
  <c r="AD166" i="15"/>
  <c r="AH175" i="15"/>
  <c r="AH163" i="15"/>
  <c r="AE163" i="15"/>
  <c r="AG154" i="15"/>
  <c r="AD154" i="15"/>
  <c r="AG138" i="15"/>
  <c r="AD138" i="15"/>
  <c r="AG165" i="15"/>
  <c r="AD165" i="15"/>
  <c r="AG151" i="15"/>
  <c r="AD151" i="15"/>
  <c r="AG127" i="15"/>
  <c r="AD127" i="15"/>
  <c r="AG107" i="15"/>
  <c r="AD107" i="15"/>
  <c r="AE130" i="15"/>
  <c r="AH130" i="15"/>
  <c r="AG110" i="15"/>
  <c r="AD110" i="15"/>
  <c r="AE106" i="15"/>
  <c r="AH106" i="15"/>
  <c r="AH135" i="15"/>
  <c r="AE135" i="15"/>
  <c r="AG130" i="15"/>
  <c r="AE107" i="15"/>
  <c r="AD94" i="15"/>
  <c r="AG94" i="15"/>
  <c r="AD86" i="15"/>
  <c r="AG86" i="15"/>
  <c r="AH107" i="15"/>
  <c r="AE98" i="15"/>
  <c r="AD74" i="15"/>
  <c r="AG74" i="15"/>
  <c r="AE70" i="15"/>
  <c r="AH86" i="15"/>
  <c r="AD67" i="15"/>
  <c r="AG67" i="15"/>
  <c r="AG50" i="15"/>
  <c r="AD50" i="15"/>
  <c r="AG33" i="15"/>
  <c r="AD33" i="15"/>
  <c r="AG72" i="15"/>
  <c r="AE61" i="15"/>
  <c r="AH61" i="15"/>
  <c r="AE22" i="15"/>
  <c r="AH22" i="15"/>
  <c r="AE18" i="15"/>
  <c r="AG61" i="15"/>
  <c r="AD61" i="15"/>
  <c r="AH67" i="15"/>
  <c r="AH50" i="15"/>
  <c r="AH53" i="15"/>
  <c r="AE53" i="15"/>
  <c r="AD22" i="15"/>
  <c r="AH12" i="15"/>
  <c r="AE12" i="15"/>
  <c r="AG12" i="15"/>
  <c r="AD12" i="15"/>
  <c r="AD179" i="15"/>
  <c r="AG179" i="15"/>
  <c r="AE179" i="15"/>
  <c r="AD171" i="15"/>
  <c r="AG171" i="15"/>
  <c r="AE171" i="15"/>
  <c r="AH190" i="15"/>
  <c r="AE190" i="15"/>
  <c r="AD190" i="15"/>
  <c r="AH179" i="15"/>
  <c r="AH171" i="15"/>
  <c r="AG190" i="15"/>
  <c r="AD183" i="15"/>
  <c r="AG183" i="15"/>
  <c r="AG174" i="15"/>
  <c r="AD174" i="15"/>
  <c r="AE174" i="15"/>
  <c r="AG162" i="15"/>
  <c r="AD162" i="15"/>
  <c r="AH162" i="15"/>
  <c r="AH183" i="15"/>
  <c r="AH160" i="15"/>
  <c r="AE160" i="15"/>
  <c r="AG157" i="15"/>
  <c r="AD157" i="15"/>
  <c r="AE149" i="15"/>
  <c r="AH149" i="15"/>
  <c r="AE141" i="15"/>
  <c r="AH141" i="15"/>
  <c r="AE133" i="15"/>
  <c r="AH133" i="15"/>
  <c r="AD141" i="15"/>
  <c r="AD133" i="15"/>
  <c r="AG115" i="15"/>
  <c r="AD115" i="15"/>
  <c r="AE115" i="15"/>
  <c r="AE110" i="15"/>
  <c r="AH110" i="15"/>
  <c r="AG133" i="15"/>
  <c r="AE127" i="15"/>
  <c r="AG114" i="15"/>
  <c r="AD114" i="15"/>
  <c r="AH99" i="15"/>
  <c r="AE99" i="15"/>
  <c r="AE146" i="15"/>
  <c r="AE138" i="15"/>
  <c r="AG99" i="15"/>
  <c r="AH74" i="15"/>
  <c r="AE74" i="15"/>
  <c r="AG63" i="15"/>
  <c r="AD63" i="15"/>
  <c r="AG46" i="15"/>
  <c r="AD46" i="15"/>
  <c r="AG24" i="15"/>
  <c r="AD24" i="15"/>
  <c r="AH57" i="15"/>
  <c r="AE57" i="15"/>
  <c r="AH46" i="15"/>
  <c r="AH11" i="15"/>
  <c r="AE11" i="15"/>
  <c r="AH30" i="15"/>
  <c r="AG22" i="15"/>
  <c r="AH10" i="15"/>
  <c r="AE10" i="15"/>
  <c r="AE51" i="15"/>
  <c r="AG10" i="15"/>
  <c r="AG186" i="15"/>
  <c r="AD186" i="15"/>
  <c r="AG178" i="15"/>
  <c r="AD178" i="15"/>
  <c r="AG170" i="15"/>
  <c r="AD170" i="15"/>
  <c r="AH194" i="15"/>
  <c r="AE194" i="15"/>
  <c r="AD194" i="15"/>
  <c r="AE186" i="15"/>
  <c r="AE178" i="15"/>
  <c r="AE170" i="15"/>
  <c r="AG182" i="15"/>
  <c r="AD182" i="15"/>
  <c r="AE182" i="15"/>
  <c r="AH159" i="15"/>
  <c r="AE159" i="15"/>
  <c r="AH178" i="15"/>
  <c r="AD160" i="15"/>
  <c r="AG160" i="15"/>
  <c r="AE157" i="15"/>
  <c r="AH157" i="15"/>
  <c r="AD148" i="15"/>
  <c r="AG148" i="15"/>
  <c r="AD140" i="15"/>
  <c r="AG140" i="15"/>
  <c r="AE131" i="15"/>
  <c r="AH131" i="15"/>
  <c r="AG111" i="15"/>
  <c r="AD111" i="15"/>
  <c r="AG103" i="15"/>
  <c r="AE103" i="15"/>
  <c r="AD103" i="15"/>
  <c r="AD149" i="15"/>
  <c r="AD143" i="15"/>
  <c r="AG143" i="15"/>
  <c r="AE114" i="15"/>
  <c r="AH114" i="15"/>
  <c r="AG98" i="15"/>
  <c r="AD98" i="15"/>
  <c r="AD90" i="15"/>
  <c r="AG90" i="15"/>
  <c r="AD82" i="15"/>
  <c r="AG82" i="15"/>
  <c r="AH138" i="15"/>
  <c r="AH82" i="15"/>
  <c r="AD78" i="15"/>
  <c r="AG78" i="15"/>
  <c r="AH77" i="15"/>
  <c r="AE77" i="15"/>
  <c r="AD70" i="15"/>
  <c r="AG70" i="15"/>
  <c r="AG62" i="15"/>
  <c r="AD62" i="15"/>
  <c r="AG42" i="15"/>
  <c r="AD42" i="15"/>
  <c r="AG23" i="15"/>
  <c r="AD23" i="15"/>
  <c r="AE90" i="15"/>
  <c r="AG77" i="15"/>
  <c r="AE94" i="15"/>
  <c r="AG73" i="15"/>
  <c r="AD73" i="15"/>
  <c r="AG55" i="15"/>
  <c r="AD55" i="15"/>
  <c r="AE62" i="15"/>
  <c r="AE55" i="15"/>
  <c r="AH23" i="15"/>
  <c r="AE33" i="15"/>
  <c r="AE24" i="15"/>
  <c r="AG53" i="15"/>
  <c r="AG11" i="15"/>
  <c r="AC201" i="15"/>
  <c r="AE8" i="15"/>
  <c r="AH8" i="15"/>
  <c r="AD10" i="15"/>
  <c r="AD195" i="15"/>
  <c r="AG195" i="15"/>
  <c r="AD191" i="15"/>
  <c r="AG191" i="15"/>
  <c r="AE185" i="15"/>
  <c r="AH185" i="15"/>
  <c r="AE177" i="15"/>
  <c r="AH177" i="15"/>
  <c r="AE169" i="15"/>
  <c r="AH169" i="15"/>
  <c r="AG194" i="15"/>
  <c r="AD167" i="15"/>
  <c r="AG167" i="15"/>
  <c r="AH186" i="15"/>
  <c r="AG177" i="15"/>
  <c r="AH167" i="15"/>
  <c r="AD163" i="15"/>
  <c r="AG163" i="15"/>
  <c r="AG159" i="15"/>
  <c r="AG146" i="15"/>
  <c r="AD146" i="15"/>
  <c r="AE165" i="15"/>
  <c r="AH165" i="15"/>
  <c r="AD131" i="15"/>
  <c r="AG131" i="15"/>
  <c r="AH148" i="15"/>
  <c r="AH140" i="15"/>
  <c r="AG106" i="15"/>
  <c r="AD106" i="15"/>
  <c r="AG149" i="15"/>
  <c r="AH143" i="15"/>
  <c r="AE143" i="15"/>
  <c r="AD135" i="15"/>
  <c r="AG135" i="15"/>
  <c r="AE118" i="15"/>
  <c r="AH118" i="15"/>
  <c r="AH127" i="15"/>
  <c r="AH111" i="15"/>
  <c r="AH78" i="15"/>
  <c r="AE78" i="15"/>
  <c r="AE72" i="15"/>
  <c r="AH72" i="15"/>
  <c r="AE86" i="15"/>
  <c r="AG69" i="15"/>
  <c r="AE69" i="15"/>
  <c r="AD69" i="15"/>
  <c r="AG51" i="15"/>
  <c r="AD51" i="15"/>
  <c r="AG38" i="15"/>
  <c r="AD38" i="15"/>
  <c r="AG18" i="15"/>
  <c r="AD18" i="15"/>
  <c r="AH90" i="15"/>
  <c r="AH94" i="15"/>
  <c r="AD30" i="15"/>
  <c r="AG30" i="15"/>
  <c r="AB201" i="15"/>
  <c r="AH62" i="15"/>
  <c r="AG57" i="15"/>
  <c r="AE38" i="15"/>
  <c r="AE67" i="15"/>
  <c r="AE63" i="15"/>
  <c r="AE50" i="15"/>
  <c r="AE42" i="15"/>
  <c r="AH33" i="15"/>
  <c r="AH24" i="15"/>
  <c r="AD53" i="15"/>
  <c r="AD11" i="15"/>
  <c r="AG9" i="15"/>
  <c r="AD9" i="15"/>
  <c r="AH183" i="14"/>
  <c r="AE183" i="14"/>
  <c r="AH174" i="14"/>
  <c r="AE174" i="14"/>
  <c r="AH154" i="14"/>
  <c r="AE154" i="14"/>
  <c r="AH191" i="14"/>
  <c r="AE191" i="14"/>
  <c r="AG174" i="14"/>
  <c r="AH190" i="14"/>
  <c r="AE190" i="14"/>
  <c r="AH179" i="14"/>
  <c r="AE179" i="14"/>
  <c r="AD175" i="14"/>
  <c r="AG175" i="14"/>
  <c r="AH162" i="14"/>
  <c r="AE162" i="14"/>
  <c r="AD163" i="14"/>
  <c r="AG163" i="14"/>
  <c r="AE160" i="14"/>
  <c r="AH160" i="14"/>
  <c r="AG154" i="14"/>
  <c r="AD170" i="14"/>
  <c r="AH115" i="14"/>
  <c r="AE115" i="14"/>
  <c r="AG91" i="14"/>
  <c r="AD91" i="14"/>
  <c r="AG107" i="14"/>
  <c r="AD107" i="14"/>
  <c r="AH62" i="14"/>
  <c r="AE62" i="14"/>
  <c r="AH91" i="14"/>
  <c r="AE60" i="14"/>
  <c r="AH60" i="14"/>
  <c r="AD32" i="14"/>
  <c r="AG32" i="14"/>
  <c r="AD46" i="14"/>
  <c r="AG46" i="14"/>
  <c r="AD38" i="14"/>
  <c r="AG38" i="14"/>
  <c r="W201" i="14"/>
  <c r="AC8" i="14"/>
  <c r="AD17" i="14"/>
  <c r="AG17" i="14"/>
  <c r="AD41" i="14"/>
  <c r="AG41" i="14"/>
  <c r="AE10" i="14"/>
  <c r="AH10" i="14"/>
  <c r="AD195" i="14"/>
  <c r="AG195" i="14"/>
  <c r="AH178" i="14"/>
  <c r="AE178" i="14"/>
  <c r="AD187" i="14"/>
  <c r="AG187" i="14"/>
  <c r="AH194" i="14"/>
  <c r="AE194" i="14"/>
  <c r="AH175" i="14"/>
  <c r="AE175" i="14"/>
  <c r="AH150" i="14"/>
  <c r="AE150" i="14"/>
  <c r="AD150" i="14"/>
  <c r="AH142" i="14"/>
  <c r="AE142" i="14"/>
  <c r="AD142" i="14"/>
  <c r="AH134" i="14"/>
  <c r="AE134" i="14"/>
  <c r="AD134" i="14"/>
  <c r="AD166" i="14"/>
  <c r="AG166" i="14"/>
  <c r="AH163" i="14"/>
  <c r="AE163" i="14"/>
  <c r="AG160" i="14"/>
  <c r="AD160" i="14"/>
  <c r="AH138" i="14"/>
  <c r="AE138" i="14"/>
  <c r="AD131" i="14"/>
  <c r="AG131" i="14"/>
  <c r="AE131" i="14"/>
  <c r="AG87" i="14"/>
  <c r="AD87" i="14"/>
  <c r="AH127" i="14"/>
  <c r="AE127" i="14"/>
  <c r="AE105" i="14"/>
  <c r="AH105" i="14"/>
  <c r="AG99" i="14"/>
  <c r="AD99" i="14"/>
  <c r="AD77" i="14"/>
  <c r="AG77" i="14"/>
  <c r="AD69" i="14"/>
  <c r="AG69" i="14"/>
  <c r="AE61" i="14"/>
  <c r="AH61" i="14"/>
  <c r="AG63" i="14"/>
  <c r="AD63" i="14"/>
  <c r="AD50" i="14"/>
  <c r="AG50" i="14"/>
  <c r="AH22" i="14"/>
  <c r="AE22" i="14"/>
  <c r="AH17" i="14"/>
  <c r="AE17" i="14"/>
  <c r="AE53" i="14"/>
  <c r="AH53" i="14"/>
  <c r="AH41" i="14"/>
  <c r="AE41" i="14"/>
  <c r="AE57" i="14"/>
  <c r="AH57" i="14"/>
  <c r="AE14" i="14"/>
  <c r="AH14" i="14"/>
  <c r="AH187" i="14"/>
  <c r="AE187" i="14"/>
  <c r="AH170" i="14"/>
  <c r="AE170" i="14"/>
  <c r="AE195" i="14"/>
  <c r="AE173" i="14"/>
  <c r="AH173" i="14"/>
  <c r="AD173" i="14"/>
  <c r="AH167" i="14"/>
  <c r="AE167" i="14"/>
  <c r="AE145" i="14"/>
  <c r="AH145" i="14"/>
  <c r="AD145" i="14"/>
  <c r="AE137" i="14"/>
  <c r="AH137" i="14"/>
  <c r="AD137" i="14"/>
  <c r="AH166" i="14"/>
  <c r="AE166" i="14"/>
  <c r="AG150" i="14"/>
  <c r="AG142" i="14"/>
  <c r="AG134" i="14"/>
  <c r="AG137" i="14"/>
  <c r="AD194" i="14"/>
  <c r="AG111" i="14"/>
  <c r="AD111" i="14"/>
  <c r="AH99" i="14"/>
  <c r="AG83" i="14"/>
  <c r="AD83" i="14"/>
  <c r="AG97" i="14"/>
  <c r="AD97" i="14"/>
  <c r="AE83" i="14"/>
  <c r="V201" i="14"/>
  <c r="AB8" i="14"/>
  <c r="AH63" i="14"/>
  <c r="AE63" i="14"/>
  <c r="AD18" i="14"/>
  <c r="AG18" i="14"/>
  <c r="AH50" i="14"/>
  <c r="AH55" i="14"/>
  <c r="AE55" i="14"/>
  <c r="AH38" i="14"/>
  <c r="AD55" i="14"/>
  <c r="AE32" i="14"/>
  <c r="AH9" i="14"/>
  <c r="AE9" i="14"/>
  <c r="AG9" i="14"/>
  <c r="AH46" i="14"/>
  <c r="AG22" i="14"/>
  <c r="AG194" i="14"/>
  <c r="AD183" i="14"/>
  <c r="AG183" i="14"/>
  <c r="AH158" i="14"/>
  <c r="AE158" i="14"/>
  <c r="AD158" i="14"/>
  <c r="AG178" i="14"/>
  <c r="AH195" i="14"/>
  <c r="AD191" i="14"/>
  <c r="AG191" i="14"/>
  <c r="AD179" i="14"/>
  <c r="AG179" i="14"/>
  <c r="AG165" i="14"/>
  <c r="AD165" i="14"/>
  <c r="AG167" i="14"/>
  <c r="AH165" i="14"/>
  <c r="AD162" i="14"/>
  <c r="AD154" i="14"/>
  <c r="AD190" i="14"/>
  <c r="AH146" i="14"/>
  <c r="AE146" i="14"/>
  <c r="AD178" i="14"/>
  <c r="AG138" i="14"/>
  <c r="AH111" i="14"/>
  <c r="AE111" i="14"/>
  <c r="AG95" i="14"/>
  <c r="AD95" i="14"/>
  <c r="AD124" i="14"/>
  <c r="AG124" i="14"/>
  <c r="AG102" i="14"/>
  <c r="AD102" i="14"/>
  <c r="AD81" i="14"/>
  <c r="AG81" i="14"/>
  <c r="AD73" i="14"/>
  <c r="AG73" i="14"/>
  <c r="AD65" i="14"/>
  <c r="AG65" i="14"/>
  <c r="AH83" i="14"/>
  <c r="AH69" i="14"/>
  <c r="AG62" i="14"/>
  <c r="AD62" i="14"/>
  <c r="AD115" i="14"/>
  <c r="AD105" i="14"/>
  <c r="AE91" i="14"/>
  <c r="AH77" i="14"/>
  <c r="AG61" i="14"/>
  <c r="AD61" i="14"/>
  <c r="AE102" i="14"/>
  <c r="AE87" i="14"/>
  <c r="AH59" i="14"/>
  <c r="AE59" i="14"/>
  <c r="AD42" i="14"/>
  <c r="AG42" i="14"/>
  <c r="AD33" i="14"/>
  <c r="AG33" i="14"/>
  <c r="AD23" i="14"/>
  <c r="AG23" i="14"/>
  <c r="AE50" i="14"/>
  <c r="AE38" i="14"/>
  <c r="AG14" i="14"/>
  <c r="AH54" i="14"/>
  <c r="AE54" i="14"/>
  <c r="AD53" i="14"/>
  <c r="AH32" i="14"/>
  <c r="AD9" i="14"/>
  <c r="AE46" i="14"/>
  <c r="AD22" i="14"/>
  <c r="AG186" i="13"/>
  <c r="AD186" i="13"/>
  <c r="AH179" i="13"/>
  <c r="AE179" i="13"/>
  <c r="AE174" i="13"/>
  <c r="AH174" i="13"/>
  <c r="AD174" i="13"/>
  <c r="AD195" i="13"/>
  <c r="AG195" i="13"/>
  <c r="AG179" i="13"/>
  <c r="AH162" i="13"/>
  <c r="AD142" i="13"/>
  <c r="AG142" i="13"/>
  <c r="AH137" i="13"/>
  <c r="AE137" i="13"/>
  <c r="AD132" i="13"/>
  <c r="AG132" i="13"/>
  <c r="AD141" i="13"/>
  <c r="AE132" i="13"/>
  <c r="AH123" i="13"/>
  <c r="AE123" i="13"/>
  <c r="AH115" i="13"/>
  <c r="AE115" i="13"/>
  <c r="AH107" i="13"/>
  <c r="AE107" i="13"/>
  <c r="AG86" i="13"/>
  <c r="AD86" i="13"/>
  <c r="AG70" i="13"/>
  <c r="AD70" i="13"/>
  <c r="AE130" i="13"/>
  <c r="AH130" i="13"/>
  <c r="AE114" i="13"/>
  <c r="AH114" i="13"/>
  <c r="AE94" i="13"/>
  <c r="AH60" i="13"/>
  <c r="AE60" i="13"/>
  <c r="AG60" i="13"/>
  <c r="AG57" i="13"/>
  <c r="AD57" i="13"/>
  <c r="AD60" i="13"/>
  <c r="AG58" i="13"/>
  <c r="AG51" i="13"/>
  <c r="AD51" i="13"/>
  <c r="AG38" i="13"/>
  <c r="AD38" i="13"/>
  <c r="AG33" i="13"/>
  <c r="AD33" i="13"/>
  <c r="AD55" i="13"/>
  <c r="AG55" i="13"/>
  <c r="AG61" i="13"/>
  <c r="AH10" i="13"/>
  <c r="AE10" i="13"/>
  <c r="AH41" i="13"/>
  <c r="AE41" i="13"/>
  <c r="AE33" i="13"/>
  <c r="AE51" i="13"/>
  <c r="AH38" i="13"/>
  <c r="AG190" i="13"/>
  <c r="AD190" i="13"/>
  <c r="AH186" i="13"/>
  <c r="AE186" i="13"/>
  <c r="AE170" i="13"/>
  <c r="AH170" i="13"/>
  <c r="AD170" i="13"/>
  <c r="AH167" i="13"/>
  <c r="AE167" i="13"/>
  <c r="AH195" i="13"/>
  <c r="AE195" i="13"/>
  <c r="AD160" i="13"/>
  <c r="AG160" i="13"/>
  <c r="AG157" i="13"/>
  <c r="AD157" i="13"/>
  <c r="AG131" i="13"/>
  <c r="AD131" i="13"/>
  <c r="AD154" i="13"/>
  <c r="AG154" i="13"/>
  <c r="AH131" i="13"/>
  <c r="AG136" i="13"/>
  <c r="AD136" i="13"/>
  <c r="AG137" i="13"/>
  <c r="AE142" i="13"/>
  <c r="AE101" i="13"/>
  <c r="AH101" i="13"/>
  <c r="AE131" i="13"/>
  <c r="AG123" i="13"/>
  <c r="AD123" i="13"/>
  <c r="AG115" i="13"/>
  <c r="AD115" i="13"/>
  <c r="AG107" i="13"/>
  <c r="AD107" i="13"/>
  <c r="AD99" i="13"/>
  <c r="AG99" i="13"/>
  <c r="AG82" i="13"/>
  <c r="AD82" i="13"/>
  <c r="AG66" i="13"/>
  <c r="AD66" i="13"/>
  <c r="AE118" i="13"/>
  <c r="AH118" i="13"/>
  <c r="AG118" i="13"/>
  <c r="AD92" i="13"/>
  <c r="AG92" i="13"/>
  <c r="AD84" i="13"/>
  <c r="AG84" i="13"/>
  <c r="AD76" i="13"/>
  <c r="AG76" i="13"/>
  <c r="AD68" i="13"/>
  <c r="AG68" i="13"/>
  <c r="AH80" i="13"/>
  <c r="AH72" i="13"/>
  <c r="AE90" i="13"/>
  <c r="AE86" i="13"/>
  <c r="AE84" i="13"/>
  <c r="AD50" i="13"/>
  <c r="AG50" i="13"/>
  <c r="AD18" i="13"/>
  <c r="AG18" i="13"/>
  <c r="AE22" i="13"/>
  <c r="AH22" i="13"/>
  <c r="AE14" i="13"/>
  <c r="AH14" i="13"/>
  <c r="AH57" i="13"/>
  <c r="AD17" i="13"/>
  <c r="AG17" i="13"/>
  <c r="AD10" i="13"/>
  <c r="AD52" i="13"/>
  <c r="AE38" i="13"/>
  <c r="AH194" i="13"/>
  <c r="AE194" i="13"/>
  <c r="AD194" i="13"/>
  <c r="AH190" i="13"/>
  <c r="AE190" i="13"/>
  <c r="AH175" i="13"/>
  <c r="AE175" i="13"/>
  <c r="AD175" i="13"/>
  <c r="AG162" i="13"/>
  <c r="AD162" i="13"/>
  <c r="AG194" i="13"/>
  <c r="AG175" i="13"/>
  <c r="AE182" i="13"/>
  <c r="AH182" i="13"/>
  <c r="AD182" i="13"/>
  <c r="AH171" i="13"/>
  <c r="AE171" i="13"/>
  <c r="AH166" i="13"/>
  <c r="AE166" i="13"/>
  <c r="AD163" i="13"/>
  <c r="AG163" i="13"/>
  <c r="AE160" i="13"/>
  <c r="AH160" i="13"/>
  <c r="AE157" i="13"/>
  <c r="AH157" i="13"/>
  <c r="AD171" i="13"/>
  <c r="AG167" i="13"/>
  <c r="AH142" i="13"/>
  <c r="AD137" i="13"/>
  <c r="AH127" i="13"/>
  <c r="AE127" i="13"/>
  <c r="AH119" i="13"/>
  <c r="AE119" i="13"/>
  <c r="AH111" i="13"/>
  <c r="AE111" i="13"/>
  <c r="AH103" i="13"/>
  <c r="AE103" i="13"/>
  <c r="AG94" i="13"/>
  <c r="AD94" i="13"/>
  <c r="AG78" i="13"/>
  <c r="AD78" i="13"/>
  <c r="AE136" i="13"/>
  <c r="AE122" i="13"/>
  <c r="AH122" i="13"/>
  <c r="AE154" i="13"/>
  <c r="AG98" i="13"/>
  <c r="AD98" i="13"/>
  <c r="AE78" i="13"/>
  <c r="AE70" i="13"/>
  <c r="AE64" i="13"/>
  <c r="AH64" i="13"/>
  <c r="AH58" i="13"/>
  <c r="AE58" i="13"/>
  <c r="AH86" i="13"/>
  <c r="AE82" i="13"/>
  <c r="AE66" i="13"/>
  <c r="AG64" i="13"/>
  <c r="AD46" i="13"/>
  <c r="AG46" i="13"/>
  <c r="W201" i="13"/>
  <c r="AC8" i="13"/>
  <c r="AH18" i="13"/>
  <c r="AG22" i="13"/>
  <c r="AE53" i="13"/>
  <c r="AH53" i="13"/>
  <c r="AE57" i="13"/>
  <c r="AE46" i="13"/>
  <c r="AE17" i="13"/>
  <c r="AH17" i="13"/>
  <c r="AG10" i="13"/>
  <c r="AH55" i="13"/>
  <c r="AH183" i="13"/>
  <c r="AE183" i="13"/>
  <c r="AD183" i="13"/>
  <c r="AE178" i="13"/>
  <c r="AH178" i="13"/>
  <c r="AD178" i="13"/>
  <c r="AH159" i="13"/>
  <c r="AE159" i="13"/>
  <c r="AG170" i="13"/>
  <c r="AG166" i="13"/>
  <c r="AD166" i="13"/>
  <c r="AH163" i="13"/>
  <c r="AE163" i="13"/>
  <c r="AD159" i="13"/>
  <c r="AH141" i="13"/>
  <c r="AE141" i="13"/>
  <c r="AG139" i="13"/>
  <c r="AD139" i="13"/>
  <c r="AG171" i="13"/>
  <c r="AD167" i="13"/>
  <c r="AH145" i="13"/>
  <c r="AE145" i="13"/>
  <c r="AG127" i="13"/>
  <c r="AD127" i="13"/>
  <c r="AG119" i="13"/>
  <c r="AD119" i="13"/>
  <c r="AG111" i="13"/>
  <c r="AD111" i="13"/>
  <c r="AG103" i="13"/>
  <c r="AD103" i="13"/>
  <c r="AG90" i="13"/>
  <c r="AD90" i="13"/>
  <c r="AG74" i="13"/>
  <c r="AD74" i="13"/>
  <c r="AH136" i="13"/>
  <c r="AE126" i="13"/>
  <c r="AH126" i="13"/>
  <c r="AG101" i="13"/>
  <c r="AD145" i="13"/>
  <c r="AG126" i="13"/>
  <c r="AD96" i="13"/>
  <c r="AG96" i="13"/>
  <c r="AD88" i="13"/>
  <c r="AG88" i="13"/>
  <c r="AD80" i="13"/>
  <c r="AG80" i="13"/>
  <c r="AD72" i="13"/>
  <c r="AG72" i="13"/>
  <c r="AD101" i="13"/>
  <c r="V201" i="13"/>
  <c r="AB8" i="13"/>
  <c r="AH92" i="13"/>
  <c r="AH78" i="13"/>
  <c r="AH70" i="13"/>
  <c r="AE98" i="13"/>
  <c r="AH88" i="13"/>
  <c r="AH76" i="13"/>
  <c r="AH68" i="13"/>
  <c r="AD59" i="13"/>
  <c r="AG59" i="13"/>
  <c r="AE96" i="13"/>
  <c r="AH82" i="13"/>
  <c r="AH74" i="13"/>
  <c r="AH66" i="13"/>
  <c r="AH61" i="13"/>
  <c r="AE61" i="13"/>
  <c r="AE52" i="13"/>
  <c r="AH52" i="13"/>
  <c r="AE35" i="13"/>
  <c r="AH35" i="13"/>
  <c r="AG23" i="13"/>
  <c r="AD23" i="13"/>
  <c r="AE32" i="13"/>
  <c r="AH32" i="13"/>
  <c r="AH50" i="13"/>
  <c r="AE23" i="13"/>
  <c r="AE18" i="13"/>
  <c r="AD22" i="13"/>
  <c r="AD41" i="13"/>
  <c r="AG41" i="13"/>
  <c r="AD35" i="13"/>
  <c r="AH33" i="13"/>
  <c r="AG14" i="13"/>
  <c r="AH51" i="13"/>
  <c r="AE55" i="13"/>
  <c r="AG32" i="13"/>
  <c r="AE9" i="13"/>
  <c r="AH9" i="13"/>
  <c r="AH174" i="12"/>
  <c r="AD174" i="12"/>
  <c r="AE174" i="12"/>
  <c r="AG165" i="12"/>
  <c r="AD165" i="12"/>
  <c r="AD161" i="12"/>
  <c r="AG161" i="12"/>
  <c r="AG167" i="12"/>
  <c r="AD167" i="12"/>
  <c r="AD148" i="12"/>
  <c r="AG148" i="12"/>
  <c r="AH137" i="12"/>
  <c r="AE137" i="12"/>
  <c r="AH144" i="12"/>
  <c r="AE144" i="12"/>
  <c r="AH129" i="12"/>
  <c r="AE129" i="12"/>
  <c r="AH166" i="12"/>
  <c r="AH107" i="12"/>
  <c r="AE107" i="12"/>
  <c r="AE138" i="12"/>
  <c r="AH138" i="12"/>
  <c r="AE135" i="12"/>
  <c r="AH135" i="12"/>
  <c r="AG128" i="12"/>
  <c r="AD128" i="12"/>
  <c r="AD124" i="12"/>
  <c r="AG124" i="12"/>
  <c r="AD120" i="12"/>
  <c r="AG120" i="12"/>
  <c r="AD116" i="12"/>
  <c r="AG116" i="12"/>
  <c r="AD112" i="12"/>
  <c r="AG112" i="12"/>
  <c r="AE148" i="12"/>
  <c r="AE102" i="12"/>
  <c r="AD102" i="12"/>
  <c r="AH102" i="12"/>
  <c r="AE87" i="12"/>
  <c r="AH87" i="12"/>
  <c r="AD87" i="12"/>
  <c r="AD67" i="12"/>
  <c r="AG67" i="12"/>
  <c r="AG35" i="12"/>
  <c r="AD35" i="12"/>
  <c r="AG26" i="12"/>
  <c r="AD26" i="12"/>
  <c r="AG75" i="12"/>
  <c r="AD75" i="12"/>
  <c r="AD69" i="12"/>
  <c r="AG69" i="12"/>
  <c r="AD107" i="12"/>
  <c r="AD61" i="12"/>
  <c r="AG61" i="12"/>
  <c r="AD22" i="12"/>
  <c r="AG22" i="12"/>
  <c r="AE65" i="12"/>
  <c r="AE61" i="12"/>
  <c r="AH61" i="12"/>
  <c r="AD17" i="12"/>
  <c r="AG17" i="12"/>
  <c r="AH22" i="12"/>
  <c r="AE69" i="12"/>
  <c r="AD40" i="12"/>
  <c r="AG40" i="12"/>
  <c r="AH26" i="12"/>
  <c r="AH190" i="12"/>
  <c r="AE190" i="12"/>
  <c r="AD190" i="12"/>
  <c r="AG190" i="12"/>
  <c r="AH182" i="12"/>
  <c r="AD182" i="12"/>
  <c r="AE182" i="12"/>
  <c r="AE169" i="12"/>
  <c r="AD169" i="12"/>
  <c r="AH169" i="12"/>
  <c r="AG182" i="12"/>
  <c r="AD175" i="12"/>
  <c r="AG175" i="12"/>
  <c r="AD168" i="12"/>
  <c r="AG168" i="12"/>
  <c r="AH159" i="12"/>
  <c r="AE159" i="12"/>
  <c r="AD195" i="12"/>
  <c r="AG195" i="12"/>
  <c r="AD191" i="12"/>
  <c r="AG191" i="12"/>
  <c r="AD187" i="12"/>
  <c r="AG187" i="12"/>
  <c r="AD183" i="12"/>
  <c r="AG183" i="12"/>
  <c r="AH178" i="12"/>
  <c r="AE178" i="12"/>
  <c r="AD164" i="12"/>
  <c r="AG164" i="12"/>
  <c r="AH155" i="12"/>
  <c r="AE155" i="12"/>
  <c r="AD178" i="12"/>
  <c r="AG155" i="12"/>
  <c r="AH165" i="12"/>
  <c r="AD159" i="12"/>
  <c r="AE145" i="12"/>
  <c r="AH145" i="12"/>
  <c r="AH168" i="12"/>
  <c r="AH161" i="12"/>
  <c r="AH150" i="12"/>
  <c r="AE150" i="12"/>
  <c r="AD144" i="12"/>
  <c r="AD141" i="12"/>
  <c r="AG141" i="12"/>
  <c r="AD137" i="12"/>
  <c r="AG133" i="12"/>
  <c r="AH128" i="12"/>
  <c r="AE128" i="12"/>
  <c r="AH124" i="12"/>
  <c r="AE124" i="12"/>
  <c r="AH120" i="12"/>
  <c r="AE120" i="12"/>
  <c r="AH116" i="12"/>
  <c r="AE116" i="12"/>
  <c r="AH112" i="12"/>
  <c r="AE112" i="12"/>
  <c r="AH148" i="12"/>
  <c r="AE91" i="12"/>
  <c r="AH91" i="12"/>
  <c r="AG87" i="12"/>
  <c r="AG74" i="12"/>
  <c r="AD74" i="12"/>
  <c r="AG47" i="12"/>
  <c r="AD47" i="12"/>
  <c r="AG34" i="12"/>
  <c r="AD34" i="12"/>
  <c r="AG25" i="12"/>
  <c r="AD25" i="12"/>
  <c r="AE73" i="12"/>
  <c r="AH73" i="12"/>
  <c r="AH67" i="12"/>
  <c r="AD99" i="12"/>
  <c r="AD83" i="12"/>
  <c r="AD60" i="12"/>
  <c r="AG60" i="12"/>
  <c r="AE32" i="12"/>
  <c r="AH32" i="12"/>
  <c r="AD41" i="12"/>
  <c r="AG41" i="12"/>
  <c r="AE17" i="12"/>
  <c r="AH17" i="12"/>
  <c r="AG32" i="12"/>
  <c r="AH13" i="12"/>
  <c r="AE13" i="12"/>
  <c r="AG57" i="12"/>
  <c r="AD57" i="12"/>
  <c r="AE22" i="12"/>
  <c r="AG13" i="12"/>
  <c r="AE56" i="12"/>
  <c r="AH56" i="12"/>
  <c r="AE34" i="12"/>
  <c r="AE25" i="12"/>
  <c r="AG10" i="12"/>
  <c r="AD10" i="12"/>
  <c r="AH40" i="12"/>
  <c r="AE40" i="12"/>
  <c r="AH47" i="12"/>
  <c r="AE39" i="12"/>
  <c r="AD24" i="12"/>
  <c r="AG11" i="12"/>
  <c r="AD11" i="12"/>
  <c r="AH198" i="12"/>
  <c r="AE198" i="12"/>
  <c r="AH194" i="12"/>
  <c r="AE194" i="12"/>
  <c r="AD194" i="12"/>
  <c r="AG198" i="12"/>
  <c r="AE177" i="12"/>
  <c r="AD177" i="12"/>
  <c r="AH177" i="12"/>
  <c r="AG174" i="12"/>
  <c r="AH195" i="12"/>
  <c r="AE195" i="12"/>
  <c r="AH191" i="12"/>
  <c r="AE191" i="12"/>
  <c r="AH187" i="12"/>
  <c r="AE187" i="12"/>
  <c r="AH183" i="12"/>
  <c r="AE183" i="12"/>
  <c r="AG177" i="12"/>
  <c r="AH170" i="12"/>
  <c r="AE170" i="12"/>
  <c r="AD170" i="12"/>
  <c r="AE165" i="12"/>
  <c r="AG147" i="12"/>
  <c r="AD147" i="12"/>
  <c r="AE168" i="12"/>
  <c r="AE161" i="12"/>
  <c r="AG150" i="12"/>
  <c r="AD150" i="12"/>
  <c r="AG144" i="12"/>
  <c r="AH141" i="12"/>
  <c r="AE141" i="12"/>
  <c r="AG137" i="12"/>
  <c r="AG129" i="12"/>
  <c r="AG107" i="12"/>
  <c r="AE106" i="12"/>
  <c r="AH106" i="12"/>
  <c r="AD106" i="12"/>
  <c r="AH103" i="12"/>
  <c r="AE103" i="12"/>
  <c r="AE95" i="12"/>
  <c r="AH95" i="12"/>
  <c r="AG78" i="12"/>
  <c r="W201" i="12"/>
  <c r="AC8" i="12"/>
  <c r="AG103" i="12"/>
  <c r="AD91" i="12"/>
  <c r="AG43" i="12"/>
  <c r="AD43" i="12"/>
  <c r="AG28" i="12"/>
  <c r="AD28" i="12"/>
  <c r="AG19" i="12"/>
  <c r="AD19" i="12"/>
  <c r="AD95" i="12"/>
  <c r="AH79" i="12"/>
  <c r="AE79" i="12"/>
  <c r="AD65" i="12"/>
  <c r="AG65" i="12"/>
  <c r="AD58" i="12"/>
  <c r="AG58" i="12"/>
  <c r="AE51" i="12"/>
  <c r="AH51" i="12"/>
  <c r="AE41" i="12"/>
  <c r="AH41" i="12"/>
  <c r="AD32" i="12"/>
  <c r="AE74" i="12"/>
  <c r="AG51" i="12"/>
  <c r="AH57" i="12"/>
  <c r="AE57" i="12"/>
  <c r="AH43" i="12"/>
  <c r="AE28" i="12"/>
  <c r="AG56" i="12"/>
  <c r="AD56" i="12"/>
  <c r="AG53" i="12"/>
  <c r="AD53" i="12"/>
  <c r="AH34" i="12"/>
  <c r="AH25" i="12"/>
  <c r="AB8" i="12"/>
  <c r="AE35" i="12"/>
  <c r="AH19" i="12"/>
  <c r="AG166" i="12"/>
  <c r="AD166" i="12"/>
  <c r="AD158" i="12"/>
  <c r="AH158" i="12"/>
  <c r="AE158" i="12"/>
  <c r="AG162" i="12"/>
  <c r="AD162" i="12"/>
  <c r="AG158" i="12"/>
  <c r="AD153" i="12"/>
  <c r="AG153" i="12"/>
  <c r="AE149" i="12"/>
  <c r="AH149" i="12"/>
  <c r="AD149" i="12"/>
  <c r="AG140" i="12"/>
  <c r="AD140" i="12"/>
  <c r="AH140" i="12"/>
  <c r="AH162" i="12"/>
  <c r="AE153" i="12"/>
  <c r="AG149" i="12"/>
  <c r="AH133" i="12"/>
  <c r="AE133" i="12"/>
  <c r="AD138" i="12"/>
  <c r="AG138" i="12"/>
  <c r="AG135" i="12"/>
  <c r="AD135" i="12"/>
  <c r="AE140" i="12"/>
  <c r="AH99" i="12"/>
  <c r="AE99" i="12"/>
  <c r="AE83" i="12"/>
  <c r="AH83" i="12"/>
  <c r="AH71" i="12"/>
  <c r="AE71" i="12"/>
  <c r="AG39" i="12"/>
  <c r="AD39" i="12"/>
  <c r="AG27" i="12"/>
  <c r="AD27" i="12"/>
  <c r="AG15" i="12"/>
  <c r="AD15" i="12"/>
  <c r="AG79" i="12"/>
  <c r="AD79" i="12"/>
  <c r="AH75" i="12"/>
  <c r="AE75" i="12"/>
  <c r="AE78" i="12"/>
  <c r="AH78" i="12"/>
  <c r="AD71" i="12"/>
  <c r="AE24" i="12"/>
  <c r="AH24" i="12"/>
  <c r="AE15" i="12"/>
  <c r="AG14" i="12"/>
  <c r="AD14" i="12"/>
  <c r="AH28" i="12"/>
  <c r="AD55" i="12"/>
  <c r="AG55" i="12"/>
  <c r="AE27" i="12"/>
  <c r="AE14" i="12"/>
  <c r="AH69" i="12"/>
  <c r="AE67" i="12"/>
  <c r="AH35" i="12"/>
  <c r="AE26" i="12"/>
  <c r="AG190" i="11"/>
  <c r="AD190" i="11"/>
  <c r="AG182" i="11"/>
  <c r="AD182" i="11"/>
  <c r="AE154" i="11"/>
  <c r="AG134" i="11"/>
  <c r="AD134" i="11"/>
  <c r="AE149" i="11"/>
  <c r="AH149" i="11"/>
  <c r="AE141" i="11"/>
  <c r="AH141" i="11"/>
  <c r="AE133" i="11"/>
  <c r="AH133" i="11"/>
  <c r="AD125" i="11"/>
  <c r="AG125" i="11"/>
  <c r="AD167" i="11"/>
  <c r="AG141" i="11"/>
  <c r="AD113" i="11"/>
  <c r="AG113" i="11"/>
  <c r="AH117" i="11"/>
  <c r="AE117" i="11"/>
  <c r="AH121" i="11"/>
  <c r="AE121" i="11"/>
  <c r="AG99" i="11"/>
  <c r="AD99" i="11"/>
  <c r="AD109" i="11"/>
  <c r="AG109" i="11"/>
  <c r="AG79" i="11"/>
  <c r="AD79" i="11"/>
  <c r="AD74" i="11"/>
  <c r="AH61" i="11"/>
  <c r="AE61" i="11"/>
  <c r="AG51" i="11"/>
  <c r="AD51" i="11"/>
  <c r="AH99" i="11"/>
  <c r="AD71" i="11"/>
  <c r="AG71" i="11"/>
  <c r="AH60" i="11"/>
  <c r="AE60" i="11"/>
  <c r="AE32" i="11"/>
  <c r="AH32" i="11"/>
  <c r="AE21" i="11"/>
  <c r="AH21" i="11"/>
  <c r="AE54" i="11"/>
  <c r="AH54" i="11"/>
  <c r="AD37" i="11"/>
  <c r="AD45" i="11"/>
  <c r="AD22" i="11"/>
  <c r="AD13" i="11"/>
  <c r="AG13" i="11"/>
  <c r="AG158" i="11"/>
  <c r="AD158" i="11"/>
  <c r="AG170" i="11"/>
  <c r="AD170" i="11"/>
  <c r="AD172" i="11"/>
  <c r="AG172" i="11"/>
  <c r="AH163" i="11"/>
  <c r="AE163" i="11"/>
  <c r="AH190" i="11"/>
  <c r="AE190" i="11"/>
  <c r="AH182" i="11"/>
  <c r="AE182" i="11"/>
  <c r="AG162" i="11"/>
  <c r="AD162" i="11"/>
  <c r="AD133" i="11"/>
  <c r="AE162" i="11"/>
  <c r="AD160" i="11"/>
  <c r="AG160" i="11"/>
  <c r="AE157" i="11"/>
  <c r="AH157" i="11"/>
  <c r="AG163" i="11"/>
  <c r="AD147" i="11"/>
  <c r="AG147" i="11"/>
  <c r="AD139" i="11"/>
  <c r="AG139" i="11"/>
  <c r="AD131" i="11"/>
  <c r="AG131" i="11"/>
  <c r="AG149" i="11"/>
  <c r="AH139" i="11"/>
  <c r="AH113" i="11"/>
  <c r="AE113" i="11"/>
  <c r="AE125" i="11"/>
  <c r="AH120" i="11"/>
  <c r="AE120" i="11"/>
  <c r="AH109" i="11"/>
  <c r="AE109" i="11"/>
  <c r="AH104" i="11"/>
  <c r="AE104" i="11"/>
  <c r="AH97" i="11"/>
  <c r="AE97" i="11"/>
  <c r="AH91" i="11"/>
  <c r="AH79" i="11"/>
  <c r="AE79" i="11"/>
  <c r="AG60" i="11"/>
  <c r="AD60" i="11"/>
  <c r="AG24" i="11"/>
  <c r="AD24" i="11"/>
  <c r="AE90" i="11"/>
  <c r="AH90" i="11"/>
  <c r="AG70" i="11"/>
  <c r="AD70" i="11"/>
  <c r="AE49" i="11"/>
  <c r="AH49" i="11"/>
  <c r="AE31" i="11"/>
  <c r="AH31" i="11"/>
  <c r="AE17" i="11"/>
  <c r="AH17" i="11"/>
  <c r="AD21" i="11"/>
  <c r="AG31" i="11"/>
  <c r="AE52" i="11"/>
  <c r="AG55" i="11"/>
  <c r="AD55" i="11"/>
  <c r="AG17" i="11"/>
  <c r="AE51" i="11"/>
  <c r="AD49" i="11"/>
  <c r="AH24" i="11"/>
  <c r="AH13" i="11"/>
  <c r="AE13" i="11"/>
  <c r="AE178" i="11"/>
  <c r="AH178" i="11"/>
  <c r="AD178" i="11"/>
  <c r="AH166" i="11"/>
  <c r="AE166" i="11"/>
  <c r="AD166" i="11"/>
  <c r="AD176" i="11"/>
  <c r="AG176" i="11"/>
  <c r="AG169" i="11"/>
  <c r="AD169" i="11"/>
  <c r="AH179" i="11"/>
  <c r="AE179" i="11"/>
  <c r="AG194" i="11"/>
  <c r="AD194" i="11"/>
  <c r="AG186" i="11"/>
  <c r="AD186" i="11"/>
  <c r="AG179" i="11"/>
  <c r="AD151" i="11"/>
  <c r="AG151" i="11"/>
  <c r="AE151" i="11"/>
  <c r="AD143" i="11"/>
  <c r="AG143" i="11"/>
  <c r="AE143" i="11"/>
  <c r="AH160" i="11"/>
  <c r="AE160" i="11"/>
  <c r="AG157" i="11"/>
  <c r="AD157" i="11"/>
  <c r="AH151" i="11"/>
  <c r="AH143" i="11"/>
  <c r="AG154" i="11"/>
  <c r="AD154" i="11"/>
  <c r="AG146" i="11"/>
  <c r="AD146" i="11"/>
  <c r="AE146" i="11"/>
  <c r="AG138" i="11"/>
  <c r="AD138" i="11"/>
  <c r="AE138" i="11"/>
  <c r="AG130" i="11"/>
  <c r="AD130" i="11"/>
  <c r="AE130" i="11"/>
  <c r="AE153" i="11"/>
  <c r="AH153" i="11"/>
  <c r="AH134" i="11"/>
  <c r="AH96" i="11"/>
  <c r="AE96" i="11"/>
  <c r="AD101" i="11"/>
  <c r="AG101" i="11"/>
  <c r="AD105" i="11"/>
  <c r="AG105" i="11"/>
  <c r="AH125" i="11"/>
  <c r="AG94" i="11"/>
  <c r="AD94" i="11"/>
  <c r="AG83" i="11"/>
  <c r="AD83" i="11"/>
  <c r="AG75" i="11"/>
  <c r="AD75" i="11"/>
  <c r="AE69" i="11"/>
  <c r="AH69" i="11"/>
  <c r="AE74" i="11"/>
  <c r="AH74" i="11"/>
  <c r="AD67" i="11"/>
  <c r="AG67" i="11"/>
  <c r="AG61" i="11"/>
  <c r="AD61" i="11"/>
  <c r="AH56" i="11"/>
  <c r="AE56" i="11"/>
  <c r="W201" i="11"/>
  <c r="AC8" i="11"/>
  <c r="AE94" i="11"/>
  <c r="V201" i="11"/>
  <c r="AB8" i="11"/>
  <c r="AG90" i="11"/>
  <c r="AD90" i="11"/>
  <c r="AE45" i="11"/>
  <c r="AH45" i="11"/>
  <c r="AD30" i="11"/>
  <c r="AG30" i="11"/>
  <c r="AD32" i="11"/>
  <c r="AG21" i="11"/>
  <c r="AE9" i="11"/>
  <c r="AH9" i="11"/>
  <c r="AE71" i="11"/>
  <c r="AH30" i="11"/>
  <c r="AH51" i="11"/>
  <c r="AG49" i="11"/>
  <c r="AD53" i="11"/>
  <c r="AG53" i="11"/>
  <c r="AE176" i="11"/>
  <c r="AG175" i="11"/>
  <c r="AE175" i="11"/>
  <c r="AD175" i="11"/>
  <c r="AH167" i="11"/>
  <c r="AE167" i="11"/>
  <c r="AG178" i="11"/>
  <c r="AG166" i="11"/>
  <c r="AH194" i="11"/>
  <c r="AE194" i="11"/>
  <c r="AH186" i="11"/>
  <c r="AE186" i="11"/>
  <c r="AG150" i="11"/>
  <c r="AD150" i="11"/>
  <c r="AG142" i="11"/>
  <c r="AD142" i="11"/>
  <c r="AD135" i="11"/>
  <c r="AG135" i="11"/>
  <c r="AE135" i="11"/>
  <c r="AH169" i="11"/>
  <c r="AE150" i="11"/>
  <c r="AE142" i="11"/>
  <c r="AE134" i="11"/>
  <c r="AH172" i="11"/>
  <c r="AH158" i="11"/>
  <c r="AH170" i="11"/>
  <c r="AG153" i="11"/>
  <c r="AD153" i="11"/>
  <c r="AH142" i="11"/>
  <c r="AG133" i="11"/>
  <c r="AG98" i="11"/>
  <c r="AD98" i="11"/>
  <c r="AG91" i="11"/>
  <c r="AD91" i="11"/>
  <c r="AD117" i="11"/>
  <c r="AG117" i="11"/>
  <c r="AH101" i="11"/>
  <c r="AE101" i="11"/>
  <c r="AD121" i="11"/>
  <c r="AG121" i="11"/>
  <c r="AH105" i="11"/>
  <c r="AE105" i="11"/>
  <c r="AD96" i="11"/>
  <c r="AH83" i="11"/>
  <c r="AE83" i="11"/>
  <c r="AH75" i="11"/>
  <c r="AE75" i="11"/>
  <c r="AE67" i="11"/>
  <c r="AE78" i="11"/>
  <c r="AH78" i="11"/>
  <c r="AG66" i="11"/>
  <c r="AE66" i="11"/>
  <c r="AD66" i="11"/>
  <c r="AH59" i="11"/>
  <c r="AE59" i="11"/>
  <c r="AG52" i="11"/>
  <c r="AD52" i="11"/>
  <c r="AD120" i="11"/>
  <c r="AG69" i="11"/>
  <c r="AG59" i="11"/>
  <c r="AE99" i="11"/>
  <c r="AE37" i="11"/>
  <c r="AH37" i="11"/>
  <c r="AE22" i="11"/>
  <c r="AH22" i="11"/>
  <c r="AD54" i="11"/>
  <c r="AG54" i="11"/>
  <c r="AG32" i="11"/>
  <c r="AG9" i="11"/>
  <c r="AD9" i="11"/>
  <c r="AD56" i="11"/>
  <c r="AE30" i="11"/>
  <c r="AG10" i="11"/>
  <c r="AD10" i="11"/>
  <c r="AH10" i="11"/>
  <c r="AE10" i="11"/>
  <c r="AH170" i="10"/>
  <c r="AE170" i="10"/>
  <c r="AD157" i="10"/>
  <c r="AG157" i="10"/>
  <c r="AD170" i="10"/>
  <c r="AD168" i="10"/>
  <c r="AG168" i="10"/>
  <c r="AH159" i="10"/>
  <c r="AE159" i="10"/>
  <c r="AD159" i="10"/>
  <c r="AG170" i="10"/>
  <c r="AH156" i="10"/>
  <c r="AE156" i="10"/>
  <c r="AH168" i="10"/>
  <c r="AE138" i="10"/>
  <c r="AH138" i="10"/>
  <c r="AG127" i="10"/>
  <c r="AD127" i="10"/>
  <c r="AG123" i="10"/>
  <c r="AD123" i="10"/>
  <c r="AH173" i="10"/>
  <c r="AH162" i="10"/>
  <c r="AD97" i="10"/>
  <c r="AG97" i="10"/>
  <c r="AH127" i="10"/>
  <c r="AE123" i="10"/>
  <c r="AH115" i="10"/>
  <c r="AE115" i="10"/>
  <c r="AG103" i="10"/>
  <c r="AD103" i="10"/>
  <c r="AH96" i="10"/>
  <c r="AE96" i="10"/>
  <c r="AH72" i="10"/>
  <c r="AE97" i="10"/>
  <c r="AG75" i="10"/>
  <c r="AD75" i="10"/>
  <c r="AD52" i="10"/>
  <c r="AG52" i="10"/>
  <c r="AG90" i="10"/>
  <c r="AD90" i="10"/>
  <c r="AE86" i="10"/>
  <c r="AH86" i="10"/>
  <c r="AG74" i="10"/>
  <c r="AD74" i="10"/>
  <c r="AG63" i="10"/>
  <c r="AD63" i="10"/>
  <c r="AD43" i="10"/>
  <c r="AG43" i="10"/>
  <c r="AE30" i="10"/>
  <c r="AH30" i="10"/>
  <c r="AD15" i="10"/>
  <c r="AG15" i="10"/>
  <c r="AD22" i="10"/>
  <c r="AG22" i="10"/>
  <c r="AD30" i="10"/>
  <c r="AE10" i="10"/>
  <c r="AH10" i="10"/>
  <c r="AD62" i="10"/>
  <c r="AE52" i="10"/>
  <c r="AD10" i="10"/>
  <c r="AH15" i="10"/>
  <c r="AH12" i="10"/>
  <c r="AE12" i="10"/>
  <c r="AD12" i="10"/>
  <c r="AG12" i="10"/>
  <c r="AD195" i="10"/>
  <c r="AG195" i="10"/>
  <c r="AD187" i="10"/>
  <c r="AG187" i="10"/>
  <c r="AH187" i="10"/>
  <c r="AE167" i="10"/>
  <c r="AH175" i="10"/>
  <c r="AE175" i="10"/>
  <c r="AE195" i="10"/>
  <c r="AH171" i="10"/>
  <c r="AE171" i="10"/>
  <c r="AG171" i="10"/>
  <c r="AG134" i="10"/>
  <c r="AD134" i="10"/>
  <c r="AG119" i="10"/>
  <c r="AD119" i="10"/>
  <c r="AH157" i="10"/>
  <c r="AH119" i="10"/>
  <c r="AE127" i="10"/>
  <c r="AH123" i="10"/>
  <c r="AG107" i="10"/>
  <c r="AD107" i="10"/>
  <c r="AH103" i="10"/>
  <c r="AE103" i="10"/>
  <c r="AG92" i="10"/>
  <c r="AD92" i="10"/>
  <c r="AH97" i="10"/>
  <c r="AD51" i="10"/>
  <c r="AG51" i="10"/>
  <c r="AE90" i="10"/>
  <c r="AH90" i="10"/>
  <c r="AG78" i="10"/>
  <c r="AD78" i="10"/>
  <c r="AE74" i="10"/>
  <c r="AH74" i="10"/>
  <c r="AH59" i="10"/>
  <c r="AE59" i="10"/>
  <c r="AD47" i="10"/>
  <c r="AG47" i="10"/>
  <c r="AD25" i="10"/>
  <c r="AG25" i="10"/>
  <c r="V201" i="10"/>
  <c r="AB8" i="10"/>
  <c r="AD42" i="10"/>
  <c r="AG42" i="10"/>
  <c r="AH22" i="10"/>
  <c r="AE22" i="10"/>
  <c r="AG30" i="10"/>
  <c r="AH55" i="10"/>
  <c r="AE55" i="10"/>
  <c r="AH52" i="10"/>
  <c r="AG9" i="10"/>
  <c r="AD9" i="10"/>
  <c r="AE51" i="10"/>
  <c r="AD57" i="10"/>
  <c r="AG57" i="10"/>
  <c r="AE15" i="10"/>
  <c r="AE61" i="10"/>
  <c r="AG166" i="10"/>
  <c r="AD166" i="10"/>
  <c r="AD167" i="10"/>
  <c r="AG167" i="10"/>
  <c r="AD179" i="10"/>
  <c r="AG179" i="10"/>
  <c r="AE166" i="10"/>
  <c r="AG143" i="10"/>
  <c r="AD143" i="10"/>
  <c r="AE134" i="10"/>
  <c r="AH134" i="10"/>
  <c r="AG142" i="10"/>
  <c r="AD142" i="10"/>
  <c r="AE157" i="10"/>
  <c r="AG151" i="10"/>
  <c r="AD151" i="10"/>
  <c r="AE151" i="10"/>
  <c r="AE143" i="10"/>
  <c r="AG111" i="10"/>
  <c r="AD111" i="10"/>
  <c r="AH107" i="10"/>
  <c r="AE107" i="10"/>
  <c r="AD72" i="10"/>
  <c r="AG72" i="10"/>
  <c r="AH94" i="10"/>
  <c r="AE94" i="10"/>
  <c r="AG83" i="10"/>
  <c r="AD83" i="10"/>
  <c r="AD68" i="10"/>
  <c r="AG68" i="10"/>
  <c r="AE68" i="10"/>
  <c r="AH62" i="10"/>
  <c r="AE62" i="10"/>
  <c r="AD24" i="10"/>
  <c r="AG24" i="10"/>
  <c r="AG82" i="10"/>
  <c r="AD82" i="10"/>
  <c r="AE78" i="10"/>
  <c r="AH78" i="10"/>
  <c r="AH68" i="10"/>
  <c r="AD39" i="10"/>
  <c r="AG39" i="10"/>
  <c r="AH24" i="10"/>
  <c r="AE39" i="10"/>
  <c r="AG56" i="10"/>
  <c r="AD56" i="10"/>
  <c r="AH51" i="10"/>
  <c r="AH158" i="10"/>
  <c r="AE158" i="10"/>
  <c r="AD158" i="10"/>
  <c r="AG162" i="10"/>
  <c r="AD162" i="10"/>
  <c r="AD191" i="10"/>
  <c r="AG191" i="10"/>
  <c r="AD183" i="10"/>
  <c r="AG183" i="10"/>
  <c r="AH178" i="10"/>
  <c r="AE178" i="10"/>
  <c r="AD178" i="10"/>
  <c r="AG161" i="10"/>
  <c r="AD161" i="10"/>
  <c r="AD173" i="10"/>
  <c r="AG173" i="10"/>
  <c r="AD164" i="10"/>
  <c r="AG164" i="10"/>
  <c r="AH155" i="10"/>
  <c r="AE155" i="10"/>
  <c r="AH183" i="10"/>
  <c r="AH179" i="10"/>
  <c r="AE179" i="10"/>
  <c r="AE168" i="10"/>
  <c r="AH161" i="10"/>
  <c r="AG159" i="10"/>
  <c r="AG138" i="10"/>
  <c r="AD138" i="10"/>
  <c r="AH164" i="10"/>
  <c r="AG155" i="10"/>
  <c r="AH151" i="10"/>
  <c r="AG147" i="10"/>
  <c r="AD147" i="10"/>
  <c r="AE147" i="10"/>
  <c r="AE142" i="10"/>
  <c r="AH142" i="10"/>
  <c r="AG175" i="10"/>
  <c r="AE150" i="10"/>
  <c r="AH150" i="10"/>
  <c r="AG115" i="10"/>
  <c r="AD115" i="10"/>
  <c r="AH111" i="10"/>
  <c r="AE111" i="10"/>
  <c r="AG100" i="10"/>
  <c r="AD100" i="10"/>
  <c r="AE99" i="10"/>
  <c r="AH99" i="10"/>
  <c r="AD96" i="10"/>
  <c r="AG71" i="10"/>
  <c r="AE71" i="10"/>
  <c r="AD71" i="10"/>
  <c r="AG61" i="10"/>
  <c r="AD61" i="10"/>
  <c r="AG59" i="10"/>
  <c r="AD94" i="10"/>
  <c r="AG94" i="10"/>
  <c r="AG79" i="10"/>
  <c r="AD79" i="10"/>
  <c r="AG67" i="10"/>
  <c r="AD67" i="10"/>
  <c r="AE60" i="10"/>
  <c r="AH60" i="10"/>
  <c r="AH92" i="10"/>
  <c r="AG86" i="10"/>
  <c r="AD86" i="10"/>
  <c r="AE82" i="10"/>
  <c r="AH82" i="10"/>
  <c r="AE66" i="10"/>
  <c r="AH66" i="10"/>
  <c r="AD19" i="10"/>
  <c r="AG19" i="10"/>
  <c r="AD53" i="10"/>
  <c r="AG53" i="10"/>
  <c r="AE47" i="10"/>
  <c r="AE24" i="10"/>
  <c r="AG10" i="10"/>
  <c r="AE42" i="10"/>
  <c r="AG55" i="10"/>
  <c r="AE43" i="10"/>
  <c r="AE67" i="10"/>
  <c r="AD34" i="10"/>
  <c r="AG34" i="10"/>
  <c r="AH25" i="10"/>
  <c r="AH19" i="10"/>
  <c r="AH14" i="10"/>
  <c r="AE14" i="10"/>
  <c r="AC8" i="10"/>
  <c r="AH171" i="9"/>
  <c r="AE171" i="9"/>
  <c r="AH190" i="9"/>
  <c r="AE190" i="9"/>
  <c r="AE178" i="9"/>
  <c r="AH178" i="9"/>
  <c r="AD178" i="9"/>
  <c r="AD195" i="9"/>
  <c r="AG195" i="9"/>
  <c r="AD179" i="9"/>
  <c r="AG169" i="9"/>
  <c r="AD169" i="9"/>
  <c r="AH194" i="9"/>
  <c r="AE194" i="9"/>
  <c r="AG182" i="9"/>
  <c r="AD182" i="9"/>
  <c r="AG166" i="9"/>
  <c r="AD166" i="9"/>
  <c r="AH166" i="9"/>
  <c r="AD164" i="9"/>
  <c r="AG164" i="9"/>
  <c r="AE161" i="9"/>
  <c r="AH161" i="9"/>
  <c r="AG153" i="9"/>
  <c r="AD153" i="9"/>
  <c r="AG145" i="9"/>
  <c r="AD145" i="9"/>
  <c r="AG137" i="9"/>
  <c r="AD137" i="9"/>
  <c r="AE153" i="9"/>
  <c r="AG151" i="9"/>
  <c r="AH153" i="9"/>
  <c r="AH125" i="9"/>
  <c r="AE125" i="9"/>
  <c r="AG109" i="9"/>
  <c r="AD109" i="9"/>
  <c r="AH99" i="9"/>
  <c r="AE99" i="9"/>
  <c r="AD99" i="9"/>
  <c r="AH129" i="9"/>
  <c r="AE129" i="9"/>
  <c r="AE126" i="9"/>
  <c r="AD104" i="9"/>
  <c r="AG104" i="9"/>
  <c r="AE136" i="9"/>
  <c r="AH136" i="9"/>
  <c r="AH133" i="9"/>
  <c r="AE133" i="9"/>
  <c r="AG117" i="9"/>
  <c r="AD117" i="9"/>
  <c r="AG121" i="9"/>
  <c r="AD121" i="9"/>
  <c r="AH102" i="9"/>
  <c r="AE92" i="9"/>
  <c r="AH92" i="9"/>
  <c r="AE84" i="9"/>
  <c r="AH84" i="9"/>
  <c r="AE76" i="9"/>
  <c r="AH76" i="9"/>
  <c r="AD96" i="9"/>
  <c r="AH65" i="9"/>
  <c r="AG84" i="9"/>
  <c r="AG58" i="9"/>
  <c r="AE58" i="9"/>
  <c r="AD58" i="9"/>
  <c r="AG43" i="9"/>
  <c r="AD43" i="9"/>
  <c r="AG27" i="9"/>
  <c r="AD27" i="9"/>
  <c r="AG64" i="9"/>
  <c r="AD64" i="9"/>
  <c r="AD29" i="9"/>
  <c r="AG29" i="9"/>
  <c r="AD92" i="9"/>
  <c r="AD76" i="9"/>
  <c r="AH54" i="9"/>
  <c r="AE54" i="9"/>
  <c r="AD54" i="9"/>
  <c r="AD32" i="9"/>
  <c r="AG32" i="9"/>
  <c r="AE18" i="9"/>
  <c r="AH18" i="9"/>
  <c r="AD18" i="9"/>
  <c r="AG12" i="9"/>
  <c r="AD12" i="9"/>
  <c r="AE47" i="9"/>
  <c r="AE35" i="9"/>
  <c r="AH29" i="9"/>
  <c r="AE32" i="9"/>
  <c r="AH22" i="9"/>
  <c r="AG158" i="9"/>
  <c r="AD158" i="9"/>
  <c r="AD191" i="9"/>
  <c r="AG191" i="9"/>
  <c r="AE191" i="9"/>
  <c r="AD199" i="9"/>
  <c r="AG199" i="9"/>
  <c r="AH155" i="9"/>
  <c r="AE155" i="9"/>
  <c r="AG186" i="9"/>
  <c r="AD186" i="9"/>
  <c r="AH182" i="9"/>
  <c r="AE182" i="9"/>
  <c r="AH163" i="9"/>
  <c r="AE163" i="9"/>
  <c r="AD167" i="9"/>
  <c r="AG167" i="9"/>
  <c r="AG163" i="9"/>
  <c r="AH158" i="9"/>
  <c r="AE166" i="9"/>
  <c r="AH134" i="9"/>
  <c r="AH143" i="9"/>
  <c r="AE143" i="9"/>
  <c r="AG171" i="9"/>
  <c r="AG143" i="9"/>
  <c r="AD114" i="9"/>
  <c r="AG114" i="9"/>
  <c r="AE114" i="9"/>
  <c r="AH109" i="9"/>
  <c r="AE109" i="9"/>
  <c r="AG113" i="9"/>
  <c r="AD113" i="9"/>
  <c r="AH117" i="9"/>
  <c r="AE117" i="9"/>
  <c r="AE137" i="9"/>
  <c r="AH121" i="9"/>
  <c r="AE121" i="9"/>
  <c r="AG106" i="9"/>
  <c r="AD106" i="9"/>
  <c r="AE101" i="9"/>
  <c r="AH101" i="9"/>
  <c r="AH106" i="9"/>
  <c r="AG39" i="9"/>
  <c r="AD39" i="9"/>
  <c r="AG26" i="9"/>
  <c r="AD26" i="9"/>
  <c r="AE104" i="9"/>
  <c r="AE68" i="9"/>
  <c r="AH68" i="9"/>
  <c r="AH61" i="9"/>
  <c r="AE61" i="9"/>
  <c r="AG92" i="9"/>
  <c r="AG76" i="9"/>
  <c r="AD51" i="9"/>
  <c r="AG51" i="9"/>
  <c r="AE24" i="9"/>
  <c r="AH24" i="9"/>
  <c r="AH51" i="9"/>
  <c r="AD55" i="9"/>
  <c r="AG55" i="9"/>
  <c r="AH26" i="9"/>
  <c r="AG24" i="9"/>
  <c r="AG18" i="9"/>
  <c r="AE9" i="9"/>
  <c r="AH9" i="9"/>
  <c r="AH55" i="9"/>
  <c r="AE43" i="9"/>
  <c r="AE27" i="9"/>
  <c r="AE12" i="9"/>
  <c r="AH12" i="9"/>
  <c r="AG190" i="9"/>
  <c r="AD190" i="9"/>
  <c r="AH186" i="9"/>
  <c r="AE186" i="9"/>
  <c r="AH179" i="9"/>
  <c r="AE179" i="9"/>
  <c r="AD172" i="9"/>
  <c r="AG172" i="9"/>
  <c r="AG159" i="9"/>
  <c r="AD159" i="9"/>
  <c r="AH167" i="9"/>
  <c r="AE167" i="9"/>
  <c r="AE158" i="9"/>
  <c r="AH169" i="9"/>
  <c r="AH151" i="9"/>
  <c r="AE151" i="9"/>
  <c r="AE195" i="9"/>
  <c r="AD155" i="9"/>
  <c r="AH113" i="9"/>
  <c r="AE113" i="9"/>
  <c r="AH145" i="9"/>
  <c r="AH137" i="9"/>
  <c r="AH114" i="9"/>
  <c r="AE96" i="9"/>
  <c r="AH96" i="9"/>
  <c r="AE88" i="9"/>
  <c r="AH88" i="9"/>
  <c r="AE80" i="9"/>
  <c r="AH80" i="9"/>
  <c r="AE72" i="9"/>
  <c r="AH72" i="9"/>
  <c r="AG80" i="9"/>
  <c r="AG65" i="9"/>
  <c r="AD65" i="9"/>
  <c r="AD52" i="9"/>
  <c r="AG52" i="9"/>
  <c r="AG35" i="9"/>
  <c r="AD35" i="9"/>
  <c r="V201" i="9"/>
  <c r="AB8" i="9"/>
  <c r="AH104" i="9"/>
  <c r="AD88" i="9"/>
  <c r="AG68" i="9"/>
  <c r="AD68" i="9"/>
  <c r="AE23" i="9"/>
  <c r="AH23" i="9"/>
  <c r="AG23" i="9"/>
  <c r="AH10" i="9"/>
  <c r="AE10" i="9"/>
  <c r="AG61" i="9"/>
  <c r="AE52" i="9"/>
  <c r="AE53" i="9"/>
  <c r="AH53" i="9"/>
  <c r="AH43" i="9"/>
  <c r="AH27" i="9"/>
  <c r="AG9" i="9"/>
  <c r="AH175" i="9"/>
  <c r="AE175" i="9"/>
  <c r="AD175" i="9"/>
  <c r="AG194" i="9"/>
  <c r="AD194" i="9"/>
  <c r="AD171" i="9"/>
  <c r="AH164" i="9"/>
  <c r="AE164" i="9"/>
  <c r="AG161" i="9"/>
  <c r="AD161" i="9"/>
  <c r="AG134" i="9"/>
  <c r="AD134" i="9"/>
  <c r="AD148" i="9"/>
  <c r="AG148" i="9"/>
  <c r="AD140" i="9"/>
  <c r="AG140" i="9"/>
  <c r="AH172" i="9"/>
  <c r="AG155" i="9"/>
  <c r="AH148" i="9"/>
  <c r="AG125" i="9"/>
  <c r="AD125" i="9"/>
  <c r="AG102" i="9"/>
  <c r="AD102" i="9"/>
  <c r="AG129" i="9"/>
  <c r="AD129" i="9"/>
  <c r="AE108" i="9"/>
  <c r="AH108" i="9"/>
  <c r="AG136" i="9"/>
  <c r="AD136" i="9"/>
  <c r="AG133" i="9"/>
  <c r="AD133" i="9"/>
  <c r="AD108" i="9"/>
  <c r="AH140" i="9"/>
  <c r="AD126" i="9"/>
  <c r="AG126" i="9"/>
  <c r="AD110" i="9"/>
  <c r="AG110" i="9"/>
  <c r="W201" i="9"/>
  <c r="AC8" i="9"/>
  <c r="AG99" i="9"/>
  <c r="AD84" i="9"/>
  <c r="AD59" i="9"/>
  <c r="AG59" i="9"/>
  <c r="AD48" i="9"/>
  <c r="AG48" i="9"/>
  <c r="AG28" i="9"/>
  <c r="AD28" i="9"/>
  <c r="AG88" i="9"/>
  <c r="AD72" i="9"/>
  <c r="AE64" i="9"/>
  <c r="AH64" i="9"/>
  <c r="AH48" i="9"/>
  <c r="AG47" i="9"/>
  <c r="AD47" i="9"/>
  <c r="AD22" i="9"/>
  <c r="AG22" i="9"/>
  <c r="AE48" i="9"/>
  <c r="AE39" i="9"/>
  <c r="AE29" i="9"/>
  <c r="AH32" i="9"/>
  <c r="AH28" i="9"/>
  <c r="AD61" i="9"/>
  <c r="AE57" i="9"/>
  <c r="AH57" i="9"/>
  <c r="AD9" i="9"/>
  <c r="AD191" i="8"/>
  <c r="AG191" i="8"/>
  <c r="AH191" i="8"/>
  <c r="AE191" i="8"/>
  <c r="AH183" i="8"/>
  <c r="AE183" i="8"/>
  <c r="AG178" i="8"/>
  <c r="AD178" i="8"/>
  <c r="AD171" i="8"/>
  <c r="AG171" i="8"/>
  <c r="AH154" i="8"/>
  <c r="AE154" i="8"/>
  <c r="AH186" i="8"/>
  <c r="AE186" i="8"/>
  <c r="AE177" i="8"/>
  <c r="AH177" i="8"/>
  <c r="AH171" i="8"/>
  <c r="AG165" i="8"/>
  <c r="AD165" i="8"/>
  <c r="AD158" i="8"/>
  <c r="AG158" i="8"/>
  <c r="AE181" i="8"/>
  <c r="AH181" i="8"/>
  <c r="AE173" i="8"/>
  <c r="AH173" i="8"/>
  <c r="AD154" i="8"/>
  <c r="AE149" i="8"/>
  <c r="AG123" i="8"/>
  <c r="AD123" i="8"/>
  <c r="AE171" i="8"/>
  <c r="AG118" i="8"/>
  <c r="AD118" i="8"/>
  <c r="AD162" i="8"/>
  <c r="AH140" i="8"/>
  <c r="AE140" i="8"/>
  <c r="AH132" i="8"/>
  <c r="AE132" i="8"/>
  <c r="AH128" i="8"/>
  <c r="AE128" i="8"/>
  <c r="AG147" i="8"/>
  <c r="AD147" i="8"/>
  <c r="AG132" i="8"/>
  <c r="AH116" i="8"/>
  <c r="AE116" i="8"/>
  <c r="AD112" i="8"/>
  <c r="AG112" i="8"/>
  <c r="AH104" i="8"/>
  <c r="AE104" i="8"/>
  <c r="AH96" i="8"/>
  <c r="AE96" i="8"/>
  <c r="AH88" i="8"/>
  <c r="AE88" i="8"/>
  <c r="AG71" i="8"/>
  <c r="AE71" i="8"/>
  <c r="AD71" i="8"/>
  <c r="AH118" i="8"/>
  <c r="AH121" i="8"/>
  <c r="AD76" i="8"/>
  <c r="AG76" i="8"/>
  <c r="AE76" i="8"/>
  <c r="AE82" i="8"/>
  <c r="AH82" i="8"/>
  <c r="AH59" i="8"/>
  <c r="AE59" i="8"/>
  <c r="AD57" i="8"/>
  <c r="AG57" i="8"/>
  <c r="AH40" i="8"/>
  <c r="AE40" i="8"/>
  <c r="AE72" i="8"/>
  <c r="AE66" i="8"/>
  <c r="AH66" i="8"/>
  <c r="AG59" i="8"/>
  <c r="AH49" i="8"/>
  <c r="AH67" i="8"/>
  <c r="AE67" i="8"/>
  <c r="AG36" i="8"/>
  <c r="AE52" i="8"/>
  <c r="AH52" i="8"/>
  <c r="AH16" i="8"/>
  <c r="AE16" i="8"/>
  <c r="AH57" i="8"/>
  <c r="AH22" i="8"/>
  <c r="AE22" i="8"/>
  <c r="AH53" i="8"/>
  <c r="AD40" i="8"/>
  <c r="AG9" i="8"/>
  <c r="AD9" i="8"/>
  <c r="AG28" i="8"/>
  <c r="AD28" i="8"/>
  <c r="AG154" i="8"/>
  <c r="AH136" i="8"/>
  <c r="AE136" i="8"/>
  <c r="AD136" i="8"/>
  <c r="AD125" i="8"/>
  <c r="AG125" i="8"/>
  <c r="AE174" i="8"/>
  <c r="AG144" i="8"/>
  <c r="AD144" i="8"/>
  <c r="AE179" i="8"/>
  <c r="AE143" i="8"/>
  <c r="AH143" i="8"/>
  <c r="AH112" i="8"/>
  <c r="AE112" i="8"/>
  <c r="AD108" i="8"/>
  <c r="AG108" i="8"/>
  <c r="AD100" i="8"/>
  <c r="AG100" i="8"/>
  <c r="AD92" i="8"/>
  <c r="AG92" i="8"/>
  <c r="AH125" i="8"/>
  <c r="AE118" i="8"/>
  <c r="AD84" i="8"/>
  <c r="AG84" i="8"/>
  <c r="AE84" i="8"/>
  <c r="AG75" i="8"/>
  <c r="AD75" i="8"/>
  <c r="AE75" i="8"/>
  <c r="AG48" i="8"/>
  <c r="AE48" i="8"/>
  <c r="AD48" i="8"/>
  <c r="AH44" i="8"/>
  <c r="AE44" i="8"/>
  <c r="AG66" i="8"/>
  <c r="AD66" i="8"/>
  <c r="AG44" i="8"/>
  <c r="AC42" i="8"/>
  <c r="AC201" i="8" s="1"/>
  <c r="AB42" i="8"/>
  <c r="AE39" i="8"/>
  <c r="AH39" i="8"/>
  <c r="AD39" i="8"/>
  <c r="AH63" i="8"/>
  <c r="AE63" i="8"/>
  <c r="AH48" i="8"/>
  <c r="AH20" i="8"/>
  <c r="AE20" i="8"/>
  <c r="AH51" i="8"/>
  <c r="AH9" i="8"/>
  <c r="AE9" i="8"/>
  <c r="AD44" i="8"/>
  <c r="AD187" i="8"/>
  <c r="AG187" i="8"/>
  <c r="AG170" i="8"/>
  <c r="AE170" i="8"/>
  <c r="AD170" i="8"/>
  <c r="AH190" i="8"/>
  <c r="AE190" i="8"/>
  <c r="AH195" i="8"/>
  <c r="AE195" i="8"/>
  <c r="AH187" i="8"/>
  <c r="AE187" i="8"/>
  <c r="AG157" i="8"/>
  <c r="AD157" i="8"/>
  <c r="AH194" i="8"/>
  <c r="AE194" i="8"/>
  <c r="AG186" i="8"/>
  <c r="AD175" i="8"/>
  <c r="AG175" i="8"/>
  <c r="AD167" i="8"/>
  <c r="AG167" i="8"/>
  <c r="AE167" i="8"/>
  <c r="AD153" i="8"/>
  <c r="AG153" i="8"/>
  <c r="AG177" i="8"/>
  <c r="AG160" i="8"/>
  <c r="AD160" i="8"/>
  <c r="AD150" i="8"/>
  <c r="AG150" i="8"/>
  <c r="AE165" i="8"/>
  <c r="AE139" i="8"/>
  <c r="AH139" i="8"/>
  <c r="AD139" i="8"/>
  <c r="AH120" i="8"/>
  <c r="AE120" i="8"/>
  <c r="AE160" i="8"/>
  <c r="AE157" i="8"/>
  <c r="AE150" i="8"/>
  <c r="AD137" i="8"/>
  <c r="AG137" i="8"/>
  <c r="AG148" i="8"/>
  <c r="AD148" i="8"/>
  <c r="AH137" i="8"/>
  <c r="AD124" i="8"/>
  <c r="AG124" i="8"/>
  <c r="AD173" i="8"/>
  <c r="AG143" i="8"/>
  <c r="AD143" i="8"/>
  <c r="AD128" i="8"/>
  <c r="AH108" i="8"/>
  <c r="AE108" i="8"/>
  <c r="AH100" i="8"/>
  <c r="AE100" i="8"/>
  <c r="AH92" i="8"/>
  <c r="AE92" i="8"/>
  <c r="AD80" i="8"/>
  <c r="AG80" i="8"/>
  <c r="AH123" i="8"/>
  <c r="AH80" i="8"/>
  <c r="AG120" i="8"/>
  <c r="AG83" i="8"/>
  <c r="AD83" i="8"/>
  <c r="AE74" i="8"/>
  <c r="AH74" i="8"/>
  <c r="AG61" i="8"/>
  <c r="AD61" i="8"/>
  <c r="AE80" i="8"/>
  <c r="AG40" i="8"/>
  <c r="AH54" i="8"/>
  <c r="AE54" i="8"/>
  <c r="AD54" i="8"/>
  <c r="AH31" i="8"/>
  <c r="AE31" i="8"/>
  <c r="AD67" i="8"/>
  <c r="AG27" i="8"/>
  <c r="AD27" i="8"/>
  <c r="AH27" i="8"/>
  <c r="AH61" i="8"/>
  <c r="AD16" i="8"/>
  <c r="AG52" i="8"/>
  <c r="AD195" i="8"/>
  <c r="AG195" i="8"/>
  <c r="AD183" i="8"/>
  <c r="AG183" i="8"/>
  <c r="AD179" i="8"/>
  <c r="AG179" i="8"/>
  <c r="AH198" i="8"/>
  <c r="AE198" i="8"/>
  <c r="AG198" i="8"/>
  <c r="AG174" i="8"/>
  <c r="AD174" i="8"/>
  <c r="AG166" i="8"/>
  <c r="AD166" i="8"/>
  <c r="AH162" i="8"/>
  <c r="AE162" i="8"/>
  <c r="AD149" i="8"/>
  <c r="AG149" i="8"/>
  <c r="AH163" i="8"/>
  <c r="AE163" i="8"/>
  <c r="AD181" i="8"/>
  <c r="AG136" i="8"/>
  <c r="AD163" i="8"/>
  <c r="AD121" i="8"/>
  <c r="AG121" i="8"/>
  <c r="AE153" i="8"/>
  <c r="AE147" i="8"/>
  <c r="AH147" i="8"/>
  <c r="AG140" i="8"/>
  <c r="AH124" i="8"/>
  <c r="AD116" i="8"/>
  <c r="AG116" i="8"/>
  <c r="AD104" i="8"/>
  <c r="AG104" i="8"/>
  <c r="AD96" i="8"/>
  <c r="AG96" i="8"/>
  <c r="AD88" i="8"/>
  <c r="AG88" i="8"/>
  <c r="AG79" i="8"/>
  <c r="AE79" i="8"/>
  <c r="AD79" i="8"/>
  <c r="AD72" i="8"/>
  <c r="AG72" i="8"/>
  <c r="AE123" i="8"/>
  <c r="AH84" i="8"/>
  <c r="AH71" i="8"/>
  <c r="AD49" i="8"/>
  <c r="AG49" i="8"/>
  <c r="AH36" i="8"/>
  <c r="AE36" i="8"/>
  <c r="AD74" i="8"/>
  <c r="AD59" i="8"/>
  <c r="AG53" i="8"/>
  <c r="AD53" i="8"/>
  <c r="AD82" i="8"/>
  <c r="AD51" i="8"/>
  <c r="AG51" i="8"/>
  <c r="AE43" i="8"/>
  <c r="AH43" i="8"/>
  <c r="AD43" i="8"/>
  <c r="AD37" i="8"/>
  <c r="AG37" i="8"/>
  <c r="AE37" i="8"/>
  <c r="V201" i="8"/>
  <c r="AB8" i="8"/>
  <c r="AH8" i="8" s="1"/>
  <c r="AG67" i="8"/>
  <c r="AG54" i="8"/>
  <c r="AH37" i="8"/>
  <c r="AE57" i="8"/>
  <c r="AG22" i="8"/>
  <c r="AD22" i="8"/>
  <c r="AE27" i="8"/>
  <c r="AG10" i="8"/>
  <c r="AD10" i="8"/>
  <c r="AE61" i="8"/>
  <c r="AE28" i="8"/>
  <c r="AH28" i="8"/>
  <c r="AD20" i="8"/>
  <c r="AG16" i="8"/>
  <c r="AD52" i="8"/>
  <c r="AD56" i="9" l="1"/>
  <c r="AE56" i="9"/>
  <c r="AG56" i="9"/>
  <c r="AE54" i="15"/>
  <c r="AH54" i="15"/>
  <c r="AD54" i="15"/>
  <c r="AG54" i="15"/>
  <c r="AH29" i="15"/>
  <c r="AD29" i="15"/>
  <c r="AG29" i="15"/>
  <c r="AE29" i="15"/>
  <c r="AH11" i="11"/>
  <c r="AD11" i="11"/>
  <c r="AE11" i="11"/>
  <c r="AG11" i="11"/>
  <c r="AG10" i="14"/>
  <c r="AD10" i="14"/>
  <c r="AH56" i="9"/>
  <c r="AG14" i="11"/>
  <c r="AD14" i="11"/>
  <c r="AH14" i="11"/>
  <c r="AE14" i="11"/>
  <c r="AH10" i="12"/>
  <c r="AE10" i="12"/>
  <c r="AH54" i="12"/>
  <c r="AE54" i="12"/>
  <c r="AD54" i="12"/>
  <c r="AG54" i="12"/>
  <c r="AD14" i="15"/>
  <c r="AE14" i="15"/>
  <c r="AG14" i="15"/>
  <c r="AG201" i="15" s="1"/>
  <c r="AH14" i="15"/>
  <c r="AD201" i="15"/>
  <c r="AE11" i="9"/>
  <c r="AG11" i="9"/>
  <c r="AH11" i="9"/>
  <c r="AD11" i="9"/>
  <c r="AE11" i="13"/>
  <c r="AG11" i="13"/>
  <c r="AH11" i="13"/>
  <c r="AD11" i="13"/>
  <c r="AE11" i="14"/>
  <c r="AG11" i="14"/>
  <c r="AH11" i="14"/>
  <c r="AD11" i="14"/>
  <c r="AG42" i="12"/>
  <c r="AH42" i="12"/>
  <c r="AD42" i="12"/>
  <c r="AE42" i="12"/>
  <c r="AB201" i="7"/>
  <c r="AD8" i="7"/>
  <c r="AD201" i="7" s="1"/>
  <c r="AG8" i="7"/>
  <c r="AG201" i="7" s="1"/>
  <c r="AC201" i="7"/>
  <c r="AH8" i="7"/>
  <c r="AH201" i="7" s="1"/>
  <c r="AE8" i="7"/>
  <c r="AE201" i="7" s="1"/>
  <c r="AH11" i="8"/>
  <c r="AD11" i="8"/>
  <c r="AE11" i="8"/>
  <c r="AG11" i="8"/>
  <c r="AH30" i="8"/>
  <c r="AE30" i="8"/>
  <c r="AG30" i="8"/>
  <c r="AD30" i="8"/>
  <c r="AG56" i="8"/>
  <c r="AD56" i="8"/>
  <c r="AG14" i="8"/>
  <c r="AH14" i="8"/>
  <c r="AH201" i="8" s="1"/>
  <c r="AE14" i="8"/>
  <c r="AD14" i="8"/>
  <c r="AE56" i="8"/>
  <c r="AH56" i="8"/>
  <c r="AH201" i="15"/>
  <c r="AE201" i="15"/>
  <c r="AC201" i="14"/>
  <c r="AH8" i="14"/>
  <c r="AH201" i="14" s="1"/>
  <c r="AE8" i="14"/>
  <c r="AE201" i="14" s="1"/>
  <c r="AB201" i="14"/>
  <c r="AG8" i="14"/>
  <c r="AD8" i="14"/>
  <c r="AD201" i="14" s="1"/>
  <c r="AB201" i="13"/>
  <c r="AD8" i="13"/>
  <c r="AD201" i="13" s="1"/>
  <c r="AG8" i="13"/>
  <c r="AC201" i="13"/>
  <c r="AH8" i="13"/>
  <c r="AH201" i="13" s="1"/>
  <c r="AE8" i="13"/>
  <c r="AE201" i="13" s="1"/>
  <c r="AC201" i="12"/>
  <c r="AE8" i="12"/>
  <c r="AE201" i="12" s="1"/>
  <c r="AH8" i="12"/>
  <c r="AB201" i="12"/>
  <c r="AD8" i="12"/>
  <c r="AD201" i="12" s="1"/>
  <c r="AG8" i="12"/>
  <c r="AG201" i="12" s="1"/>
  <c r="AC201" i="11"/>
  <c r="AH8" i="11"/>
  <c r="AH201" i="11" s="1"/>
  <c r="AE8" i="11"/>
  <c r="AE201" i="11" s="1"/>
  <c r="AB201" i="11"/>
  <c r="AD8" i="11"/>
  <c r="AD201" i="11" s="1"/>
  <c r="AG8" i="11"/>
  <c r="AB201" i="10"/>
  <c r="AG8" i="10"/>
  <c r="AG201" i="10" s="1"/>
  <c r="AD8" i="10"/>
  <c r="AD201" i="10" s="1"/>
  <c r="AC201" i="10"/>
  <c r="AH8" i="10"/>
  <c r="AH201" i="10" s="1"/>
  <c r="AE8" i="10"/>
  <c r="AE201" i="10" s="1"/>
  <c r="AB201" i="9"/>
  <c r="AD8" i="9"/>
  <c r="AD201" i="9" s="1"/>
  <c r="AG8" i="9"/>
  <c r="AC201" i="9"/>
  <c r="AH8" i="9"/>
  <c r="AH201" i="9" s="1"/>
  <c r="AE8" i="9"/>
  <c r="AE201" i="9" s="1"/>
  <c r="AE8" i="8"/>
  <c r="AD42" i="8"/>
  <c r="AG42" i="8"/>
  <c r="AB201" i="8"/>
  <c r="AG8" i="8"/>
  <c r="AD8" i="8"/>
  <c r="AD201" i="8" s="1"/>
  <c r="AE42" i="8"/>
  <c r="AH42" i="8"/>
  <c r="AE201" i="8" l="1"/>
  <c r="AG201" i="9"/>
  <c r="AG201" i="13"/>
  <c r="AG201" i="14"/>
  <c r="AG201" i="11"/>
  <c r="AI200" i="11" s="1"/>
  <c r="AH201" i="12"/>
  <c r="AL200" i="12" s="1"/>
  <c r="S5" i="12" s="1"/>
  <c r="AL200" i="15"/>
  <c r="S5" i="15" s="1"/>
  <c r="AL200" i="7"/>
  <c r="S5" i="7" s="1"/>
  <c r="AI200" i="7"/>
  <c r="AG201" i="8"/>
  <c r="AL200" i="8" s="1"/>
  <c r="S5" i="8" s="1"/>
  <c r="AI200" i="15"/>
  <c r="AL200" i="14"/>
  <c r="S5" i="14" s="1"/>
  <c r="AI200" i="14"/>
  <c r="AL200" i="13"/>
  <c r="S5" i="13" s="1"/>
  <c r="AI200" i="13"/>
  <c r="AI200" i="12"/>
  <c r="AL200" i="11"/>
  <c r="S5" i="11" s="1"/>
  <c r="AL200" i="10"/>
  <c r="S5" i="10" s="1"/>
  <c r="AI200" i="10"/>
  <c r="AL200" i="9"/>
  <c r="S5" i="9" s="1"/>
  <c r="AI200" i="9"/>
  <c r="AI200" i="8" l="1"/>
  <c r="C6" i="19" l="1"/>
  <c r="F166" i="19"/>
  <c r="F162" i="19"/>
  <c r="I102" i="19"/>
  <c r="G104" i="19"/>
  <c r="G106" i="19" s="1"/>
  <c r="G108" i="19" s="1"/>
  <c r="G112" i="19" s="1"/>
  <c r="H104" i="19"/>
  <c r="H106" i="19" s="1"/>
  <c r="I107" i="19"/>
  <c r="G111" i="19"/>
  <c r="H111" i="19"/>
  <c r="I116" i="19"/>
  <c r="G117" i="19"/>
  <c r="I117" i="19" s="1"/>
  <c r="I118" i="19"/>
  <c r="H135" i="19"/>
  <c r="H137" i="19"/>
  <c r="G153" i="19"/>
  <c r="G158" i="19"/>
  <c r="G162" i="19"/>
  <c r="I165" i="19"/>
  <c r="G166" i="19"/>
  <c r="G170" i="19"/>
  <c r="G175" i="19"/>
  <c r="G182" i="19"/>
  <c r="F201" i="19"/>
  <c r="F206" i="19" s="1"/>
  <c r="G113" i="19" l="1"/>
  <c r="G115" i="19" s="1"/>
  <c r="G109" i="19"/>
  <c r="H108" i="19"/>
  <c r="H112" i="19" s="1"/>
  <c r="H122" i="19"/>
  <c r="G122" i="19"/>
  <c r="G119" i="19" l="1"/>
  <c r="G123" i="19" s="1"/>
  <c r="G124" i="19" s="1"/>
  <c r="H109" i="19"/>
  <c r="H113" i="19"/>
  <c r="H115" i="19" s="1"/>
  <c r="G120" i="19"/>
  <c r="H119" i="19" l="1"/>
  <c r="H123" i="19" s="1"/>
  <c r="H124" i="19" s="1"/>
  <c r="H120" i="19" l="1"/>
  <c r="F181" i="19" l="1"/>
  <c r="F180" i="19"/>
  <c r="F172" i="19"/>
  <c r="F170" i="19"/>
  <c r="F157" i="19"/>
  <c r="F155" i="19"/>
  <c r="F153" i="19"/>
  <c r="F111" i="19"/>
  <c r="F122" i="19" s="1"/>
  <c r="E111" i="19"/>
  <c r="F104" i="19"/>
  <c r="F106" i="19" s="1"/>
  <c r="E104" i="19"/>
  <c r="I104" i="19" l="1"/>
  <c r="I106" i="19" s="1"/>
  <c r="E122" i="19"/>
  <c r="I111" i="19"/>
  <c r="I122" i="19" s="1"/>
  <c r="E182" i="19"/>
  <c r="F179" i="19"/>
  <c r="F182" i="19" s="1"/>
  <c r="F158" i="19"/>
  <c r="F175" i="19"/>
  <c r="E201" i="19"/>
  <c r="E206" i="19" s="1"/>
  <c r="F108" i="19"/>
  <c r="F112" i="19" s="1"/>
  <c r="E106" i="19"/>
  <c r="F113" i="19" l="1"/>
  <c r="F115" i="19" s="1"/>
  <c r="E108" i="19"/>
  <c r="I108" i="19" s="1"/>
  <c r="I109" i="19" s="1"/>
  <c r="F109" i="19"/>
  <c r="E112" i="19" l="1"/>
  <c r="I112" i="19" s="1"/>
  <c r="F119" i="19"/>
  <c r="F123" i="19" s="1"/>
  <c r="F124" i="19" s="1"/>
  <c r="E109" i="19"/>
  <c r="E113" i="19" l="1"/>
  <c r="I113" i="19" s="1"/>
  <c r="F120" i="19"/>
  <c r="E115" i="19" l="1"/>
  <c r="I115" i="19" s="1"/>
  <c r="E119" i="19" l="1"/>
  <c r="I119" i="19" s="1"/>
  <c r="H129" i="19" l="1"/>
  <c r="I123" i="19"/>
  <c r="I120" i="19"/>
  <c r="E123" i="19"/>
  <c r="E124" i="19" s="1"/>
  <c r="I124" i="19" s="1"/>
  <c r="E120" i="19"/>
  <c r="B10" i="16" l="1"/>
  <c r="B58" i="16"/>
  <c r="B312" i="16" l="1"/>
  <c r="B256" i="16" l="1"/>
  <c r="B213" i="16"/>
  <c r="B157" i="16"/>
  <c r="B101" i="16"/>
  <c r="F11" i="4" l="1"/>
  <c r="D39" i="17" l="1"/>
  <c r="D34" i="17"/>
  <c r="D28" i="17"/>
  <c r="D23" i="17"/>
  <c r="D21" i="17"/>
  <c r="D38" i="17" s="1"/>
  <c r="D41" i="17" s="1"/>
  <c r="D17" i="17"/>
  <c r="D31" i="17" s="1"/>
  <c r="D37" i="17" s="1"/>
  <c r="D9" i="17"/>
  <c r="D22" i="17" s="1"/>
  <c r="D25" i="17" s="1"/>
  <c r="D13" i="17"/>
  <c r="D26" i="17" s="1"/>
  <c r="D30" i="17" s="1"/>
  <c r="F16" i="3" l="1"/>
  <c r="F14" i="3"/>
  <c r="F6" i="3"/>
  <c r="F5" i="3"/>
  <c r="F11" i="3" s="1"/>
  <c r="I32" i="1"/>
  <c r="AA14" i="6" l="1"/>
  <c r="Z14" i="6"/>
  <c r="F17" i="3" l="1"/>
  <c r="F19" i="3" s="1"/>
  <c r="Z63" i="6"/>
  <c r="Z60" i="6"/>
  <c r="AA61" i="6" l="1"/>
  <c r="AA11" i="6"/>
  <c r="Z28" i="6"/>
  <c r="Z30" i="6"/>
  <c r="Z35" i="6"/>
  <c r="Z32" i="6"/>
  <c r="Z26" i="6"/>
  <c r="AA8" i="6"/>
  <c r="AA22" i="6"/>
  <c r="Z24" i="6"/>
  <c r="AA51" i="6"/>
  <c r="Z10" i="6"/>
  <c r="AA27" i="6"/>
  <c r="Z52" i="6"/>
  <c r="AA12" i="6"/>
  <c r="J10" i="6" l="1"/>
  <c r="AA10" i="6" s="1"/>
  <c r="D201" i="6" l="1"/>
  <c r="E201" i="6"/>
  <c r="W12" i="6" l="1"/>
  <c r="W15" i="6"/>
  <c r="W16" i="6"/>
  <c r="W18" i="6"/>
  <c r="W19" i="6"/>
  <c r="W20" i="6"/>
  <c r="W21" i="6"/>
  <c r="W23" i="6"/>
  <c r="W25" i="6"/>
  <c r="W27" i="6"/>
  <c r="W32" i="6"/>
  <c r="W43" i="6"/>
  <c r="W44" i="6"/>
  <c r="W47" i="6"/>
  <c r="W50" i="6"/>
  <c r="W52"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V12" i="6"/>
  <c r="V15" i="6"/>
  <c r="V16" i="6"/>
  <c r="V18" i="6"/>
  <c r="V19" i="6"/>
  <c r="V20" i="6"/>
  <c r="V21" i="6"/>
  <c r="V23" i="6"/>
  <c r="V25" i="6"/>
  <c r="V27" i="6"/>
  <c r="V32" i="6"/>
  <c r="V43" i="6"/>
  <c r="V44" i="6"/>
  <c r="V47" i="6"/>
  <c r="V50" i="6"/>
  <c r="V52"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P9" i="6"/>
  <c r="P8" i="6"/>
  <c r="P10" i="6"/>
  <c r="P11" i="6"/>
  <c r="P12" i="6"/>
  <c r="P13" i="6"/>
  <c r="P14" i="6"/>
  <c r="P15" i="6"/>
  <c r="P16" i="6"/>
  <c r="P17" i="6"/>
  <c r="W13" i="6" s="1"/>
  <c r="P18" i="6"/>
  <c r="P19" i="6"/>
  <c r="P20" i="6"/>
  <c r="P21" i="6"/>
  <c r="P22" i="6"/>
  <c r="P23" i="6"/>
  <c r="P24" i="6"/>
  <c r="P25" i="6"/>
  <c r="P26" i="6"/>
  <c r="P27" i="6"/>
  <c r="P28" i="6"/>
  <c r="P29" i="6"/>
  <c r="P30" i="6"/>
  <c r="P31" i="6"/>
  <c r="P32" i="6"/>
  <c r="P33" i="6"/>
  <c r="P34" i="6"/>
  <c r="P35" i="6"/>
  <c r="P36" i="6"/>
  <c r="P37" i="6"/>
  <c r="W22" i="6" s="1"/>
  <c r="P38" i="6"/>
  <c r="P39" i="6"/>
  <c r="P40" i="6"/>
  <c r="P41" i="6"/>
  <c r="P42" i="6"/>
  <c r="W24" i="6" s="1"/>
  <c r="P43" i="6"/>
  <c r="W17" i="6" s="1"/>
  <c r="P44" i="6"/>
  <c r="P45" i="6"/>
  <c r="W26" i="6" s="1"/>
  <c r="P46" i="6"/>
  <c r="W28" i="6" s="1"/>
  <c r="P47" i="6"/>
  <c r="W53" i="6" s="1"/>
  <c r="P48" i="6"/>
  <c r="W55" i="6" s="1"/>
  <c r="P49" i="6"/>
  <c r="W57" i="6" s="1"/>
  <c r="P50" i="6"/>
  <c r="P51" i="6"/>
  <c r="P52" i="6"/>
  <c r="W40" i="6" s="1"/>
  <c r="P53" i="6"/>
  <c r="W33" i="6" s="1"/>
  <c r="P54" i="6"/>
  <c r="W51" i="6" s="1"/>
  <c r="P55" i="6"/>
  <c r="P56" i="6"/>
  <c r="W38" i="6" s="1"/>
  <c r="P57" i="6"/>
  <c r="P58" i="6"/>
  <c r="P59" i="6"/>
  <c r="P60" i="6"/>
  <c r="P61" i="6"/>
  <c r="W34" i="6" s="1"/>
  <c r="P62" i="6"/>
  <c r="P63" i="6"/>
  <c r="P64" i="6"/>
  <c r="W45" i="6" s="1"/>
  <c r="P65" i="6"/>
  <c r="W46" i="6" s="1"/>
  <c r="P66" i="6"/>
  <c r="P67" i="6"/>
  <c r="P68" i="6"/>
  <c r="P69" i="6"/>
  <c r="P70" i="6"/>
  <c r="W36" i="6" s="1"/>
  <c r="P71" i="6"/>
  <c r="P72" i="6"/>
  <c r="W31" i="6" s="1"/>
  <c r="P73" i="6"/>
  <c r="P74" i="6"/>
  <c r="P75" i="6"/>
  <c r="P76" i="6"/>
  <c r="W39" i="6" s="1"/>
  <c r="P77" i="6"/>
  <c r="P78" i="6"/>
  <c r="P79" i="6"/>
  <c r="W48" i="6" s="1"/>
  <c r="P80" i="6"/>
  <c r="W49" i="6" s="1"/>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P187" i="6"/>
  <c r="P188" i="6"/>
  <c r="P189" i="6"/>
  <c r="P190" i="6"/>
  <c r="P191" i="6"/>
  <c r="P192" i="6"/>
  <c r="P193" i="6"/>
  <c r="P194" i="6"/>
  <c r="P195" i="6"/>
  <c r="P196" i="6"/>
  <c r="P197" i="6"/>
  <c r="P198" i="6"/>
  <c r="P199" i="6"/>
  <c r="P200" i="6"/>
  <c r="O9" i="6"/>
  <c r="O8" i="6"/>
  <c r="O10" i="6"/>
  <c r="O11" i="6"/>
  <c r="O12" i="6"/>
  <c r="O13" i="6"/>
  <c r="O14" i="6"/>
  <c r="O15" i="6"/>
  <c r="O16" i="6"/>
  <c r="O17" i="6"/>
  <c r="V13" i="6" s="1"/>
  <c r="O18" i="6"/>
  <c r="O19" i="6"/>
  <c r="O20" i="6"/>
  <c r="O21" i="6"/>
  <c r="O22" i="6"/>
  <c r="O23" i="6"/>
  <c r="O24" i="6"/>
  <c r="O25" i="6"/>
  <c r="O26" i="6"/>
  <c r="O27" i="6"/>
  <c r="O28" i="6"/>
  <c r="O29" i="6"/>
  <c r="O30" i="6"/>
  <c r="O31" i="6"/>
  <c r="O32" i="6"/>
  <c r="O33" i="6"/>
  <c r="O34" i="6"/>
  <c r="O35" i="6"/>
  <c r="O36" i="6"/>
  <c r="O37" i="6"/>
  <c r="V22" i="6" s="1"/>
  <c r="O38" i="6"/>
  <c r="O39" i="6"/>
  <c r="O40" i="6"/>
  <c r="O41" i="6"/>
  <c r="O42" i="6"/>
  <c r="V24" i="6" s="1"/>
  <c r="O43" i="6"/>
  <c r="V17" i="6" s="1"/>
  <c r="O44" i="6"/>
  <c r="O45" i="6"/>
  <c r="V26" i="6" s="1"/>
  <c r="O46" i="6"/>
  <c r="V28" i="6" s="1"/>
  <c r="O47" i="6"/>
  <c r="V53" i="6" s="1"/>
  <c r="O48" i="6"/>
  <c r="V55" i="6" s="1"/>
  <c r="O49" i="6"/>
  <c r="V57" i="6" s="1"/>
  <c r="O50" i="6"/>
  <c r="O51" i="6"/>
  <c r="O52" i="6"/>
  <c r="V40" i="6" s="1"/>
  <c r="O53" i="6"/>
  <c r="V33" i="6" s="1"/>
  <c r="O54" i="6"/>
  <c r="V51" i="6" s="1"/>
  <c r="O55" i="6"/>
  <c r="O56" i="6"/>
  <c r="V38" i="6" s="1"/>
  <c r="O57" i="6"/>
  <c r="O58" i="6"/>
  <c r="O59" i="6"/>
  <c r="O60" i="6"/>
  <c r="O61" i="6"/>
  <c r="V34" i="6" s="1"/>
  <c r="O62" i="6"/>
  <c r="O63" i="6"/>
  <c r="O64" i="6"/>
  <c r="V45" i="6" s="1"/>
  <c r="O65" i="6"/>
  <c r="V46" i="6" s="1"/>
  <c r="O66" i="6"/>
  <c r="O67" i="6"/>
  <c r="O68" i="6"/>
  <c r="O69" i="6"/>
  <c r="O70" i="6"/>
  <c r="V36" i="6" s="1"/>
  <c r="O71" i="6"/>
  <c r="O72" i="6"/>
  <c r="V31" i="6" s="1"/>
  <c r="O73" i="6"/>
  <c r="O74" i="6"/>
  <c r="O75" i="6"/>
  <c r="O76" i="6"/>
  <c r="V39" i="6" s="1"/>
  <c r="O77" i="6"/>
  <c r="O78" i="6"/>
  <c r="O79" i="6"/>
  <c r="V48" i="6" s="1"/>
  <c r="O80" i="6"/>
  <c r="V49" i="6" s="1"/>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W37" i="6" l="1"/>
  <c r="W41" i="6"/>
  <c r="V54" i="6"/>
  <c r="W56" i="6"/>
  <c r="W35" i="6"/>
  <c r="W29" i="6"/>
  <c r="V56" i="6"/>
  <c r="V14" i="6"/>
  <c r="W54" i="6"/>
  <c r="V41" i="6"/>
  <c r="V37" i="6"/>
  <c r="V42" i="6"/>
  <c r="V10" i="6"/>
  <c r="V11" i="6"/>
  <c r="W14" i="6"/>
  <c r="V30" i="6"/>
  <c r="V35" i="6"/>
  <c r="V29" i="6"/>
  <c r="W42" i="6"/>
  <c r="W10" i="6"/>
  <c r="W11" i="6"/>
  <c r="W30" i="6"/>
  <c r="V8" i="6"/>
  <c r="W8" i="6"/>
  <c r="V9" i="6"/>
  <c r="W9" i="6"/>
  <c r="O201" i="6"/>
  <c r="P201" i="6"/>
  <c r="W201" i="6" l="1"/>
  <c r="V201" i="6" l="1"/>
  <c r="S9" i="6" l="1"/>
  <c r="S10" i="6" s="1"/>
  <c r="S11" i="6" s="1"/>
  <c r="S12" i="6" s="1"/>
  <c r="S13" i="6" s="1"/>
  <c r="S14" i="6" s="1"/>
  <c r="S15" i="6" s="1"/>
  <c r="S16" i="6" s="1"/>
  <c r="S17" i="6" s="1"/>
  <c r="S18" i="6" s="1"/>
  <c r="S19" i="6" s="1"/>
  <c r="S20" i="6" s="1"/>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Z3" i="1" l="1"/>
  <c r="Z4" i="1" s="1"/>
  <c r="Z5" i="1" s="1"/>
  <c r="Z6" i="1" s="1"/>
  <c r="Z7" i="1" s="1"/>
  <c r="Z8" i="1" s="1"/>
  <c r="Z9" i="1" s="1"/>
  <c r="Z10" i="1" s="1"/>
  <c r="Z11" i="1" s="1"/>
  <c r="Z12" i="1" s="1"/>
  <c r="Z13" i="1" s="1"/>
  <c r="Z14" i="1" s="1"/>
  <c r="Z15" i="1" s="1"/>
  <c r="Z16" i="1" s="1"/>
  <c r="Z17" i="1" s="1"/>
  <c r="Z18" i="1" s="1"/>
  <c r="Z19" i="1" s="1"/>
  <c r="Z20" i="1" s="1"/>
  <c r="Z21" i="1" s="1"/>
  <c r="Z22" i="1" s="1"/>
  <c r="Z23" i="1" s="1"/>
  <c r="Z24" i="1" s="1"/>
  <c r="Z25" i="1" s="1"/>
  <c r="Z26" i="1" s="1"/>
  <c r="Z27" i="1" s="1"/>
  <c r="Z28" i="1" s="1"/>
  <c r="Z29" i="1" s="1"/>
  <c r="Z30" i="1" s="1"/>
  <c r="Z31" i="1" s="1"/>
  <c r="Z32" i="1" s="1"/>
  <c r="Z33" i="1" s="1"/>
  <c r="Z34" i="1" s="1"/>
  <c r="Z35" i="1" s="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Z69" i="1" s="1"/>
  <c r="Z70" i="1" s="1"/>
  <c r="Z71" i="1" s="1"/>
  <c r="Z72" i="1" s="1"/>
  <c r="Z73" i="1" s="1"/>
  <c r="Z74" i="1" s="1"/>
  <c r="Z75" i="1" s="1"/>
  <c r="Z76" i="1" s="1"/>
  <c r="Z77" i="1" s="1"/>
  <c r="Z78" i="1" s="1"/>
  <c r="Z79" i="1" s="1"/>
  <c r="Z80" i="1" s="1"/>
  <c r="Z81" i="1" s="1"/>
  <c r="Z82" i="1" s="1"/>
  <c r="Z83" i="1" s="1"/>
  <c r="Z84" i="1" s="1"/>
  <c r="Z85" i="1" s="1"/>
  <c r="Z86" i="1" s="1"/>
  <c r="Z87" i="1" s="1"/>
  <c r="Z88" i="1" s="1"/>
  <c r="Z89" i="1" s="1"/>
  <c r="Z90" i="1" s="1"/>
  <c r="Z91" i="1" s="1"/>
  <c r="Z92" i="1" s="1"/>
  <c r="Z93" i="1" s="1"/>
  <c r="Z94" i="1" s="1"/>
  <c r="Z95" i="1" s="1"/>
  <c r="Z96" i="1" s="1"/>
  <c r="Z97" i="1" s="1"/>
  <c r="Z98" i="1" s="1"/>
  <c r="Z99" i="1" s="1"/>
  <c r="Z100" i="1" s="1"/>
  <c r="Z101" i="1" s="1"/>
  <c r="AB10" i="6"/>
  <c r="AC10" i="6"/>
  <c r="AB9" i="6"/>
  <c r="AB11" i="6"/>
  <c r="AC11" i="6"/>
  <c r="AC9" i="6"/>
  <c r="AC8" i="6"/>
  <c r="AB8" i="6"/>
  <c r="AD8" i="6" l="1"/>
  <c r="AE11" i="6"/>
  <c r="AH10" i="6"/>
  <c r="AE10" i="6"/>
  <c r="AD9" i="6"/>
  <c r="AE9" i="6"/>
  <c r="AE8" i="6"/>
  <c r="AH9" i="6"/>
  <c r="AG8" i="6"/>
  <c r="AH11" i="6"/>
  <c r="AG11" i="6"/>
  <c r="AD11" i="6"/>
  <c r="AH8" i="6"/>
  <c r="AG9" i="6"/>
  <c r="AD10" i="6"/>
  <c r="AG10" i="6"/>
  <c r="AC173" i="6"/>
  <c r="AC147" i="6"/>
  <c r="AB154" i="6"/>
  <c r="AC125" i="6"/>
  <c r="AC162" i="6"/>
  <c r="AC14" i="6"/>
  <c r="AB164" i="6"/>
  <c r="AB192" i="6"/>
  <c r="AB149" i="6"/>
  <c r="AC83" i="6"/>
  <c r="AB123" i="6"/>
  <c r="AC123" i="6"/>
  <c r="AC154" i="6"/>
  <c r="AC126" i="6"/>
  <c r="AB81" i="6"/>
  <c r="AB129" i="6"/>
  <c r="AC192" i="6"/>
  <c r="AC149" i="6"/>
  <c r="AC81" i="6"/>
  <c r="AE81" i="6" s="1"/>
  <c r="AB125" i="6"/>
  <c r="AB147" i="6"/>
  <c r="AC129" i="6"/>
  <c r="AC103" i="6"/>
  <c r="AC35" i="6"/>
  <c r="AC78" i="6"/>
  <c r="AC16" i="6"/>
  <c r="AB16" i="6"/>
  <c r="AC174" i="6"/>
  <c r="AB174" i="6"/>
  <c r="AB14" i="6"/>
  <c r="AD14" i="6" s="1"/>
  <c r="AB173" i="6"/>
  <c r="AB83" i="6"/>
  <c r="AC63" i="6"/>
  <c r="AC190" i="6"/>
  <c r="AB190" i="6"/>
  <c r="AC177" i="6"/>
  <c r="AB177" i="6"/>
  <c r="AC181" i="6"/>
  <c r="AB104" i="6"/>
  <c r="AC187" i="6"/>
  <c r="AB31" i="6"/>
  <c r="AC31" i="6"/>
  <c r="AC193" i="6"/>
  <c r="AB193" i="6"/>
  <c r="AB181" i="6"/>
  <c r="AB32" i="6"/>
  <c r="AC32" i="6"/>
  <c r="AC100" i="6"/>
  <c r="AB200" i="6"/>
  <c r="AC200" i="6"/>
  <c r="AB171" i="6"/>
  <c r="AC171" i="6"/>
  <c r="AC115" i="6"/>
  <c r="AC164" i="6"/>
  <c r="AB187" i="6"/>
  <c r="AC108" i="6"/>
  <c r="AB108" i="6"/>
  <c r="AC166" i="6"/>
  <c r="AC110" i="6"/>
  <c r="AB110" i="6"/>
  <c r="AB35" i="6"/>
  <c r="AB70" i="6"/>
  <c r="AB103" i="6"/>
  <c r="AD103" i="6" s="1"/>
  <c r="AB162" i="6"/>
  <c r="AB90" i="6"/>
  <c r="AC90" i="6"/>
  <c r="AC70" i="6"/>
  <c r="AC104" i="6"/>
  <c r="AC82" i="6"/>
  <c r="AB112" i="6"/>
  <c r="AB98" i="6"/>
  <c r="AC98" i="6"/>
  <c r="AC61" i="6"/>
  <c r="AC175" i="6"/>
  <c r="AC41" i="6"/>
  <c r="AC56" i="6"/>
  <c r="AB84" i="6"/>
  <c r="AC84" i="6"/>
  <c r="AC141" i="6"/>
  <c r="AC195" i="6"/>
  <c r="AB195" i="6"/>
  <c r="AB37" i="6"/>
  <c r="AC37" i="6"/>
  <c r="AC121" i="6"/>
  <c r="AB121" i="6"/>
  <c r="AB61" i="6"/>
  <c r="AC158" i="6"/>
  <c r="AB158" i="6"/>
  <c r="AC94" i="6"/>
  <c r="AB94" i="6"/>
  <c r="AB157" i="6"/>
  <c r="AC157" i="6"/>
  <c r="AC47" i="6"/>
  <c r="AB47" i="6"/>
  <c r="AB140" i="6"/>
  <c r="AB137" i="6"/>
  <c r="AB151" i="6"/>
  <c r="AC151" i="6"/>
  <c r="AC169" i="6"/>
  <c r="AB169" i="6"/>
  <c r="AB72" i="6"/>
  <c r="AB95" i="6"/>
  <c r="AB135" i="6"/>
  <c r="AC135" i="6"/>
  <c r="AC122" i="6"/>
  <c r="AB122" i="6"/>
  <c r="AB184" i="6"/>
  <c r="AC184" i="6"/>
  <c r="AB113" i="6"/>
  <c r="AC113" i="6"/>
  <c r="AB163" i="6"/>
  <c r="AC163" i="6"/>
  <c r="AB102" i="6"/>
  <c r="AC102" i="6"/>
  <c r="AB100" i="6"/>
  <c r="AB41" i="6"/>
  <c r="AB166" i="6"/>
  <c r="AC111" i="6"/>
  <c r="AB199" i="6"/>
  <c r="AC199" i="6"/>
  <c r="AC179" i="6"/>
  <c r="AC64" i="6"/>
  <c r="AB136" i="6"/>
  <c r="AC136" i="6"/>
  <c r="AB153" i="6"/>
  <c r="AC153" i="6"/>
  <c r="AC140" i="6"/>
  <c r="AE140" i="6" s="1"/>
  <c r="AC133" i="6"/>
  <c r="AC67" i="6"/>
  <c r="AB67" i="6"/>
  <c r="AB111" i="6"/>
  <c r="AC59" i="6"/>
  <c r="AB59" i="6"/>
  <c r="AC95" i="6"/>
  <c r="AE95" i="6" s="1"/>
  <c r="AC69" i="6"/>
  <c r="AB69" i="6"/>
  <c r="AB68" i="6"/>
  <c r="AB76" i="6"/>
  <c r="AC76" i="6"/>
  <c r="AB17" i="6"/>
  <c r="AC17" i="6"/>
  <c r="AC72" i="6"/>
  <c r="AB62" i="6"/>
  <c r="AC62" i="6"/>
  <c r="AC30" i="6"/>
  <c r="AC186" i="6"/>
  <c r="AB186" i="6"/>
  <c r="AB126" i="6"/>
  <c r="AC85" i="6"/>
  <c r="AC128" i="6"/>
  <c r="AB128" i="6"/>
  <c r="AB85" i="6"/>
  <c r="AC68" i="6"/>
  <c r="AE68" i="6" s="1"/>
  <c r="AB152" i="6"/>
  <c r="AC152" i="6"/>
  <c r="AC155" i="6"/>
  <c r="AB155" i="6"/>
  <c r="AC21" i="6"/>
  <c r="AB21" i="6"/>
  <c r="AB142" i="6"/>
  <c r="AC142" i="6"/>
  <c r="AC71" i="6"/>
  <c r="AB71" i="6"/>
  <c r="AC77" i="6"/>
  <c r="AB77" i="6"/>
  <c r="AC170" i="6"/>
  <c r="AC79" i="6"/>
  <c r="AB80" i="6"/>
  <c r="AC80" i="6"/>
  <c r="AB57" i="6"/>
  <c r="AC57" i="6"/>
  <c r="AB185" i="6"/>
  <c r="AC185" i="6"/>
  <c r="AC40" i="6"/>
  <c r="AC124" i="6"/>
  <c r="AB124" i="6"/>
  <c r="AC127" i="6"/>
  <c r="AB127" i="6"/>
  <c r="AC137" i="6"/>
  <c r="AC119" i="6"/>
  <c r="AB119" i="6"/>
  <c r="AB87" i="6"/>
  <c r="AC87" i="6"/>
  <c r="AB188" i="6"/>
  <c r="AC188" i="6"/>
  <c r="AB179" i="6"/>
  <c r="AG179" i="6" s="1"/>
  <c r="AB175" i="6"/>
  <c r="AC97" i="6"/>
  <c r="AB97" i="6"/>
  <c r="AB92" i="6"/>
  <c r="AC92" i="6"/>
  <c r="AC54" i="6"/>
  <c r="AB54" i="6"/>
  <c r="AC42" i="6"/>
  <c r="AB22" i="6"/>
  <c r="AC22" i="6"/>
  <c r="AB168" i="6"/>
  <c r="AC168" i="6"/>
  <c r="AB78" i="6"/>
  <c r="AB42" i="6"/>
  <c r="AB144" i="6"/>
  <c r="AC144" i="6"/>
  <c r="AB30" i="6"/>
  <c r="AB197" i="6"/>
  <c r="AC197" i="6"/>
  <c r="AB170" i="6"/>
  <c r="AB45" i="6"/>
  <c r="AC45" i="6"/>
  <c r="AC159" i="6"/>
  <c r="AB159" i="6"/>
  <c r="AC160" i="6"/>
  <c r="AB160" i="6"/>
  <c r="AC114" i="6"/>
  <c r="AB114" i="6"/>
  <c r="AC167" i="6"/>
  <c r="AB167" i="6"/>
  <c r="AC118" i="6"/>
  <c r="AB118" i="6"/>
  <c r="AC191" i="6"/>
  <c r="AB191" i="6"/>
  <c r="AB15" i="6"/>
  <c r="AC15" i="6"/>
  <c r="AB99" i="6"/>
  <c r="AB24" i="6"/>
  <c r="AC24" i="6"/>
  <c r="AC143" i="6"/>
  <c r="AB107" i="6"/>
  <c r="AC107" i="6"/>
  <c r="AC74" i="6"/>
  <c r="AB74" i="6"/>
  <c r="AB40" i="6"/>
  <c r="AC180" i="6"/>
  <c r="AC112" i="6"/>
  <c r="AB82" i="6"/>
  <c r="AC194" i="6"/>
  <c r="AB194" i="6"/>
  <c r="AC39" i="6"/>
  <c r="AC198" i="6"/>
  <c r="AB183" i="6"/>
  <c r="AC183" i="6"/>
  <c r="AB143" i="6"/>
  <c r="AC99" i="6"/>
  <c r="AB161" i="6"/>
  <c r="AC161" i="6"/>
  <c r="AC182" i="6"/>
  <c r="AC60" i="6"/>
  <c r="AB60" i="6"/>
  <c r="AB133" i="6"/>
  <c r="AG133" i="6" s="1"/>
  <c r="AB79" i="6"/>
  <c r="AB145" i="6"/>
  <c r="AC145" i="6"/>
  <c r="AB180" i="6"/>
  <c r="AG180" i="6" s="1"/>
  <c r="AB105" i="6"/>
  <c r="AC105" i="6"/>
  <c r="AB141" i="6"/>
  <c r="AG141" i="6" s="1"/>
  <c r="AC117" i="6"/>
  <c r="AB117" i="6"/>
  <c r="AC43" i="6"/>
  <c r="AC44" i="6"/>
  <c r="AC26" i="6"/>
  <c r="AB26" i="6"/>
  <c r="AB63" i="6"/>
  <c r="AG63" i="6" s="1"/>
  <c r="AC36" i="6"/>
  <c r="AB36" i="6"/>
  <c r="AB150" i="6"/>
  <c r="AC150" i="6"/>
  <c r="AC86" i="6"/>
  <c r="AB86" i="6"/>
  <c r="AC116" i="6"/>
  <c r="AB116" i="6"/>
  <c r="AC55" i="6"/>
  <c r="AB55" i="6"/>
  <c r="AB18" i="6"/>
  <c r="AC18" i="6"/>
  <c r="AB88" i="6"/>
  <c r="AC88" i="6"/>
  <c r="AC48" i="6"/>
  <c r="AB48" i="6"/>
  <c r="AC120" i="6"/>
  <c r="AB120" i="6"/>
  <c r="AC73" i="6"/>
  <c r="AB73" i="6"/>
  <c r="AB52" i="6"/>
  <c r="AC52" i="6"/>
  <c r="AC176" i="6"/>
  <c r="AB176" i="6"/>
  <c r="AC156" i="6"/>
  <c r="AB156" i="6"/>
  <c r="AB66" i="6"/>
  <c r="AC66" i="6"/>
  <c r="AB196" i="6"/>
  <c r="AC196" i="6"/>
  <c r="AB96" i="6"/>
  <c r="AC96" i="6"/>
  <c r="AB139" i="6"/>
  <c r="AC139" i="6"/>
  <c r="AC46" i="6"/>
  <c r="AC28" i="6"/>
  <c r="AB28" i="6"/>
  <c r="AB56" i="6"/>
  <c r="AB106" i="6"/>
  <c r="AC106" i="6"/>
  <c r="AC91" i="6"/>
  <c r="AB91" i="6"/>
  <c r="AB178" i="6"/>
  <c r="AB44" i="6"/>
  <c r="AC27" i="6"/>
  <c r="AB27" i="6"/>
  <c r="AB64" i="6"/>
  <c r="AB33" i="6"/>
  <c r="AC33" i="6"/>
  <c r="AB19" i="6"/>
  <c r="AC19" i="6"/>
  <c r="AC131" i="6"/>
  <c r="AB130" i="6"/>
  <c r="AC130" i="6"/>
  <c r="AC23" i="6"/>
  <c r="AB23" i="6"/>
  <c r="AC51" i="6"/>
  <c r="AB51" i="6"/>
  <c r="AB49" i="6"/>
  <c r="AC49" i="6"/>
  <c r="AC109" i="6"/>
  <c r="AB109" i="6"/>
  <c r="AB20" i="6"/>
  <c r="AC20" i="6"/>
  <c r="AB39" i="6"/>
  <c r="AB198" i="6"/>
  <c r="AC29" i="6"/>
  <c r="AB29" i="6"/>
  <c r="AB189" i="6"/>
  <c r="AC189" i="6"/>
  <c r="AB182" i="6"/>
  <c r="AG182" i="6" s="1"/>
  <c r="AB101" i="6"/>
  <c r="AC101" i="6"/>
  <c r="AB25" i="6"/>
  <c r="AC25" i="6"/>
  <c r="AB38" i="6"/>
  <c r="AC148" i="6"/>
  <c r="AB148" i="6"/>
  <c r="AB43" i="6"/>
  <c r="AC58" i="6"/>
  <c r="AB58" i="6"/>
  <c r="AB134" i="6"/>
  <c r="AC134" i="6"/>
  <c r="AB75" i="6"/>
  <c r="AC75" i="6"/>
  <c r="AB53" i="6"/>
  <c r="AC53" i="6"/>
  <c r="AC178" i="6"/>
  <c r="AC38" i="6"/>
  <c r="AB165" i="6"/>
  <c r="AC165" i="6"/>
  <c r="AC93" i="6"/>
  <c r="AB93" i="6"/>
  <c r="AC132" i="6"/>
  <c r="AB132" i="6"/>
  <c r="AB50" i="6"/>
  <c r="AC50" i="6"/>
  <c r="AB115" i="6"/>
  <c r="AC138" i="6"/>
  <c r="AB138" i="6"/>
  <c r="AB172" i="6"/>
  <c r="AC172" i="6"/>
  <c r="AB46" i="6"/>
  <c r="AB131" i="6"/>
  <c r="AH131" i="6" s="1"/>
  <c r="AC65" i="6"/>
  <c r="AB65" i="6"/>
  <c r="AB146" i="6"/>
  <c r="AC146" i="6"/>
  <c r="AB89" i="6"/>
  <c r="AC89" i="6"/>
  <c r="AB34" i="6"/>
  <c r="AC34" i="6"/>
  <c r="AE54" i="6" l="1"/>
  <c r="AE97" i="6"/>
  <c r="AE119" i="6"/>
  <c r="AE77" i="6"/>
  <c r="AE106" i="6"/>
  <c r="AE96" i="6"/>
  <c r="AE66" i="6"/>
  <c r="AE18" i="6"/>
  <c r="AE150" i="6"/>
  <c r="AE105" i="6"/>
  <c r="AE99" i="6"/>
  <c r="AE143" i="6"/>
  <c r="AE15" i="6"/>
  <c r="AE144" i="6"/>
  <c r="AE168" i="6"/>
  <c r="AE72" i="6"/>
  <c r="AE153" i="6"/>
  <c r="AE102" i="6"/>
  <c r="AE113" i="6"/>
  <c r="AE151" i="6"/>
  <c r="AE84" i="6"/>
  <c r="AE90" i="6"/>
  <c r="AE200" i="6"/>
  <c r="AE28" i="6"/>
  <c r="AE104" i="6"/>
  <c r="AE60" i="6"/>
  <c r="AE71" i="6"/>
  <c r="AE21" i="6"/>
  <c r="AE128" i="6"/>
  <c r="AE186" i="6"/>
  <c r="AE164" i="6"/>
  <c r="AE155" i="6"/>
  <c r="AE31" i="6"/>
  <c r="AE130" i="6"/>
  <c r="AE139" i="6"/>
  <c r="AE196" i="6"/>
  <c r="AE52" i="6"/>
  <c r="AE88" i="6"/>
  <c r="AE161" i="6"/>
  <c r="AE183" i="6"/>
  <c r="AE107" i="6"/>
  <c r="AE45" i="6"/>
  <c r="AE22" i="6"/>
  <c r="AE62" i="6"/>
  <c r="AE136" i="6"/>
  <c r="AE199" i="6"/>
  <c r="AE58" i="6"/>
  <c r="AE93" i="6"/>
  <c r="AE163" i="6"/>
  <c r="AE111" i="6"/>
  <c r="AE181" i="6"/>
  <c r="AE149" i="6"/>
  <c r="AE184" i="6"/>
  <c r="AE154" i="6"/>
  <c r="AE89" i="6"/>
  <c r="AE189" i="6"/>
  <c r="AE135" i="6"/>
  <c r="AE157" i="6"/>
  <c r="AE98" i="6"/>
  <c r="AE171" i="6"/>
  <c r="AG64" i="6"/>
  <c r="AE112" i="6"/>
  <c r="AE59" i="6"/>
  <c r="AD162" i="6"/>
  <c r="AE132" i="6"/>
  <c r="AE117" i="6"/>
  <c r="AG173" i="6"/>
  <c r="AE138" i="6"/>
  <c r="AE29" i="6"/>
  <c r="AE23" i="6"/>
  <c r="AD181" i="6"/>
  <c r="AD147" i="6"/>
  <c r="AD198" i="6"/>
  <c r="AE121" i="6"/>
  <c r="AE195" i="6"/>
  <c r="AE108" i="6"/>
  <c r="AE100" i="6"/>
  <c r="AE187" i="6"/>
  <c r="AE177" i="6"/>
  <c r="AD83" i="6"/>
  <c r="AE174" i="6"/>
  <c r="AE123" i="6"/>
  <c r="AE125" i="6"/>
  <c r="AH154" i="6"/>
  <c r="AG22" i="6"/>
  <c r="AH61" i="6"/>
  <c r="AE35" i="6"/>
  <c r="AE26" i="6"/>
  <c r="AH172" i="6"/>
  <c r="AE172" i="6"/>
  <c r="AE65" i="6"/>
  <c r="AE50" i="6"/>
  <c r="AE38" i="6"/>
  <c r="AE75" i="6"/>
  <c r="AE148" i="6"/>
  <c r="AE101" i="6"/>
  <c r="AE109" i="6"/>
  <c r="AE51" i="6"/>
  <c r="AE33" i="6"/>
  <c r="AE27" i="6"/>
  <c r="AE91" i="6"/>
  <c r="AE156" i="6"/>
  <c r="AE120" i="6"/>
  <c r="AE55" i="6"/>
  <c r="AE86" i="6"/>
  <c r="AE36" i="6"/>
  <c r="AE44" i="6"/>
  <c r="AE145" i="6"/>
  <c r="AE194" i="6"/>
  <c r="AE191" i="6"/>
  <c r="AE167" i="6"/>
  <c r="AE160" i="6"/>
  <c r="AE92" i="6"/>
  <c r="AE87" i="6"/>
  <c r="AE137" i="6"/>
  <c r="AE124" i="6"/>
  <c r="AE57" i="6"/>
  <c r="AE79" i="6"/>
  <c r="AE152" i="6"/>
  <c r="AE76" i="6"/>
  <c r="AE69" i="6"/>
  <c r="AE169" i="6"/>
  <c r="AE158" i="6"/>
  <c r="AE37" i="6"/>
  <c r="AE141" i="6"/>
  <c r="AE41" i="6"/>
  <c r="AE70" i="6"/>
  <c r="AE110" i="6"/>
  <c r="AE32" i="6"/>
  <c r="AE193" i="6"/>
  <c r="AE103" i="6"/>
  <c r="AE180" i="6"/>
  <c r="AE133" i="6"/>
  <c r="AE56" i="6"/>
  <c r="AE34" i="6"/>
  <c r="AE146" i="6"/>
  <c r="AH178" i="6"/>
  <c r="AE178" i="6"/>
  <c r="AE20" i="6"/>
  <c r="AE49" i="6"/>
  <c r="AE131" i="6"/>
  <c r="AE43" i="6"/>
  <c r="AE198" i="6"/>
  <c r="AG42" i="6"/>
  <c r="AE42" i="6"/>
  <c r="AE40" i="6"/>
  <c r="AE170" i="6"/>
  <c r="AE64" i="6"/>
  <c r="AE175" i="6"/>
  <c r="AE166" i="6"/>
  <c r="AE190" i="6"/>
  <c r="AE16" i="6"/>
  <c r="AE129" i="6"/>
  <c r="AE126" i="6"/>
  <c r="AE83" i="6"/>
  <c r="AE14" i="6"/>
  <c r="AE147" i="6"/>
  <c r="AG132" i="6"/>
  <c r="AE165" i="6"/>
  <c r="AE53" i="6"/>
  <c r="AE134" i="6"/>
  <c r="AE25" i="6"/>
  <c r="AE19" i="6"/>
  <c r="AE46" i="6"/>
  <c r="AE176" i="6"/>
  <c r="AE73" i="6"/>
  <c r="AE48" i="6"/>
  <c r="AE116" i="6"/>
  <c r="AE182" i="6"/>
  <c r="AG143" i="6"/>
  <c r="AE39" i="6"/>
  <c r="AE74" i="6"/>
  <c r="AE24" i="6"/>
  <c r="AE118" i="6"/>
  <c r="AE114" i="6"/>
  <c r="AE159" i="6"/>
  <c r="AE197" i="6"/>
  <c r="AE188" i="6"/>
  <c r="AE127" i="6"/>
  <c r="AE185" i="6"/>
  <c r="AE80" i="6"/>
  <c r="AE142" i="6"/>
  <c r="AE85" i="6"/>
  <c r="AE30" i="6"/>
  <c r="AE17" i="6"/>
  <c r="AE67" i="6"/>
  <c r="AE179" i="6"/>
  <c r="AD102" i="6"/>
  <c r="AG113" i="6"/>
  <c r="AE122" i="6"/>
  <c r="AH47" i="6"/>
  <c r="AE47" i="6"/>
  <c r="AH94" i="6"/>
  <c r="AE94" i="6"/>
  <c r="AG84" i="6"/>
  <c r="AE61" i="6"/>
  <c r="AE82" i="6"/>
  <c r="AD35" i="6"/>
  <c r="AE115" i="6"/>
  <c r="AE63" i="6"/>
  <c r="AE78" i="6"/>
  <c r="AE192" i="6"/>
  <c r="AE162" i="6"/>
  <c r="AE173" i="6"/>
  <c r="AD29" i="6"/>
  <c r="AD64" i="6"/>
  <c r="AH127" i="6"/>
  <c r="AD67" i="6"/>
  <c r="AD126" i="6"/>
  <c r="AD193" i="6"/>
  <c r="AD63" i="6"/>
  <c r="AD115" i="6"/>
  <c r="AG40" i="6"/>
  <c r="AG167" i="6"/>
  <c r="AD85" i="6"/>
  <c r="AH95" i="6"/>
  <c r="AG136" i="6"/>
  <c r="AD199" i="6"/>
  <c r="AD100" i="6"/>
  <c r="AD187" i="6"/>
  <c r="AH193" i="6"/>
  <c r="AG125" i="6"/>
  <c r="AD42" i="6"/>
  <c r="AG123" i="6"/>
  <c r="AD131" i="6"/>
  <c r="AG39" i="6"/>
  <c r="AG56" i="6"/>
  <c r="AD86" i="6"/>
  <c r="AD180" i="6"/>
  <c r="AD82" i="6"/>
  <c r="AG170" i="6"/>
  <c r="AG137" i="6"/>
  <c r="AG126" i="6"/>
  <c r="AH31" i="6"/>
  <c r="AD16" i="6"/>
  <c r="AG82" i="6"/>
  <c r="AG149" i="6"/>
  <c r="AG27" i="6"/>
  <c r="AH91" i="6"/>
  <c r="AD28" i="6"/>
  <c r="AH143" i="6"/>
  <c r="AG118" i="6"/>
  <c r="AD170" i="6"/>
  <c r="AH185" i="6"/>
  <c r="AG155" i="6"/>
  <c r="AH85" i="6"/>
  <c r="AH163" i="6"/>
  <c r="AD135" i="6"/>
  <c r="AH169" i="6"/>
  <c r="AD158" i="6"/>
  <c r="AH190" i="6"/>
  <c r="AD125" i="6"/>
  <c r="AD43" i="6"/>
  <c r="AH181" i="6"/>
  <c r="AH83" i="6"/>
  <c r="AD89" i="6"/>
  <c r="AG65" i="6"/>
  <c r="AG131" i="6"/>
  <c r="AG138" i="6"/>
  <c r="AD39" i="6"/>
  <c r="AG109" i="6"/>
  <c r="AG128" i="6"/>
  <c r="AD59" i="6"/>
  <c r="AG90" i="6"/>
  <c r="AG103" i="6"/>
  <c r="AH171" i="6"/>
  <c r="AG177" i="6"/>
  <c r="AH100" i="6"/>
  <c r="AG192" i="6"/>
  <c r="AH84" i="6"/>
  <c r="AH138" i="6"/>
  <c r="AD133" i="6"/>
  <c r="AD179" i="6"/>
  <c r="AG57" i="6"/>
  <c r="AG152" i="6"/>
  <c r="AH186" i="6"/>
  <c r="AH121" i="6"/>
  <c r="AD171" i="6"/>
  <c r="AD192" i="6"/>
  <c r="AG43" i="6"/>
  <c r="AH179" i="6"/>
  <c r="AG166" i="6"/>
  <c r="AH199" i="6"/>
  <c r="AG163" i="6"/>
  <c r="AG157" i="6"/>
  <c r="AH158" i="6"/>
  <c r="AH164" i="6"/>
  <c r="AH16" i="6"/>
  <c r="AG158" i="6"/>
  <c r="AG154" i="6"/>
  <c r="AG199" i="6"/>
  <c r="AD81" i="6"/>
  <c r="AG89" i="6"/>
  <c r="AD182" i="6"/>
  <c r="AG44" i="6"/>
  <c r="AD56" i="6"/>
  <c r="AD141" i="6"/>
  <c r="AG79" i="6"/>
  <c r="AD21" i="6"/>
  <c r="AG85" i="6"/>
  <c r="AD90" i="6"/>
  <c r="AG35" i="6"/>
  <c r="AG81" i="6"/>
  <c r="AG193" i="6"/>
  <c r="AG165" i="6"/>
  <c r="AD79" i="6"/>
  <c r="AG72" i="6"/>
  <c r="AD34" i="6"/>
  <c r="AD93" i="6"/>
  <c r="AH49" i="6"/>
  <c r="AH116" i="6"/>
  <c r="AG26" i="6"/>
  <c r="AG105" i="6"/>
  <c r="AD138" i="6"/>
  <c r="AH82" i="6"/>
  <c r="AD40" i="6"/>
  <c r="AG188" i="6"/>
  <c r="AD124" i="6"/>
  <c r="AD185" i="6"/>
  <c r="AD80" i="6"/>
  <c r="AG77" i="6"/>
  <c r="AD142" i="6"/>
  <c r="AH155" i="6"/>
  <c r="AH128" i="6"/>
  <c r="AH72" i="6"/>
  <c r="AD76" i="6"/>
  <c r="AD111" i="6"/>
  <c r="AH140" i="6"/>
  <c r="AD136" i="6"/>
  <c r="AD41" i="6"/>
  <c r="AG61" i="6"/>
  <c r="AD37" i="6"/>
  <c r="AD98" i="6"/>
  <c r="AG162" i="6"/>
  <c r="AG70" i="6"/>
  <c r="AG98" i="6"/>
  <c r="AG181" i="6"/>
  <c r="AH177" i="6"/>
  <c r="AG147" i="6"/>
  <c r="AH81" i="6"/>
  <c r="AH192" i="6"/>
  <c r="AH126" i="6"/>
  <c r="AG171" i="6"/>
  <c r="AD177" i="6"/>
  <c r="AG38" i="6"/>
  <c r="AG75" i="6"/>
  <c r="AD75" i="6"/>
  <c r="AH58" i="6"/>
  <c r="AH25" i="6"/>
  <c r="AG130" i="6"/>
  <c r="AD130" i="6"/>
  <c r="AG176" i="6"/>
  <c r="AD176" i="6"/>
  <c r="AD73" i="6"/>
  <c r="AG73" i="6"/>
  <c r="AG88" i="6"/>
  <c r="AD88" i="6"/>
  <c r="AH55" i="6"/>
  <c r="AG36" i="6"/>
  <c r="AD36" i="6"/>
  <c r="AG34" i="6"/>
  <c r="AG58" i="6"/>
  <c r="AH19" i="6"/>
  <c r="AH198" i="6"/>
  <c r="AD65" i="6"/>
  <c r="AG112" i="6"/>
  <c r="AD74" i="6"/>
  <c r="AG74" i="6"/>
  <c r="AG99" i="6"/>
  <c r="AD99" i="6"/>
  <c r="AG191" i="6"/>
  <c r="AD191" i="6"/>
  <c r="AD167" i="6"/>
  <c r="AD114" i="6"/>
  <c r="AG114" i="6"/>
  <c r="AG159" i="6"/>
  <c r="AD159" i="6"/>
  <c r="AD118" i="6"/>
  <c r="AG197" i="6"/>
  <c r="AD197" i="6"/>
  <c r="AD78" i="6"/>
  <c r="AG78" i="6"/>
  <c r="AH119" i="6"/>
  <c r="AH165" i="6"/>
  <c r="AD53" i="6"/>
  <c r="AG53" i="6"/>
  <c r="AD134" i="6"/>
  <c r="AG134" i="6"/>
  <c r="AH148" i="6"/>
  <c r="AH29" i="6"/>
  <c r="AH65" i="6"/>
  <c r="AH23" i="6"/>
  <c r="AD23" i="6"/>
  <c r="AG178" i="6"/>
  <c r="AD178" i="6"/>
  <c r="AD106" i="6"/>
  <c r="AG106" i="6"/>
  <c r="AD139" i="6"/>
  <c r="AG139" i="6"/>
  <c r="AG156" i="6"/>
  <c r="AH156" i="6"/>
  <c r="AG120" i="6"/>
  <c r="AD120" i="6"/>
  <c r="AG116" i="6"/>
  <c r="AD116" i="6"/>
  <c r="AD26" i="6"/>
  <c r="AH146" i="6"/>
  <c r="AG46" i="6"/>
  <c r="AH46" i="6"/>
  <c r="AG189" i="6"/>
  <c r="AD189" i="6"/>
  <c r="AH20" i="6"/>
  <c r="AH51" i="6"/>
  <c r="AH33" i="6"/>
  <c r="AD33" i="6"/>
  <c r="AH66" i="6"/>
  <c r="AD48" i="6"/>
  <c r="AG48" i="6"/>
  <c r="AH117" i="6"/>
  <c r="AH161" i="6"/>
  <c r="AD146" i="6"/>
  <c r="AG115" i="6"/>
  <c r="AD50" i="6"/>
  <c r="AG50" i="6"/>
  <c r="AH50" i="6"/>
  <c r="AH93" i="6"/>
  <c r="AH38" i="6"/>
  <c r="AH53" i="6"/>
  <c r="AH134" i="6"/>
  <c r="AG148" i="6"/>
  <c r="AD148" i="6"/>
  <c r="AD25" i="6"/>
  <c r="AG25" i="6"/>
  <c r="AG29" i="6"/>
  <c r="AD20" i="6"/>
  <c r="AG20" i="6"/>
  <c r="AG49" i="6"/>
  <c r="AD49" i="6"/>
  <c r="AG23" i="6"/>
  <c r="AD27" i="6"/>
  <c r="AH106" i="6"/>
  <c r="AH196" i="6"/>
  <c r="AG66" i="6"/>
  <c r="AD66" i="6"/>
  <c r="AH176" i="6"/>
  <c r="AH73" i="6"/>
  <c r="AH48" i="6"/>
  <c r="AH18" i="6"/>
  <c r="AH86" i="6"/>
  <c r="AH36" i="6"/>
  <c r="AH99" i="6"/>
  <c r="AH39" i="6"/>
  <c r="AG146" i="6"/>
  <c r="AH180" i="6"/>
  <c r="AH74" i="6"/>
  <c r="AH24" i="6"/>
  <c r="AG86" i="6"/>
  <c r="AH167" i="6"/>
  <c r="AD156" i="6"/>
  <c r="AH139" i="6"/>
  <c r="AD30" i="6"/>
  <c r="AG30" i="6"/>
  <c r="AH22" i="6"/>
  <c r="AH54" i="6"/>
  <c r="AH89" i="6"/>
  <c r="AD172" i="6"/>
  <c r="AG172" i="6"/>
  <c r="AH101" i="6"/>
  <c r="AH27" i="6"/>
  <c r="AG196" i="6"/>
  <c r="AD196" i="6"/>
  <c r="AD52" i="6"/>
  <c r="AH52" i="6"/>
  <c r="AH120" i="6"/>
  <c r="AH150" i="6"/>
  <c r="AH26" i="6"/>
  <c r="AH43" i="6"/>
  <c r="AH145" i="6"/>
  <c r="AH60" i="6"/>
  <c r="AH183" i="6"/>
  <c r="AD194" i="6"/>
  <c r="AG194" i="6"/>
  <c r="AH107" i="6"/>
  <c r="AD107" i="6"/>
  <c r="AG107" i="6"/>
  <c r="AD24" i="6"/>
  <c r="AG24" i="6"/>
  <c r="AH15" i="6"/>
  <c r="AD132" i="6"/>
  <c r="AG160" i="6"/>
  <c r="AD160" i="6"/>
  <c r="AH160" i="6"/>
  <c r="AH45" i="6"/>
  <c r="AH144" i="6"/>
  <c r="AG175" i="6"/>
  <c r="AH175" i="6"/>
  <c r="AD175" i="6"/>
  <c r="AD87" i="6"/>
  <c r="AG87" i="6"/>
  <c r="AH87" i="6"/>
  <c r="AH34" i="6"/>
  <c r="AD46" i="6"/>
  <c r="AH132" i="6"/>
  <c r="AD165" i="6"/>
  <c r="AD58" i="6"/>
  <c r="AD38" i="6"/>
  <c r="AG198" i="6"/>
  <c r="AH109" i="6"/>
  <c r="AG51" i="6"/>
  <c r="AD51" i="6"/>
  <c r="AH130" i="6"/>
  <c r="AG19" i="6"/>
  <c r="AD19" i="6"/>
  <c r="AD44" i="6"/>
  <c r="AG91" i="6"/>
  <c r="AD91" i="6"/>
  <c r="AH28" i="6"/>
  <c r="AH96" i="6"/>
  <c r="AD109" i="6"/>
  <c r="AG52" i="6"/>
  <c r="AH88" i="6"/>
  <c r="AD55" i="6"/>
  <c r="AG55" i="6"/>
  <c r="AD150" i="6"/>
  <c r="AG150" i="6"/>
  <c r="AD117" i="6"/>
  <c r="AG117" i="6"/>
  <c r="AH105" i="6"/>
  <c r="AD105" i="6"/>
  <c r="AD145" i="6"/>
  <c r="AG145" i="6"/>
  <c r="AH182" i="6"/>
  <c r="AD143" i="6"/>
  <c r="AD183" i="6"/>
  <c r="AH194" i="6"/>
  <c r="AH112" i="6"/>
  <c r="AG93" i="6"/>
  <c r="AG15" i="6"/>
  <c r="AD15" i="6"/>
  <c r="AH118" i="6"/>
  <c r="AG144" i="6"/>
  <c r="AG28" i="6"/>
  <c r="AH168" i="6"/>
  <c r="AH42" i="6"/>
  <c r="AG92" i="6"/>
  <c r="AD92" i="6"/>
  <c r="AH92" i="6"/>
  <c r="AH30" i="6"/>
  <c r="AH114" i="6"/>
  <c r="AH159" i="6"/>
  <c r="AD22" i="6"/>
  <c r="AD97" i="6"/>
  <c r="AH188" i="6"/>
  <c r="AH124" i="6"/>
  <c r="AH80" i="6"/>
  <c r="AG71" i="6"/>
  <c r="AD57" i="6"/>
  <c r="AH68" i="6"/>
  <c r="AG62" i="6"/>
  <c r="AH76" i="6"/>
  <c r="AG111" i="6"/>
  <c r="AG142" i="6"/>
  <c r="AG67" i="6"/>
  <c r="AG41" i="6"/>
  <c r="AH102" i="6"/>
  <c r="AH113" i="6"/>
  <c r="AD72" i="6"/>
  <c r="AD186" i="6"/>
  <c r="AH157" i="6"/>
  <c r="AD121" i="6"/>
  <c r="AH153" i="6"/>
  <c r="AH41" i="6"/>
  <c r="AD31" i="6"/>
  <c r="AG31" i="6"/>
  <c r="AD62" i="6"/>
  <c r="AD113" i="6"/>
  <c r="AD104" i="6"/>
  <c r="AG104" i="6"/>
  <c r="AG124" i="6"/>
  <c r="AH174" i="6"/>
  <c r="AD174" i="6"/>
  <c r="AG169" i="6"/>
  <c r="AD169" i="6"/>
  <c r="AG186" i="6"/>
  <c r="AH195" i="6"/>
  <c r="AH56" i="6"/>
  <c r="AD157" i="6"/>
  <c r="AD70" i="6"/>
  <c r="AD110" i="6"/>
  <c r="AG110" i="6"/>
  <c r="AG108" i="6"/>
  <c r="AD108" i="6"/>
  <c r="AH115" i="6"/>
  <c r="AH32" i="6"/>
  <c r="AG153" i="6"/>
  <c r="AH187" i="6"/>
  <c r="AH110" i="6"/>
  <c r="AG185" i="6"/>
  <c r="AH14" i="6"/>
  <c r="AD32" i="6"/>
  <c r="AD188" i="6"/>
  <c r="AD95" i="6"/>
  <c r="AG127" i="6"/>
  <c r="AD127" i="6"/>
  <c r="AH71" i="6"/>
  <c r="AD144" i="6"/>
  <c r="AD69" i="6"/>
  <c r="AG69" i="6"/>
  <c r="AH133" i="6"/>
  <c r="AD128" i="6"/>
  <c r="AH136" i="6"/>
  <c r="AD155" i="6"/>
  <c r="AH135" i="6"/>
  <c r="AH69" i="6"/>
  <c r="AG140" i="6"/>
  <c r="AD140" i="6"/>
  <c r="AH75" i="6"/>
  <c r="AD101" i="6"/>
  <c r="AG33" i="6"/>
  <c r="AG96" i="6"/>
  <c r="AG18" i="6"/>
  <c r="AH44" i="6"/>
  <c r="AG60" i="6"/>
  <c r="AD161" i="6"/>
  <c r="AG161" i="6"/>
  <c r="AG183" i="6"/>
  <c r="AH191" i="6"/>
  <c r="AD45" i="6"/>
  <c r="AG45" i="6"/>
  <c r="AH197" i="6"/>
  <c r="AD168" i="6"/>
  <c r="AD54" i="6"/>
  <c r="AD119" i="6"/>
  <c r="AG119" i="6"/>
  <c r="AH137" i="6"/>
  <c r="AH57" i="6"/>
  <c r="AH79" i="6"/>
  <c r="AD77" i="6"/>
  <c r="AH142" i="6"/>
  <c r="AG21" i="6"/>
  <c r="AD152" i="6"/>
  <c r="AG80" i="6"/>
  <c r="AD68" i="6"/>
  <c r="AG59" i="6"/>
  <c r="AH67" i="6"/>
  <c r="AH111" i="6"/>
  <c r="AH184" i="6"/>
  <c r="AG135" i="6"/>
  <c r="AG68" i="6"/>
  <c r="AH151" i="6"/>
  <c r="AD137" i="6"/>
  <c r="AD163" i="6"/>
  <c r="AG94" i="6"/>
  <c r="AD94" i="6"/>
  <c r="AD61" i="6"/>
  <c r="AH141" i="6"/>
  <c r="AH104" i="6"/>
  <c r="AH17" i="6"/>
  <c r="AG187" i="6"/>
  <c r="AH200" i="6"/>
  <c r="AD153" i="6"/>
  <c r="AD173" i="6"/>
  <c r="AG14" i="6"/>
  <c r="AH35" i="6"/>
  <c r="AH152" i="6"/>
  <c r="AD71" i="6"/>
  <c r="AG121" i="6"/>
  <c r="AH123" i="6"/>
  <c r="AD123" i="6"/>
  <c r="AH162" i="6"/>
  <c r="AD18" i="6"/>
  <c r="AD60" i="6"/>
  <c r="AH108" i="6"/>
  <c r="AH40" i="6"/>
  <c r="AH170" i="6"/>
  <c r="AH77" i="6"/>
  <c r="AH21" i="6"/>
  <c r="AH62" i="6"/>
  <c r="AG17" i="6"/>
  <c r="AD17" i="6"/>
  <c r="AH59" i="6"/>
  <c r="AD166" i="6"/>
  <c r="AG100" i="6"/>
  <c r="AD184" i="6"/>
  <c r="AG184" i="6"/>
  <c r="AD122" i="6"/>
  <c r="AG122" i="6"/>
  <c r="AG95" i="6"/>
  <c r="AG76" i="6"/>
  <c r="AH189" i="6"/>
  <c r="AH70" i="6"/>
  <c r="AD96" i="6"/>
  <c r="AG102" i="6"/>
  <c r="AG54" i="6"/>
  <c r="AD200" i="6"/>
  <c r="AG200" i="6"/>
  <c r="AH122" i="6"/>
  <c r="AG168" i="6"/>
  <c r="AG174" i="6"/>
  <c r="AH129" i="6"/>
  <c r="AH37" i="6"/>
  <c r="AG101" i="6"/>
  <c r="AH63" i="6"/>
  <c r="AH97" i="6"/>
  <c r="AG195" i="6"/>
  <c r="AG97" i="6"/>
  <c r="AG151" i="6"/>
  <c r="AD47" i="6"/>
  <c r="AG47" i="6"/>
  <c r="AH98" i="6"/>
  <c r="AD112" i="6"/>
  <c r="AH90" i="6"/>
  <c r="AH166" i="6"/>
  <c r="AG32" i="6"/>
  <c r="AG37" i="6"/>
  <c r="AG83" i="6"/>
  <c r="AD84" i="6"/>
  <c r="AH103" i="6"/>
  <c r="AD149" i="6"/>
  <c r="AH149" i="6"/>
  <c r="AD129" i="6"/>
  <c r="AH64" i="6"/>
  <c r="AG16" i="6"/>
  <c r="AH125" i="6"/>
  <c r="AH173" i="6"/>
  <c r="AD151" i="6"/>
  <c r="AD154" i="6"/>
  <c r="AD195" i="6"/>
  <c r="AG190" i="6"/>
  <c r="AD190" i="6"/>
  <c r="AG164" i="6"/>
  <c r="AD164" i="6"/>
  <c r="AH78" i="6"/>
  <c r="AG129" i="6"/>
  <c r="AH147" i="6"/>
  <c r="AB13" i="6"/>
  <c r="AC13" i="6"/>
  <c r="AE13" i="6" l="1"/>
  <c r="AH13" i="6"/>
  <c r="AG13" i="6"/>
  <c r="AD13" i="6"/>
  <c r="AB12" i="6"/>
  <c r="AC12" i="6"/>
  <c r="AE12" i="6" l="1"/>
  <c r="AE201" i="6" s="1"/>
  <c r="AB201" i="6"/>
  <c r="AD12" i="6"/>
  <c r="AD201" i="6" s="1"/>
  <c r="AH12" i="6"/>
  <c r="AH201" i="6" s="1"/>
  <c r="AC201" i="6"/>
  <c r="AG12" i="6"/>
  <c r="AG201" i="6" l="1"/>
  <c r="AL200" i="6" s="1"/>
  <c r="S5" i="6" s="1"/>
  <c r="AI200" i="6" l="1"/>
  <c r="F126" i="30"/>
  <c r="G126" i="30" l="1"/>
  <c r="F125" i="30"/>
  <c r="H126" i="30"/>
  <c r="F171" i="30" l="1"/>
  <c r="F131" i="30"/>
  <c r="F172" i="30" s="1"/>
  <c r="G131" i="30"/>
  <c r="G125" i="30"/>
  <c r="G171" i="30" s="1"/>
  <c r="I126" i="30"/>
  <c r="H170" i="30"/>
  <c r="G172" i="30" l="1"/>
  <c r="I170" i="30"/>
  <c r="J126" i="30"/>
  <c r="H131" i="30"/>
  <c r="H172" i="30" s="1"/>
  <c r="H125" i="30"/>
  <c r="H171" i="30" s="1"/>
  <c r="F133" i="30"/>
  <c r="G133" i="30"/>
  <c r="I125" i="30" l="1"/>
  <c r="I171" i="30" s="1"/>
  <c r="I131" i="30"/>
  <c r="I172" i="30" s="1"/>
  <c r="K126" i="30"/>
  <c r="J170" i="30"/>
  <c r="H133" i="30"/>
  <c r="K170" i="30" l="1"/>
  <c r="H173" i="30"/>
  <c r="H174" i="30" s="1"/>
  <c r="H150" i="30" s="1"/>
  <c r="I133" i="30"/>
  <c r="J125" i="30"/>
  <c r="J171" i="30" s="1"/>
  <c r="J131" i="30"/>
  <c r="J172" i="30" s="1"/>
  <c r="I173" i="30" l="1"/>
  <c r="I174" i="30" s="1"/>
  <c r="I150" i="30" s="1"/>
  <c r="J133" i="30"/>
  <c r="K125" i="30"/>
  <c r="K171" i="30" s="1"/>
  <c r="K131" i="30"/>
  <c r="K172" i="30" s="1"/>
  <c r="J173" i="30" l="1"/>
  <c r="J174" i="30" s="1"/>
  <c r="J150" i="30" s="1"/>
  <c r="K133" i="30"/>
  <c r="K173" i="30" l="1"/>
  <c r="K174" i="30" s="1"/>
  <c r="K150" i="30" s="1"/>
  <c r="H145" i="30" l="1"/>
  <c r="J145" i="30"/>
  <c r="G145" i="30"/>
  <c r="I145" i="30"/>
  <c r="K145" i="30"/>
  <c r="H147" i="30" l="1"/>
  <c r="H177" i="30"/>
  <c r="H176" i="30" s="1"/>
  <c r="H149" i="30" s="1"/>
  <c r="K177" i="30"/>
  <c r="K176" i="30" s="1"/>
  <c r="K149" i="30" s="1"/>
  <c r="K147" i="30"/>
  <c r="G147" i="30"/>
  <c r="G177" i="30"/>
  <c r="G176" i="30" s="1"/>
  <c r="G149" i="30" s="1"/>
  <c r="F147" i="30"/>
  <c r="F177" i="30"/>
  <c r="F176" i="30" s="1"/>
  <c r="F149" i="30" s="1"/>
  <c r="I147" i="30"/>
  <c r="I177" i="30"/>
  <c r="I176" i="30" s="1"/>
  <c r="I149" i="30" s="1"/>
  <c r="J147" i="30"/>
  <c r="J177" i="30"/>
  <c r="J176" i="30" s="1"/>
  <c r="J149" i="30" s="1"/>
  <c r="F145" i="30"/>
  <c r="K151" i="30" l="1"/>
  <c r="K162" i="30" s="1"/>
  <c r="J151" i="30"/>
  <c r="J162" i="30" s="1"/>
  <c r="I151" i="30"/>
  <c r="I162" i="30" s="1"/>
  <c r="H151" i="30"/>
  <c r="H162" i="30" s="1"/>
  <c r="F137" i="30"/>
  <c r="F138" i="30" l="1"/>
  <c r="F139" i="30" s="1"/>
  <c r="G137" i="30"/>
  <c r="H137" i="30" l="1"/>
  <c r="G138" i="30"/>
  <c r="G139" i="30" s="1"/>
  <c r="I137" i="30" l="1"/>
  <c r="H138" i="30"/>
  <c r="H139" i="30" s="1"/>
  <c r="J137" i="30" l="1"/>
  <c r="I138" i="30"/>
  <c r="I139" i="30" s="1"/>
  <c r="J138" i="30" l="1"/>
  <c r="J139" i="30" s="1"/>
  <c r="K137" i="30"/>
  <c r="K138" i="30" s="1"/>
  <c r="K139" i="30" s="1"/>
  <c r="G170" i="30"/>
  <c r="G173" i="30" s="1"/>
  <c r="G174" i="30" s="1"/>
  <c r="G150" i="30" s="1"/>
  <c r="G151" i="30" s="1"/>
  <c r="G162" i="30" s="1"/>
  <c r="F170" i="30" l="1"/>
  <c r="F173" i="30" s="1"/>
  <c r="F174" i="30" s="1"/>
  <c r="F150" i="30" s="1"/>
  <c r="F151" i="30" s="1"/>
  <c r="F162" i="30" s="1"/>
  <c r="F164" i="30" s="1"/>
  <c r="G163" i="30" l="1"/>
  <c r="G164" i="30" s="1"/>
  <c r="G128" i="30" l="1"/>
  <c r="G140" i="30" s="1"/>
  <c r="H163" i="30"/>
  <c r="H164" i="30" s="1"/>
  <c r="H128" i="30" l="1"/>
  <c r="H140" i="30" s="1"/>
  <c r="I163" i="30"/>
  <c r="I164" i="30" s="1"/>
  <c r="I128" i="30" l="1"/>
  <c r="I140" i="30" s="1"/>
  <c r="J163" i="30"/>
  <c r="J164" i="30" s="1"/>
  <c r="J128" i="30" l="1"/>
  <c r="J140" i="30" s="1"/>
  <c r="K163" i="30"/>
  <c r="K164" i="30" s="1"/>
  <c r="K128" i="30" s="1"/>
  <c r="K140" i="30" s="1"/>
  <c r="F124" i="30"/>
  <c r="F128" i="30" s="1"/>
  <c r="F140"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6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F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7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8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9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A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B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C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D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JPC</author>
  </authors>
  <commentList>
    <comment ref="T7" authorId="0" shapeId="0" xr:uid="{00000000-0006-0000-0E00-000001000000}">
      <text>
        <r>
          <rPr>
            <b/>
            <sz val="9"/>
            <color indexed="81"/>
            <rFont val="Tahoma"/>
            <family val="2"/>
          </rPr>
          <t>JPC:</t>
        </r>
        <r>
          <rPr>
            <sz val="9"/>
            <color indexed="81"/>
            <rFont val="Tahoma"/>
            <family val="2"/>
          </rPr>
          <t xml:space="preserve">
Please enter the Classification Correctly to Facilitate Balancing of Your Accounts// Thanks Again Mr/Mrs Auditor</t>
        </r>
      </text>
    </comment>
  </commentList>
</comments>
</file>

<file path=xl/sharedStrings.xml><?xml version="1.0" encoding="utf-8"?>
<sst xmlns="http://schemas.openxmlformats.org/spreadsheetml/2006/main" count="7406" uniqueCount="630">
  <si>
    <t>CHARTS OF ACCOUNT</t>
  </si>
  <si>
    <t>Account Name</t>
  </si>
  <si>
    <t>Sub Group</t>
  </si>
  <si>
    <t>Incomes</t>
  </si>
  <si>
    <t>Expenses</t>
  </si>
  <si>
    <t>Revenue</t>
  </si>
  <si>
    <t>Cost of Goods Sold</t>
  </si>
  <si>
    <t>Operating Expenses</t>
  </si>
  <si>
    <t>Non-Operating Expenses</t>
  </si>
  <si>
    <t>Main Accounts</t>
  </si>
  <si>
    <t xml:space="preserve">Debit </t>
  </si>
  <si>
    <t>Assets</t>
  </si>
  <si>
    <t>Liabilities</t>
  </si>
  <si>
    <t>Current Assests</t>
  </si>
  <si>
    <t>Non -Current Assests</t>
  </si>
  <si>
    <t>Other Current Asset</t>
  </si>
  <si>
    <t>Non-Current Liabilities</t>
  </si>
  <si>
    <t>Current Liabilities</t>
  </si>
  <si>
    <t>Other Current Liabilities</t>
  </si>
  <si>
    <t>Direct Costs</t>
  </si>
  <si>
    <t>Capital</t>
  </si>
  <si>
    <t>Ordinary Shares</t>
  </si>
  <si>
    <t>Year</t>
  </si>
  <si>
    <t>Operating Activities</t>
  </si>
  <si>
    <t>Investing Activitiees</t>
  </si>
  <si>
    <t>Financing Activities</t>
  </si>
  <si>
    <t>Profit Befor Working Capital Changes:</t>
  </si>
  <si>
    <t>Adjustment Of Working Capital</t>
  </si>
  <si>
    <t>Cash Generated From WAC</t>
  </si>
  <si>
    <t>Net Cash Generated(Utilized) from Operating Activites</t>
  </si>
  <si>
    <t>Net Cash Generated(Utilized) from Financing Activites</t>
  </si>
  <si>
    <t>Net Cash Generated(Utilized) from Investing Activites</t>
  </si>
  <si>
    <t>Increase(Decrease) in Cash and Cash Equivalent</t>
  </si>
  <si>
    <t>Opening Cash and Cash Equivalent</t>
  </si>
  <si>
    <t>Closing Cash and Cash Equivalent</t>
  </si>
  <si>
    <t>Date</t>
  </si>
  <si>
    <t>Debt</t>
  </si>
  <si>
    <t>Credit</t>
  </si>
  <si>
    <t>,</t>
  </si>
  <si>
    <t>,2</t>
  </si>
  <si>
    <t>,3</t>
  </si>
  <si>
    <t>00-00-00</t>
  </si>
  <si>
    <t>JOURNAL ENTRIES BOOK (ONLY FOR ADJUSTMENTS)</t>
  </si>
  <si>
    <t>CLIENT TRIAL BALANCE</t>
  </si>
  <si>
    <t>,4</t>
  </si>
  <si>
    <t>0</t>
  </si>
  <si>
    <t>Accounts</t>
  </si>
  <si>
    <t>Sub-Accounts</t>
  </si>
  <si>
    <t>Owner´s Equity</t>
  </si>
  <si>
    <t>Capital &amp; Liabiliteis</t>
  </si>
  <si>
    <t>FINAL ADJUSTED  CLIENT TRIAL BALANCE</t>
  </si>
  <si>
    <t>Accounts Name</t>
  </si>
  <si>
    <t>Classification</t>
  </si>
  <si>
    <t>Sub Accounts</t>
  </si>
  <si>
    <t>Update your chart of accounts here</t>
  </si>
  <si>
    <t>Income Statement</t>
  </si>
  <si>
    <t>Balance Sheet</t>
  </si>
  <si>
    <t>Debit</t>
  </si>
  <si>
    <t>ACCOUNTING WORKSHEET</t>
  </si>
  <si>
    <t>.</t>
  </si>
  <si>
    <t>Total</t>
  </si>
  <si>
    <t>Expense</t>
  </si>
  <si>
    <t>Income</t>
  </si>
  <si>
    <t>BANK O INDIA OD 1-2202247200</t>
  </si>
  <si>
    <t>BANK O INDIA OD 2-12517/7274</t>
  </si>
  <si>
    <t>BANK O INDIA OD 3-12517/9001</t>
  </si>
  <si>
    <t>CASH</t>
  </si>
  <si>
    <t>DIAMOND TRUST BANK</t>
  </si>
  <si>
    <t>IMPERIAL BANK</t>
  </si>
  <si>
    <t>RAFIKI BANK-0051004000043</t>
  </si>
  <si>
    <t>AR Accounts Receivable</t>
  </si>
  <si>
    <t>DEPOSIT DETAILS AWAITING</t>
  </si>
  <si>
    <t>INVENTORIES</t>
  </si>
  <si>
    <t>RENT DEPOSIT</t>
  </si>
  <si>
    <t>COMPUTER</t>
  </si>
  <si>
    <t>COMPUTER:ACCUM DEP (COMPUTER)</t>
  </si>
  <si>
    <t>FURNITURE &amp; FITTINGS</t>
  </si>
  <si>
    <t>FURNITURE &amp; FITTINGS:ACCUM DEP (FURNITURE&amp;FITTINGS)</t>
  </si>
  <si>
    <t>MOTOR VEHICLE KCT 157L</t>
  </si>
  <si>
    <t>TRUCKS</t>
  </si>
  <si>
    <t>TRUCKS:ACCUM DEP (TRUCKS)</t>
  </si>
  <si>
    <t>VEHICLE KCM 418B BELTA</t>
  </si>
  <si>
    <t>VEHICLE KCM 418B BELTA:ACCUM DEP (VHCLE KCM 418B BELTA</t>
  </si>
  <si>
    <t>VEHICLE KCT157L FIELDER</t>
  </si>
  <si>
    <t>AP Accounts Payable</t>
  </si>
  <si>
    <t>ACCRUED AUDIT FEE</t>
  </si>
  <si>
    <t>ACCRUED INSURANCE</t>
  </si>
  <si>
    <t>ACCRUED NHIF</t>
  </si>
  <si>
    <t>ACCRUED NSSF</t>
  </si>
  <si>
    <t>ACCRUED PAYE</t>
  </si>
  <si>
    <t>ACCRUED SECRETARIAL FEE</t>
  </si>
  <si>
    <t>CHQ DETAILS AWAITING</t>
  </si>
  <si>
    <t>INCOME TAX</t>
  </si>
  <si>
    <t>VAT Control</t>
  </si>
  <si>
    <t>DIRECTORS ACCOUNTS:DIRECTOR'S ACC - CHIRAG SHAH</t>
  </si>
  <si>
    <t>DIRECTORS ACCOUNTS:DIRECTORS ACC -SANDIP RADIA</t>
  </si>
  <si>
    <t>DIRECTORS ACCOUNTS:DIRECTORS ACC (2014)</t>
  </si>
  <si>
    <t>Opening Bal Equity</t>
  </si>
  <si>
    <t>SHARE CAPITAL</t>
  </si>
  <si>
    <t>SALE OF VEHICLE KCM 418 B</t>
  </si>
  <si>
    <t>SALES</t>
  </si>
  <si>
    <t>PURCHASES</t>
  </si>
  <si>
    <t>ACCOUNTING EXP</t>
  </si>
  <si>
    <t>AUDIT FEES</t>
  </si>
  <si>
    <t>BANK CHARGES</t>
  </si>
  <si>
    <t>CASUAL WAGES</t>
  </si>
  <si>
    <t>CLEANING EXP</t>
  </si>
  <si>
    <t>COMMISION</t>
  </si>
  <si>
    <t>DIRECTORS REMUNERATION</t>
  </si>
  <si>
    <t>DIVIDEND EXPENSES</t>
  </si>
  <si>
    <t>FERRY TOLLS</t>
  </si>
  <si>
    <t>INSURANCE</t>
  </si>
  <si>
    <t>INTEREST ON LOAN</t>
  </si>
  <si>
    <t>INTEREST ON O/D</t>
  </si>
  <si>
    <t>INTERNET EXP</t>
  </si>
  <si>
    <t>LEGAL FEES</t>
  </si>
  <si>
    <t>LICENCES</t>
  </si>
  <si>
    <t>LIGHT</t>
  </si>
  <si>
    <t>MATATU FARE</t>
  </si>
  <si>
    <t>MEDICATION</t>
  </si>
  <si>
    <t>MV  MOTOR VEHICLE EXP</t>
  </si>
  <si>
    <t>NHIF PAID</t>
  </si>
  <si>
    <t>NSSF PAID</t>
  </si>
  <si>
    <t>PAYE PAID</t>
  </si>
  <si>
    <t>POSTAGE,TELEPHONE</t>
  </si>
  <si>
    <t>PRINTING &amp; STATIONARY</t>
  </si>
  <si>
    <t>REGISTRATION FEE</t>
  </si>
  <si>
    <t>RENT</t>
  </si>
  <si>
    <t>ROUNDING OFF</t>
  </si>
  <si>
    <t>SAFETY, UNIFORMS</t>
  </si>
  <si>
    <t>SALARY</t>
  </si>
  <si>
    <t>SECURITY</t>
  </si>
  <si>
    <t>SPONSORSHIP FEE</t>
  </si>
  <si>
    <t>STAFF FOOD</t>
  </si>
  <si>
    <t>STAMP DUTY</t>
  </si>
  <si>
    <t>STANDARD LEVY</t>
  </si>
  <si>
    <t>TRAVEL EXP</t>
  </si>
  <si>
    <t>WATER</t>
  </si>
  <si>
    <t>Cash and bank balances</t>
  </si>
  <si>
    <t>Bank Overdraft</t>
  </si>
  <si>
    <t>Receivables and prepayments</t>
  </si>
  <si>
    <t>Payables &amp; Accruals</t>
  </si>
  <si>
    <t>Inventories</t>
  </si>
  <si>
    <t>Property, plant &amp; equipment</t>
  </si>
  <si>
    <t>Tax payable/recoverable</t>
  </si>
  <si>
    <t>Retained earnings</t>
  </si>
  <si>
    <t>Share Capital</t>
  </si>
  <si>
    <t>Purchases</t>
  </si>
  <si>
    <t>Accounting fee</t>
  </si>
  <si>
    <t>Audit fee</t>
  </si>
  <si>
    <t xml:space="preserve">Bank charges </t>
  </si>
  <si>
    <t>Salaries and wages</t>
  </si>
  <si>
    <t>General expenses</t>
  </si>
  <si>
    <t>Marketing and Advertisement</t>
  </si>
  <si>
    <t>Director remuneration</t>
  </si>
  <si>
    <t>Dividend expenses</t>
  </si>
  <si>
    <t>Travelling</t>
  </si>
  <si>
    <t>Insurance</t>
  </si>
  <si>
    <t>Interest charged</t>
  </si>
  <si>
    <t>Telephone,Postage and internet</t>
  </si>
  <si>
    <t>Legal Fees</t>
  </si>
  <si>
    <t xml:space="preserve">Licenses </t>
  </si>
  <si>
    <t>Electricity and water</t>
  </si>
  <si>
    <t>Medical expenses</t>
  </si>
  <si>
    <t>Motor vehicle expense</t>
  </si>
  <si>
    <t>Printing and stationery</t>
  </si>
  <si>
    <t>Rent</t>
  </si>
  <si>
    <t>Staff welfare</t>
  </si>
  <si>
    <t>Security</t>
  </si>
  <si>
    <t>Stamp Duty</t>
  </si>
  <si>
    <t>Standard levy</t>
  </si>
  <si>
    <t>Depreciation expense</t>
  </si>
  <si>
    <t>Property, Plant &amp; Equipment</t>
  </si>
  <si>
    <t>Other Income</t>
  </si>
  <si>
    <t>Dividends Expenses</t>
  </si>
  <si>
    <t>Delivery and postage</t>
  </si>
  <si>
    <t>Receivables</t>
  </si>
  <si>
    <t>Cash and Bank</t>
  </si>
  <si>
    <t>Tax Paid</t>
  </si>
  <si>
    <t>Accounts payable</t>
  </si>
  <si>
    <t>Being provision for depreciation charge for the year</t>
  </si>
  <si>
    <t>JE1:</t>
  </si>
  <si>
    <t>JE2:</t>
  </si>
  <si>
    <t>J.ENTRIES</t>
  </si>
  <si>
    <t>Being recognition of the gain on disposal of motor vehicle</t>
  </si>
  <si>
    <t>Being accounting for interim dividend paid</t>
  </si>
  <si>
    <t>Director's Account</t>
  </si>
  <si>
    <t>Being adjusting dividend tax posted as tax paid for the year</t>
  </si>
  <si>
    <t>Being recognizing Advance tax paid to the account by Suppliers</t>
  </si>
  <si>
    <t>Being adjsuting for a sale varaince</t>
  </si>
  <si>
    <t>Being a post audit adjustment</t>
  </si>
  <si>
    <t>JE3:</t>
  </si>
  <si>
    <t>JE4:</t>
  </si>
  <si>
    <t>JE5:</t>
  </si>
  <si>
    <t>JE6:</t>
  </si>
  <si>
    <t>JE7:</t>
  </si>
  <si>
    <t>Unadjusted Trial Balance</t>
  </si>
  <si>
    <t>Column1</t>
  </si>
  <si>
    <t>Column2</t>
  </si>
  <si>
    <t>Adjusted Trial Balance</t>
  </si>
  <si>
    <r>
      <t xml:space="preserve">Debit </t>
    </r>
    <r>
      <rPr>
        <sz val="11"/>
        <color theme="1" tint="0.14999847407452621"/>
        <rFont val="Times New Roman"/>
        <family val="1"/>
      </rPr>
      <t>-</t>
    </r>
  </si>
  <si>
    <r>
      <t xml:space="preserve">Credit </t>
    </r>
    <r>
      <rPr>
        <sz val="11"/>
        <color theme="1" tint="0.14999847407452621"/>
        <rFont val="Times New Roman"/>
        <family val="1"/>
      </rPr>
      <t>+</t>
    </r>
  </si>
  <si>
    <r>
      <t>Debit</t>
    </r>
    <r>
      <rPr>
        <sz val="11"/>
        <rFont val="Times New Roman"/>
        <family val="1"/>
      </rPr>
      <t>\</t>
    </r>
  </si>
  <si>
    <r>
      <t>Credit</t>
    </r>
    <r>
      <rPr>
        <sz val="11"/>
        <color theme="1" tint="0.14999847407452621"/>
        <rFont val="Times New Roman"/>
        <family val="1"/>
      </rPr>
      <t>.</t>
    </r>
  </si>
  <si>
    <r>
      <t>Credit</t>
    </r>
    <r>
      <rPr>
        <sz val="11"/>
        <color theme="1" tint="0.14999847407452621"/>
        <rFont val="Times New Roman"/>
        <family val="1"/>
      </rPr>
      <t>,</t>
    </r>
  </si>
  <si>
    <r>
      <t xml:space="preserve">Debit </t>
    </r>
    <r>
      <rPr>
        <sz val="11"/>
        <color theme="1" tint="0.14999847407452621"/>
        <rFont val="Times New Roman"/>
        <family val="1"/>
      </rPr>
      <t>.</t>
    </r>
  </si>
  <si>
    <r>
      <t>Credit</t>
    </r>
    <r>
      <rPr>
        <sz val="11"/>
        <color theme="1" tint="0.14999847407452621"/>
        <rFont val="Times New Roman"/>
        <family val="1"/>
      </rPr>
      <t>'</t>
    </r>
  </si>
  <si>
    <t>Profit for the Period</t>
  </si>
  <si>
    <t>Shareholders loan</t>
  </si>
  <si>
    <t>Financial Assets</t>
  </si>
  <si>
    <t>Withholding tax</t>
  </si>
  <si>
    <t>Instalment tax</t>
  </si>
  <si>
    <t>Advance tax</t>
  </si>
  <si>
    <t>Deferred tax asset</t>
  </si>
  <si>
    <t>Income tax</t>
  </si>
  <si>
    <t>prior year adjustment</t>
  </si>
  <si>
    <t>Other income</t>
  </si>
  <si>
    <t>Donation</t>
  </si>
  <si>
    <t>Cleaning expenses</t>
  </si>
  <si>
    <t>Repairs and maintenance</t>
  </si>
  <si>
    <t>Penalties and interest</t>
  </si>
  <si>
    <t>Secretarial fees</t>
  </si>
  <si>
    <t>Professional fee</t>
  </si>
  <si>
    <t>JE</t>
  </si>
  <si>
    <t>JE1</t>
  </si>
  <si>
    <t>JE2</t>
  </si>
  <si>
    <t>JE3</t>
  </si>
  <si>
    <t>JE4</t>
  </si>
  <si>
    <t>JE6</t>
  </si>
  <si>
    <t>Closing Inventory</t>
  </si>
  <si>
    <t>Adjusting  Journal Entries/C.Bal</t>
  </si>
  <si>
    <t>J7</t>
  </si>
  <si>
    <t>Tax Recoverbal</t>
  </si>
  <si>
    <t>JE5</t>
  </si>
  <si>
    <t>Net Profit For The Year</t>
  </si>
  <si>
    <t>Total Incomes</t>
  </si>
  <si>
    <t>Administration Expenses</t>
  </si>
  <si>
    <t>Financial And Professional Charges</t>
  </si>
  <si>
    <t>Row Labels</t>
  </si>
  <si>
    <t>Total Cost of Goods Sold</t>
  </si>
  <si>
    <t>Total Expenses</t>
  </si>
  <si>
    <t xml:space="preserve">Total Assets  </t>
  </si>
  <si>
    <t xml:space="preserve">Total Capital &amp; Liabiliteis  </t>
  </si>
  <si>
    <t xml:space="preserve"> Ksh000</t>
  </si>
  <si>
    <t>Ksh000</t>
  </si>
  <si>
    <t xml:space="preserve">Total Non -Current Assests </t>
  </si>
  <si>
    <t xml:space="preserve">Total Current Assests </t>
  </si>
  <si>
    <t xml:space="preserve">Total Capital </t>
  </si>
  <si>
    <t xml:space="preserve">Total Current Liabilities </t>
  </si>
  <si>
    <t>Gain On Disposal</t>
  </si>
  <si>
    <t>Loss On Disposal</t>
  </si>
  <si>
    <t>Disposal Proceeds</t>
  </si>
  <si>
    <t>Purchase of property, plant &amp; equipment</t>
  </si>
  <si>
    <t>Interim dividends paid</t>
  </si>
  <si>
    <t>Amount</t>
  </si>
  <si>
    <t>Description</t>
  </si>
  <si>
    <t>Closing balance</t>
  </si>
  <si>
    <t xml:space="preserve">Opening Balance </t>
  </si>
  <si>
    <t xml:space="preserve">Additional for the year </t>
  </si>
  <si>
    <t>Disposal in the Year</t>
  </si>
  <si>
    <t>Revaluation Surlplus for the Year</t>
  </si>
  <si>
    <t>Depriciation for the Year</t>
  </si>
  <si>
    <t>Charge On Disposal</t>
  </si>
  <si>
    <t>Re-Classification in the Year</t>
  </si>
  <si>
    <t>Charge on Re-Classification in the Year</t>
  </si>
  <si>
    <t>Motor Vehicle</t>
  </si>
  <si>
    <t>Land and Buildings</t>
  </si>
  <si>
    <t>Funiture &amp; Fittings</t>
  </si>
  <si>
    <t>Office Electronics</t>
  </si>
  <si>
    <t>Plants &amp; Equipment</t>
  </si>
  <si>
    <t>Computer Equipments</t>
  </si>
  <si>
    <t>Accumulated Depriciation</t>
  </si>
  <si>
    <t>Column Labels</t>
  </si>
  <si>
    <t>Sum of Amount</t>
  </si>
  <si>
    <t>Total Property,Plant &amp; Equipment</t>
  </si>
  <si>
    <t>Profit After Tax</t>
  </si>
  <si>
    <t>Profit Before Tax</t>
  </si>
  <si>
    <t>Taxation</t>
  </si>
  <si>
    <t>Tax For The Period</t>
  </si>
  <si>
    <t>Balance as at 1st January 2020</t>
  </si>
  <si>
    <t>Balance as at 1st January 2021</t>
  </si>
  <si>
    <t>Accumulated Balance for 2020</t>
  </si>
  <si>
    <t>Accumulated Balance for 2021</t>
  </si>
  <si>
    <t>Total Changes In Equity</t>
  </si>
  <si>
    <t>Company Name</t>
  </si>
  <si>
    <t>Annual reports and financial  statements</t>
  </si>
  <si>
    <t>CONTENTS</t>
  </si>
  <si>
    <t>PAGE</t>
  </si>
  <si>
    <t>COMPANY INFORMATION</t>
  </si>
  <si>
    <t>DIRECTORS REPORT</t>
  </si>
  <si>
    <t>STATEMENT OF DIRECTORS RESPONSIBILITIES</t>
  </si>
  <si>
    <t>REPORT OF THE INDEPENDENT AUDITOR</t>
  </si>
  <si>
    <t>STATEMENT OF COMPREHENSIVE INCOME</t>
  </si>
  <si>
    <t>STATEMENT OF FINANCIAL POSITION</t>
  </si>
  <si>
    <t>STATEMENT OF CHANGES IN EQUITY</t>
  </si>
  <si>
    <t>STATEMENT OF CASH FLOWS</t>
  </si>
  <si>
    <t>NOTES TO THE FINANCIAL STATEMENTS</t>
  </si>
  <si>
    <t>4-5</t>
  </si>
  <si>
    <t>10-14</t>
  </si>
  <si>
    <t>ALTERNATIVE PRISENTATION THAT DOESN'T FORM AN INTEGRAL PART OF THE FINANCIAL STATEMENT</t>
  </si>
  <si>
    <t>APPENDIX 1</t>
  </si>
  <si>
    <t>E.g The year's Financial Budget</t>
  </si>
  <si>
    <t>Company Logo</t>
  </si>
  <si>
    <t>Company Information</t>
  </si>
  <si>
    <t>BOARD OF DIRECTORS</t>
  </si>
  <si>
    <t>INDEPENDENT AUDITOR</t>
  </si>
  <si>
    <t>SECRETARY</t>
  </si>
  <si>
    <t>REGISTERED OFFICE</t>
  </si>
  <si>
    <t>BANKERS</t>
  </si>
  <si>
    <t>LEGAL ADVISERS/PRINCIPAL ACTIVITY</t>
  </si>
  <si>
    <t>Report of the Directors</t>
  </si>
  <si>
    <t>THE PRINCIPAL ACTIVITIES</t>
  </si>
  <si>
    <t>RESULTS FOR THE YEAR</t>
  </si>
  <si>
    <t>The results for the year are set out on page 6.</t>
  </si>
  <si>
    <t>RESULTS AND DIVIDEND</t>
  </si>
  <si>
    <t>DIRECTORS</t>
  </si>
  <si>
    <t>The Directors who held office during the year are set out on page 1.</t>
  </si>
  <si>
    <t>Statement as to disclosure to the Company's auditor</t>
  </si>
  <si>
    <t>Terms of Appointment of the Auditor</t>
  </si>
  <si>
    <t>By order of the Board</t>
  </si>
  <si>
    <t>Director/Secretary</t>
  </si>
  <si>
    <t>Date:  ……………………………2020</t>
  </si>
  <si>
    <t>MOMBASA.</t>
  </si>
  <si>
    <t>Statement Of Directors Responsibilities</t>
  </si>
  <si>
    <t xml:space="preserve">The directors accept responsibility for the preparation and fair presentation of financial statements in accordance with International
 Financial Reporting Standards and in the manner required by the Kenyan Companies Act ,2015.
</t>
  </si>
  <si>
    <t xml:space="preserve">They also accept responsibility for: </t>
  </si>
  <si>
    <t xml:space="preserve"> </t>
  </si>
  <si>
    <t>(ii)  selecting  suitable accounting policies and applying appropriate accounting policies; and</t>
  </si>
  <si>
    <t>(iii)  making accounting estimates and judgement that are reasonable in the circumstances.</t>
  </si>
  <si>
    <t>The directors acknowledge that the independent audit of the financial statements does not relieve them of their responsibilities.</t>
  </si>
  <si>
    <t>Approved by the Board of Directors on …………………….2020 and signed on its behalf by:</t>
  </si>
  <si>
    <t>DIRECTOR:……………………………………………….</t>
  </si>
  <si>
    <t>Report Of The Independent Auditor to the Members of ……………………..</t>
  </si>
  <si>
    <t>Opinion</t>
  </si>
  <si>
    <t>In our opinion, the accompanying financial statements give a true and fair view of the  financial position
 of the company as at 31st December, 2018, and of its financial performance and cash flows for the year 
then ended in accordance with International Financial Reporting Standards and the Kenyan Companies Act, 2015.</t>
  </si>
  <si>
    <t>Basis of opinion</t>
  </si>
  <si>
    <t>Other Information</t>
  </si>
  <si>
    <t>Our opinion on the financial statements does not cover the other information and we do not express any form of assurance conclusion thereon.</t>
  </si>
  <si>
    <t>Director’s Responsibility for the Financial Statements</t>
  </si>
  <si>
    <t>With respect to each director at the time this report was approved:(a)there is, so far as the director is aware, no relevant audit information
 of which the Company's auditor is unaware; and(b)the director has taken all the steps that the director ought to have taken as 
a director so as to be aware of any relevant audit information and to establish that the Company's auditor is aware of that information.</t>
  </si>
  <si>
    <t xml:space="preserve">Having made an assessment of the Company's ability to continue as a going concern, the directors are not aware of any material
 uncertainties related to events or conditions that may cast doubt up on the company's ability to continue as a going concern. </t>
  </si>
  <si>
    <t>(i) designing, implementing and maintaining such  internal controls as they determine necessary to enable the presentation of financial statements that are free
 from material misstatements whether due to fraud or error;</t>
  </si>
  <si>
    <t>The Directors submit their report together with the audited financial statements for the year ended 31st December, 
2019 which discloses the state of the affairs of the Company.</t>
  </si>
  <si>
    <t>We conducted our audit in accordance with International standards on auditing (ISAs). Our responsibilities under those
 standards are further described in the auditors 
responsibilities for the audit of the financial statements section of our report. We are independent of the company in accordance
 with the International ethics standards board of accountant's code of ethics for professional accountants (IESBA Code) together
 with the ethical requirements that are relevant to our audit of the financial statements in Kenya, and we have fulfilled
 our ethical responsibilities in accordance with these requirements and the IESBA code. We believe that the audit evidence we
 have is sufficient and appropriate to provide a basis for our opinion.</t>
  </si>
  <si>
    <t>The directors are responsible for the preparation and fair presentation of the financial statements that give a true and fair view
  in accordance with International Financial Reporting 
Standards and the requirements of the Kenyan Companies Act, 2015, and for such internal controls as the directors determine
 is necessary to enable the preparation of the financial 
statements that are free from material misstatements, whether due to fraud or error.</t>
  </si>
  <si>
    <t>Our objectives are to obtain reasonable assurance about whether the financial statements as a whole are free 
from material misstatement, 
whether due to fraud or error and to issue an auditor's report that includes our opinion. Reasonable assurance
 is a high level of assurance but is not a guarantee that an audit conducted in accordance with ISAs will always 
detect a material misstatement when it exists.  Misstatements can arise from fraud or error and 
are considered material if, individually or in the aggregate, they could reasonably be expected to 
influence the economic decisions of users taken on the basis of these financial statements.</t>
  </si>
  <si>
    <t>Auditor’s Responsibility for the audit of the financial statements(continued)</t>
  </si>
  <si>
    <t>As part of an audit in accordance with ISAs, we exercise professional judgement and maintain professional skepticism throughout the audit. We also:</t>
  </si>
  <si>
    <t>Report on other Legal Requirements</t>
  </si>
  <si>
    <t>In our opinion the information given in the report of the directors on page 2 is consistent with the financial statements.</t>
  </si>
  <si>
    <t>DATE:  ………………………………  2020</t>
  </si>
  <si>
    <t>JUMA ABDULRAHMAN BAKARI</t>
  </si>
  <si>
    <t xml:space="preserve">CERTIFIED PUBLIC ACCOUNTANTS </t>
  </si>
  <si>
    <t>.identify and  assess the risks of material misstatement of the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an error, as fraud may involve collusion, forgery, intentional omissions, 
misrepresentations or the override of internal control.</t>
  </si>
  <si>
    <t>.evaluate the appropriateness of accounting policies used and the reasonableness of
 accounting estimates and related disclosures made by the management.</t>
  </si>
  <si>
    <t>.evaluate the overall presentation, structure and content of the financial statements, including the disclosures, and whether the 
financial statements represent the underlying transactions and events in a manner that achieves fair presentation.</t>
  </si>
  <si>
    <t>.conclude on the appropriateness of the management's use of the going concern basis of accounting and,
 based on the audit evidence obtained, whether a material uncertainty exists related 
to events or conditions that may cast significant doubt on the company's ability to continue as a going concern . 
If we conclude that a material uncertainty exists, we are required to draw attention in our auditor's report. 
However, future events or conditions may cause the company to cease to continue as a going concern.</t>
  </si>
  <si>
    <t>We communicate with those charged with governance regarding, among other matters, the planned scope
 and timing of the audit and significant audit findings, including any significant defiencies in internal control that we identify during our audit.</t>
  </si>
  <si>
    <t>COMPANY NAME</t>
  </si>
  <si>
    <t xml:space="preserve">      REPORTS AND FINANCIAL STATEMENTS</t>
  </si>
  <si>
    <t>The principal activity of the company is…………………………..</t>
  </si>
  <si>
    <t>We have audited the accompanying financial statements of................................., set out on pages 6 to 14 which comprise the statement 
of financial position as at 31st  December, 2019, and  statement of comprehensive income, statement of changes in
 equity and statement of cash flows for the year then ended, and notes including a  summary of significant accounting policies.</t>
  </si>
  <si>
    <t xml:space="preserve">The Kenyan Companies Act, 2015 requires the Directors to prepare financial statements for each
 financial year that give a true and fair view of the financial position
 of the company as at the end of the financial year and of the profit or loss for that year. 
 It also requires the Directors to ensure the company maintains proper accounting records that are sufficient to show
 and explain the transactions of the company and disclose with reasonable accuracy the financial position of the company. 
 The directors are also responsible for safeguarding the assets of the company and for taking reasonable 
steps for the prevention and detection of fraud and other irregularities.
</t>
  </si>
  <si>
    <t>The directors are responsible for other information. Other information comprises the information included in the annual report, 
but does not include the financial statements  and our auditor's report thereon.</t>
  </si>
  <si>
    <t>In connection with our audit of the financial statements, our responsibility is to read the other information and, in doing so, consider whether the
 other information is materially inconsistent with the financial statements or our knowledge obtained in the audit or otherwise appears to be materially 
misstated. If, based on the work we have performed, we conclude that there is a material misstatement of this other information, 
we are required to report that fact. We have nothing to report in this regard.</t>
  </si>
  <si>
    <t>In preparation of the financial statements, the directors are responsible for assessing the company's ability to continue as 
a going concern and using the going concern basis of accounting unless the directors either intend to liquidate the company 
or to cease operations, or have no realistic alternative but to do so.</t>
  </si>
  <si>
    <t>.obtain an understanding of internal control relevant to the audit in order to design audit procedures that are 
appropriate in the circumstances, but . not for the purpose of expressing an opinion on the effectiveness of the company's internal control.</t>
  </si>
  <si>
    <t>1.</t>
  </si>
  <si>
    <t>GENERAL INFORMATION</t>
  </si>
  <si>
    <t>2.</t>
  </si>
  <si>
    <t>SUMMARY OF SIGNIFICANT ACCOUNTING POLICIES</t>
  </si>
  <si>
    <t>The financial statements are prepared under historical cost convention as modified by the revaluation of  investment property and  comply  with  International Financial Reporting Standards (IFRS).</t>
  </si>
  <si>
    <t xml:space="preserve">    </t>
  </si>
  <si>
    <t>Computer  and Accessories</t>
  </si>
  <si>
    <t xml:space="preserve"> Furniture and fittings</t>
  </si>
  <si>
    <t>Equipment</t>
  </si>
  <si>
    <t>Motor vehicle</t>
  </si>
  <si>
    <t xml:space="preserve">The inventories are stated at the lower of cost and net realizable value as certified by the Directors. Cost comprises the purchase price. </t>
  </si>
  <si>
    <t>FINANCIAL STATEMENTS</t>
  </si>
  <si>
    <t>NOTES (Continued)</t>
  </si>
  <si>
    <t xml:space="preserve"> Trade and other payable are stated at their normal values. </t>
  </si>
  <si>
    <t>3.</t>
  </si>
  <si>
    <t>FINANCIAL RISK MANAGEMENT OBJECTIVES AND POLICIES</t>
  </si>
  <si>
    <t>The Company has in place policies to ensure that sales are made to customers with an appropriate credit history.</t>
  </si>
  <si>
    <t>4.</t>
  </si>
  <si>
    <t>CRITICAL ACCOUNTING ESTIMATES AND JUDGEMENTS</t>
  </si>
  <si>
    <t>Property, Plant and Equipment</t>
  </si>
  <si>
    <t xml:space="preserve">In  the  process  of  applying  the  Company's  policies,  the  management  has  made judgement in determining: </t>
  </si>
  <si>
    <t xml:space="preserve"> -  The classification of financial assets and leases</t>
  </si>
  <si>
    <t xml:space="preserve"> -  Whether assets are impaired.</t>
  </si>
  <si>
    <t>5.</t>
  </si>
  <si>
    <t>PROPERTY, PLANT &amp; EQUIPMENT</t>
  </si>
  <si>
    <t>Computer Equipment</t>
  </si>
  <si>
    <t xml:space="preserve"> Furniture &amp; Fittings  </t>
  </si>
  <si>
    <t>KSHS.</t>
  </si>
  <si>
    <t>As at 1st January 2018</t>
  </si>
  <si>
    <t>Cost/Valuation</t>
  </si>
  <si>
    <t>Accumulated depreciation</t>
  </si>
  <si>
    <t>Net book amount</t>
  </si>
  <si>
    <t>Year ended 31st December 2018</t>
  </si>
  <si>
    <t>Opening net book value</t>
  </si>
  <si>
    <t>Additions</t>
  </si>
  <si>
    <t>Depreciation charge</t>
  </si>
  <si>
    <t>As at 31st December 2018</t>
  </si>
  <si>
    <t>Year ended 31st December 2019</t>
  </si>
  <si>
    <t>Disposal</t>
  </si>
  <si>
    <t>Disposal depreciation</t>
  </si>
  <si>
    <t>As at 31st December 2019</t>
  </si>
  <si>
    <t>6.</t>
  </si>
  <si>
    <t>PROFIT  BEFORE TAXATION</t>
  </si>
  <si>
    <t>Profit before tax is stated after charging:-</t>
  </si>
  <si>
    <t>Depreciation</t>
  </si>
  <si>
    <t>Directors remuneration</t>
  </si>
  <si>
    <t>Bank charges</t>
  </si>
  <si>
    <t>Audit fees</t>
  </si>
  <si>
    <t>7.</t>
  </si>
  <si>
    <t>Authorised Share Capital</t>
  </si>
  <si>
    <t>1000 ordinary shares of Kshs 100 each</t>
  </si>
  <si>
    <t>Issued &amp; fully paid Share Capital</t>
  </si>
  <si>
    <t>4 ordinary shares of KShs. 100 each</t>
  </si>
  <si>
    <t>8.</t>
  </si>
  <si>
    <t>Motor cycles, spares,generators,accessories</t>
  </si>
  <si>
    <t>9.</t>
  </si>
  <si>
    <t>COST OF SALES</t>
  </si>
  <si>
    <t>Opening stock</t>
  </si>
  <si>
    <t>Closing stock</t>
  </si>
  <si>
    <t>10.</t>
  </si>
  <si>
    <t>TRADE RECEIVABLES AND PREPAYMENTS</t>
  </si>
  <si>
    <t>Trade receivables</t>
  </si>
  <si>
    <t>Other receivables</t>
  </si>
  <si>
    <t>11.</t>
  </si>
  <si>
    <t>TRADE PAYABLES &amp; ACCRUALS</t>
  </si>
  <si>
    <t>Trade payables</t>
  </si>
  <si>
    <t>Non trade payables</t>
  </si>
  <si>
    <t>12.</t>
  </si>
  <si>
    <t>Current tax</t>
  </si>
  <si>
    <t>Deferred tax income</t>
  </si>
  <si>
    <t>Balance brought forward</t>
  </si>
  <si>
    <t>Charge for the year</t>
  </si>
  <si>
    <t>Payments during the year</t>
  </si>
  <si>
    <t>Balance carried forward</t>
  </si>
  <si>
    <t>13.</t>
  </si>
  <si>
    <t>MOVEMENT IN CASH AND CASH EQUIVALENTS</t>
  </si>
  <si>
    <t>Change in the year</t>
  </si>
  <si>
    <t>Cash in hand</t>
  </si>
  <si>
    <t>Cash at bank</t>
  </si>
  <si>
    <t>Bank overdraft</t>
  </si>
  <si>
    <t>14.</t>
  </si>
  <si>
    <t>CASH FLOW FROM OPERATING ACTIVITIES</t>
  </si>
  <si>
    <t>Operating profit  before taxation</t>
  </si>
  <si>
    <t>Adjustments for:  Depreciation</t>
  </si>
  <si>
    <t xml:space="preserve">                             : Gain on disposal</t>
  </si>
  <si>
    <t>Cash flow before working capital changes</t>
  </si>
  <si>
    <t>WORKING CAPITAL CHANGES</t>
  </si>
  <si>
    <t>Increase in inventories</t>
  </si>
  <si>
    <t>Increase in receivables and prepayments</t>
  </si>
  <si>
    <t>Increase in payable and accruals</t>
  </si>
  <si>
    <t>Cash flow generated from operations</t>
  </si>
  <si>
    <t>15.</t>
  </si>
  <si>
    <t>COMPARATIVES</t>
  </si>
  <si>
    <t>Comparative figures has been adjusted where necessary to conform to changes in presentation effected during the year.</t>
  </si>
  <si>
    <t>16.</t>
  </si>
  <si>
    <t>CURRENCY</t>
  </si>
  <si>
    <t>17.</t>
  </si>
  <si>
    <t>COUNTRY OF INCORPORATION</t>
  </si>
  <si>
    <t>The Company is incorporated and domiciled in Kenya under the Kenyan Company's Act, 2015 of the laws of Kenya.</t>
  </si>
  <si>
    <t>The principal accounting policies adopted in the preparation of these financial statements
 are set out below. These policies have been consistently applied all years presented,
 unless otherwise stated.</t>
  </si>
  <si>
    <t>(a) Basis of Preparation</t>
  </si>
  <si>
    <t>(b) Revenue Recognition</t>
  </si>
  <si>
    <t>(c)   Property, plant and equipment</t>
  </si>
  <si>
    <t>(d)   Taxation</t>
  </si>
  <si>
    <t>(e)   Retirement Benefit Costs.</t>
  </si>
  <si>
    <t>(f)  Inventories</t>
  </si>
  <si>
    <t>(g)  Receivables and Prepayments</t>
  </si>
  <si>
    <t>Sale of goods is recognized in the period in which the company delivers products to the customer. 
Revenue represent fair value of the consideration received or receivable for the sale of 
goods and services, net of value added tax (VAT).</t>
  </si>
  <si>
    <t>Property, plant and equipment are stated at cost less depreciation. Depreciation is calculated on the reducing 
balance method at annual rates estimated to write off carrying values of  the assets over their expected life.
 The annual rates used are:-</t>
  </si>
  <si>
    <t>Current tax is provided for on the basis of the results for the year as shown in the financial statements, 
adjusted in accordance with the tax legislation. Deferred tax is provided using the liability
 method for all temporary and timing differences arising between the tax bases of assets and
 liabilities and their carrying values for financial reporting purposes.</t>
  </si>
  <si>
    <t>Receivables and prepayments are recognized at fair values. Receivables not collectible are written off against the 
profit and loss account. Subsequent recoveries of amounts previously written off are credited to 
the profit and loss account in the year of recovery.</t>
  </si>
  <si>
    <t xml:space="preserve">The Company contributes to a statutory defined contribution pension scheme, the National Social Security Fund (NSSF). 
 Contributions are determined by local statute and are currently limited to a minimum amount of 
Kshs. 200. The company 's Contributions to the above scheme are charged to the profit and loss account in the year in which they relate.
</t>
  </si>
  <si>
    <t>(h) Cash and Cash Equivalents</t>
  </si>
  <si>
    <t>(i) Trade and other payable</t>
  </si>
  <si>
    <t>(j) Translation of Foreign Currency</t>
  </si>
  <si>
    <t>(i) Critical Accounting Estimates and Assumptions</t>
  </si>
  <si>
    <t>(ii) Critical Judgement in Applying the Company's Accounting Policies</t>
  </si>
  <si>
    <t xml:space="preserve">The Company's activities expose it to a variety of financial risks, including credit risk and 
the effects of foreign exchange rates and interest rates. The Company's overall management 
programme focuses on the unpredictability of financial markets and seeks to minimize 
the potential adverse effects on its financial performance. </t>
  </si>
  <si>
    <t>In applying the Company's policies, the directors have made estimates and assumptions that affect the reported 
amounts of assets and liabilities in the next financial periods. Estimates and judgement
 are continually evaluated and are based on historical experience and other factors, including experience of future
 events that are believed to be reasonable under the circumstances.  
The key areas in applying the Company's accounting policies are dealt with below:</t>
  </si>
  <si>
    <t>Translation of foreign currency transactions during the year are at the rates at the transaction date. The 
resulting difference from translation and conversion are dealt with in the profit and loss account in the year in which they arise.</t>
  </si>
  <si>
    <t>Cash and cash equivalents comprise cash on hand and demand deposits and other  short-term highly liquid 
investments that are readily convertible to a known amount  of cash and are subject to an insignificant risk of change in value.</t>
  </si>
  <si>
    <t>Critical estimates  are  made  by  the  directors  in  determining  depreciation  rates  for property, plant  and  equipment.  
The rates used  are  as  set  out  in  Note 1(c) above.</t>
  </si>
  <si>
    <t>(a) TAXATION</t>
  </si>
  <si>
    <t>(b) TAX (RECOVERABLE)/PAYABLE</t>
  </si>
  <si>
    <t>These financial statements are presented in the functional currency, the Kenya Shillings (Kshs.), 
which  is  the  prevailing  currency  within the primary economic environment rounded to the
 nearest shilling and are prepared in accordance with the measurement prescribed by IFRSs.</t>
  </si>
  <si>
    <t>FOR THE YEAR ENDED 31ST DECEMBER 2020</t>
  </si>
  <si>
    <t>.................... is a  limited liability Company incorporated in Kenya under 
the Kenyan Companies Act and is domiciled in Kenya.</t>
  </si>
  <si>
    <t>SUPPLIMENTARY INFORMATION</t>
  </si>
  <si>
    <t>TAX COMPUTATION &amp; WARE AND TIRE</t>
  </si>
  <si>
    <r>
      <rPr>
        <b/>
        <u/>
        <sz val="12"/>
        <rFont val="Book Antiqua"/>
        <family val="1"/>
      </rPr>
      <t>Add:</t>
    </r>
    <r>
      <rPr>
        <b/>
        <sz val="12"/>
        <rFont val="Book Antiqua"/>
        <family val="1"/>
      </rPr>
      <t xml:space="preserve"> Disallowable Deductions</t>
    </r>
  </si>
  <si>
    <t>Stamp duty</t>
  </si>
  <si>
    <r>
      <rPr>
        <b/>
        <u/>
        <sz val="12"/>
        <rFont val="Book Antiqua"/>
        <family val="1"/>
      </rPr>
      <t>Less</t>
    </r>
    <r>
      <rPr>
        <sz val="12"/>
        <rFont val="Book Antiqua"/>
        <family val="1"/>
      </rPr>
      <t xml:space="preserve">: </t>
    </r>
    <r>
      <rPr>
        <b/>
        <sz val="12"/>
        <rFont val="Book Antiqua"/>
        <family val="1"/>
      </rPr>
      <t>Allowable deductions</t>
    </r>
  </si>
  <si>
    <t>Wear and tear allowance</t>
  </si>
  <si>
    <t>Adjusted business proft</t>
  </si>
  <si>
    <t>SUMMARY</t>
  </si>
  <si>
    <t>Adjusted business profit</t>
  </si>
  <si>
    <t>Tax thereon @ 30%</t>
  </si>
  <si>
    <t>Less: Advance Tax Paid</t>
  </si>
  <si>
    <t>Less: Tax overpaid in 2018</t>
  </si>
  <si>
    <t>Less:Installment tax paid</t>
  </si>
  <si>
    <t>Tax Payable</t>
  </si>
  <si>
    <t>WEAR AND TEAR SCHEDULE</t>
  </si>
  <si>
    <t>Class II</t>
  </si>
  <si>
    <t>Class III</t>
  </si>
  <si>
    <t>Class IV</t>
  </si>
  <si>
    <t>W.D.V as at 01.01.2019</t>
  </si>
  <si>
    <t>Disposal proceeds</t>
  </si>
  <si>
    <t>Additions during the year</t>
  </si>
  <si>
    <t>Wear and tear</t>
  </si>
  <si>
    <t>W.D.V as at 31.12.2019</t>
  </si>
  <si>
    <t>KSH000</t>
  </si>
  <si>
    <t>Professional fees</t>
  </si>
  <si>
    <t>2021</t>
  </si>
  <si>
    <t>Juma Discovery Company</t>
  </si>
  <si>
    <t>Profit and loss Statement</t>
  </si>
  <si>
    <t>Statement of Financial Position</t>
  </si>
  <si>
    <t>Statement of Cashflow</t>
  </si>
  <si>
    <t>Property, Plant &amp; Equipment Schedule</t>
  </si>
  <si>
    <t>Statement Of Changes in Equity</t>
  </si>
  <si>
    <t>Notes</t>
  </si>
  <si>
    <t>for the year ended December 2021</t>
  </si>
  <si>
    <t>As at 31st December 2020</t>
  </si>
  <si>
    <t>Tax payable</t>
  </si>
  <si>
    <t>for the year ended 31st December 2020</t>
  </si>
  <si>
    <t>for the year ended 31st December 2021</t>
  </si>
  <si>
    <t>BANK 1</t>
  </si>
  <si>
    <t>BANK 2</t>
  </si>
  <si>
    <t>DTB</t>
  </si>
  <si>
    <t>DIRECTORS ACCOUNTS:DIRECTOR'S ACC1</t>
  </si>
  <si>
    <t>DIRECTORS ACCOUNTS:DIRECTORS ACC2</t>
  </si>
  <si>
    <t>SALE OF VEHICLE TRUCK</t>
  </si>
  <si>
    <t>HABIB BANK</t>
  </si>
  <si>
    <t>TBT BANK</t>
  </si>
  <si>
    <t>BANK 3</t>
  </si>
  <si>
    <t>DIRECTORS ACCOUNTS:DIRECTORS ACC3</t>
  </si>
  <si>
    <r>
      <t xml:space="preserve">The net profit of the year </t>
    </r>
    <r>
      <rPr>
        <b/>
        <sz val="11"/>
        <rFont val="Times New Roman"/>
        <family val="1"/>
      </rPr>
      <t>…………………….</t>
    </r>
    <r>
      <rPr>
        <sz val="11"/>
        <rFont val="Times New Roman"/>
        <family val="1"/>
      </rPr>
      <t xml:space="preserve"> has been added to retained earnings.  
The Directors do not  recommend the payment of dividends during the year.</t>
    </r>
  </si>
  <si>
    <t>(CPA)Juma Abdulrahman bakari continues in office in accordance with the company' Articles of Association and Section 719 of the Companies Act,2015. 
The directors monitor the effectiveness, objectivity and independence of the auditor. The directors also approve the annual audit engagement 
contract which sets out the terms of the auditor's appointment and the related fees. 
The agreed auditor's remuneration of Kshs one hundred and seventy five thousands   has been charged to profit or loss in the year.</t>
  </si>
  <si>
    <t>As at 1st January 2020</t>
  </si>
  <si>
    <t>Year ended 31st December 2020</t>
  </si>
  <si>
    <t>Less: Tax overpaid in 2020</t>
  </si>
  <si>
    <t>Year ended 31st December 2021</t>
  </si>
  <si>
    <t>As at 31st December 2021</t>
  </si>
  <si>
    <t>W.D.V as at 01.01.2021</t>
  </si>
  <si>
    <t>W.D.V as at 31.12.2021</t>
  </si>
  <si>
    <t>Acountant WorkSheet Data Base</t>
  </si>
  <si>
    <t>Forecased Information</t>
  </si>
  <si>
    <t>Actual Information</t>
  </si>
  <si>
    <t>Revenue Growth(% Change)</t>
  </si>
  <si>
    <t>Cost of goods sold (% Revenue)</t>
  </si>
  <si>
    <t>S&amp;A</t>
  </si>
  <si>
    <t>Salaries &amp; Wages</t>
  </si>
  <si>
    <t>Depriciation &amp; Armotization(% PPE)</t>
  </si>
  <si>
    <t>Finance Cost</t>
  </si>
  <si>
    <t>Tax Rate @ 30%</t>
  </si>
  <si>
    <t>Acc Receivable Days</t>
  </si>
  <si>
    <t xml:space="preserve">Acc Paybles Days </t>
  </si>
  <si>
    <t>Inventory Day</t>
  </si>
  <si>
    <t>Capital Expenditure(Capex)</t>
  </si>
  <si>
    <t xml:space="preserve">Debt </t>
  </si>
  <si>
    <t>Equity Injected</t>
  </si>
  <si>
    <t>Balanece sheet Cheker</t>
  </si>
  <si>
    <t>Cost of goods sold(COGS)</t>
  </si>
  <si>
    <t>Gross Profit</t>
  </si>
  <si>
    <t>Depriciation &amp; Armotization</t>
  </si>
  <si>
    <t>EBDIT &amp;A</t>
  </si>
  <si>
    <t>EBT</t>
  </si>
  <si>
    <t>Taxes</t>
  </si>
  <si>
    <t>Net Earnings</t>
  </si>
  <si>
    <t>No:</t>
  </si>
  <si>
    <t>Other Assets</t>
  </si>
  <si>
    <t>Directors Remunaration</t>
  </si>
  <si>
    <t>Cash &amp; Bank</t>
  </si>
  <si>
    <t xml:space="preserve">Acc Receivable </t>
  </si>
  <si>
    <t>Property Plant &amp; Equipment</t>
  </si>
  <si>
    <t>Total Assets</t>
  </si>
  <si>
    <t>Bank O/D</t>
  </si>
  <si>
    <t>Total Liabilities</t>
  </si>
  <si>
    <t>Financed By:</t>
  </si>
  <si>
    <t>Total Shareholders Equity</t>
  </si>
  <si>
    <t>Total Shareholders Equity &amp; Liabilities</t>
  </si>
  <si>
    <t>Cash Flow Statement</t>
  </si>
  <si>
    <t>Operating Cash Flow</t>
  </si>
  <si>
    <t>Net Earnings:Plus</t>
  </si>
  <si>
    <t>Change In Woring Capital</t>
  </si>
  <si>
    <t>Cash From/Used In Operating Activities</t>
  </si>
  <si>
    <t>Investing Cash Flow</t>
  </si>
  <si>
    <t>Purchase of PPE</t>
  </si>
  <si>
    <t>Sale of PPE</t>
  </si>
  <si>
    <t>Financing Cash Flow</t>
  </si>
  <si>
    <t>Cash From/Used In Investing Activities</t>
  </si>
  <si>
    <t>Dividend Paid</t>
  </si>
  <si>
    <t>Cash From/Used In Financing Activities</t>
  </si>
  <si>
    <t>Net Increase (Decrease) in Cash</t>
  </si>
  <si>
    <t>Opening Balance</t>
  </si>
  <si>
    <t>Closing Cash Balance</t>
  </si>
  <si>
    <t>Supporting Schedules</t>
  </si>
  <si>
    <t>Working Capital Schedule</t>
  </si>
  <si>
    <t>Acc Receivable</t>
  </si>
  <si>
    <t>Inventory</t>
  </si>
  <si>
    <t>Acc Payables</t>
  </si>
  <si>
    <t>Net Working Capital(WAC)</t>
  </si>
  <si>
    <t>Change in WAC</t>
  </si>
  <si>
    <t>Tax @ 30%</t>
  </si>
  <si>
    <t>Amount Paid</t>
  </si>
  <si>
    <t>Depriciation Shcedule</t>
  </si>
  <si>
    <t>PPP Opening Balance</t>
  </si>
  <si>
    <t xml:space="preserve">Motor Vehicle  </t>
  </si>
  <si>
    <t>Office Equipment</t>
  </si>
  <si>
    <t>Plus Capex</t>
  </si>
  <si>
    <t>Less:Deprication</t>
  </si>
  <si>
    <t>PPE Closing</t>
  </si>
  <si>
    <t>Tax for the year</t>
  </si>
  <si>
    <t>Financal Statements Forecasting,Scenario &amp; Sensitivity Analysis</t>
  </si>
  <si>
    <t>Assumption &amp; Scenario Analysis</t>
  </si>
  <si>
    <t>Income Statement-Real Case</t>
  </si>
  <si>
    <t>Income Statement- Normal Scenario - 1</t>
  </si>
  <si>
    <t>Income Statement -Best Scenario - 2</t>
  </si>
  <si>
    <t>Income Statement - Worst Scenario - 3</t>
  </si>
  <si>
    <t>Real Case Scenario</t>
  </si>
  <si>
    <t>Sensitivity Analysis</t>
  </si>
  <si>
    <t>Direct Method</t>
  </si>
  <si>
    <t>© Juma Discovery Company</t>
  </si>
  <si>
    <t>Net Profit 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</si>
</sst>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 #,##0_-;_-* &quot;-&quot;??_-;_-@_-"/>
    <numFmt numFmtId="166" formatCode="#,###;\(#,###\)"/>
    <numFmt numFmtId="167" formatCode="_(* #,##0_);_(* \(#,##0\);_(* &quot;-&quot;??_);_(@_)"/>
    <numFmt numFmtId="168" formatCode="0.0%"/>
    <numFmt numFmtId="169" formatCode="mmm\ yyyy"/>
    <numFmt numFmtId="170" formatCode="#&quot;.&quot;"/>
    <numFmt numFmtId="171" formatCode="0&quot; A&quot;"/>
    <numFmt numFmtId="172" formatCode="0&quot; F&quot;"/>
    <numFmt numFmtId="173" formatCode="_-* #,##0.0_-;\-* #,##0.0_-;_-* &quot;-&quot;??_-;_-@_-"/>
  </numFmts>
  <fonts count="82" x14ac:knownFonts="1">
    <font>
      <sz val="11"/>
      <color theme="1"/>
      <name val="Calibri"/>
      <family val="2"/>
      <scheme val="minor"/>
    </font>
    <font>
      <sz val="12"/>
      <color theme="1"/>
      <name val="Times New Roman"/>
      <family val="1"/>
    </font>
    <font>
      <sz val="11"/>
      <color theme="1"/>
      <name val="Calibri"/>
      <family val="2"/>
      <scheme val="minor"/>
    </font>
    <font>
      <sz val="9"/>
      <color indexed="81"/>
      <name val="Tahoma"/>
      <family val="2"/>
    </font>
    <font>
      <b/>
      <sz val="9"/>
      <color indexed="81"/>
      <name val="Tahoma"/>
      <family val="2"/>
    </font>
    <font>
      <b/>
      <sz val="12"/>
      <color theme="0"/>
      <name val="Times New Roman"/>
      <family val="1"/>
    </font>
    <font>
      <sz val="12"/>
      <color theme="0"/>
      <name val="Times New Roman"/>
      <family val="1"/>
    </font>
    <font>
      <sz val="12"/>
      <color theme="0"/>
      <name val="Palatino Linotype"/>
      <family val="1"/>
    </font>
    <font>
      <sz val="12"/>
      <color theme="1"/>
      <name val="Palatino Linotype"/>
      <family val="1"/>
    </font>
    <font>
      <b/>
      <sz val="12"/>
      <color theme="0"/>
      <name val="Palatino Linotype"/>
      <family val="1"/>
    </font>
    <font>
      <sz val="10"/>
      <name val="Arial"/>
      <family val="2"/>
    </font>
    <font>
      <b/>
      <sz val="11"/>
      <color theme="1"/>
      <name val="Times New Roman"/>
      <family val="1"/>
    </font>
    <font>
      <sz val="11"/>
      <color theme="1"/>
      <name val="Times New Roman"/>
      <family val="1"/>
    </font>
    <font>
      <b/>
      <sz val="8"/>
      <color rgb="FF000000"/>
      <name val="Times New Roman"/>
      <family val="1"/>
    </font>
    <font>
      <sz val="11"/>
      <color theme="0"/>
      <name val="Times New Roman"/>
      <family val="1"/>
    </font>
    <font>
      <b/>
      <sz val="11"/>
      <color theme="0"/>
      <name val="Times New Roman"/>
      <family val="1"/>
    </font>
    <font>
      <sz val="11"/>
      <color theme="1" tint="0.14999847407452621"/>
      <name val="Times New Roman"/>
      <family val="1"/>
    </font>
    <font>
      <sz val="11"/>
      <name val="Times New Roman"/>
      <family val="1"/>
    </font>
    <font>
      <b/>
      <sz val="11"/>
      <name val="Times New Roman"/>
      <family val="1"/>
    </font>
    <font>
      <b/>
      <u val="singleAccounting"/>
      <sz val="11"/>
      <name val="Times New Roman"/>
      <family val="1"/>
    </font>
    <font>
      <b/>
      <sz val="11"/>
      <color theme="1" tint="0.14999847407452621"/>
      <name val="Times New Roman"/>
      <family val="1"/>
    </font>
    <font>
      <b/>
      <sz val="11"/>
      <color theme="1"/>
      <name val="Times New Roman"/>
    </font>
    <font>
      <sz val="11"/>
      <color theme="1"/>
      <name val="Times New Roman"/>
    </font>
    <font>
      <sz val="11"/>
      <color theme="0"/>
      <name val="Times New Roman"/>
    </font>
    <font>
      <sz val="11"/>
      <color theme="0"/>
      <name val="Calibri"/>
      <family val="2"/>
      <scheme val="minor"/>
    </font>
    <font>
      <sz val="12"/>
      <color theme="0"/>
      <name val="Times New Roman"/>
    </font>
    <font>
      <sz val="12"/>
      <color theme="1"/>
      <name val="Times New Roman"/>
    </font>
    <font>
      <sz val="12"/>
      <color rgb="FFFF0000"/>
      <name val="Times New Roman"/>
      <family val="1"/>
    </font>
    <font>
      <b/>
      <sz val="11"/>
      <color theme="4" tint="-0.249977111117893"/>
      <name val="Calibri"/>
      <family val="2"/>
      <scheme val="minor"/>
    </font>
    <font>
      <b/>
      <sz val="14"/>
      <name val="Times New Roman"/>
      <family val="1"/>
    </font>
    <font>
      <sz val="10"/>
      <name val="Century Gothic"/>
      <family val="2"/>
    </font>
    <font>
      <b/>
      <u/>
      <sz val="14"/>
      <color theme="1"/>
      <name val="Times New Roman"/>
      <family val="1"/>
    </font>
    <font>
      <b/>
      <u/>
      <sz val="11"/>
      <color theme="1"/>
      <name val="Times New Roman"/>
      <family val="1"/>
    </font>
    <font>
      <sz val="11"/>
      <name val="Book Antiqua"/>
      <family val="1"/>
    </font>
    <font>
      <b/>
      <i/>
      <sz val="14"/>
      <name val="Times New Roman"/>
      <family val="1"/>
    </font>
    <font>
      <b/>
      <sz val="12"/>
      <name val="Times New Roman"/>
      <family val="1"/>
    </font>
    <font>
      <b/>
      <u/>
      <sz val="11"/>
      <name val="Times New Roman"/>
      <family val="1"/>
    </font>
    <font>
      <sz val="12"/>
      <name val="Times New Roman"/>
      <family val="1"/>
    </font>
    <font>
      <b/>
      <i/>
      <u/>
      <sz val="11"/>
      <name val="Book Antiqua"/>
      <family val="1"/>
    </font>
    <font>
      <sz val="11"/>
      <name val="Century Gothic"/>
      <family val="2"/>
    </font>
    <font>
      <b/>
      <sz val="12"/>
      <name val="Book Antiqua"/>
      <family val="1"/>
    </font>
    <font>
      <sz val="12"/>
      <name val="Book Antiqua"/>
      <family val="1"/>
    </font>
    <font>
      <b/>
      <u/>
      <sz val="12"/>
      <name val="Book Antiqua"/>
      <family val="1"/>
    </font>
    <font>
      <b/>
      <sz val="11"/>
      <name val="Book Antiqua"/>
      <family val="1"/>
    </font>
    <font>
      <b/>
      <u/>
      <sz val="11"/>
      <name val="Book Antiqua"/>
      <family val="1"/>
    </font>
    <font>
      <sz val="9"/>
      <color theme="1"/>
      <name val="Arial"/>
      <family val="2"/>
    </font>
    <font>
      <u val="singleAccounting"/>
      <sz val="11"/>
      <name val="Book Antiqua"/>
      <family val="1"/>
    </font>
    <font>
      <b/>
      <u val="doubleAccounting"/>
      <sz val="11"/>
      <name val="Book Antiqua"/>
      <family val="1"/>
    </font>
    <font>
      <u val="doubleAccounting"/>
      <sz val="11"/>
      <name val="Book Antiqua"/>
      <family val="1"/>
    </font>
    <font>
      <b/>
      <u val="doubleAccounting"/>
      <sz val="12"/>
      <name val="Book Antiqua"/>
      <family val="1"/>
    </font>
    <font>
      <u val="singleAccounting"/>
      <sz val="12"/>
      <name val="Book Antiqua"/>
      <family val="1"/>
    </font>
    <font>
      <sz val="12"/>
      <color theme="1"/>
      <name val="Book Antiqua"/>
      <family val="1"/>
    </font>
    <font>
      <b/>
      <u val="singleAccounting"/>
      <sz val="12"/>
      <name val="Book Antiqua"/>
      <family val="1"/>
    </font>
    <font>
      <b/>
      <u val="double"/>
      <sz val="12"/>
      <name val="Book Antiqua"/>
      <family val="1"/>
    </font>
    <font>
      <b/>
      <u val="double"/>
      <sz val="11"/>
      <name val="Book Antiqua"/>
      <family val="1"/>
    </font>
    <font>
      <i/>
      <sz val="9"/>
      <color rgb="FF000000"/>
      <name val="Times New Roman"/>
      <family val="1"/>
    </font>
    <font>
      <b/>
      <i/>
      <sz val="9"/>
      <color rgb="FF000000"/>
      <name val="Times New Roman"/>
      <family val="1"/>
    </font>
    <font>
      <sz val="12"/>
      <color rgb="FFFF0000"/>
      <name val="Palatino Linotype"/>
      <family val="1"/>
    </font>
    <font>
      <sz val="11"/>
      <color theme="1"/>
      <name val="Palatino Linotype"/>
      <family val="1"/>
    </font>
    <font>
      <sz val="11"/>
      <name val="Palatino Linotype"/>
      <family val="1"/>
    </font>
    <font>
      <b/>
      <sz val="11"/>
      <color theme="0"/>
      <name val="Palatino Linotype"/>
      <family val="1"/>
    </font>
    <font>
      <b/>
      <sz val="11"/>
      <color theme="1"/>
      <name val="Palatino Linotype"/>
      <family val="1"/>
    </font>
    <font>
      <b/>
      <sz val="12"/>
      <color theme="1"/>
      <name val="Palatino Linotype"/>
      <family val="1"/>
    </font>
    <font>
      <sz val="11"/>
      <color theme="0"/>
      <name val="Palatino Linotype"/>
      <family val="1"/>
    </font>
    <font>
      <u val="double"/>
      <sz val="11"/>
      <color theme="1"/>
      <name val="Palatino Linotype"/>
      <family val="1"/>
    </font>
    <font>
      <b/>
      <sz val="14"/>
      <color theme="1"/>
      <name val="Palatino Linotype"/>
      <family val="1"/>
    </font>
    <font>
      <b/>
      <sz val="11"/>
      <name val="Palatino Linotype"/>
      <family val="1"/>
    </font>
    <font>
      <sz val="11"/>
      <color theme="1"/>
      <name val="Palatino Linotype"/>
    </font>
    <font>
      <sz val="11"/>
      <name val="Palatino Linotype"/>
    </font>
    <font>
      <b/>
      <sz val="11"/>
      <color theme="1"/>
      <name val="Palatino Linotype"/>
    </font>
    <font>
      <b/>
      <sz val="11"/>
      <color theme="0"/>
      <name val="Palatino Linotype"/>
    </font>
    <font>
      <b/>
      <sz val="12"/>
      <color theme="1"/>
      <name val="Palatino Linotype"/>
    </font>
    <font>
      <sz val="11"/>
      <color theme="0"/>
      <name val="Palatino Linotype"/>
    </font>
    <font>
      <sz val="11"/>
      <name val="Calibri"/>
      <family val="2"/>
      <scheme val="minor"/>
    </font>
    <font>
      <sz val="12"/>
      <color theme="0"/>
      <name val="Palatino Linotype"/>
    </font>
    <font>
      <sz val="12"/>
      <color theme="1"/>
      <name val="Palatino Linotype"/>
    </font>
    <font>
      <sz val="11"/>
      <color theme="8" tint="-0.249977111117893"/>
      <name val="Palatino Linotype"/>
      <family val="1"/>
    </font>
    <font>
      <sz val="11"/>
      <color theme="4" tint="-0.249977111117893"/>
      <name val="Palatino Linotype"/>
      <family val="1"/>
    </font>
    <font>
      <b/>
      <sz val="12"/>
      <color rgb="FF00B050"/>
      <name val="Palatino Linotype"/>
      <family val="1"/>
    </font>
    <font>
      <sz val="20"/>
      <color theme="1"/>
      <name val="Palatino Linotype"/>
      <family val="1"/>
    </font>
    <font>
      <b/>
      <sz val="12"/>
      <name val="Palatino Linotype"/>
      <family val="1"/>
    </font>
    <font>
      <b/>
      <i/>
      <u/>
      <sz val="14"/>
      <color theme="1"/>
      <name val="Palatino Linotype"/>
      <family val="1"/>
    </font>
  </fonts>
  <fills count="22">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8" tint="-0.249977111117893"/>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gradientFill degree="90">
        <stop position="0">
          <color theme="1" tint="0.34900967436750391"/>
        </stop>
        <stop position="1">
          <color theme="8" tint="0.40000610370189521"/>
        </stop>
      </gradientFill>
    </fill>
    <fill>
      <gradientFill degree="45">
        <stop position="0">
          <color rgb="FF3399FF"/>
        </stop>
        <stop position="1">
          <color rgb="FF46D6EA"/>
        </stop>
      </gradientFill>
    </fill>
    <fill>
      <patternFill patternType="solid">
        <fgColor rgb="FF3399FF"/>
        <bgColor theme="4" tint="0.79998168889431442"/>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5"/>
        <bgColor indexed="64"/>
      </patternFill>
    </fill>
    <fill>
      <patternFill patternType="solid">
        <fgColor theme="1"/>
        <bgColor indexed="64"/>
      </patternFill>
    </fill>
  </fills>
  <borders count="50">
    <border>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indexed="64"/>
      </top>
      <bottom style="double">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indexed="64"/>
      </right>
      <top style="thin">
        <color auto="1"/>
      </top>
      <bottom style="double">
        <color indexed="64"/>
      </bottom>
      <diagonal/>
    </border>
    <border>
      <left style="thin">
        <color auto="1"/>
      </left>
      <right style="thin">
        <color indexed="64"/>
      </right>
      <top style="thin">
        <color auto="1"/>
      </top>
      <bottom style="thin">
        <color auto="1"/>
      </bottom>
      <diagonal/>
    </border>
    <border>
      <left style="thin">
        <color auto="1"/>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indexed="64"/>
      </bottom>
      <diagonal/>
    </border>
    <border>
      <left/>
      <right style="medium">
        <color auto="1"/>
      </right>
      <top/>
      <bottom style="thin">
        <color indexed="64"/>
      </bottom>
      <diagonal/>
    </border>
    <border>
      <left/>
      <right style="medium">
        <color auto="1"/>
      </right>
      <top style="thin">
        <color indexed="64"/>
      </top>
      <bottom style="double">
        <color indexed="64"/>
      </bottom>
      <diagonal/>
    </border>
    <border>
      <left/>
      <right style="medium">
        <color auto="1"/>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theme="0"/>
      </right>
      <top/>
      <bottom/>
      <diagonal/>
    </border>
    <border>
      <left/>
      <right/>
      <top style="medium">
        <color indexed="64"/>
      </top>
      <bottom style="double">
        <color indexed="64"/>
      </bottom>
      <diagonal/>
    </border>
    <border>
      <left style="thin">
        <color theme="0"/>
      </left>
      <right/>
      <top style="thin">
        <color indexed="64"/>
      </top>
      <bottom/>
      <diagonal/>
    </border>
  </borders>
  <cellStyleXfs count="18">
    <xf numFmtId="0" fontId="0" fillId="0" borderId="0"/>
    <xf numFmtId="164" fontId="2" fillId="0" borderId="0" applyFont="0" applyFill="0" applyBorder="0" applyAlignment="0" applyProtection="0"/>
    <xf numFmtId="0" fontId="10" fillId="0" borderId="0"/>
    <xf numFmtId="0" fontId="30" fillId="0" borderId="0"/>
    <xf numFmtId="0" fontId="30" fillId="0" borderId="0"/>
    <xf numFmtId="0" fontId="2" fillId="0" borderId="0"/>
    <xf numFmtId="0" fontId="30" fillId="0" borderId="0"/>
    <xf numFmtId="0" fontId="30" fillId="0" borderId="0"/>
    <xf numFmtId="4" fontId="30" fillId="0" borderId="0"/>
    <xf numFmtId="0" fontId="10" fillId="0" borderId="0"/>
    <xf numFmtId="0" fontId="30" fillId="0" borderId="0"/>
    <xf numFmtId="0" fontId="10" fillId="0" borderId="0"/>
    <xf numFmtId="0" fontId="4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45" fillId="0" borderId="0" applyFont="0" applyFill="0" applyBorder="0" applyAlignment="0" applyProtection="0"/>
    <xf numFmtId="9" fontId="2" fillId="0" borderId="0" applyFont="0" applyFill="0" applyBorder="0" applyAlignment="0" applyProtection="0"/>
  </cellStyleXfs>
  <cellXfs count="681">
    <xf numFmtId="0" fontId="0" fillId="0" borderId="0" xfId="0"/>
    <xf numFmtId="0" fontId="1" fillId="0" borderId="0" xfId="0" applyFont="1"/>
    <xf numFmtId="0" fontId="6" fillId="11" borderId="8" xfId="0" applyFont="1" applyFill="1" applyBorder="1" applyAlignment="1">
      <alignment horizontal="left" vertical="top"/>
    </xf>
    <xf numFmtId="0" fontId="6" fillId="11" borderId="11" xfId="0" applyFont="1" applyFill="1" applyBorder="1" applyAlignment="1">
      <alignment horizontal="left" vertical="top"/>
    </xf>
    <xf numFmtId="165" fontId="6" fillId="13" borderId="2" xfId="1" applyNumberFormat="1" applyFont="1" applyFill="1" applyBorder="1" applyAlignment="1">
      <alignment horizontal="right"/>
    </xf>
    <xf numFmtId="165" fontId="6" fillId="13" borderId="7" xfId="1" applyNumberFormat="1" applyFont="1" applyFill="1" applyBorder="1" applyAlignment="1">
      <alignment horizontal="right"/>
    </xf>
    <xf numFmtId="165" fontId="6" fillId="13" borderId="3" xfId="1" applyNumberFormat="1" applyFont="1" applyFill="1" applyBorder="1" applyAlignment="1">
      <alignment horizontal="right"/>
    </xf>
    <xf numFmtId="0" fontId="5" fillId="14" borderId="12" xfId="0" applyFont="1" applyFill="1" applyBorder="1" applyAlignment="1">
      <alignment horizontal="center" vertical="center"/>
    </xf>
    <xf numFmtId="0" fontId="5" fillId="14" borderId="6" xfId="0" applyFont="1" applyFill="1" applyBorder="1" applyAlignment="1">
      <alignment horizontal="center" vertical="center"/>
    </xf>
    <xf numFmtId="0" fontId="6" fillId="11" borderId="2" xfId="0" applyFont="1" applyFill="1" applyBorder="1"/>
    <xf numFmtId="0" fontId="9" fillId="14" borderId="12" xfId="0" applyFont="1" applyFill="1" applyBorder="1" applyAlignment="1">
      <alignment horizontal="center" vertical="center"/>
    </xf>
    <xf numFmtId="0" fontId="9" fillId="14" borderId="6" xfId="0" applyFont="1" applyFill="1" applyBorder="1" applyAlignment="1">
      <alignment horizontal="center" vertical="center"/>
    </xf>
    <xf numFmtId="0" fontId="7" fillId="11" borderId="8" xfId="0" applyFont="1" applyFill="1" applyBorder="1" applyAlignment="1">
      <alignment horizontal="left" vertical="top"/>
    </xf>
    <xf numFmtId="165" fontId="7" fillId="13" borderId="2" xfId="1" applyNumberFormat="1" applyFont="1" applyFill="1" applyBorder="1" applyAlignment="1">
      <alignment horizontal="right"/>
    </xf>
    <xf numFmtId="165" fontId="7" fillId="13" borderId="7" xfId="1" applyNumberFormat="1" applyFont="1" applyFill="1" applyBorder="1" applyAlignment="1">
      <alignment horizontal="right"/>
    </xf>
    <xf numFmtId="0" fontId="7" fillId="11" borderId="11" xfId="0" applyFont="1" applyFill="1" applyBorder="1" applyAlignment="1">
      <alignment horizontal="left" vertical="top"/>
    </xf>
    <xf numFmtId="165" fontId="7" fillId="13" borderId="3" xfId="1" applyNumberFormat="1" applyFont="1" applyFill="1" applyBorder="1" applyAlignment="1">
      <alignment horizontal="right"/>
    </xf>
    <xf numFmtId="0" fontId="8" fillId="10" borderId="2" xfId="0" applyFont="1" applyFill="1" applyBorder="1"/>
    <xf numFmtId="0" fontId="8" fillId="10" borderId="3" xfId="0" applyFont="1" applyFill="1" applyBorder="1"/>
    <xf numFmtId="0" fontId="11" fillId="0" borderId="0" xfId="0" applyFont="1" applyAlignment="1">
      <alignment horizontal="center" vertical="center"/>
    </xf>
    <xf numFmtId="0" fontId="12" fillId="0" borderId="0" xfId="0" applyFont="1"/>
    <xf numFmtId="0" fontId="12" fillId="0" borderId="0" xfId="0" applyFont="1" applyAlignment="1">
      <alignment horizontal="center" vertical="center"/>
    </xf>
    <xf numFmtId="49" fontId="13" fillId="10" borderId="2" xfId="0" applyNumberFormat="1" applyFont="1" applyFill="1" applyBorder="1"/>
    <xf numFmtId="0" fontId="1" fillId="10" borderId="2" xfId="0" applyFont="1" applyFill="1" applyBorder="1"/>
    <xf numFmtId="0" fontId="12" fillId="10" borderId="2" xfId="0" applyFont="1" applyFill="1" applyBorder="1"/>
    <xf numFmtId="0" fontId="1" fillId="10" borderId="3" xfId="0" applyFont="1" applyFill="1" applyBorder="1"/>
    <xf numFmtId="0" fontId="15" fillId="12" borderId="2" xfId="0" applyFont="1" applyFill="1" applyBorder="1" applyAlignment="1">
      <alignment horizontal="center" vertical="center"/>
    </xf>
    <xf numFmtId="0" fontId="16" fillId="12" borderId="2" xfId="0" applyFont="1" applyFill="1" applyBorder="1"/>
    <xf numFmtId="0" fontId="12" fillId="12" borderId="2" xfId="0" applyFont="1" applyFill="1" applyBorder="1" applyAlignment="1">
      <alignment horizontal="center" vertical="center"/>
    </xf>
    <xf numFmtId="0" fontId="14" fillId="8" borderId="2" xfId="0" applyFont="1" applyFill="1" applyBorder="1" applyAlignment="1">
      <alignment horizontal="center" vertical="center"/>
    </xf>
    <xf numFmtId="0" fontId="16" fillId="12" borderId="2" xfId="0" applyFont="1" applyFill="1" applyBorder="1" applyAlignment="1">
      <alignment horizontal="center" vertical="center"/>
    </xf>
    <xf numFmtId="0" fontId="14" fillId="12" borderId="2" xfId="0" applyFont="1" applyFill="1" applyBorder="1" applyAlignment="1">
      <alignment horizontal="center" vertical="center"/>
    </xf>
    <xf numFmtId="0" fontId="16" fillId="12" borderId="4" xfId="0" applyFont="1" applyFill="1" applyBorder="1"/>
    <xf numFmtId="0" fontId="16" fillId="12" borderId="5" xfId="0" applyFont="1" applyFill="1" applyBorder="1"/>
    <xf numFmtId="165" fontId="12" fillId="15" borderId="2" xfId="1" applyNumberFormat="1" applyFont="1" applyFill="1" applyBorder="1"/>
    <xf numFmtId="0" fontId="14" fillId="12" borderId="2" xfId="0" applyFont="1" applyFill="1" applyBorder="1" applyAlignment="1">
      <alignment horizontal="center"/>
    </xf>
    <xf numFmtId="165" fontId="11" fillId="15" borderId="2" xfId="1" applyNumberFormat="1" applyFont="1" applyFill="1" applyBorder="1" applyAlignment="1">
      <alignment horizontal="center" vertical="center"/>
    </xf>
    <xf numFmtId="0" fontId="14" fillId="12" borderId="2" xfId="0" applyFont="1" applyFill="1" applyBorder="1"/>
    <xf numFmtId="0" fontId="14" fillId="12" borderId="7" xfId="0" applyFont="1" applyFill="1" applyBorder="1"/>
    <xf numFmtId="165" fontId="18" fillId="15" borderId="2" xfId="1" applyNumberFormat="1" applyFont="1" applyFill="1" applyBorder="1"/>
    <xf numFmtId="0" fontId="14" fillId="12" borderId="0" xfId="0" applyFont="1" applyFill="1" applyAlignment="1">
      <alignment horizontal="center"/>
    </xf>
    <xf numFmtId="165" fontId="17" fillId="15" borderId="2" xfId="1" applyNumberFormat="1" applyFont="1" applyFill="1" applyBorder="1"/>
    <xf numFmtId="0" fontId="14" fillId="12" borderId="0" xfId="0" applyFont="1" applyFill="1"/>
    <xf numFmtId="0" fontId="15" fillId="12" borderId="6" xfId="0" applyFont="1" applyFill="1" applyBorder="1" applyAlignment="1">
      <alignment horizontal="center"/>
    </xf>
    <xf numFmtId="165" fontId="19" fillId="15" borderId="2" xfId="1" applyNumberFormat="1" applyFont="1" applyFill="1" applyBorder="1"/>
    <xf numFmtId="0" fontId="12" fillId="12" borderId="2" xfId="0" applyFont="1" applyFill="1" applyBorder="1"/>
    <xf numFmtId="0" fontId="14" fillId="12" borderId="3" xfId="0" applyFont="1" applyFill="1" applyBorder="1"/>
    <xf numFmtId="165" fontId="14" fillId="12" borderId="0" xfId="1" applyNumberFormat="1" applyFont="1" applyFill="1" applyBorder="1"/>
    <xf numFmtId="165" fontId="12" fillId="15" borderId="4" xfId="0" applyNumberFormat="1" applyFont="1" applyFill="1" applyBorder="1"/>
    <xf numFmtId="165" fontId="12" fillId="15" borderId="2" xfId="0" applyNumberFormat="1" applyFont="1" applyFill="1" applyBorder="1"/>
    <xf numFmtId="0" fontId="12" fillId="3" borderId="14" xfId="0" applyFont="1" applyFill="1" applyBorder="1" applyAlignment="1">
      <alignment horizontal="center" vertical="center"/>
    </xf>
    <xf numFmtId="0" fontId="12" fillId="5" borderId="14" xfId="0" applyFont="1" applyFill="1" applyBorder="1" applyAlignment="1">
      <alignment horizontal="center" vertical="center"/>
    </xf>
    <xf numFmtId="0" fontId="12" fillId="7" borderId="14" xfId="0" applyFont="1" applyFill="1" applyBorder="1" applyAlignment="1">
      <alignment horizontal="center" vertical="center"/>
    </xf>
    <xf numFmtId="0" fontId="12" fillId="6" borderId="14" xfId="0" applyFont="1" applyFill="1" applyBorder="1" applyAlignment="1">
      <alignment horizontal="center" vertical="center"/>
    </xf>
    <xf numFmtId="0" fontId="12" fillId="4" borderId="14" xfId="0" applyFont="1" applyFill="1" applyBorder="1" applyAlignment="1">
      <alignment horizontal="center" vertical="center"/>
    </xf>
    <xf numFmtId="0" fontId="12" fillId="9" borderId="14" xfId="0" applyFont="1" applyFill="1" applyBorder="1" applyAlignment="1">
      <alignment horizontal="center" vertical="center"/>
    </xf>
    <xf numFmtId="0" fontId="20" fillId="12" borderId="2" xfId="0" applyFont="1" applyFill="1" applyBorder="1" applyAlignment="1">
      <alignment horizontal="center" vertical="center"/>
    </xf>
    <xf numFmtId="165" fontId="11" fillId="2" borderId="10" xfId="0" applyNumberFormat="1" applyFont="1" applyFill="1" applyBorder="1"/>
    <xf numFmtId="0" fontId="14" fillId="0" borderId="2" xfId="0" applyFont="1" applyBorder="1"/>
    <xf numFmtId="0" fontId="15" fillId="0" borderId="2" xfId="0" applyFont="1" applyBorder="1" applyAlignment="1">
      <alignment horizontal="center" vertical="center"/>
    </xf>
    <xf numFmtId="0" fontId="15" fillId="0" borderId="2" xfId="0" applyFont="1" applyBorder="1" applyAlignment="1">
      <alignment horizontal="center"/>
    </xf>
    <xf numFmtId="0" fontId="14" fillId="0" borderId="0" xfId="0" applyFont="1"/>
    <xf numFmtId="165" fontId="21" fillId="15" borderId="2" xfId="0" applyNumberFormat="1" applyFont="1" applyFill="1" applyBorder="1" applyAlignment="1">
      <alignment horizontal="center" vertical="center"/>
    </xf>
    <xf numFmtId="165" fontId="22" fillId="15" borderId="2" xfId="0" applyNumberFormat="1" applyFont="1" applyFill="1" applyBorder="1"/>
    <xf numFmtId="0" fontId="23" fillId="12" borderId="4" xfId="0" applyFont="1" applyFill="1" applyBorder="1"/>
    <xf numFmtId="165" fontId="22" fillId="15" borderId="2" xfId="1" applyNumberFormat="1" applyFont="1" applyFill="1" applyBorder="1"/>
    <xf numFmtId="0" fontId="25" fillId="11" borderId="8" xfId="0" applyFont="1" applyFill="1" applyBorder="1" applyAlignment="1">
      <alignment horizontal="left" vertical="top"/>
    </xf>
    <xf numFmtId="0" fontId="26" fillId="10" borderId="2" xfId="0" applyFont="1" applyFill="1" applyBorder="1"/>
    <xf numFmtId="165" fontId="25" fillId="13" borderId="2" xfId="1" applyNumberFormat="1" applyFont="1" applyFill="1" applyBorder="1" applyAlignment="1">
      <alignment horizontal="right"/>
    </xf>
    <xf numFmtId="165" fontId="27" fillId="13" borderId="2" xfId="1" applyNumberFormat="1" applyFont="1" applyFill="1" applyBorder="1" applyAlignment="1">
      <alignment horizontal="right"/>
    </xf>
    <xf numFmtId="0" fontId="24" fillId="0" borderId="0" xfId="0" applyFont="1"/>
    <xf numFmtId="165" fontId="6" fillId="13" borderId="4" xfId="1" applyNumberFormat="1" applyFont="1" applyFill="1" applyBorder="1" applyAlignment="1">
      <alignment horizontal="right"/>
    </xf>
    <xf numFmtId="0" fontId="29" fillId="0" borderId="0" xfId="0" applyFont="1" applyAlignment="1">
      <alignment vertical="center"/>
    </xf>
    <xf numFmtId="0" fontId="17" fillId="17" borderId="23" xfId="0" applyFont="1" applyFill="1" applyBorder="1"/>
    <xf numFmtId="0" fontId="11" fillId="0" borderId="0" xfId="0" applyFont="1"/>
    <xf numFmtId="0" fontId="18" fillId="0" borderId="0" xfId="0" applyFont="1" applyAlignment="1">
      <alignment horizontal="right" vertical="justify"/>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2" fillId="0" borderId="36" xfId="0" applyFont="1" applyBorder="1"/>
    <xf numFmtId="0" fontId="12" fillId="0" borderId="37" xfId="0" applyFont="1" applyBorder="1"/>
    <xf numFmtId="0" fontId="12" fillId="0" borderId="38" xfId="0" applyFont="1" applyBorder="1"/>
    <xf numFmtId="0" fontId="12" fillId="0" borderId="39" xfId="0" applyFont="1" applyBorder="1"/>
    <xf numFmtId="0" fontId="12" fillId="0" borderId="40" xfId="0" applyFont="1" applyBorder="1"/>
    <xf numFmtId="0" fontId="12" fillId="0" borderId="37" xfId="0" applyFont="1" applyBorder="1" applyAlignment="1">
      <alignment horizontal="center" vertical="center"/>
    </xf>
    <xf numFmtId="16" fontId="12" fillId="0" borderId="37" xfId="0" applyNumberFormat="1" applyFont="1" applyBorder="1" applyAlignment="1">
      <alignment horizontal="center" vertical="center"/>
    </xf>
    <xf numFmtId="0" fontId="18" fillId="0" borderId="37" xfId="0" applyFont="1" applyBorder="1" applyAlignment="1">
      <alignment horizontal="center" vertical="center"/>
    </xf>
    <xf numFmtId="17" fontId="12" fillId="0" borderId="37" xfId="0" applyNumberFormat="1" applyFont="1" applyBorder="1" applyAlignment="1">
      <alignment horizontal="center" vertical="center"/>
    </xf>
    <xf numFmtId="0" fontId="12" fillId="0" borderId="36" xfId="0" applyFont="1" applyBorder="1" applyAlignment="1">
      <alignment horizontal="left"/>
    </xf>
    <xf numFmtId="0" fontId="12" fillId="0" borderId="36" xfId="0" applyFont="1" applyBorder="1" applyAlignment="1">
      <alignment horizontal="center" vertical="center"/>
    </xf>
    <xf numFmtId="0" fontId="31" fillId="0" borderId="0" xfId="0" applyFont="1" applyAlignment="1">
      <alignment horizontal="left" vertical="center"/>
    </xf>
    <xf numFmtId="0" fontId="32" fillId="0" borderId="37" xfId="0" applyFont="1" applyBorder="1" applyAlignment="1">
      <alignment horizontal="center" vertical="center"/>
    </xf>
    <xf numFmtId="0" fontId="12" fillId="0" borderId="36" xfId="0" applyFont="1" applyBorder="1" applyAlignment="1">
      <alignment horizontal="left" vertical="top"/>
    </xf>
    <xf numFmtId="0" fontId="12" fillId="0" borderId="0" xfId="0" applyFont="1" applyAlignment="1">
      <alignment horizontal="left" vertical="top"/>
    </xf>
    <xf numFmtId="0" fontId="12" fillId="0" borderId="37" xfId="0" applyFont="1" applyBorder="1" applyAlignment="1">
      <alignment horizontal="left" vertical="top"/>
    </xf>
    <xf numFmtId="0" fontId="35" fillId="0" borderId="0" xfId="3" applyFont="1"/>
    <xf numFmtId="0" fontId="35" fillId="0" borderId="0" xfId="4" applyFont="1" applyAlignment="1">
      <alignment wrapText="1"/>
    </xf>
    <xf numFmtId="0" fontId="35" fillId="0" borderId="0" xfId="3" applyFont="1" applyAlignment="1">
      <alignment vertical="top"/>
    </xf>
    <xf numFmtId="0" fontId="35" fillId="0" borderId="0" xfId="5" applyFont="1" applyAlignment="1">
      <alignment horizontal="left"/>
    </xf>
    <xf numFmtId="0" fontId="17" fillId="0" borderId="36" xfId="3" applyFont="1" applyBorder="1"/>
    <xf numFmtId="0" fontId="17" fillId="0" borderId="0" xfId="3" applyFont="1"/>
    <xf numFmtId="0" fontId="17" fillId="0" borderId="37" xfId="3" applyFont="1" applyBorder="1"/>
    <xf numFmtId="0" fontId="36" fillId="0" borderId="36" xfId="3" applyFont="1" applyBorder="1"/>
    <xf numFmtId="0" fontId="18" fillId="0" borderId="36" xfId="3" applyFont="1" applyBorder="1"/>
    <xf numFmtId="0" fontId="18" fillId="0" borderId="36" xfId="3" applyFont="1" applyBorder="1" applyAlignment="1">
      <alignment horizontal="justify" vertical="justify"/>
    </xf>
    <xf numFmtId="0" fontId="18" fillId="0" borderId="0" xfId="3" applyFont="1" applyAlignment="1">
      <alignment horizontal="justify" vertical="justify"/>
    </xf>
    <xf numFmtId="0" fontId="18" fillId="0" borderId="37" xfId="3" applyFont="1" applyBorder="1" applyAlignment="1">
      <alignment horizontal="justify" vertical="justify"/>
    </xf>
    <xf numFmtId="0" fontId="36" fillId="0" borderId="36" xfId="6" applyFont="1" applyBorder="1" applyAlignment="1">
      <alignment horizontal="left" vertical="center"/>
    </xf>
    <xf numFmtId="0" fontId="35" fillId="0" borderId="0" xfId="3" applyFont="1" applyAlignment="1">
      <alignment horizontal="left" vertical="top"/>
    </xf>
    <xf numFmtId="0" fontId="37" fillId="0" borderId="36" xfId="6" applyFont="1" applyBorder="1" applyAlignment="1">
      <alignment horizontal="left"/>
    </xf>
    <xf numFmtId="0" fontId="35" fillId="0" borderId="36" xfId="6" applyFont="1" applyBorder="1"/>
    <xf numFmtId="0" fontId="35" fillId="0" borderId="36" xfId="6" applyFont="1" applyBorder="1" applyAlignment="1">
      <alignment horizontal="left"/>
    </xf>
    <xf numFmtId="0" fontId="35" fillId="0" borderId="0" xfId="6" applyFont="1" applyAlignment="1">
      <alignment horizontal="left"/>
    </xf>
    <xf numFmtId="0" fontId="36" fillId="0" borderId="36" xfId="7" applyFont="1" applyBorder="1"/>
    <xf numFmtId="0" fontId="17" fillId="0" borderId="36" xfId="7" applyFont="1" applyBorder="1"/>
    <xf numFmtId="0" fontId="32" fillId="0" borderId="0" xfId="0" applyFont="1" applyAlignment="1">
      <alignment horizontal="left" vertical="center"/>
    </xf>
    <xf numFmtId="0" fontId="18" fillId="0" borderId="0" xfId="3" applyFont="1"/>
    <xf numFmtId="0" fontId="17" fillId="0" borderId="37" xfId="7" applyFont="1" applyBorder="1"/>
    <xf numFmtId="0" fontId="17" fillId="0" borderId="0" xfId="7" applyFont="1"/>
    <xf numFmtId="0" fontId="38" fillId="0" borderId="36" xfId="7" applyFont="1" applyBorder="1" applyAlignment="1">
      <alignment vertical="top"/>
    </xf>
    <xf numFmtId="0" fontId="39" fillId="0" borderId="36" xfId="7" applyFont="1" applyBorder="1"/>
    <xf numFmtId="0" fontId="39" fillId="0" borderId="0" xfId="7" applyFont="1"/>
    <xf numFmtId="0" fontId="39" fillId="0" borderId="37" xfId="7" applyFont="1" applyBorder="1"/>
    <xf numFmtId="0" fontId="30" fillId="0" borderId="37" xfId="7" applyBorder="1" applyAlignment="1">
      <alignment vertical="top"/>
    </xf>
    <xf numFmtId="0" fontId="30" fillId="0" borderId="37" xfId="7" applyBorder="1" applyAlignment="1">
      <alignment horizontal="left" vertical="top"/>
    </xf>
    <xf numFmtId="0" fontId="12" fillId="0" borderId="0" xfId="0" applyFont="1" applyAlignment="1">
      <alignment horizontal="left"/>
    </xf>
    <xf numFmtId="0" fontId="30" fillId="0" borderId="36" xfId="7" applyBorder="1"/>
    <xf numFmtId="0" fontId="30" fillId="0" borderId="0" xfId="7"/>
    <xf numFmtId="0" fontId="30" fillId="0" borderId="36" xfId="7" applyBorder="1" applyAlignment="1">
      <alignment vertical="top"/>
    </xf>
    <xf numFmtId="0" fontId="30" fillId="0" borderId="0" xfId="7" applyAlignment="1">
      <alignment vertical="top"/>
    </xf>
    <xf numFmtId="0" fontId="30" fillId="0" borderId="36" xfId="7" applyBorder="1" applyAlignment="1">
      <alignment horizontal="left" vertical="top"/>
    </xf>
    <xf numFmtId="0" fontId="30" fillId="0" borderId="0" xfId="7" applyAlignment="1">
      <alignment horizontal="left" vertical="top"/>
    </xf>
    <xf numFmtId="0" fontId="12" fillId="0" borderId="38" xfId="0" applyFont="1" applyBorder="1" applyAlignment="1">
      <alignment horizontal="left"/>
    </xf>
    <xf numFmtId="0" fontId="12" fillId="0" borderId="40" xfId="0" applyFont="1" applyBorder="1" applyAlignment="1">
      <alignment horizontal="center" vertical="center"/>
    </xf>
    <xf numFmtId="0" fontId="12" fillId="0" borderId="25" xfId="0" applyFont="1" applyBorder="1"/>
    <xf numFmtId="0" fontId="12" fillId="0" borderId="26" xfId="0" applyFont="1" applyBorder="1"/>
    <xf numFmtId="0" fontId="12" fillId="0" borderId="27" xfId="0" applyFont="1" applyBorder="1"/>
    <xf numFmtId="0" fontId="12" fillId="0" borderId="28" xfId="0" applyFont="1" applyBorder="1"/>
    <xf numFmtId="0" fontId="12" fillId="0" borderId="29" xfId="0" applyFont="1" applyBorder="1"/>
    <xf numFmtId="0" fontId="12" fillId="0" borderId="30" xfId="0" applyFont="1" applyBorder="1"/>
    <xf numFmtId="0" fontId="12" fillId="0" borderId="31" xfId="0" applyFont="1" applyBorder="1"/>
    <xf numFmtId="0" fontId="12" fillId="0" borderId="32" xfId="0" applyFont="1" applyBorder="1"/>
    <xf numFmtId="0" fontId="40" fillId="0" borderId="0" xfId="8" applyNumberFormat="1" applyFont="1" applyAlignment="1">
      <alignment vertical="center" wrapText="1"/>
    </xf>
    <xf numFmtId="0" fontId="41" fillId="0" borderId="0" xfId="0" applyFont="1"/>
    <xf numFmtId="0" fontId="42" fillId="0" borderId="0" xfId="0" applyFont="1"/>
    <xf numFmtId="0" fontId="41" fillId="0" borderId="0" xfId="0" applyFont="1" applyAlignment="1">
      <alignment horizontal="left" vertical="justify"/>
    </xf>
    <xf numFmtId="43" fontId="41" fillId="0" borderId="0" xfId="1" applyNumberFormat="1" applyFont="1"/>
    <xf numFmtId="0" fontId="41" fillId="0" borderId="0" xfId="0" applyFont="1" applyAlignment="1">
      <alignment horizontal="justify" vertical="top"/>
    </xf>
    <xf numFmtId="0" fontId="41" fillId="0" borderId="0" xfId="9" applyFont="1" applyAlignment="1">
      <alignment horizontal="justify" vertical="justify"/>
    </xf>
    <xf numFmtId="37" fontId="41" fillId="0" borderId="0" xfId="0" applyNumberFormat="1" applyFont="1" applyAlignment="1">
      <alignment horizontal="justify"/>
    </xf>
    <xf numFmtId="0" fontId="41" fillId="0" borderId="0" xfId="0" applyFont="1" applyAlignment="1">
      <alignment horizontal="justify" vertical="justify" wrapText="1"/>
    </xf>
    <xf numFmtId="0" fontId="40" fillId="0" borderId="0" xfId="0" applyFont="1"/>
    <xf numFmtId="0" fontId="41" fillId="0" borderId="0" xfId="0" applyFont="1" applyAlignment="1">
      <alignment horizontal="right"/>
    </xf>
    <xf numFmtId="0" fontId="40" fillId="0" borderId="0" xfId="10" applyFont="1"/>
    <xf numFmtId="0" fontId="41" fillId="0" borderId="0" xfId="10" applyFont="1"/>
    <xf numFmtId="0" fontId="33" fillId="0" borderId="0" xfId="0" applyFont="1" applyAlignment="1">
      <alignment horizontal="right"/>
    </xf>
    <xf numFmtId="0" fontId="33" fillId="0" borderId="0" xfId="10" applyFont="1"/>
    <xf numFmtId="0" fontId="43" fillId="0" borderId="0" xfId="0" applyFont="1" applyAlignment="1">
      <alignment horizontal="center"/>
    </xf>
    <xf numFmtId="167" fontId="33" fillId="0" borderId="0" xfId="14" applyNumberFormat="1" applyFont="1" applyFill="1" applyBorder="1" applyAlignment="1">
      <alignment horizontal="right"/>
    </xf>
    <xf numFmtId="167" fontId="43" fillId="0" borderId="0" xfId="0" applyNumberFormat="1" applyFont="1" applyAlignment="1">
      <alignment horizontal="right"/>
    </xf>
    <xf numFmtId="0" fontId="44" fillId="0" borderId="0" xfId="0" applyFont="1"/>
    <xf numFmtId="167" fontId="44" fillId="0" borderId="0" xfId="0" applyNumberFormat="1" applyFont="1"/>
    <xf numFmtId="0" fontId="42" fillId="0" borderId="0" xfId="12" applyFont="1" applyAlignment="1">
      <alignment vertical="center"/>
    </xf>
    <xf numFmtId="0" fontId="41" fillId="0" borderId="0" xfId="12" applyFont="1" applyAlignment="1">
      <alignment vertical="center"/>
    </xf>
    <xf numFmtId="0" fontId="40" fillId="0" borderId="0" xfId="10" applyFont="1" applyAlignment="1">
      <alignment horizontal="right"/>
    </xf>
    <xf numFmtId="167" fontId="41" fillId="0" borderId="0" xfId="14" applyNumberFormat="1" applyFont="1" applyFill="1" applyBorder="1"/>
    <xf numFmtId="167" fontId="41" fillId="0" borderId="0" xfId="14" applyNumberFormat="1" applyFont="1" applyBorder="1"/>
    <xf numFmtId="167" fontId="50" fillId="0" borderId="0" xfId="14" applyNumberFormat="1" applyFont="1" applyFill="1" applyBorder="1"/>
    <xf numFmtId="167" fontId="50" fillId="0" borderId="0" xfId="14" applyNumberFormat="1" applyFont="1" applyBorder="1"/>
    <xf numFmtId="167" fontId="49" fillId="0" borderId="0" xfId="14" applyNumberFormat="1" applyFont="1" applyFill="1" applyBorder="1"/>
    <xf numFmtId="167" fontId="49" fillId="0" borderId="0" xfId="14" applyNumberFormat="1" applyFont="1" applyBorder="1"/>
    <xf numFmtId="164" fontId="55" fillId="0" borderId="0" xfId="16" applyFont="1" applyBorder="1" applyAlignment="1">
      <alignment horizontal="right" vertical="center"/>
    </xf>
    <xf numFmtId="164" fontId="56" fillId="0" borderId="0" xfId="16" applyFont="1" applyBorder="1" applyAlignment="1">
      <alignment horizontal="right" vertical="center"/>
    </xf>
    <xf numFmtId="0" fontId="41" fillId="0" borderId="0" xfId="0" applyFont="1" applyAlignment="1">
      <alignment vertical="justify"/>
    </xf>
    <xf numFmtId="0" fontId="41" fillId="0" borderId="0" xfId="0" applyFont="1" applyAlignment="1">
      <alignment horizontal="left" vertical="top"/>
    </xf>
    <xf numFmtId="0" fontId="41" fillId="0" borderId="0" xfId="0" applyFont="1" applyAlignment="1">
      <alignment horizontal="left" vertical="top" wrapText="1"/>
    </xf>
    <xf numFmtId="0" fontId="41" fillId="0" borderId="0" xfId="0" applyFont="1" applyAlignment="1">
      <alignment vertical="top"/>
    </xf>
    <xf numFmtId="49" fontId="41" fillId="0" borderId="0" xfId="0" applyNumberFormat="1" applyFont="1"/>
    <xf numFmtId="0" fontId="40" fillId="0" borderId="0" xfId="0" applyFont="1" applyAlignment="1">
      <alignment horizontal="right"/>
    </xf>
    <xf numFmtId="0" fontId="40" fillId="0" borderId="34" xfId="0" applyFont="1" applyBorder="1"/>
    <xf numFmtId="0" fontId="41" fillId="0" borderId="35" xfId="0" applyFont="1" applyBorder="1"/>
    <xf numFmtId="0" fontId="41" fillId="0" borderId="37" xfId="0" applyFont="1" applyBorder="1"/>
    <xf numFmtId="0" fontId="40" fillId="0" borderId="36" xfId="0" quotePrefix="1" applyFont="1" applyBorder="1" applyAlignment="1">
      <alignment horizontal="left"/>
    </xf>
    <xf numFmtId="4" fontId="40" fillId="0" borderId="36" xfId="3" applyNumberFormat="1" applyFont="1" applyBorder="1"/>
    <xf numFmtId="0" fontId="41" fillId="0" borderId="37" xfId="0" applyFont="1" applyBorder="1" applyAlignment="1">
      <alignment vertical="justify"/>
    </xf>
    <xf numFmtId="0" fontId="41" fillId="0" borderId="37" xfId="0" applyFont="1" applyBorder="1" applyAlignment="1">
      <alignment horizontal="left" vertical="justify"/>
    </xf>
    <xf numFmtId="0" fontId="41" fillId="0" borderId="0" xfId="0" applyFont="1" applyAlignment="1">
      <alignment horizontal="left"/>
    </xf>
    <xf numFmtId="43" fontId="41" fillId="0" borderId="0" xfId="1" applyNumberFormat="1" applyFont="1" applyBorder="1"/>
    <xf numFmtId="43" fontId="41" fillId="0" borderId="37" xfId="1" applyNumberFormat="1" applyFont="1" applyBorder="1"/>
    <xf numFmtId="0" fontId="40" fillId="0" borderId="36" xfId="0" applyFont="1" applyBorder="1" applyAlignment="1">
      <alignment horizontal="left"/>
    </xf>
    <xf numFmtId="0" fontId="41" fillId="0" borderId="37" xfId="0" applyFont="1" applyBorder="1" applyAlignment="1">
      <alignment vertical="top"/>
    </xf>
    <xf numFmtId="0" fontId="41" fillId="0" borderId="37" xfId="9" applyFont="1" applyBorder="1" applyAlignment="1">
      <alignment horizontal="justify" vertical="justify"/>
    </xf>
    <xf numFmtId="0" fontId="40" fillId="0" borderId="36" xfId="0" applyFont="1" applyBorder="1" applyAlignment="1">
      <alignment horizontal="left" indent="4"/>
    </xf>
    <xf numFmtId="0" fontId="42" fillId="0" borderId="0" xfId="0" applyFont="1" applyAlignment="1">
      <alignment horizontal="right"/>
    </xf>
    <xf numFmtId="0" fontId="41" fillId="0" borderId="37" xfId="0" applyFont="1" applyBorder="1" applyAlignment="1">
      <alignment horizontal="right"/>
    </xf>
    <xf numFmtId="0" fontId="40" fillId="0" borderId="36" xfId="0" applyFont="1" applyBorder="1"/>
    <xf numFmtId="37" fontId="41" fillId="0" borderId="37" xfId="0" applyNumberFormat="1" applyFont="1" applyBorder="1" applyAlignment="1">
      <alignment horizontal="justify"/>
    </xf>
    <xf numFmtId="0" fontId="42" fillId="0" borderId="36" xfId="0" applyFont="1" applyBorder="1" applyAlignment="1">
      <alignment horizontal="left" indent="2"/>
    </xf>
    <xf numFmtId="0" fontId="41" fillId="0" borderId="36" xfId="0" applyFont="1" applyBorder="1" applyAlignment="1">
      <alignment horizontal="left"/>
    </xf>
    <xf numFmtId="168" fontId="41" fillId="0" borderId="0" xfId="0" applyNumberFormat="1" applyFont="1" applyAlignment="1">
      <alignment horizontal="left" vertical="top"/>
    </xf>
    <xf numFmtId="168" fontId="41" fillId="0" borderId="0" xfId="0" applyNumberFormat="1" applyFont="1" applyAlignment="1">
      <alignment horizontal="left"/>
    </xf>
    <xf numFmtId="0" fontId="41" fillId="0" borderId="37" xfId="0" applyFont="1" applyBorder="1" applyAlignment="1">
      <alignment horizontal="justify" vertical="top"/>
    </xf>
    <xf numFmtId="0" fontId="41" fillId="0" borderId="37" xfId="0" applyFont="1" applyBorder="1" applyAlignment="1">
      <alignment horizontal="justify" vertical="justify" wrapText="1"/>
    </xf>
    <xf numFmtId="0" fontId="0" fillId="0" borderId="38" xfId="0" applyBorder="1"/>
    <xf numFmtId="0" fontId="0" fillId="0" borderId="39" xfId="0" applyBorder="1"/>
    <xf numFmtId="0" fontId="0" fillId="0" borderId="40" xfId="0" applyBorder="1"/>
    <xf numFmtId="0" fontId="41" fillId="0" borderId="20" xfId="0" applyFont="1" applyBorder="1"/>
    <xf numFmtId="0" fontId="41" fillId="0" borderId="42" xfId="0" applyFont="1" applyBorder="1"/>
    <xf numFmtId="0" fontId="41" fillId="0" borderId="34" xfId="0" applyFont="1" applyBorder="1" applyAlignment="1">
      <alignment horizontal="right"/>
    </xf>
    <xf numFmtId="0" fontId="41" fillId="0" borderId="35" xfId="0" applyFont="1" applyBorder="1" applyAlignment="1">
      <alignment horizontal="right"/>
    </xf>
    <xf numFmtId="0" fontId="40" fillId="0" borderId="36" xfId="10" applyFont="1" applyBorder="1"/>
    <xf numFmtId="0" fontId="41" fillId="0" borderId="37" xfId="10" applyFont="1" applyBorder="1"/>
    <xf numFmtId="164" fontId="33" fillId="0" borderId="36" xfId="1" applyFont="1" applyBorder="1"/>
    <xf numFmtId="169" fontId="42" fillId="0" borderId="0" xfId="11" applyNumberFormat="1" applyFont="1"/>
    <xf numFmtId="0" fontId="33" fillId="0" borderId="0" xfId="0" applyFont="1"/>
    <xf numFmtId="164" fontId="33" fillId="0" borderId="0" xfId="1" applyFont="1" applyBorder="1"/>
    <xf numFmtId="0" fontId="0" fillId="0" borderId="37" xfId="0" applyBorder="1"/>
    <xf numFmtId="0" fontId="43" fillId="0" borderId="36" xfId="0" applyFont="1" applyBorder="1" applyAlignment="1">
      <alignment horizontal="left"/>
    </xf>
    <xf numFmtId="169" fontId="41" fillId="0" borderId="0" xfId="11" applyNumberFormat="1" applyFont="1" applyAlignment="1">
      <alignment horizontal="justify" vertical="justify" wrapText="1"/>
    </xf>
    <xf numFmtId="169" fontId="44" fillId="0" borderId="0" xfId="9" applyNumberFormat="1" applyFont="1"/>
    <xf numFmtId="169" fontId="41" fillId="0" borderId="0" xfId="11" applyNumberFormat="1" applyFont="1" applyAlignment="1">
      <alignment vertical="top" wrapText="1"/>
    </xf>
    <xf numFmtId="43" fontId="33" fillId="0" borderId="0" xfId="9" applyNumberFormat="1" applyFont="1"/>
    <xf numFmtId="0" fontId="44" fillId="0" borderId="0" xfId="12" applyFont="1"/>
    <xf numFmtId="0" fontId="41" fillId="0" borderId="0" xfId="12" applyFont="1" applyAlignment="1">
      <alignment horizontal="justify" vertical="justify" wrapText="1"/>
    </xf>
    <xf numFmtId="0" fontId="43" fillId="0" borderId="36" xfId="9" quotePrefix="1" applyFont="1" applyBorder="1"/>
    <xf numFmtId="0" fontId="33" fillId="0" borderId="0" xfId="9" applyFont="1"/>
    <xf numFmtId="0" fontId="33" fillId="0" borderId="37" xfId="9" applyFont="1" applyBorder="1"/>
    <xf numFmtId="0" fontId="33" fillId="0" borderId="0" xfId="9" applyFont="1" applyAlignment="1">
      <alignment vertical="top" wrapText="1"/>
    </xf>
    <xf numFmtId="0" fontId="33" fillId="0" borderId="37" xfId="9" applyFont="1" applyBorder="1" applyAlignment="1">
      <alignment vertical="top" wrapText="1"/>
    </xf>
    <xf numFmtId="4" fontId="43" fillId="0" borderId="36" xfId="0" applyNumberFormat="1" applyFont="1" applyBorder="1" applyAlignment="1">
      <alignment horizontal="left"/>
    </xf>
    <xf numFmtId="0" fontId="33" fillId="0" borderId="0" xfId="9" applyFont="1" applyAlignment="1">
      <alignment vertical="top"/>
    </xf>
    <xf numFmtId="0" fontId="33" fillId="0" borderId="37" xfId="9" applyFont="1" applyBorder="1" applyAlignment="1">
      <alignment vertical="top"/>
    </xf>
    <xf numFmtId="0" fontId="0" fillId="0" borderId="36" xfId="0" applyBorder="1"/>
    <xf numFmtId="0" fontId="33" fillId="0" borderId="0" xfId="13" applyNumberFormat="1" applyFont="1" applyBorder="1" applyAlignment="1">
      <alignment vertical="top"/>
    </xf>
    <xf numFmtId="0" fontId="33" fillId="0" borderId="37" xfId="13" applyNumberFormat="1" applyFont="1" applyBorder="1" applyAlignment="1">
      <alignment vertical="top"/>
    </xf>
    <xf numFmtId="0" fontId="44" fillId="0" borderId="0" xfId="9" applyFont="1"/>
    <xf numFmtId="0" fontId="33" fillId="0" borderId="0" xfId="9" applyFont="1" applyAlignment="1">
      <alignment horizontal="justify" vertical="top"/>
    </xf>
    <xf numFmtId="0" fontId="40" fillId="0" borderId="38" xfId="10" applyFont="1" applyBorder="1"/>
    <xf numFmtId="43" fontId="33" fillId="0" borderId="39" xfId="9" applyNumberFormat="1" applyFont="1" applyBorder="1"/>
    <xf numFmtId="0" fontId="33" fillId="0" borderId="39" xfId="9" applyFont="1" applyBorder="1"/>
    <xf numFmtId="0" fontId="40" fillId="0" borderId="41" xfId="10" applyFont="1" applyBorder="1"/>
    <xf numFmtId="0" fontId="41" fillId="0" borderId="20" xfId="10" applyFont="1" applyBorder="1"/>
    <xf numFmtId="0" fontId="41" fillId="0" borderId="42" xfId="10" applyFont="1" applyBorder="1"/>
    <xf numFmtId="9" fontId="43" fillId="0" borderId="0" xfId="0" applyNumberFormat="1" applyFont="1" applyAlignment="1">
      <alignment horizontal="right"/>
    </xf>
    <xf numFmtId="0" fontId="43" fillId="0" borderId="0" xfId="0" applyFont="1"/>
    <xf numFmtId="0" fontId="43" fillId="0" borderId="0" xfId="0" applyFont="1" applyAlignment="1">
      <alignment horizontal="right" vertical="justify"/>
    </xf>
    <xf numFmtId="0" fontId="43" fillId="0" borderId="0" xfId="0" applyFont="1" applyAlignment="1">
      <alignment horizontal="right"/>
    </xf>
    <xf numFmtId="0" fontId="44" fillId="0" borderId="0" xfId="0" applyFont="1" applyAlignment="1">
      <alignment horizontal="right"/>
    </xf>
    <xf numFmtId="167" fontId="33" fillId="0" borderId="0" xfId="0" applyNumberFormat="1" applyFont="1" applyAlignment="1">
      <alignment horizontal="right"/>
    </xf>
    <xf numFmtId="0" fontId="33" fillId="0" borderId="0" xfId="12" applyFont="1"/>
    <xf numFmtId="167" fontId="33" fillId="0" borderId="0" xfId="14" applyNumberFormat="1" applyFont="1" applyBorder="1"/>
    <xf numFmtId="167" fontId="46" fillId="0" borderId="0" xfId="14" applyNumberFormat="1" applyFont="1" applyFill="1" applyBorder="1" applyAlignment="1">
      <alignment horizontal="right"/>
    </xf>
    <xf numFmtId="167" fontId="47" fillId="0" borderId="0" xfId="14" applyNumberFormat="1" applyFont="1" applyFill="1" applyBorder="1" applyAlignment="1">
      <alignment horizontal="right"/>
    </xf>
    <xf numFmtId="167" fontId="48" fillId="0" borderId="0" xfId="14" applyNumberFormat="1" applyFont="1" applyBorder="1"/>
    <xf numFmtId="0" fontId="44" fillId="0" borderId="0" xfId="12" applyFont="1" applyAlignment="1">
      <alignment vertical="center"/>
    </xf>
    <xf numFmtId="0" fontId="33" fillId="0" borderId="0" xfId="12" applyFont="1" applyAlignment="1">
      <alignment vertical="center"/>
    </xf>
    <xf numFmtId="167" fontId="47" fillId="0" borderId="0" xfId="0" applyNumberFormat="1" applyFont="1" applyAlignment="1">
      <alignment horizontal="right"/>
    </xf>
    <xf numFmtId="0" fontId="33" fillId="0" borderId="40" xfId="9" applyFont="1" applyBorder="1"/>
    <xf numFmtId="0" fontId="0" fillId="0" borderId="33" xfId="0" applyBorder="1"/>
    <xf numFmtId="0" fontId="0" fillId="0" borderId="34" xfId="0" applyBorder="1"/>
    <xf numFmtId="0" fontId="0" fillId="0" borderId="35" xfId="0" applyBorder="1"/>
    <xf numFmtId="0" fontId="43" fillId="0" borderId="36" xfId="10" applyFont="1" applyBorder="1"/>
    <xf numFmtId="0" fontId="33" fillId="0" borderId="37" xfId="10" applyFont="1" applyBorder="1"/>
    <xf numFmtId="170" fontId="43" fillId="0" borderId="36" xfId="14" quotePrefix="1" applyNumberFormat="1" applyFont="1" applyBorder="1" applyAlignment="1">
      <alignment horizontal="left"/>
    </xf>
    <xf numFmtId="0" fontId="33" fillId="0" borderId="37" xfId="0" applyFont="1" applyBorder="1" applyAlignment="1">
      <alignment horizontal="right"/>
    </xf>
    <xf numFmtId="0" fontId="43" fillId="0" borderId="37" xfId="0" applyFont="1" applyBorder="1" applyAlignment="1">
      <alignment horizontal="center"/>
    </xf>
    <xf numFmtId="0" fontId="43" fillId="0" borderId="37" xfId="0" applyFont="1" applyBorder="1" applyAlignment="1">
      <alignment horizontal="right"/>
    </xf>
    <xf numFmtId="0" fontId="44" fillId="0" borderId="36" xfId="0" applyFont="1" applyBorder="1" applyAlignment="1">
      <alignment horizontal="left"/>
    </xf>
    <xf numFmtId="0" fontId="44" fillId="0" borderId="37" xfId="0" applyFont="1" applyBorder="1" applyAlignment="1">
      <alignment horizontal="right"/>
    </xf>
    <xf numFmtId="167" fontId="33" fillId="0" borderId="37" xfId="14" applyNumberFormat="1" applyFont="1" applyFill="1" applyBorder="1" applyAlignment="1">
      <alignment horizontal="right"/>
    </xf>
    <xf numFmtId="167" fontId="33" fillId="0" borderId="37" xfId="0" applyNumberFormat="1" applyFont="1" applyBorder="1" applyAlignment="1">
      <alignment horizontal="right"/>
    </xf>
    <xf numFmtId="0" fontId="33" fillId="0" borderId="36" xfId="0" applyFont="1" applyBorder="1"/>
    <xf numFmtId="43" fontId="43" fillId="0" borderId="36" xfId="15" quotePrefix="1" applyFont="1" applyBorder="1" applyAlignment="1">
      <alignment horizontal="left"/>
    </xf>
    <xf numFmtId="43" fontId="43" fillId="0" borderId="36" xfId="15" applyFont="1" applyBorder="1" applyAlignment="1">
      <alignment horizontal="left"/>
    </xf>
    <xf numFmtId="167" fontId="33" fillId="0" borderId="37" xfId="15" applyNumberFormat="1" applyFont="1" applyBorder="1"/>
    <xf numFmtId="167" fontId="48" fillId="0" borderId="37" xfId="15" applyNumberFormat="1" applyFont="1" applyBorder="1"/>
    <xf numFmtId="0" fontId="43" fillId="0" borderId="36" xfId="12" quotePrefix="1" applyFont="1" applyBorder="1" applyAlignment="1">
      <alignment vertical="center"/>
    </xf>
    <xf numFmtId="0" fontId="33" fillId="0" borderId="37" xfId="12" applyFont="1" applyBorder="1" applyAlignment="1">
      <alignment vertical="center"/>
    </xf>
    <xf numFmtId="0" fontId="43" fillId="0" borderId="36" xfId="12" applyFont="1" applyBorder="1" applyAlignment="1">
      <alignment vertical="center"/>
    </xf>
    <xf numFmtId="167" fontId="47" fillId="0" borderId="37" xfId="15" applyNumberFormat="1" applyFont="1" applyBorder="1" applyAlignment="1">
      <alignment horizontal="right" vertical="center"/>
    </xf>
    <xf numFmtId="167" fontId="47" fillId="0" borderId="37" xfId="15" applyNumberFormat="1" applyFont="1" applyBorder="1" applyAlignment="1">
      <alignment vertical="center"/>
    </xf>
    <xf numFmtId="49" fontId="41" fillId="0" borderId="36" xfId="0" applyNumberFormat="1" applyFont="1" applyBorder="1"/>
    <xf numFmtId="49" fontId="42" fillId="0" borderId="0" xfId="14" applyNumberFormat="1" applyFont="1" applyFill="1" applyBorder="1" applyAlignment="1">
      <alignment horizontal="right"/>
    </xf>
    <xf numFmtId="49" fontId="42" fillId="0" borderId="0" xfId="14" applyNumberFormat="1" applyFont="1" applyBorder="1" applyAlignment="1">
      <alignment horizontal="right"/>
    </xf>
    <xf numFmtId="170" fontId="40" fillId="0" borderId="36" xfId="14" quotePrefix="1" applyNumberFormat="1" applyFont="1" applyBorder="1" applyAlignment="1">
      <alignment horizontal="left"/>
    </xf>
    <xf numFmtId="0" fontId="41" fillId="0" borderId="0" xfId="12" applyFont="1"/>
    <xf numFmtId="167" fontId="49" fillId="0" borderId="0" xfId="14" applyNumberFormat="1" applyFont="1" applyFill="1" applyBorder="1" applyAlignment="1">
      <alignment horizontal="right"/>
    </xf>
    <xf numFmtId="167" fontId="41" fillId="0" borderId="0" xfId="14" applyNumberFormat="1" applyFont="1" applyFill="1" applyBorder="1" applyAlignment="1">
      <alignment horizontal="right"/>
    </xf>
    <xf numFmtId="167" fontId="41" fillId="0" borderId="0" xfId="15" applyNumberFormat="1" applyFont="1" applyBorder="1" applyAlignment="1">
      <alignment vertical="center"/>
    </xf>
    <xf numFmtId="167" fontId="50" fillId="0" borderId="0" xfId="15" applyNumberFormat="1" applyFont="1" applyBorder="1" applyAlignment="1">
      <alignment vertical="center"/>
    </xf>
    <xf numFmtId="167" fontId="49" fillId="0" borderId="0" xfId="15" applyNumberFormat="1" applyFont="1" applyBorder="1" applyAlignment="1">
      <alignment vertical="center"/>
    </xf>
    <xf numFmtId="0" fontId="41" fillId="0" borderId="36" xfId="0" applyFont="1" applyBorder="1"/>
    <xf numFmtId="167" fontId="50" fillId="0" borderId="0" xfId="14" applyNumberFormat="1" applyFont="1" applyFill="1" applyBorder="1" applyAlignment="1">
      <alignment horizontal="right"/>
    </xf>
    <xf numFmtId="167" fontId="52" fillId="0" borderId="0" xfId="14" applyNumberFormat="1" applyFont="1" applyFill="1" applyBorder="1" applyAlignment="1">
      <alignment horizontal="right"/>
    </xf>
    <xf numFmtId="43" fontId="41" fillId="0" borderId="37" xfId="0" applyNumberFormat="1" applyFont="1" applyBorder="1"/>
    <xf numFmtId="167" fontId="49" fillId="0" borderId="0" xfId="0" applyNumberFormat="1" applyFont="1" applyAlignment="1">
      <alignment horizontal="right"/>
    </xf>
    <xf numFmtId="167" fontId="49" fillId="0" borderId="0" xfId="0" applyNumberFormat="1" applyFont="1"/>
    <xf numFmtId="167" fontId="40" fillId="0" borderId="0" xfId="14" applyNumberFormat="1" applyFont="1" applyBorder="1"/>
    <xf numFmtId="49" fontId="40" fillId="0" borderId="36" xfId="0" applyNumberFormat="1" applyFont="1" applyBorder="1" applyAlignment="1">
      <alignment horizontal="left"/>
    </xf>
    <xf numFmtId="0" fontId="42" fillId="0" borderId="0" xfId="0" applyFont="1" applyAlignment="1">
      <alignment horizontal="left"/>
    </xf>
    <xf numFmtId="170" fontId="40" fillId="0" borderId="36" xfId="14" applyNumberFormat="1" applyFont="1" applyBorder="1" applyAlignment="1">
      <alignment horizontal="left"/>
    </xf>
    <xf numFmtId="167" fontId="41" fillId="0" borderId="0" xfId="0" applyNumberFormat="1" applyFont="1" applyAlignment="1">
      <alignment horizontal="right"/>
    </xf>
    <xf numFmtId="167" fontId="50" fillId="0" borderId="0" xfId="0" applyNumberFormat="1" applyFont="1" applyAlignment="1">
      <alignment horizontal="right"/>
    </xf>
    <xf numFmtId="167" fontId="41" fillId="0" borderId="37" xfId="14" applyNumberFormat="1" applyFont="1" applyBorder="1"/>
    <xf numFmtId="49" fontId="40" fillId="0" borderId="36" xfId="0" quotePrefix="1" applyNumberFormat="1" applyFont="1" applyBorder="1" applyAlignment="1">
      <alignment horizontal="left"/>
    </xf>
    <xf numFmtId="49" fontId="42" fillId="0" borderId="0" xfId="0" applyNumberFormat="1" applyFont="1"/>
    <xf numFmtId="0" fontId="41" fillId="0" borderId="0" xfId="12" applyFont="1" applyAlignment="1">
      <alignment horizontal="left" vertical="center" wrapText="1"/>
    </xf>
    <xf numFmtId="0" fontId="40" fillId="0" borderId="0" xfId="0" applyFont="1" applyAlignment="1">
      <alignment horizontal="center" vertical="justify"/>
    </xf>
    <xf numFmtId="37" fontId="41" fillId="0" borderId="0" xfId="14" applyNumberFormat="1" applyFont="1" applyBorder="1" applyAlignment="1">
      <alignment horizontal="right"/>
    </xf>
    <xf numFmtId="167" fontId="41" fillId="0" borderId="0" xfId="14" applyNumberFormat="1" applyFont="1" applyBorder="1" applyAlignment="1">
      <alignment horizontal="right"/>
    </xf>
    <xf numFmtId="43" fontId="41" fillId="0" borderId="0" xfId="14" applyFont="1" applyBorder="1"/>
    <xf numFmtId="37" fontId="50" fillId="0" borderId="0" xfId="14" applyNumberFormat="1" applyFont="1" applyBorder="1" applyAlignment="1">
      <alignment horizontal="right"/>
    </xf>
    <xf numFmtId="167" fontId="50" fillId="0" borderId="0" xfId="14" applyNumberFormat="1" applyFont="1" applyBorder="1" applyAlignment="1">
      <alignment horizontal="right"/>
    </xf>
    <xf numFmtId="167" fontId="49" fillId="0" borderId="0" xfId="14" applyNumberFormat="1" applyFont="1" applyBorder="1" applyAlignment="1">
      <alignment horizontal="right"/>
    </xf>
    <xf numFmtId="37" fontId="42" fillId="0" borderId="0" xfId="0" applyNumberFormat="1" applyFont="1"/>
    <xf numFmtId="167" fontId="53" fillId="0" borderId="0" xfId="14" applyNumberFormat="1" applyFont="1" applyFill="1" applyBorder="1" applyAlignment="1">
      <alignment horizontal="right"/>
    </xf>
    <xf numFmtId="167" fontId="54" fillId="0" borderId="0" xfId="14" applyNumberFormat="1" applyFont="1" applyBorder="1" applyAlignment="1">
      <alignment horizontal="right"/>
    </xf>
    <xf numFmtId="0" fontId="33" fillId="0" borderId="0" xfId="0" applyFont="1" applyAlignment="1">
      <alignment vertical="top"/>
    </xf>
    <xf numFmtId="0" fontId="42" fillId="0" borderId="0" xfId="12" applyFont="1"/>
    <xf numFmtId="167" fontId="51" fillId="0" borderId="0" xfId="14" applyNumberFormat="1" applyFont="1" applyFill="1" applyBorder="1" applyAlignment="1">
      <alignment horizontal="right"/>
    </xf>
    <xf numFmtId="167" fontId="41" fillId="0" borderId="0" xfId="0" applyNumberFormat="1" applyFont="1"/>
    <xf numFmtId="167" fontId="41" fillId="0" borderId="0" xfId="14" applyNumberFormat="1" applyFont="1"/>
    <xf numFmtId="167" fontId="50" fillId="0" borderId="0" xfId="14" applyNumberFormat="1" applyFont="1"/>
    <xf numFmtId="43" fontId="41" fillId="0" borderId="0" xfId="0" applyNumberFormat="1" applyFont="1"/>
    <xf numFmtId="167" fontId="52" fillId="0" borderId="0" xfId="0" applyNumberFormat="1" applyFont="1"/>
    <xf numFmtId="169" fontId="42" fillId="0" borderId="0" xfId="0" applyNumberFormat="1" applyFont="1"/>
    <xf numFmtId="167" fontId="50" fillId="0" borderId="0" xfId="0" applyNumberFormat="1" applyFont="1"/>
    <xf numFmtId="169" fontId="41" fillId="0" borderId="0" xfId="0" applyNumberFormat="1" applyFont="1"/>
    <xf numFmtId="169" fontId="40" fillId="0" borderId="0" xfId="0" applyNumberFormat="1" applyFont="1"/>
    <xf numFmtId="169" fontId="40" fillId="0" borderId="0" xfId="0" applyNumberFormat="1" applyFont="1" applyAlignment="1">
      <alignment horizontal="right"/>
    </xf>
    <xf numFmtId="9" fontId="40" fillId="0" borderId="0" xfId="0" applyNumberFormat="1" applyFont="1"/>
    <xf numFmtId="168" fontId="40" fillId="0" borderId="0" xfId="0" applyNumberFormat="1" applyFont="1" applyAlignment="1">
      <alignment horizontal="right"/>
    </xf>
    <xf numFmtId="169" fontId="42" fillId="0" borderId="0" xfId="0" applyNumberFormat="1" applyFont="1" applyAlignment="1">
      <alignment horizontal="right"/>
    </xf>
    <xf numFmtId="167" fontId="41" fillId="0" borderId="20" xfId="14" applyNumberFormat="1" applyFont="1" applyBorder="1"/>
    <xf numFmtId="167" fontId="40" fillId="0" borderId="31" xfId="14" applyNumberFormat="1" applyFont="1" applyBorder="1"/>
    <xf numFmtId="0" fontId="33" fillId="0" borderId="17" xfId="0" applyFont="1" applyBorder="1"/>
    <xf numFmtId="167" fontId="43" fillId="0" borderId="17" xfId="0" applyNumberFormat="1" applyFont="1" applyBorder="1" applyAlignment="1">
      <alignment horizontal="right"/>
    </xf>
    <xf numFmtId="167" fontId="43" fillId="0" borderId="43" xfId="0" applyNumberFormat="1" applyFont="1" applyBorder="1" applyAlignment="1">
      <alignment horizontal="right"/>
    </xf>
    <xf numFmtId="0" fontId="33" fillId="0" borderId="16" xfId="0" applyFont="1" applyBorder="1"/>
    <xf numFmtId="167" fontId="43" fillId="0" borderId="16" xfId="14" applyNumberFormat="1" applyFont="1" applyFill="1" applyBorder="1" applyAlignment="1">
      <alignment horizontal="right"/>
    </xf>
    <xf numFmtId="167" fontId="43" fillId="0" borderId="44" xfId="14" applyNumberFormat="1" applyFont="1" applyFill="1" applyBorder="1" applyAlignment="1">
      <alignment horizontal="right"/>
    </xf>
    <xf numFmtId="167" fontId="43" fillId="0" borderId="16" xfId="0" applyNumberFormat="1" applyFont="1" applyBorder="1" applyAlignment="1">
      <alignment horizontal="right"/>
    </xf>
    <xf numFmtId="167" fontId="43" fillId="0" borderId="44" xfId="0" applyNumberFormat="1" applyFont="1" applyBorder="1" applyAlignment="1">
      <alignment horizontal="right"/>
    </xf>
    <xf numFmtId="165" fontId="1" fillId="0" borderId="0" xfId="0" applyNumberFormat="1" applyFont="1"/>
    <xf numFmtId="165" fontId="57" fillId="13" borderId="2" xfId="1" applyNumberFormat="1" applyFont="1" applyFill="1" applyBorder="1" applyAlignment="1">
      <alignment horizontal="right"/>
    </xf>
    <xf numFmtId="165" fontId="57" fillId="13" borderId="7" xfId="1" applyNumberFormat="1" applyFont="1" applyFill="1" applyBorder="1" applyAlignment="1">
      <alignment horizontal="right"/>
    </xf>
    <xf numFmtId="0" fontId="58" fillId="0" borderId="0" xfId="0" applyFont="1"/>
    <xf numFmtId="0" fontId="61" fillId="0" borderId="0" xfId="0" applyFont="1" applyAlignment="1">
      <alignment horizontal="center" vertical="center"/>
    </xf>
    <xf numFmtId="0" fontId="58" fillId="0" borderId="0" xfId="0" applyFont="1" applyAlignment="1">
      <alignment horizontal="left"/>
    </xf>
    <xf numFmtId="166" fontId="58" fillId="0" borderId="0" xfId="0" applyNumberFormat="1" applyFont="1"/>
    <xf numFmtId="0" fontId="58" fillId="0" borderId="0" xfId="0" applyFont="1" applyAlignment="1">
      <alignment horizontal="left" indent="1"/>
    </xf>
    <xf numFmtId="0" fontId="61" fillId="0" borderId="16" xfId="0" applyFont="1" applyBorder="1" applyAlignment="1">
      <alignment horizontal="left"/>
    </xf>
    <xf numFmtId="166" fontId="61" fillId="0" borderId="16" xfId="0" applyNumberFormat="1" applyFont="1" applyBorder="1"/>
    <xf numFmtId="0" fontId="58" fillId="0" borderId="17" xfId="0" applyFont="1" applyBorder="1" applyAlignment="1">
      <alignment horizontal="left"/>
    </xf>
    <xf numFmtId="166" fontId="58" fillId="0" borderId="17" xfId="0" applyNumberFormat="1" applyFont="1" applyBorder="1"/>
    <xf numFmtId="0" fontId="62" fillId="0" borderId="17" xfId="0" applyFont="1" applyBorder="1" applyAlignment="1">
      <alignment horizontal="left"/>
    </xf>
    <xf numFmtId="166" fontId="62" fillId="0" borderId="17" xfId="0" applyNumberFormat="1" applyFont="1" applyBorder="1"/>
    <xf numFmtId="0" fontId="58" fillId="0" borderId="0" xfId="0" applyFont="1" applyAlignment="1">
      <alignment horizontal="center" vertical="center"/>
    </xf>
    <xf numFmtId="0" fontId="58" fillId="0" borderId="0" xfId="0" applyFont="1" applyAlignment="1">
      <alignment horizontal="left" indent="2"/>
    </xf>
    <xf numFmtId="0" fontId="64" fillId="0" borderId="0" xfId="0" applyFont="1" applyAlignment="1">
      <alignment horizontal="left" vertical="top"/>
    </xf>
    <xf numFmtId="166" fontId="58" fillId="0" borderId="0" xfId="0" applyNumberFormat="1" applyFont="1" applyAlignment="1">
      <alignment vertical="top"/>
    </xf>
    <xf numFmtId="0" fontId="58" fillId="0" borderId="0" xfId="0" applyFont="1" applyAlignment="1">
      <alignment horizontal="left" vertical="center"/>
    </xf>
    <xf numFmtId="0" fontId="61" fillId="0" borderId="16" xfId="0" applyFont="1" applyBorder="1" applyAlignment="1">
      <alignment horizontal="left" vertical="top"/>
    </xf>
    <xf numFmtId="166" fontId="61" fillId="0" borderId="16" xfId="0" applyNumberFormat="1" applyFont="1" applyBorder="1" applyAlignment="1">
      <alignment vertical="top"/>
    </xf>
    <xf numFmtId="0" fontId="61" fillId="0" borderId="21" xfId="0" applyFont="1" applyBorder="1"/>
    <xf numFmtId="166" fontId="58" fillId="0" borderId="18" xfId="0" applyNumberFormat="1" applyFont="1" applyBorder="1"/>
    <xf numFmtId="166" fontId="58" fillId="0" borderId="24" xfId="0" applyNumberFormat="1" applyFont="1" applyBorder="1"/>
    <xf numFmtId="166" fontId="61" fillId="0" borderId="19" xfId="0" applyNumberFormat="1" applyFont="1" applyBorder="1"/>
    <xf numFmtId="166" fontId="61" fillId="0" borderId="22" xfId="0" applyNumberFormat="1" applyFont="1" applyBorder="1"/>
    <xf numFmtId="0" fontId="61" fillId="0" borderId="21" xfId="0" applyFont="1" applyBorder="1" applyAlignment="1">
      <alignment horizontal="center" vertical="center"/>
    </xf>
    <xf numFmtId="0" fontId="61" fillId="0" borderId="23" xfId="0" applyFont="1" applyBorder="1" applyAlignment="1">
      <alignment horizontal="center" vertical="center"/>
    </xf>
    <xf numFmtId="166" fontId="63" fillId="0" borderId="18" xfId="0" applyNumberFormat="1" applyFont="1" applyBorder="1"/>
    <xf numFmtId="166" fontId="63" fillId="0" borderId="24" xfId="0" applyNumberFormat="1" applyFont="1" applyBorder="1"/>
    <xf numFmtId="0" fontId="61" fillId="0" borderId="16" xfId="0" applyFont="1" applyBorder="1" applyAlignment="1">
      <alignment horizontal="left" indent="1"/>
    </xf>
    <xf numFmtId="0" fontId="66" fillId="0" borderId="0" xfId="0" applyFont="1" applyAlignment="1">
      <alignment horizontal="center" vertical="center"/>
    </xf>
    <xf numFmtId="0" fontId="61" fillId="0" borderId="20" xfId="0" applyFont="1" applyBorder="1" applyAlignment="1">
      <alignment horizontal="center" vertical="center"/>
    </xf>
    <xf numFmtId="0" fontId="61" fillId="0" borderId="0" xfId="0" applyFont="1" applyAlignment="1">
      <alignment horizontal="left"/>
    </xf>
    <xf numFmtId="0" fontId="60" fillId="0" borderId="0" xfId="0" applyFont="1"/>
    <xf numFmtId="0" fontId="61" fillId="0" borderId="45" xfId="0" applyFont="1" applyBorder="1" applyAlignment="1">
      <alignment horizontal="left" indent="1"/>
    </xf>
    <xf numFmtId="166" fontId="61" fillId="0" borderId="45" xfId="0" applyNumberFormat="1" applyFont="1" applyBorder="1"/>
    <xf numFmtId="0" fontId="63" fillId="0" borderId="0" xfId="0" applyFont="1"/>
    <xf numFmtId="166" fontId="58" fillId="0" borderId="0" xfId="0" applyNumberFormat="1" applyFont="1" applyAlignment="1">
      <alignment horizontal="center" vertical="center"/>
    </xf>
    <xf numFmtId="166" fontId="61" fillId="0" borderId="16" xfId="0" applyNumberFormat="1" applyFont="1" applyBorder="1" applyAlignment="1">
      <alignment horizontal="center" vertical="center"/>
    </xf>
    <xf numFmtId="166" fontId="58" fillId="0" borderId="17" xfId="0" applyNumberFormat="1" applyFont="1" applyBorder="1" applyAlignment="1">
      <alignment horizontal="center" vertical="center"/>
    </xf>
    <xf numFmtId="166" fontId="61" fillId="0" borderId="0" xfId="0" applyNumberFormat="1" applyFont="1" applyAlignment="1">
      <alignment horizontal="center" vertical="center"/>
    </xf>
    <xf numFmtId="166" fontId="61" fillId="0" borderId="45" xfId="0" applyNumberFormat="1" applyFont="1" applyBorder="1" applyAlignment="1">
      <alignment horizontal="center" vertical="center"/>
    </xf>
    <xf numFmtId="166" fontId="62" fillId="0" borderId="17" xfId="0" applyNumberFormat="1" applyFont="1" applyBorder="1" applyAlignment="1">
      <alignment horizontal="center" vertical="center"/>
    </xf>
    <xf numFmtId="166" fontId="58" fillId="0" borderId="16" xfId="0" applyNumberFormat="1" applyFont="1" applyBorder="1" applyAlignment="1">
      <alignment horizontal="center" vertical="center"/>
    </xf>
    <xf numFmtId="0" fontId="58" fillId="0" borderId="0" xfId="0" applyFont="1" applyAlignment="1">
      <alignment horizontal="left" indent="3"/>
    </xf>
    <xf numFmtId="0" fontId="60" fillId="0" borderId="20" xfId="0" applyFont="1" applyBorder="1"/>
    <xf numFmtId="0" fontId="58" fillId="0" borderId="46" xfId="0" applyFont="1" applyBorder="1" applyAlignment="1">
      <alignment horizontal="left"/>
    </xf>
    <xf numFmtId="0" fontId="58" fillId="0" borderId="24" xfId="0" applyFont="1" applyBorder="1" applyAlignment="1">
      <alignment horizontal="left"/>
    </xf>
    <xf numFmtId="0" fontId="61" fillId="0" borderId="22" xfId="0" applyFont="1" applyBorder="1" applyAlignment="1">
      <alignment horizontal="left"/>
    </xf>
    <xf numFmtId="0" fontId="63" fillId="0" borderId="0" xfId="0" applyFont="1" applyAlignment="1">
      <alignment horizontal="center" vertical="center"/>
    </xf>
    <xf numFmtId="0" fontId="60" fillId="0" borderId="0" xfId="0" applyFont="1" applyAlignment="1">
      <alignment horizontal="center" vertical="center"/>
    </xf>
    <xf numFmtId="0" fontId="58" fillId="0" borderId="24" xfId="0" applyFont="1" applyBorder="1" applyAlignment="1">
      <alignment horizontal="left" indent="1"/>
    </xf>
    <xf numFmtId="166" fontId="61" fillId="0" borderId="15" xfId="0" applyNumberFormat="1" applyFont="1" applyBorder="1" applyAlignment="1">
      <alignment horizontal="center" vertical="center"/>
    </xf>
    <xf numFmtId="166" fontId="58" fillId="0" borderId="31" xfId="0" applyNumberFormat="1" applyFont="1" applyBorder="1" applyAlignment="1">
      <alignment horizontal="center" vertical="center"/>
    </xf>
    <xf numFmtId="9" fontId="59" fillId="0" borderId="0" xfId="0" applyNumberFormat="1" applyFont="1" applyAlignment="1">
      <alignment horizontal="center" vertical="center"/>
    </xf>
    <xf numFmtId="9" fontId="59" fillId="0" borderId="16" xfId="0" applyNumberFormat="1" applyFont="1" applyBorder="1" applyAlignment="1">
      <alignment horizontal="center" vertical="center"/>
    </xf>
    <xf numFmtId="9" fontId="59" fillId="0" borderId="45" xfId="0" applyNumberFormat="1" applyFont="1" applyBorder="1" applyAlignment="1">
      <alignment horizontal="center" vertical="center"/>
    </xf>
    <xf numFmtId="9" fontId="59" fillId="0" borderId="17" xfId="0" applyNumberFormat="1" applyFont="1" applyBorder="1" applyAlignment="1">
      <alignment horizontal="center" vertical="center"/>
    </xf>
    <xf numFmtId="9" fontId="59" fillId="0" borderId="15" xfId="0" applyNumberFormat="1" applyFont="1" applyBorder="1" applyAlignment="1">
      <alignment horizontal="center" vertical="center"/>
    </xf>
    <xf numFmtId="166" fontId="58" fillId="0" borderId="24" xfId="0" applyNumberFormat="1" applyFont="1" applyBorder="1" applyAlignment="1">
      <alignment horizontal="center" vertical="center"/>
    </xf>
    <xf numFmtId="166" fontId="61" fillId="0" borderId="22" xfId="0" applyNumberFormat="1" applyFont="1" applyBorder="1" applyAlignment="1">
      <alignment horizontal="center" vertical="center"/>
    </xf>
    <xf numFmtId="0" fontId="23" fillId="12" borderId="2" xfId="0" applyFont="1" applyFill="1" applyBorder="1" applyAlignment="1">
      <alignment horizontal="center"/>
    </xf>
    <xf numFmtId="165" fontId="22" fillId="15" borderId="4" xfId="0" applyNumberFormat="1" applyFont="1" applyFill="1" applyBorder="1"/>
    <xf numFmtId="0" fontId="69" fillId="0" borderId="0" xfId="0" applyFont="1" applyAlignment="1">
      <alignment horizontal="center" vertical="center"/>
    </xf>
    <xf numFmtId="0" fontId="67" fillId="0" borderId="0" xfId="0" applyFont="1" applyAlignment="1">
      <alignment horizontal="left"/>
    </xf>
    <xf numFmtId="166" fontId="67" fillId="0" borderId="0" xfId="0" applyNumberFormat="1" applyFont="1"/>
    <xf numFmtId="0" fontId="67" fillId="0" borderId="17" xfId="0" applyFont="1" applyBorder="1" applyAlignment="1">
      <alignment horizontal="left"/>
    </xf>
    <xf numFmtId="166" fontId="67" fillId="0" borderId="17" xfId="0" applyNumberFormat="1" applyFont="1" applyBorder="1"/>
    <xf numFmtId="0" fontId="71" fillId="0" borderId="17" xfId="0" applyFont="1" applyBorder="1" applyAlignment="1">
      <alignment horizontal="left"/>
    </xf>
    <xf numFmtId="166" fontId="71" fillId="0" borderId="17" xfId="0" applyNumberFormat="1" applyFont="1" applyBorder="1"/>
    <xf numFmtId="0" fontId="72" fillId="0" borderId="0" xfId="0" pivotButton="1" applyFont="1"/>
    <xf numFmtId="0" fontId="67" fillId="0" borderId="20" xfId="0" pivotButton="1" applyFont="1" applyBorder="1" applyAlignment="1">
      <alignment horizontal="center" vertical="center"/>
    </xf>
    <xf numFmtId="0" fontId="67" fillId="0" borderId="20" xfId="0" applyFont="1" applyBorder="1" applyAlignment="1">
      <alignment horizontal="center" vertical="center"/>
    </xf>
    <xf numFmtId="0" fontId="73" fillId="18" borderId="0" xfId="0" applyFont="1" applyFill="1"/>
    <xf numFmtId="0" fontId="65" fillId="0" borderId="0" xfId="0" applyFont="1" applyAlignment="1">
      <alignment horizontal="center" vertical="center"/>
    </xf>
    <xf numFmtId="0" fontId="25" fillId="11" borderId="11" xfId="0" applyFont="1" applyFill="1" applyBorder="1" applyAlignment="1">
      <alignment horizontal="left" vertical="top"/>
    </xf>
    <xf numFmtId="0" fontId="26" fillId="10" borderId="3" xfId="0" applyFont="1" applyFill="1" applyBorder="1"/>
    <xf numFmtId="165" fontId="25" fillId="13" borderId="3" xfId="1" applyNumberFormat="1" applyFont="1" applyFill="1" applyBorder="1" applyAlignment="1">
      <alignment horizontal="right"/>
    </xf>
    <xf numFmtId="0" fontId="74" fillId="11" borderId="8" xfId="0" applyFont="1" applyFill="1" applyBorder="1" applyAlignment="1">
      <alignment horizontal="left" vertical="top"/>
    </xf>
    <xf numFmtId="0" fontId="75" fillId="10" borderId="2" xfId="0" applyFont="1" applyFill="1" applyBorder="1"/>
    <xf numFmtId="165" fontId="74" fillId="13" borderId="2" xfId="1" applyNumberFormat="1" applyFont="1" applyFill="1" applyBorder="1" applyAlignment="1">
      <alignment horizontal="right"/>
    </xf>
    <xf numFmtId="0" fontId="74" fillId="11" borderId="11" xfId="0" applyFont="1" applyFill="1" applyBorder="1" applyAlignment="1">
      <alignment horizontal="left" vertical="top"/>
    </xf>
    <xf numFmtId="0" fontId="75" fillId="10" borderId="3" xfId="0" applyFont="1" applyFill="1" applyBorder="1"/>
    <xf numFmtId="165" fontId="74" fillId="13" borderId="3" xfId="1" applyNumberFormat="1" applyFont="1" applyFill="1" applyBorder="1" applyAlignment="1">
      <alignment horizontal="right"/>
    </xf>
    <xf numFmtId="0" fontId="25" fillId="11" borderId="47" xfId="0" applyFont="1" applyFill="1" applyBorder="1" applyAlignment="1">
      <alignment horizontal="left" vertical="top"/>
    </xf>
    <xf numFmtId="0" fontId="26" fillId="10" borderId="4" xfId="0" applyFont="1" applyFill="1" applyBorder="1"/>
    <xf numFmtId="165" fontId="25" fillId="13" borderId="4" xfId="1" applyNumberFormat="1" applyFont="1" applyFill="1" applyBorder="1" applyAlignment="1">
      <alignment horizontal="right"/>
    </xf>
    <xf numFmtId="0" fontId="28" fillId="0" borderId="0" xfId="0" applyFont="1" applyAlignment="1">
      <alignment horizontal="center" vertical="center"/>
    </xf>
    <xf numFmtId="0" fontId="65" fillId="0" borderId="0" xfId="0" applyFont="1" applyAlignment="1">
      <alignment vertical="center"/>
    </xf>
    <xf numFmtId="0" fontId="58" fillId="0" borderId="0" xfId="0" applyFont="1" applyAlignment="1">
      <alignment vertical="center"/>
    </xf>
    <xf numFmtId="0" fontId="60" fillId="20" borderId="0" xfId="0" applyFont="1" applyFill="1"/>
    <xf numFmtId="171" fontId="9" fillId="10" borderId="2" xfId="0" applyNumberFormat="1" applyFont="1" applyFill="1" applyBorder="1" applyAlignment="1">
      <alignment horizontal="center" vertical="center"/>
    </xf>
    <xf numFmtId="172" fontId="9" fillId="19" borderId="2" xfId="0" applyNumberFormat="1" applyFont="1" applyFill="1" applyBorder="1" applyAlignment="1">
      <alignment horizontal="center" vertical="center"/>
    </xf>
    <xf numFmtId="0" fontId="58" fillId="20" borderId="0" xfId="0" applyFont="1" applyFill="1"/>
    <xf numFmtId="0" fontId="61" fillId="0" borderId="0" xfId="0" applyFont="1"/>
    <xf numFmtId="0" fontId="8" fillId="0" borderId="0" xfId="0" applyFont="1"/>
    <xf numFmtId="171" fontId="9" fillId="0" borderId="0" xfId="0" applyNumberFormat="1" applyFont="1" applyAlignment="1">
      <alignment horizontal="center" vertical="center"/>
    </xf>
    <xf numFmtId="172" fontId="9" fillId="0" borderId="0" xfId="0" applyNumberFormat="1" applyFont="1" applyAlignment="1">
      <alignment horizontal="center" vertical="center"/>
    </xf>
    <xf numFmtId="0" fontId="61" fillId="0" borderId="16" xfId="0" applyFont="1" applyBorder="1"/>
    <xf numFmtId="0" fontId="58" fillId="0" borderId="16" xfId="0" applyFont="1" applyBorder="1"/>
    <xf numFmtId="0" fontId="61" fillId="0" borderId="34" xfId="0" applyFont="1" applyBorder="1"/>
    <xf numFmtId="2" fontId="61" fillId="0" borderId="0" xfId="0" applyNumberFormat="1" applyFont="1" applyAlignment="1">
      <alignment horizontal="center" vertical="center"/>
    </xf>
    <xf numFmtId="2" fontId="58" fillId="0" borderId="0" xfId="0" applyNumberFormat="1" applyFont="1" applyAlignment="1">
      <alignment horizontal="center" vertical="center"/>
    </xf>
    <xf numFmtId="2" fontId="59" fillId="0" borderId="0" xfId="0" applyNumberFormat="1" applyFont="1" applyAlignment="1">
      <alignment horizontal="center" vertical="center"/>
    </xf>
    <xf numFmtId="173" fontId="58" fillId="0" borderId="0" xfId="1" applyNumberFormat="1" applyFont="1"/>
    <xf numFmtId="165" fontId="58" fillId="0" borderId="0" xfId="1" applyNumberFormat="1" applyFont="1"/>
    <xf numFmtId="173" fontId="58" fillId="20" borderId="0" xfId="1" applyNumberFormat="1" applyFont="1" applyFill="1"/>
    <xf numFmtId="9" fontId="58" fillId="0" borderId="0" xfId="17" applyFont="1"/>
    <xf numFmtId="0" fontId="58" fillId="0" borderId="0" xfId="0" applyFont="1" applyAlignment="1">
      <alignment horizontal="left" indent="18"/>
    </xf>
    <xf numFmtId="0" fontId="58" fillId="0" borderId="0" xfId="0" applyFont="1" applyAlignment="1">
      <alignment horizontal="left" vertical="top"/>
    </xf>
    <xf numFmtId="165" fontId="58" fillId="0" borderId="0" xfId="17" applyNumberFormat="1" applyFont="1"/>
    <xf numFmtId="166" fontId="58" fillId="0" borderId="0" xfId="1" applyNumberFormat="1" applyFont="1" applyBorder="1" applyAlignment="1">
      <alignment horizontal="right" vertical="center"/>
    </xf>
    <xf numFmtId="166" fontId="58" fillId="0" borderId="0" xfId="1" applyNumberFormat="1" applyFont="1"/>
    <xf numFmtId="166" fontId="61" fillId="0" borderId="34" xfId="1" applyNumberFormat="1" applyFont="1" applyBorder="1"/>
    <xf numFmtId="166" fontId="58" fillId="0" borderId="0" xfId="1" applyNumberFormat="1" applyFont="1" applyBorder="1"/>
    <xf numFmtId="166" fontId="58" fillId="0" borderId="0" xfId="1" applyNumberFormat="1" applyFont="1" applyAlignment="1">
      <alignment horizontal="right"/>
    </xf>
    <xf numFmtId="166" fontId="61" fillId="0" borderId="34" xfId="1" applyNumberFormat="1" applyFont="1" applyBorder="1" applyAlignment="1">
      <alignment horizontal="right"/>
    </xf>
    <xf numFmtId="166" fontId="61" fillId="0" borderId="16" xfId="1" applyNumberFormat="1" applyFont="1" applyBorder="1" applyAlignment="1">
      <alignment horizontal="right"/>
    </xf>
    <xf numFmtId="166" fontId="58" fillId="0" borderId="16" xfId="1" applyNumberFormat="1" applyFont="1" applyBorder="1" applyAlignment="1">
      <alignment horizontal="right"/>
    </xf>
    <xf numFmtId="166" fontId="77" fillId="0" borderId="0" xfId="1" applyNumberFormat="1" applyFont="1"/>
    <xf numFmtId="166" fontId="77" fillId="0" borderId="0" xfId="1" applyNumberFormat="1" applyFont="1" applyAlignment="1">
      <alignment horizontal="right"/>
    </xf>
    <xf numFmtId="166" fontId="77" fillId="0" borderId="0" xfId="1" applyNumberFormat="1" applyFont="1" applyBorder="1" applyAlignment="1">
      <alignment horizontal="right"/>
    </xf>
    <xf numFmtId="166" fontId="77" fillId="0" borderId="0" xfId="1" applyNumberFormat="1" applyFont="1" applyBorder="1" applyAlignment="1">
      <alignment horizontal="right" vertical="center"/>
    </xf>
    <xf numFmtId="0" fontId="58" fillId="0" borderId="0" xfId="0" applyFont="1" applyAlignment="1">
      <alignment vertical="top"/>
    </xf>
    <xf numFmtId="166" fontId="77" fillId="0" borderId="16" xfId="1" applyNumberFormat="1" applyFont="1" applyBorder="1" applyAlignment="1">
      <alignment horizontal="right"/>
    </xf>
    <xf numFmtId="166" fontId="66" fillId="0" borderId="16" xfId="1" applyNumberFormat="1" applyFont="1" applyBorder="1" applyAlignment="1">
      <alignment horizontal="right"/>
    </xf>
    <xf numFmtId="0" fontId="66" fillId="0" borderId="48" xfId="0" applyFont="1" applyBorder="1"/>
    <xf numFmtId="0" fontId="66" fillId="0" borderId="0" xfId="0" applyFont="1"/>
    <xf numFmtId="0" fontId="66" fillId="0" borderId="16" xfId="0" applyFont="1" applyBorder="1"/>
    <xf numFmtId="9" fontId="76" fillId="0" borderId="0" xfId="17" applyFont="1"/>
    <xf numFmtId="0" fontId="58" fillId="0" borderId="20" xfId="0" applyFont="1" applyBorder="1"/>
    <xf numFmtId="166" fontId="58" fillId="0" borderId="20" xfId="1" applyNumberFormat="1" applyFont="1" applyBorder="1"/>
    <xf numFmtId="166" fontId="61" fillId="0" borderId="0" xfId="1" applyNumberFormat="1" applyFont="1"/>
    <xf numFmtId="0" fontId="61" fillId="0" borderId="15" xfId="0" applyFont="1" applyBorder="1"/>
    <xf numFmtId="166" fontId="61" fillId="0" borderId="15" xfId="1" applyNumberFormat="1" applyFont="1" applyBorder="1"/>
    <xf numFmtId="166" fontId="58" fillId="0" borderId="20" xfId="0" applyNumberFormat="1" applyFont="1" applyBorder="1" applyAlignment="1">
      <alignment horizontal="center" vertical="center"/>
    </xf>
    <xf numFmtId="0" fontId="58" fillId="0" borderId="0" xfId="0" applyFont="1" applyAlignment="1">
      <alignment horizontal="left" vertical="center" indent="18"/>
    </xf>
    <xf numFmtId="0" fontId="58" fillId="0" borderId="39" xfId="0" applyFont="1" applyBorder="1" applyAlignment="1">
      <alignment horizontal="left" indent="18"/>
    </xf>
    <xf numFmtId="0" fontId="58" fillId="0" borderId="39" xfId="0" applyFont="1" applyBorder="1"/>
    <xf numFmtId="0" fontId="58" fillId="0" borderId="0" xfId="0" pivotButton="1" applyFont="1"/>
    <xf numFmtId="0" fontId="63" fillId="0" borderId="0" xfId="0" pivotButton="1" applyFont="1"/>
    <xf numFmtId="0" fontId="60" fillId="0" borderId="20" xfId="0" pivotButton="1" applyFont="1" applyBorder="1"/>
    <xf numFmtId="0" fontId="61" fillId="0" borderId="23" xfId="0" applyFont="1" applyBorder="1"/>
    <xf numFmtId="0" fontId="61" fillId="0" borderId="17" xfId="0" applyFont="1" applyBorder="1" applyAlignment="1">
      <alignment horizontal="left"/>
    </xf>
    <xf numFmtId="166" fontId="58" fillId="0" borderId="39" xfId="1" applyNumberFormat="1" applyFont="1" applyBorder="1"/>
    <xf numFmtId="166" fontId="59" fillId="0" borderId="0" xfId="1" applyNumberFormat="1" applyFont="1" applyAlignment="1">
      <alignment horizontal="right"/>
    </xf>
    <xf numFmtId="0" fontId="63" fillId="0" borderId="0" xfId="0" pivotButton="1" applyFont="1" applyAlignment="1">
      <alignment horizontal="center" vertical="center"/>
    </xf>
    <xf numFmtId="0" fontId="60" fillId="0" borderId="0" xfId="0" pivotButton="1" applyFont="1" applyAlignment="1">
      <alignment horizontal="center" vertical="center"/>
    </xf>
    <xf numFmtId="0" fontId="58" fillId="0" borderId="0" xfId="0" pivotButton="1" applyFont="1" applyAlignment="1">
      <alignment horizontal="center" vertical="center"/>
    </xf>
    <xf numFmtId="9" fontId="66" fillId="0" borderId="0" xfId="17" applyFont="1"/>
    <xf numFmtId="9" fontId="58" fillId="0" borderId="0" xfId="0" applyNumberFormat="1" applyFont="1"/>
    <xf numFmtId="166" fontId="58" fillId="0" borderId="0" xfId="17" applyNumberFormat="1" applyFont="1"/>
    <xf numFmtId="166" fontId="58" fillId="20" borderId="0" xfId="1" applyNumberFormat="1" applyFont="1" applyFill="1"/>
    <xf numFmtId="166" fontId="66" fillId="0" borderId="48" xfId="1" applyNumberFormat="1" applyFont="1" applyBorder="1"/>
    <xf numFmtId="166" fontId="59" fillId="0" borderId="0" xfId="0" applyNumberFormat="1" applyFont="1"/>
    <xf numFmtId="171" fontId="78" fillId="0" borderId="0" xfId="0" applyNumberFormat="1" applyFont="1" applyAlignment="1">
      <alignment horizontal="center" vertical="center"/>
    </xf>
    <xf numFmtId="0" fontId="8" fillId="17" borderId="8" xfId="0" applyFont="1" applyFill="1" applyBorder="1"/>
    <xf numFmtId="173" fontId="58" fillId="0" borderId="0" xfId="1" applyNumberFormat="1" applyFont="1" applyFill="1" applyAlignment="1">
      <alignment horizontal="center" vertical="center"/>
    </xf>
    <xf numFmtId="9" fontId="76" fillId="0" borderId="0" xfId="17" applyFont="1" applyFill="1"/>
    <xf numFmtId="9" fontId="58" fillId="0" borderId="0" xfId="17" applyFont="1" applyFill="1"/>
    <xf numFmtId="166" fontId="59" fillId="0" borderId="0" xfId="1" applyNumberFormat="1" applyFont="1" applyFill="1" applyAlignment="1">
      <alignment horizontal="right"/>
    </xf>
    <xf numFmtId="173" fontId="58" fillId="0" borderId="0" xfId="1" applyNumberFormat="1" applyFont="1" applyFill="1"/>
    <xf numFmtId="165" fontId="58" fillId="0" borderId="0" xfId="17" applyNumberFormat="1" applyFont="1" applyFill="1"/>
    <xf numFmtId="165" fontId="58" fillId="0" borderId="0" xfId="1" applyNumberFormat="1" applyFont="1" applyFill="1"/>
    <xf numFmtId="0" fontId="80" fillId="2" borderId="1" xfId="0" applyFont="1" applyFill="1" applyBorder="1" applyAlignment="1">
      <alignment horizontal="center" vertical="center"/>
    </xf>
    <xf numFmtId="173" fontId="76" fillId="2" borderId="0" xfId="1" applyNumberFormat="1" applyFont="1" applyFill="1" applyAlignment="1">
      <alignment horizontal="center" vertical="center"/>
    </xf>
    <xf numFmtId="166" fontId="76" fillId="0" borderId="0" xfId="1" applyNumberFormat="1" applyFont="1" applyAlignment="1">
      <alignment horizontal="right"/>
    </xf>
    <xf numFmtId="173" fontId="76" fillId="0" borderId="0" xfId="1" applyNumberFormat="1" applyFont="1"/>
    <xf numFmtId="165" fontId="76" fillId="0" borderId="0" xfId="17" applyNumberFormat="1" applyFont="1"/>
    <xf numFmtId="165" fontId="76" fillId="0" borderId="0" xfId="1" applyNumberFormat="1" applyFont="1"/>
    <xf numFmtId="0" fontId="76" fillId="0" borderId="0" xfId="0" applyFont="1"/>
    <xf numFmtId="0" fontId="81" fillId="0" borderId="0" xfId="0" applyFont="1"/>
    <xf numFmtId="0" fontId="60" fillId="21" borderId="0" xfId="0" applyFont="1" applyFill="1"/>
    <xf numFmtId="0" fontId="58" fillId="21" borderId="0" xfId="0" applyFont="1" applyFill="1"/>
    <xf numFmtId="0" fontId="76" fillId="21" borderId="0" xfId="0" applyFont="1" applyFill="1"/>
    <xf numFmtId="0" fontId="9" fillId="19" borderId="7" xfId="0" applyFont="1" applyFill="1" applyBorder="1" applyAlignment="1">
      <alignment horizontal="left" vertical="top" indent="2"/>
    </xf>
    <xf numFmtId="0" fontId="58" fillId="2" borderId="2" xfId="0" applyFont="1" applyFill="1" applyBorder="1"/>
    <xf numFmtId="0" fontId="0" fillId="0" borderId="49" xfId="0" applyBorder="1"/>
    <xf numFmtId="0" fontId="0" fillId="0" borderId="15" xfId="0" applyBorder="1"/>
    <xf numFmtId="0" fontId="6" fillId="14" borderId="7" xfId="0" applyFont="1" applyFill="1" applyBorder="1" applyAlignment="1">
      <alignment horizontal="center" vertical="center"/>
    </xf>
    <xf numFmtId="0" fontId="6" fillId="14" borderId="1" xfId="0" applyFont="1" applyFill="1" applyBorder="1" applyAlignment="1">
      <alignment horizontal="center" vertical="center"/>
    </xf>
    <xf numFmtId="0" fontId="6" fillId="14" borderId="8" xfId="0" applyFont="1" applyFill="1" applyBorder="1" applyAlignment="1">
      <alignment horizontal="center" vertical="center"/>
    </xf>
    <xf numFmtId="0" fontId="5" fillId="14" borderId="13" xfId="0" applyFont="1" applyFill="1" applyBorder="1" applyAlignment="1">
      <alignment horizontal="center" vertical="center"/>
    </xf>
    <xf numFmtId="0" fontId="5" fillId="14" borderId="9" xfId="0" applyFont="1" applyFill="1" applyBorder="1" applyAlignment="1">
      <alignment horizontal="center" vertical="center"/>
    </xf>
    <xf numFmtId="0" fontId="9" fillId="14" borderId="13" xfId="0" applyFont="1" applyFill="1" applyBorder="1" applyAlignment="1">
      <alignment horizontal="center" vertical="center"/>
    </xf>
    <xf numFmtId="0" fontId="9" fillId="14" borderId="9" xfId="0" applyFont="1" applyFill="1" applyBorder="1" applyAlignment="1">
      <alignment horizontal="center" vertical="center"/>
    </xf>
    <xf numFmtId="165" fontId="6" fillId="16" borderId="7" xfId="1" applyNumberFormat="1" applyFont="1" applyFill="1" applyBorder="1" applyAlignment="1">
      <alignment horizontal="center" vertical="center"/>
    </xf>
    <xf numFmtId="165" fontId="6" fillId="16" borderId="1" xfId="1" applyNumberFormat="1" applyFont="1" applyFill="1" applyBorder="1" applyAlignment="1">
      <alignment horizontal="center" vertical="center"/>
    </xf>
    <xf numFmtId="165" fontId="6" fillId="16" borderId="8" xfId="1" applyNumberFormat="1" applyFont="1" applyFill="1" applyBorder="1" applyAlignment="1">
      <alignment horizontal="center" vertical="center"/>
    </xf>
    <xf numFmtId="0" fontId="5" fillId="0" borderId="9" xfId="0" applyFont="1" applyBorder="1" applyAlignment="1">
      <alignment horizontal="center" vertical="center"/>
    </xf>
    <xf numFmtId="0" fontId="15" fillId="0" borderId="2" xfId="0" applyFont="1" applyBorder="1" applyAlignment="1">
      <alignment horizont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12" fillId="0" borderId="36" xfId="0" applyFont="1" applyBorder="1" applyAlignment="1">
      <alignment horizontal="left" vertical="top"/>
    </xf>
    <xf numFmtId="0" fontId="12" fillId="0" borderId="0" xfId="0" applyFont="1" applyAlignment="1">
      <alignment horizontal="left" vertical="top"/>
    </xf>
    <xf numFmtId="0" fontId="12" fillId="0" borderId="37" xfId="0" applyFont="1" applyBorder="1" applyAlignment="1">
      <alignment horizontal="left" vertical="top"/>
    </xf>
    <xf numFmtId="0" fontId="37" fillId="0" borderId="36" xfId="6" applyFont="1" applyBorder="1" applyAlignment="1">
      <alignment vertical="justify" wrapText="1"/>
    </xf>
    <xf numFmtId="0" fontId="37" fillId="0" borderId="0" xfId="6" applyFont="1" applyAlignment="1">
      <alignment vertical="justify" wrapText="1"/>
    </xf>
    <xf numFmtId="0" fontId="37" fillId="0" borderId="37" xfId="6" applyFont="1" applyBorder="1" applyAlignment="1">
      <alignment vertical="justify" wrapText="1"/>
    </xf>
    <xf numFmtId="0" fontId="37" fillId="0" borderId="36" xfId="6" applyFont="1" applyBorder="1" applyAlignment="1">
      <alignment horizontal="left" vertical="top" wrapText="1"/>
    </xf>
    <xf numFmtId="0" fontId="37" fillId="0" borderId="0" xfId="6" applyFont="1" applyAlignment="1">
      <alignment horizontal="left" vertical="top" wrapText="1"/>
    </xf>
    <xf numFmtId="0" fontId="37" fillId="0" borderId="37" xfId="6" applyFont="1" applyBorder="1" applyAlignment="1">
      <alignment horizontal="left" vertical="top" wrapText="1"/>
    </xf>
    <xf numFmtId="0" fontId="18" fillId="0" borderId="36" xfId="3" applyFont="1" applyBorder="1" applyAlignment="1">
      <alignment horizontal="left" vertical="top"/>
    </xf>
    <xf numFmtId="0" fontId="18" fillId="0" borderId="0" xfId="3" applyFont="1" applyAlignment="1">
      <alignment horizontal="left" vertical="top"/>
    </xf>
    <xf numFmtId="0" fontId="18" fillId="0" borderId="37" xfId="3" applyFont="1" applyBorder="1" applyAlignment="1">
      <alignment horizontal="left" vertical="top"/>
    </xf>
    <xf numFmtId="0" fontId="36" fillId="0" borderId="36" xfId="3" applyFont="1" applyBorder="1" applyAlignment="1">
      <alignment horizontal="left" vertical="top"/>
    </xf>
    <xf numFmtId="0" fontId="36" fillId="0" borderId="0" xfId="3" applyFont="1" applyAlignment="1">
      <alignment horizontal="left" vertical="top"/>
    </xf>
    <xf numFmtId="0" fontId="36" fillId="0" borderId="37" xfId="3" applyFont="1" applyBorder="1" applyAlignment="1">
      <alignment horizontal="left" vertical="top"/>
    </xf>
    <xf numFmtId="0" fontId="12" fillId="0" borderId="36" xfId="0" applyFont="1" applyBorder="1" applyAlignment="1">
      <alignment horizontal="left" vertical="top" wrapText="1"/>
    </xf>
    <xf numFmtId="0" fontId="34" fillId="0" borderId="41" xfId="0" applyFont="1" applyBorder="1" applyAlignment="1">
      <alignment horizontal="left" vertical="top"/>
    </xf>
    <xf numFmtId="0" fontId="34" fillId="0" borderId="20" xfId="0" applyFont="1" applyBorder="1" applyAlignment="1">
      <alignment horizontal="left" vertical="top"/>
    </xf>
    <xf numFmtId="0" fontId="34" fillId="0" borderId="42" xfId="0" applyFont="1" applyBorder="1" applyAlignment="1">
      <alignment horizontal="left" vertical="top"/>
    </xf>
    <xf numFmtId="0" fontId="12" fillId="0" borderId="0" xfId="0" applyFont="1" applyAlignment="1">
      <alignment horizontal="center" vertical="center"/>
    </xf>
    <xf numFmtId="0" fontId="34" fillId="0" borderId="33" xfId="0" applyFont="1" applyBorder="1" applyAlignment="1">
      <alignment horizontal="left" vertical="top"/>
    </xf>
    <xf numFmtId="0" fontId="34" fillId="0" borderId="34" xfId="0" applyFont="1" applyBorder="1" applyAlignment="1">
      <alignment horizontal="left" vertical="top"/>
    </xf>
    <xf numFmtId="0" fontId="34" fillId="0" borderId="35" xfId="0" applyFont="1" applyBorder="1" applyAlignment="1">
      <alignment horizontal="left" vertical="top"/>
    </xf>
    <xf numFmtId="0" fontId="34" fillId="0" borderId="36" xfId="0" applyFont="1" applyBorder="1" applyAlignment="1">
      <alignment horizontal="left" vertical="top"/>
    </xf>
    <xf numFmtId="0" fontId="34" fillId="0" borderId="0" xfId="0" applyFont="1" applyAlignment="1">
      <alignment horizontal="left" vertical="top"/>
    </xf>
    <xf numFmtId="0" fontId="34" fillId="0" borderId="37" xfId="0" applyFont="1" applyBorder="1" applyAlignment="1">
      <alignment horizontal="left" vertical="top"/>
    </xf>
    <xf numFmtId="0" fontId="17" fillId="0" borderId="36" xfId="3" applyFont="1" applyBorder="1" applyAlignment="1">
      <alignment horizontal="justify" vertical="justify" wrapText="1"/>
    </xf>
    <xf numFmtId="0" fontId="17" fillId="0" borderId="0" xfId="3" applyFont="1" applyAlignment="1">
      <alignment horizontal="justify" vertical="justify"/>
    </xf>
    <xf numFmtId="0" fontId="17" fillId="0" borderId="37" xfId="3" applyFont="1" applyBorder="1" applyAlignment="1">
      <alignment horizontal="justify" vertical="justify"/>
    </xf>
    <xf numFmtId="0" fontId="17" fillId="0" borderId="36" xfId="3" applyFont="1" applyBorder="1" applyAlignment="1">
      <alignment horizontal="justify" vertical="justify"/>
    </xf>
    <xf numFmtId="0" fontId="17" fillId="0" borderId="36" xfId="3" applyFont="1" applyBorder="1" applyAlignment="1">
      <alignment horizontal="justify"/>
    </xf>
    <xf numFmtId="0" fontId="17" fillId="0" borderId="0" xfId="3" applyFont="1" applyAlignment="1">
      <alignment horizontal="justify"/>
    </xf>
    <xf numFmtId="0" fontId="17" fillId="0" borderId="37" xfId="3" applyFont="1" applyBorder="1" applyAlignment="1">
      <alignment horizontal="justify"/>
    </xf>
    <xf numFmtId="0" fontId="17" fillId="0" borderId="36" xfId="3" applyFont="1" applyBorder="1" applyAlignment="1">
      <alignment horizontal="left" vertical="top" wrapText="1"/>
    </xf>
    <xf numFmtId="0" fontId="17" fillId="0" borderId="0" xfId="3" applyFont="1" applyAlignment="1">
      <alignment horizontal="left" vertical="top" wrapText="1"/>
    </xf>
    <xf numFmtId="0" fontId="17" fillId="0" borderId="37" xfId="3" applyFont="1" applyBorder="1" applyAlignment="1">
      <alignment horizontal="left" vertical="top" wrapText="1"/>
    </xf>
    <xf numFmtId="0" fontId="17" fillId="0" borderId="36" xfId="6" applyFont="1" applyBorder="1" applyAlignment="1">
      <alignment horizontal="left" vertical="top" wrapText="1"/>
    </xf>
    <xf numFmtId="0" fontId="17" fillId="0" borderId="0" xfId="6" applyFont="1" applyAlignment="1">
      <alignment horizontal="left" vertical="top" wrapText="1"/>
    </xf>
    <xf numFmtId="0" fontId="17" fillId="0" borderId="37" xfId="6" applyFont="1" applyBorder="1" applyAlignment="1">
      <alignment horizontal="left" vertical="top" wrapText="1"/>
    </xf>
    <xf numFmtId="0" fontId="17" fillId="0" borderId="36" xfId="3" applyFont="1" applyBorder="1" applyAlignment="1">
      <alignment horizontal="left" vertical="top"/>
    </xf>
    <xf numFmtId="0" fontId="17" fillId="0" borderId="0" xfId="3" applyFont="1" applyAlignment="1">
      <alignment horizontal="left" vertical="top"/>
    </xf>
    <xf numFmtId="0" fontId="17" fillId="0" borderId="37" xfId="3" applyFont="1" applyBorder="1" applyAlignment="1">
      <alignment horizontal="left" vertical="top"/>
    </xf>
    <xf numFmtId="0" fontId="36" fillId="0" borderId="36" xfId="6" applyFont="1" applyBorder="1" applyAlignment="1">
      <alignment horizontal="left" vertical="top"/>
    </xf>
    <xf numFmtId="0" fontId="36" fillId="0" borderId="0" xfId="6" applyFont="1" applyAlignment="1">
      <alignment horizontal="left" vertical="top"/>
    </xf>
    <xf numFmtId="0" fontId="36" fillId="0" borderId="37" xfId="6" applyFont="1" applyBorder="1" applyAlignment="1">
      <alignment horizontal="left" vertical="top"/>
    </xf>
    <xf numFmtId="0" fontId="12" fillId="0" borderId="0" xfId="0" applyFont="1"/>
    <xf numFmtId="0" fontId="34" fillId="0" borderId="33" xfId="0" applyFont="1" applyBorder="1" applyAlignment="1">
      <alignment horizontal="left" vertical="center"/>
    </xf>
    <xf numFmtId="0" fontId="34" fillId="0" borderId="34" xfId="0" applyFont="1" applyBorder="1" applyAlignment="1">
      <alignment horizontal="left" vertical="center"/>
    </xf>
    <xf numFmtId="0" fontId="34" fillId="0" borderId="35" xfId="0" applyFont="1" applyBorder="1" applyAlignment="1">
      <alignment horizontal="left" vertical="center"/>
    </xf>
    <xf numFmtId="0" fontId="34" fillId="0" borderId="36" xfId="0" applyFont="1" applyBorder="1" applyAlignment="1">
      <alignment horizontal="left" vertical="center"/>
    </xf>
    <xf numFmtId="0" fontId="34" fillId="0" borderId="0" xfId="0" applyFont="1" applyAlignment="1">
      <alignment horizontal="left" vertical="center"/>
    </xf>
    <xf numFmtId="0" fontId="34" fillId="0" borderId="37" xfId="0" applyFont="1" applyBorder="1" applyAlignment="1">
      <alignment horizontal="left" vertical="center"/>
    </xf>
    <xf numFmtId="0" fontId="34" fillId="0" borderId="41" xfId="0" applyFont="1" applyBorder="1" applyAlignment="1">
      <alignment horizontal="left" vertical="center"/>
    </xf>
    <xf numFmtId="0" fontId="34" fillId="0" borderId="20" xfId="0" applyFont="1" applyBorder="1" applyAlignment="1">
      <alignment horizontal="left" vertical="center"/>
    </xf>
    <xf numFmtId="0" fontId="34" fillId="0" borderId="42" xfId="0" applyFont="1" applyBorder="1" applyAlignment="1">
      <alignment horizontal="left" vertical="center"/>
    </xf>
    <xf numFmtId="0" fontId="11" fillId="0" borderId="0" xfId="0" applyFont="1" applyAlignment="1">
      <alignment horizontal="center" vertical="center"/>
    </xf>
    <xf numFmtId="0" fontId="40" fillId="0" borderId="28" xfId="8" applyNumberFormat="1" applyFont="1" applyBorder="1" applyAlignment="1">
      <alignment horizontal="center" vertical="center" wrapText="1"/>
    </xf>
    <xf numFmtId="0" fontId="40" fillId="0" borderId="0" xfId="8" applyNumberFormat="1" applyFont="1" applyAlignment="1">
      <alignment horizontal="center" vertical="center" wrapText="1"/>
    </xf>
    <xf numFmtId="0" fontId="40" fillId="0" borderId="29" xfId="8" applyNumberFormat="1" applyFont="1" applyBorder="1" applyAlignment="1">
      <alignment horizontal="center" vertical="center" wrapText="1"/>
    </xf>
    <xf numFmtId="0" fontId="12" fillId="0" borderId="28" xfId="0" applyFont="1" applyBorder="1" applyAlignment="1">
      <alignment horizontal="center"/>
    </xf>
    <xf numFmtId="0" fontId="12" fillId="0" borderId="0" xfId="0" applyFont="1" applyAlignment="1">
      <alignment horizontal="center"/>
    </xf>
    <xf numFmtId="0" fontId="12" fillId="0" borderId="29" xfId="0" applyFont="1" applyBorder="1" applyAlignment="1">
      <alignment horizont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33" fillId="0" borderId="36" xfId="7" applyFont="1" applyBorder="1" applyAlignment="1">
      <alignment horizontal="left" vertical="top" wrapText="1"/>
    </xf>
    <xf numFmtId="0" fontId="33" fillId="0" borderId="0" xfId="7" applyFont="1" applyAlignment="1">
      <alignment horizontal="left" vertical="top"/>
    </xf>
    <xf numFmtId="0" fontId="33" fillId="0" borderId="37" xfId="7" applyFont="1" applyBorder="1" applyAlignment="1">
      <alignment horizontal="left" vertical="top"/>
    </xf>
    <xf numFmtId="0" fontId="33" fillId="0" borderId="36" xfId="7" applyFont="1" applyBorder="1" applyAlignment="1">
      <alignment horizontal="left" vertical="top"/>
    </xf>
    <xf numFmtId="0" fontId="17" fillId="0" borderId="36" xfId="7" applyFont="1" applyBorder="1" applyAlignment="1">
      <alignment horizontal="left" vertical="top" wrapText="1"/>
    </xf>
    <xf numFmtId="0" fontId="17" fillId="0" borderId="0" xfId="7" applyFont="1" applyAlignment="1">
      <alignment horizontal="left" vertical="top"/>
    </xf>
    <xf numFmtId="0" fontId="17" fillId="0" borderId="37" xfId="7" applyFont="1" applyBorder="1" applyAlignment="1">
      <alignment horizontal="left" vertical="top"/>
    </xf>
    <xf numFmtId="0" fontId="17" fillId="0" borderId="36" xfId="7" applyFont="1" applyBorder="1" applyAlignment="1">
      <alignment horizontal="left" vertical="top"/>
    </xf>
    <xf numFmtId="0" fontId="36" fillId="0" borderId="36" xfId="7" applyFont="1" applyBorder="1" applyAlignment="1">
      <alignment horizontal="justify" vertical="justify"/>
    </xf>
    <xf numFmtId="0" fontId="36" fillId="0" borderId="0" xfId="7" applyFont="1" applyAlignment="1">
      <alignment horizontal="justify" vertical="justify"/>
    </xf>
    <xf numFmtId="0" fontId="37" fillId="0" borderId="36" xfId="6" applyFont="1" applyBorder="1" applyAlignment="1">
      <alignment horizontal="left" vertical="justify" wrapText="1"/>
    </xf>
    <xf numFmtId="0" fontId="37" fillId="0" borderId="0" xfId="6" applyFont="1" applyAlignment="1">
      <alignment horizontal="left" vertical="justify"/>
    </xf>
    <xf numFmtId="0" fontId="37" fillId="0" borderId="37" xfId="6" applyFont="1" applyBorder="1" applyAlignment="1">
      <alignment horizontal="left" vertical="justify"/>
    </xf>
    <xf numFmtId="0" fontId="37" fillId="0" borderId="36" xfId="6" applyFont="1" applyBorder="1" applyAlignment="1">
      <alignment horizontal="left" vertical="justify"/>
    </xf>
    <xf numFmtId="0" fontId="37" fillId="0" borderId="36" xfId="6" applyFont="1" applyBorder="1" applyAlignment="1">
      <alignment horizontal="left" vertical="top"/>
    </xf>
    <xf numFmtId="0" fontId="37" fillId="0" borderId="0" xfId="6" applyFont="1" applyAlignment="1">
      <alignment horizontal="left" vertical="top"/>
    </xf>
    <xf numFmtId="0" fontId="37" fillId="0" borderId="37" xfId="6" applyFont="1" applyBorder="1" applyAlignment="1">
      <alignment horizontal="left" vertical="top"/>
    </xf>
    <xf numFmtId="0" fontId="17" fillId="0" borderId="0" xfId="7" applyFont="1" applyAlignment="1">
      <alignment horizontal="left" vertical="top" wrapText="1"/>
    </xf>
    <xf numFmtId="0" fontId="17" fillId="0" borderId="37" xfId="7" applyFont="1" applyBorder="1" applyAlignment="1">
      <alignment horizontal="left" vertical="top" wrapText="1"/>
    </xf>
    <xf numFmtId="0" fontId="36" fillId="0" borderId="36" xfId="7" applyFont="1" applyBorder="1" applyAlignment="1">
      <alignment horizontal="left"/>
    </xf>
    <xf numFmtId="0" fontId="36" fillId="0" borderId="0" xfId="7" applyFont="1" applyAlignment="1">
      <alignment horizontal="left"/>
    </xf>
    <xf numFmtId="0" fontId="17" fillId="0" borderId="36" xfId="7" applyFont="1" applyBorder="1" applyAlignment="1">
      <alignment horizontal="justify"/>
    </xf>
    <xf numFmtId="0" fontId="17" fillId="0" borderId="0" xfId="7" applyFont="1" applyAlignment="1">
      <alignment horizontal="justify"/>
    </xf>
    <xf numFmtId="0" fontId="17" fillId="0" borderId="37" xfId="7" applyFont="1" applyBorder="1" applyAlignment="1">
      <alignment horizontal="justify"/>
    </xf>
    <xf numFmtId="0" fontId="33" fillId="0" borderId="0" xfId="7" applyFont="1" applyAlignment="1">
      <alignment horizontal="left" vertical="top" wrapText="1"/>
    </xf>
    <xf numFmtId="0" fontId="33" fillId="0" borderId="37" xfId="7" applyFont="1" applyBorder="1" applyAlignment="1">
      <alignment horizontal="left" vertical="top" wrapText="1"/>
    </xf>
    <xf numFmtId="0" fontId="30" fillId="0" borderId="36" xfId="7" applyBorder="1" applyAlignment="1">
      <alignment horizontal="left" vertical="top" wrapText="1"/>
    </xf>
    <xf numFmtId="0" fontId="30" fillId="0" borderId="0" xfId="7" applyAlignment="1">
      <alignment horizontal="left" vertical="top" wrapText="1"/>
    </xf>
    <xf numFmtId="0" fontId="30" fillId="0" borderId="37" xfId="7" applyBorder="1" applyAlignment="1">
      <alignment horizontal="left" vertical="top" wrapText="1"/>
    </xf>
    <xf numFmtId="0" fontId="30" fillId="0" borderId="0" xfId="7" applyAlignment="1">
      <alignment horizontal="left" vertical="top"/>
    </xf>
    <xf numFmtId="0" fontId="30" fillId="0" borderId="37" xfId="7" applyBorder="1" applyAlignment="1">
      <alignment horizontal="left" vertical="top"/>
    </xf>
    <xf numFmtId="0" fontId="30" fillId="0" borderId="36" xfId="7" applyBorder="1" applyAlignment="1">
      <alignment horizontal="left" vertical="top"/>
    </xf>
    <xf numFmtId="0" fontId="40" fillId="0" borderId="33" xfId="0" applyFont="1" applyBorder="1" applyAlignment="1">
      <alignment horizontal="center" vertical="center"/>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0" xfId="0" applyFont="1" applyAlignment="1">
      <alignment horizontal="center" vertical="center"/>
    </xf>
    <xf numFmtId="0" fontId="40" fillId="0" borderId="37" xfId="0" applyFont="1" applyBorder="1" applyAlignment="1">
      <alignment horizontal="center" vertical="center"/>
    </xf>
    <xf numFmtId="4" fontId="40" fillId="0" borderId="38" xfId="3" applyNumberFormat="1" applyFont="1" applyBorder="1" applyAlignment="1">
      <alignment horizontal="center" vertical="center"/>
    </xf>
    <xf numFmtId="4" fontId="40" fillId="0" borderId="39" xfId="3" applyNumberFormat="1" applyFont="1" applyBorder="1" applyAlignment="1">
      <alignment horizontal="center" vertical="center"/>
    </xf>
    <xf numFmtId="4" fontId="40" fillId="0" borderId="40" xfId="3" applyNumberFormat="1" applyFont="1" applyBorder="1" applyAlignment="1">
      <alignment horizontal="center" vertical="center"/>
    </xf>
    <xf numFmtId="0" fontId="41" fillId="0" borderId="0" xfId="12" applyFont="1" applyAlignment="1">
      <alignment horizontal="left" vertical="top" wrapText="1"/>
    </xf>
    <xf numFmtId="0" fontId="33" fillId="0" borderId="0" xfId="9" applyFont="1" applyAlignment="1">
      <alignment horizontal="left" vertical="top" wrapText="1"/>
    </xf>
    <xf numFmtId="0" fontId="33" fillId="0" borderId="0" xfId="9" applyFont="1" applyAlignment="1">
      <alignment horizontal="left" vertical="top"/>
    </xf>
    <xf numFmtId="0" fontId="41" fillId="0" borderId="0" xfId="0" applyFont="1" applyAlignment="1">
      <alignment horizontal="left" wrapText="1"/>
    </xf>
    <xf numFmtId="0" fontId="33" fillId="0" borderId="0" xfId="13" applyNumberFormat="1" applyFont="1" applyBorder="1" applyAlignment="1">
      <alignment horizontal="left" vertical="top" wrapText="1"/>
    </xf>
    <xf numFmtId="0" fontId="33" fillId="0" borderId="0" xfId="13" applyNumberFormat="1" applyFont="1" applyBorder="1" applyAlignment="1">
      <alignment horizontal="left" vertical="top"/>
    </xf>
    <xf numFmtId="4" fontId="40" fillId="0" borderId="41" xfId="3" applyNumberFormat="1" applyFont="1" applyBorder="1" applyAlignment="1">
      <alignment horizontal="center" vertical="center"/>
    </xf>
    <xf numFmtId="4" fontId="40" fillId="0" borderId="20" xfId="3" applyNumberFormat="1" applyFont="1" applyBorder="1" applyAlignment="1">
      <alignment horizontal="center" vertical="center"/>
    </xf>
    <xf numFmtId="4" fontId="40" fillId="0" borderId="42" xfId="3" applyNumberFormat="1" applyFont="1" applyBorder="1" applyAlignment="1">
      <alignment horizontal="center" vertical="center"/>
    </xf>
    <xf numFmtId="37" fontId="41" fillId="0" borderId="0" xfId="0" applyNumberFormat="1" applyFont="1" applyAlignment="1">
      <alignment horizontal="left" vertical="top" wrapText="1"/>
    </xf>
    <xf numFmtId="37" fontId="41" fillId="0" borderId="0" xfId="0" applyNumberFormat="1" applyFont="1" applyAlignment="1">
      <alignment horizontal="left" vertical="top"/>
    </xf>
    <xf numFmtId="0" fontId="41" fillId="0" borderId="0" xfId="9" applyFont="1" applyAlignment="1">
      <alignment horizontal="left" vertical="top" wrapText="1"/>
    </xf>
    <xf numFmtId="0" fontId="41" fillId="0" borderId="0" xfId="9" applyFont="1" applyAlignment="1">
      <alignment horizontal="left" vertical="top"/>
    </xf>
    <xf numFmtId="0" fontId="41" fillId="0" borderId="0" xfId="0" applyFont="1" applyAlignment="1">
      <alignment horizontal="left" vertical="top" wrapText="1"/>
    </xf>
    <xf numFmtId="0" fontId="41" fillId="0" borderId="0" xfId="0" applyFont="1" applyAlignment="1">
      <alignment horizontal="left" vertical="top"/>
    </xf>
    <xf numFmtId="0" fontId="40" fillId="0" borderId="36" xfId="0" applyFont="1" applyBorder="1" applyAlignment="1">
      <alignment horizontal="center"/>
    </xf>
    <xf numFmtId="0" fontId="40" fillId="0" borderId="0" xfId="0" applyFont="1" applyAlignment="1">
      <alignment horizontal="center"/>
    </xf>
    <xf numFmtId="4" fontId="40" fillId="0" borderId="36" xfId="3" applyNumberFormat="1" applyFont="1" applyBorder="1" applyAlignment="1">
      <alignment horizontal="center" vertical="center"/>
    </xf>
    <xf numFmtId="4" fontId="40" fillId="0" borderId="0" xfId="3" applyNumberFormat="1" applyFont="1" applyAlignment="1">
      <alignment horizontal="center" vertical="center"/>
    </xf>
    <xf numFmtId="169" fontId="41" fillId="0" borderId="0" xfId="11" applyNumberFormat="1" applyFont="1" applyAlignment="1">
      <alignment horizontal="left" vertical="top" wrapText="1"/>
    </xf>
    <xf numFmtId="0" fontId="41" fillId="0" borderId="0" xfId="12" applyFont="1" applyAlignment="1">
      <alignment horizontal="justify" vertical="center" wrapText="1"/>
    </xf>
    <xf numFmtId="0" fontId="65" fillId="0" borderId="0" xfId="0" applyFont="1" applyAlignment="1">
      <alignment horizontal="center" vertical="center"/>
    </xf>
    <xf numFmtId="0" fontId="58" fillId="0" borderId="0" xfId="0" applyFont="1" applyAlignment="1">
      <alignment horizontal="center" vertical="center"/>
    </xf>
    <xf numFmtId="0" fontId="9" fillId="10" borderId="2" xfId="0" applyFont="1" applyFill="1" applyBorder="1" applyAlignment="1">
      <alignment horizontal="center" vertical="center"/>
    </xf>
    <xf numFmtId="0" fontId="9" fillId="19" borderId="2" xfId="0" applyFont="1" applyFill="1" applyBorder="1" applyAlignment="1">
      <alignment horizontal="center" vertical="center"/>
    </xf>
    <xf numFmtId="0" fontId="9" fillId="19" borderId="7" xfId="0" applyFont="1" applyFill="1" applyBorder="1"/>
    <xf numFmtId="0" fontId="9" fillId="19" borderId="1" xfId="0" applyFont="1" applyFill="1" applyBorder="1"/>
    <xf numFmtId="0" fontId="9" fillId="19" borderId="8" xfId="0" applyFont="1" applyFill="1" applyBorder="1"/>
    <xf numFmtId="0" fontId="79" fillId="0" borderId="9" xfId="0" applyFont="1" applyBorder="1" applyAlignment="1">
      <alignment vertical="center"/>
    </xf>
    <xf numFmtId="0" fontId="79" fillId="0" borderId="9" xfId="0" applyFont="1" applyBorder="1" applyAlignment="1">
      <alignment horizontal="center" vertical="center"/>
    </xf>
    <xf numFmtId="0" fontId="68" fillId="0" borderId="0" xfId="0" applyFont="1" applyBorder="1" applyAlignment="1">
      <alignment horizontal="center" vertical="center"/>
    </xf>
    <xf numFmtId="0" fontId="70" fillId="0" borderId="0" xfId="0" pivotButton="1" applyFont="1" applyBorder="1"/>
    <xf numFmtId="0" fontId="69" fillId="0" borderId="0" xfId="0" applyFont="1" applyBorder="1" applyAlignment="1">
      <alignment horizontal="center" vertical="center"/>
    </xf>
    <xf numFmtId="0" fontId="67" fillId="0" borderId="0" xfId="0" applyFont="1" applyBorder="1" applyAlignment="1">
      <alignment horizontal="left"/>
    </xf>
    <xf numFmtId="166" fontId="67" fillId="0" borderId="0" xfId="0" applyNumberFormat="1" applyFont="1" applyBorder="1"/>
    <xf numFmtId="0" fontId="67" fillId="0" borderId="0" xfId="0" pivotButton="1" applyFont="1" applyBorder="1" applyAlignment="1">
      <alignment horizontal="center" vertical="center"/>
    </xf>
    <xf numFmtId="0" fontId="67" fillId="0" borderId="0" xfId="0" applyFont="1" applyBorder="1" applyAlignment="1">
      <alignment horizontal="center" vertical="center"/>
    </xf>
  </cellXfs>
  <cellStyles count="18">
    <cellStyle name="Comma" xfId="1" builtinId="3"/>
    <cellStyle name="Comma 2" xfId="14" xr:uid="{00000000-0005-0000-0000-000001000000}"/>
    <cellStyle name="Comma 2 8" xfId="15" xr:uid="{00000000-0005-0000-0000-000002000000}"/>
    <cellStyle name="Comma 3 3 2" xfId="13" xr:uid="{00000000-0005-0000-0000-000003000000}"/>
    <cellStyle name="Comma 30 2" xfId="16" xr:uid="{00000000-0005-0000-0000-000004000000}"/>
    <cellStyle name="Normal" xfId="0" builtinId="0"/>
    <cellStyle name="Normal 10 4" xfId="12" xr:uid="{00000000-0005-0000-0000-000006000000}"/>
    <cellStyle name="Normal 11 3" xfId="3" xr:uid="{00000000-0005-0000-0000-000007000000}"/>
    <cellStyle name="Normal 11 3 2" xfId="4" xr:uid="{00000000-0005-0000-0000-000008000000}"/>
    <cellStyle name="Normal 12 2" xfId="6" xr:uid="{00000000-0005-0000-0000-000009000000}"/>
    <cellStyle name="Normal 14" xfId="8" xr:uid="{00000000-0005-0000-0000-00000A000000}"/>
    <cellStyle name="Normal 2" xfId="10" xr:uid="{00000000-0005-0000-0000-00000B000000}"/>
    <cellStyle name="Normal 2 2 2 2" xfId="2" xr:uid="{00000000-0005-0000-0000-00000C000000}"/>
    <cellStyle name="Normal 2 2 2 2 2" xfId="9" xr:uid="{00000000-0005-0000-0000-00000D000000}"/>
    <cellStyle name="Normal 3 3" xfId="11" xr:uid="{00000000-0005-0000-0000-00000E000000}"/>
    <cellStyle name="Normal 4" xfId="5" xr:uid="{00000000-0005-0000-0000-00000F000000}"/>
    <cellStyle name="Normal 4 2" xfId="7" xr:uid="{00000000-0005-0000-0000-000010000000}"/>
    <cellStyle name="Percent" xfId="17" builtinId="5"/>
  </cellStyles>
  <dxfs count="1788">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alignment vertical="top" indent="0" readingOrder="0"/>
    </dxf>
    <dxf>
      <alignment vertical="top" indent="0" readingOrder="0"/>
    </dxf>
    <dxf>
      <border>
        <bottom style="medium">
          <color indexed="64"/>
        </bottom>
      </border>
    </dxf>
    <dxf>
      <border>
        <top style="thin">
          <color indexed="64"/>
        </top>
      </border>
    </dxf>
    <dxf>
      <alignment horizontal="center" readingOrder="0"/>
    </dxf>
    <dxf>
      <alignment vertical="center" readingOrder="0"/>
    </dxf>
    <dxf>
      <border>
        <left style="thin">
          <color indexed="64"/>
        </left>
      </border>
    </dxf>
    <dxf>
      <border>
        <top style="thin">
          <color indexed="64"/>
        </top>
        <bottom style="double">
          <color indexed="64"/>
        </bottom>
      </border>
    </dxf>
    <dxf>
      <font>
        <b/>
      </font>
    </dxf>
    <dxf>
      <font>
        <b/>
      </font>
    </dxf>
    <dxf>
      <font>
        <b/>
      </font>
    </dxf>
    <dxf>
      <font>
        <b/>
      </font>
    </dxf>
    <dxf>
      <font>
        <u/>
      </font>
    </dxf>
    <dxf>
      <font>
        <u/>
      </font>
    </dxf>
    <dxf>
      <font>
        <u val="double"/>
      </font>
    </dxf>
    <dxf>
      <font>
        <u val="double"/>
      </font>
    </dxf>
    <dxf>
      <alignment vertical="top" indent="0" readingOrder="0"/>
    </dxf>
    <dxf>
      <alignment vertical="top" indent="0" readingOrder="0"/>
    </dxf>
    <dxf>
      <alignment horizontal="right" indent="2" readingOrder="0"/>
    </dxf>
    <dxf>
      <alignment horizontal="center" indent="0" readingOrder="0"/>
    </dxf>
    <dxf>
      <alignment vertical="center" readingOrder="0"/>
    </dxf>
    <dxf>
      <alignment horizontal="left" readingOrder="0"/>
    </dxf>
    <dxf>
      <alignment horizontal="left" readingOrder="0"/>
    </dxf>
    <dxf>
      <alignment horizontal="center" readingOrder="0"/>
    </dxf>
    <dxf>
      <alignment vertical="top" readingOrder="0"/>
    </dxf>
    <dxf>
      <alignment vertical="center" readingOrder="0"/>
    </dxf>
    <dxf>
      <alignment horizontal="left" readingOrder="0"/>
    </dxf>
    <dxf>
      <border>
        <bottom style="thin">
          <color indexed="64"/>
        </bottom>
      </border>
    </dxf>
    <dxf>
      <border>
        <bottom style="thin">
          <color indexed="64"/>
        </bottom>
      </border>
    </dxf>
    <dxf>
      <font>
        <b/>
      </font>
    </dxf>
    <dxf>
      <font>
        <b/>
      </font>
    </dxf>
    <dxf>
      <font>
        <sz val="12"/>
      </font>
    </dxf>
    <dxf>
      <border outline="0">
        <bottom/>
      </border>
    </dxf>
    <dxf>
      <border outline="0">
        <bottom/>
      </border>
    </dxf>
    <dxf>
      <border>
        <left/>
      </border>
    </dxf>
    <dxf>
      <border>
        <left/>
      </border>
    </dxf>
    <dxf>
      <border>
        <left/>
      </border>
    </dxf>
    <dxf>
      <alignment horizontal="center" readingOrder="0"/>
    </dxf>
    <dxf>
      <alignment horizontal="center" readingOrder="0"/>
    </dxf>
    <dxf>
      <alignment vertical="center" readingOrder="0"/>
    </dxf>
    <dxf>
      <alignment vertical="center" readingOrder="0"/>
    </dxf>
    <dxf>
      <font>
        <color theme="0"/>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alignment horizontal="center" readingOrder="0"/>
    </dxf>
    <dxf>
      <alignment vertic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alignment vertical="top" indent="0" readingOrder="0"/>
    </dxf>
    <dxf>
      <alignment vertical="top" indent="0" readingOrder="0"/>
    </dxf>
    <dxf>
      <border>
        <bottom style="medium">
          <color indexed="64"/>
        </bottom>
      </border>
    </dxf>
    <dxf>
      <border>
        <top style="thin">
          <color indexed="64"/>
        </top>
      </border>
    </dxf>
    <dxf>
      <alignment horizontal="center" readingOrder="0"/>
    </dxf>
    <dxf>
      <alignment vertical="center" readingOrder="0"/>
    </dxf>
    <dxf>
      <border>
        <left style="thin">
          <color indexed="64"/>
        </left>
      </border>
    </dxf>
    <dxf>
      <border>
        <top style="thin">
          <color indexed="64"/>
        </top>
        <bottom style="double">
          <color indexed="64"/>
        </bottom>
      </border>
    </dxf>
    <dxf>
      <font>
        <b/>
      </font>
    </dxf>
    <dxf>
      <font>
        <b/>
      </font>
    </dxf>
    <dxf>
      <font>
        <b/>
      </font>
    </dxf>
    <dxf>
      <font>
        <b/>
      </font>
    </dxf>
    <dxf>
      <font>
        <u/>
      </font>
    </dxf>
    <dxf>
      <font>
        <u/>
      </font>
    </dxf>
    <dxf>
      <font>
        <u val="double"/>
      </font>
    </dxf>
    <dxf>
      <font>
        <u val="double"/>
      </font>
    </dxf>
    <dxf>
      <alignment vertical="top" indent="0" readingOrder="0"/>
    </dxf>
    <dxf>
      <alignment vertical="top" indent="0" readingOrder="0"/>
    </dxf>
    <dxf>
      <alignment horizontal="right" indent="2" readingOrder="0"/>
    </dxf>
    <dxf>
      <alignment horizontal="center" indent="0" readingOrder="0"/>
    </dxf>
    <dxf>
      <alignment vertical="center" readingOrder="0"/>
    </dxf>
    <dxf>
      <alignment horizontal="left" readingOrder="0"/>
    </dxf>
    <dxf>
      <alignment horizontal="left" readingOrder="0"/>
    </dxf>
    <dxf>
      <alignment horizontal="center" readingOrder="0"/>
    </dxf>
    <dxf>
      <alignment vertical="top" readingOrder="0"/>
    </dxf>
    <dxf>
      <alignment vertical="center" readingOrder="0"/>
    </dxf>
    <dxf>
      <alignment horizontal="left" readingOrder="0"/>
    </dxf>
    <dxf>
      <border>
        <bottom style="thin">
          <color indexed="64"/>
        </bottom>
      </border>
    </dxf>
    <dxf>
      <border>
        <bottom style="thin">
          <color indexed="64"/>
        </bottom>
      </border>
    </dxf>
    <dxf>
      <font>
        <b/>
      </font>
    </dxf>
    <dxf>
      <font>
        <b/>
      </font>
    </dxf>
    <dxf>
      <font>
        <sz val="12"/>
      </font>
    </dxf>
    <dxf>
      <border outline="0">
        <bottom/>
      </border>
    </dxf>
    <dxf>
      <border outline="0">
        <bottom/>
      </border>
    </dxf>
    <dxf>
      <border>
        <left/>
      </border>
    </dxf>
    <dxf>
      <border>
        <left/>
      </border>
    </dxf>
    <dxf>
      <border>
        <left/>
      </border>
    </dxf>
    <dxf>
      <alignment horizontal="center" readingOrder="0"/>
    </dxf>
    <dxf>
      <alignment horizontal="center" readingOrder="0"/>
    </dxf>
    <dxf>
      <alignment vertical="center" readingOrder="0"/>
    </dxf>
    <dxf>
      <alignment vertical="center" readingOrder="0"/>
    </dxf>
    <dxf>
      <font>
        <color theme="0"/>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alignment horizontal="center" readingOrder="0"/>
    </dxf>
    <dxf>
      <alignment vertic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alignment vertical="top" indent="0" readingOrder="0"/>
    </dxf>
    <dxf>
      <alignment vertical="top" indent="0" readingOrder="0"/>
    </dxf>
    <dxf>
      <border>
        <bottom style="medium">
          <color indexed="64"/>
        </bottom>
      </border>
    </dxf>
    <dxf>
      <border>
        <top style="thin">
          <color indexed="64"/>
        </top>
      </border>
    </dxf>
    <dxf>
      <alignment horizontal="center" readingOrder="0"/>
    </dxf>
    <dxf>
      <alignment vertical="center" readingOrder="0"/>
    </dxf>
    <dxf>
      <border>
        <left style="thin">
          <color indexed="64"/>
        </left>
      </border>
    </dxf>
    <dxf>
      <border>
        <top style="thin">
          <color indexed="64"/>
        </top>
        <bottom style="double">
          <color indexed="64"/>
        </bottom>
      </border>
    </dxf>
    <dxf>
      <font>
        <b/>
      </font>
    </dxf>
    <dxf>
      <font>
        <b/>
      </font>
    </dxf>
    <dxf>
      <font>
        <b/>
      </font>
    </dxf>
    <dxf>
      <font>
        <b/>
      </font>
    </dxf>
    <dxf>
      <font>
        <u/>
      </font>
    </dxf>
    <dxf>
      <font>
        <u/>
      </font>
    </dxf>
    <dxf>
      <font>
        <u val="double"/>
      </font>
    </dxf>
    <dxf>
      <font>
        <u val="double"/>
      </font>
    </dxf>
    <dxf>
      <alignment vertical="top" indent="0" readingOrder="0"/>
    </dxf>
    <dxf>
      <alignment vertical="top" indent="0" readingOrder="0"/>
    </dxf>
    <dxf>
      <alignment horizontal="right" indent="2" readingOrder="0"/>
    </dxf>
    <dxf>
      <alignment horizontal="center" indent="0" readingOrder="0"/>
    </dxf>
    <dxf>
      <alignment vertical="center" readingOrder="0"/>
    </dxf>
    <dxf>
      <alignment horizontal="left" readingOrder="0"/>
    </dxf>
    <dxf>
      <alignment horizontal="left" readingOrder="0"/>
    </dxf>
    <dxf>
      <alignment horizontal="center" readingOrder="0"/>
    </dxf>
    <dxf>
      <alignment vertical="top" readingOrder="0"/>
    </dxf>
    <dxf>
      <alignment vertical="center" readingOrder="0"/>
    </dxf>
    <dxf>
      <alignment horizontal="left" readingOrder="0"/>
    </dxf>
    <dxf>
      <border>
        <bottom style="thin">
          <color indexed="64"/>
        </bottom>
      </border>
    </dxf>
    <dxf>
      <border>
        <bottom style="thin">
          <color indexed="64"/>
        </bottom>
      </border>
    </dxf>
    <dxf>
      <font>
        <b/>
      </font>
    </dxf>
    <dxf>
      <font>
        <b/>
      </font>
    </dxf>
    <dxf>
      <font>
        <sz val="12"/>
      </font>
    </dxf>
    <dxf>
      <border outline="0">
        <bottom/>
      </border>
    </dxf>
    <dxf>
      <border outline="0">
        <bottom/>
      </border>
    </dxf>
    <dxf>
      <border>
        <left/>
      </border>
    </dxf>
    <dxf>
      <border>
        <left/>
      </border>
    </dxf>
    <dxf>
      <border>
        <left/>
      </border>
    </dxf>
    <dxf>
      <alignment horizontal="center" readingOrder="0"/>
    </dxf>
    <dxf>
      <alignment horizontal="center" readingOrder="0"/>
    </dxf>
    <dxf>
      <alignment vertical="center" readingOrder="0"/>
    </dxf>
    <dxf>
      <alignment vertical="center" readingOrder="0"/>
    </dxf>
    <dxf>
      <font>
        <color theme="0"/>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alignment horizontal="center" readingOrder="0"/>
    </dxf>
    <dxf>
      <alignment vertic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alignment vertical="top" indent="0" readingOrder="0"/>
    </dxf>
    <dxf>
      <alignment vertical="top" indent="0" readingOrder="0"/>
    </dxf>
    <dxf>
      <border>
        <bottom style="medium">
          <color indexed="64"/>
        </bottom>
      </border>
    </dxf>
    <dxf>
      <border>
        <top style="thin">
          <color indexed="64"/>
        </top>
      </border>
    </dxf>
    <dxf>
      <alignment horizontal="center" readingOrder="0"/>
    </dxf>
    <dxf>
      <alignment vertical="center" readingOrder="0"/>
    </dxf>
    <dxf>
      <border>
        <left style="thin">
          <color indexed="64"/>
        </left>
      </border>
    </dxf>
    <dxf>
      <border>
        <top style="thin">
          <color indexed="64"/>
        </top>
        <bottom style="double">
          <color indexed="64"/>
        </bottom>
      </border>
    </dxf>
    <dxf>
      <font>
        <b/>
      </font>
    </dxf>
    <dxf>
      <font>
        <b/>
      </font>
    </dxf>
    <dxf>
      <font>
        <b/>
      </font>
    </dxf>
    <dxf>
      <font>
        <b/>
      </font>
    </dxf>
    <dxf>
      <font>
        <u/>
      </font>
    </dxf>
    <dxf>
      <font>
        <u/>
      </font>
    </dxf>
    <dxf>
      <font>
        <u val="double"/>
      </font>
    </dxf>
    <dxf>
      <font>
        <u val="double"/>
      </font>
    </dxf>
    <dxf>
      <alignment vertical="top" indent="0" readingOrder="0"/>
    </dxf>
    <dxf>
      <alignment vertical="top" indent="0" readingOrder="0"/>
    </dxf>
    <dxf>
      <alignment horizontal="right" indent="2" readingOrder="0"/>
    </dxf>
    <dxf>
      <alignment horizontal="center" indent="0" readingOrder="0"/>
    </dxf>
    <dxf>
      <alignment vertical="center" readingOrder="0"/>
    </dxf>
    <dxf>
      <alignment horizontal="left" readingOrder="0"/>
    </dxf>
    <dxf>
      <alignment horizontal="left" readingOrder="0"/>
    </dxf>
    <dxf>
      <alignment horizontal="center" readingOrder="0"/>
    </dxf>
    <dxf>
      <alignment vertical="top" readingOrder="0"/>
    </dxf>
    <dxf>
      <alignment vertical="center" readingOrder="0"/>
    </dxf>
    <dxf>
      <alignment horizontal="left" readingOrder="0"/>
    </dxf>
    <dxf>
      <border>
        <bottom style="thin">
          <color indexed="64"/>
        </bottom>
      </border>
    </dxf>
    <dxf>
      <border>
        <bottom style="thin">
          <color indexed="64"/>
        </bottom>
      </border>
    </dxf>
    <dxf>
      <font>
        <b/>
      </font>
    </dxf>
    <dxf>
      <font>
        <b/>
      </font>
    </dxf>
    <dxf>
      <font>
        <sz val="12"/>
      </font>
    </dxf>
    <dxf>
      <border outline="0">
        <bottom/>
      </border>
    </dxf>
    <dxf>
      <border outline="0">
        <bottom/>
      </border>
    </dxf>
    <dxf>
      <border>
        <left/>
      </border>
    </dxf>
    <dxf>
      <border>
        <left/>
      </border>
    </dxf>
    <dxf>
      <border>
        <left/>
      </border>
    </dxf>
    <dxf>
      <alignment horizontal="center" readingOrder="0"/>
    </dxf>
    <dxf>
      <alignment horizontal="center" readingOrder="0"/>
    </dxf>
    <dxf>
      <alignment vertical="center" readingOrder="0"/>
    </dxf>
    <dxf>
      <alignment vertical="center" readingOrder="0"/>
    </dxf>
    <dxf>
      <font>
        <color theme="0"/>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alignment horizontal="center" readingOrder="0"/>
    </dxf>
    <dxf>
      <alignment vertic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horizontal="center" readingOrder="0"/>
    </dxf>
    <dxf>
      <alignment vertical="center" readingOrder="0"/>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top style="thin">
          <color indexed="64"/>
        </top>
      </border>
    </dxf>
    <dxf>
      <border>
        <bottom style="medium">
          <color indexed="64"/>
        </bottom>
      </border>
    </dxf>
    <dxf>
      <border>
        <top style="thin">
          <color indexed="64"/>
        </top>
        <bottom style="double">
          <color indexed="64"/>
        </bottom>
      </border>
    </dxf>
    <dxf>
      <border>
        <top style="thin">
          <color indexed="64"/>
        </top>
      </border>
    </dxf>
    <dxf>
      <border>
        <bottom style="medium">
          <color indexed="64"/>
        </bottom>
      </border>
    </dxf>
    <dxf>
      <border>
        <top style="thin">
          <color indexed="64"/>
        </top>
      </border>
    </dxf>
    <dxf>
      <font>
        <color theme="0"/>
      </font>
    </dxf>
    <dxf>
      <border>
        <top style="thin">
          <color indexed="64"/>
        </top>
        <bottom style="double">
          <color indexed="64"/>
        </bottom>
      </border>
    </dxf>
    <dxf>
      <font>
        <color theme="0"/>
      </font>
    </dxf>
    <dxf>
      <font>
        <color auto="1"/>
      </font>
    </dxf>
    <dxf>
      <alignment horizontal="right" readingOrder="0"/>
    </dxf>
    <dxf>
      <alignment horizontal="center" readingOrder="0"/>
    </dxf>
    <dxf>
      <alignment vertical="center" readingOrder="0"/>
    </dxf>
    <dxf>
      <font>
        <b/>
      </font>
    </dxf>
    <dxf>
      <font>
        <sz val="12"/>
      </font>
    </dxf>
    <dxf>
      <font>
        <b/>
      </font>
    </dxf>
    <dxf>
      <font>
        <b/>
      </font>
    </dxf>
    <dxf>
      <border>
        <bottom style="thin">
          <color indexed="64"/>
        </bottom>
      </border>
    </dxf>
    <dxf>
      <font>
        <b/>
      </font>
    </dxf>
    <dxf>
      <font>
        <i/>
      </font>
    </dxf>
    <dxf>
      <font>
        <i/>
      </font>
    </dxf>
    <dxf>
      <font>
        <b/>
      </font>
    </dxf>
    <dxf>
      <border outline="0">
        <bottom/>
      </border>
    </dxf>
    <dxf>
      <border outline="0">
        <bottom/>
      </border>
    </dxf>
    <dxf>
      <border>
        <left/>
      </border>
    </dxf>
    <dxf>
      <alignment horizontal="center" readingOrder="0"/>
    </dxf>
    <dxf>
      <alignment horizontal="center" readingOrder="0"/>
    </dxf>
    <dxf>
      <alignment vertical="center" readingOrder="0"/>
    </dxf>
    <dxf>
      <alignment vertical="center" readingOrder="0"/>
    </dxf>
    <dxf>
      <font>
        <b/>
      </font>
    </dxf>
    <dxf>
      <font>
        <b/>
      </font>
    </dxf>
    <dxf>
      <numFmt numFmtId="166" formatCode="#,###;\(#,###\)"/>
    </dxf>
    <dxf>
      <border>
        <bottom style="medium">
          <color indexed="64"/>
        </bottom>
      </border>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border outline="0">
        <left/>
        <right/>
        <top/>
        <bottom/>
      </border>
    </dxf>
    <dxf>
      <alignment horizontal="center" readingOrder="0"/>
    </dxf>
    <dxf>
      <alignment vertic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top style="thin">
          <color indexed="64"/>
        </top>
      </border>
    </dxf>
    <dxf>
      <border>
        <bottom style="medium">
          <color indexed="64"/>
        </bottom>
      </border>
    </dxf>
    <dxf>
      <border>
        <top style="thin">
          <color indexed="64"/>
        </top>
        <bottom style="double">
          <color indexed="64"/>
        </bottom>
      </border>
    </dxf>
    <dxf>
      <border>
        <top style="thin">
          <color indexed="64"/>
        </top>
      </border>
    </dxf>
    <dxf>
      <border>
        <bottom style="medium">
          <color indexed="64"/>
        </bottom>
      </border>
    </dxf>
    <dxf>
      <border>
        <top style="thin">
          <color indexed="64"/>
        </top>
      </border>
    </dxf>
    <dxf>
      <font>
        <color theme="0"/>
      </font>
    </dxf>
    <dxf>
      <border>
        <top style="thin">
          <color indexed="64"/>
        </top>
        <bottom style="double">
          <color indexed="64"/>
        </bottom>
      </border>
    </dxf>
    <dxf>
      <font>
        <color theme="0"/>
      </font>
    </dxf>
    <dxf>
      <font>
        <color auto="1"/>
      </font>
    </dxf>
    <dxf>
      <alignment horizontal="right" readingOrder="0"/>
    </dxf>
    <dxf>
      <alignment horizontal="center" readingOrder="0"/>
    </dxf>
    <dxf>
      <alignment vertical="center" readingOrder="0"/>
    </dxf>
    <dxf>
      <font>
        <b/>
      </font>
    </dxf>
    <dxf>
      <font>
        <sz val="12"/>
      </font>
    </dxf>
    <dxf>
      <font>
        <b/>
      </font>
    </dxf>
    <dxf>
      <font>
        <b/>
      </font>
    </dxf>
    <dxf>
      <border>
        <bottom style="thin">
          <color indexed="64"/>
        </bottom>
      </border>
    </dxf>
    <dxf>
      <font>
        <b/>
      </font>
    </dxf>
    <dxf>
      <font>
        <i/>
      </font>
    </dxf>
    <dxf>
      <font>
        <i/>
      </font>
    </dxf>
    <dxf>
      <font>
        <b/>
      </font>
    </dxf>
    <dxf>
      <border outline="0">
        <bottom/>
      </border>
    </dxf>
    <dxf>
      <border outline="0">
        <bottom/>
      </border>
    </dxf>
    <dxf>
      <border>
        <left/>
      </border>
    </dxf>
    <dxf>
      <alignment horizontal="center" readingOrder="0"/>
    </dxf>
    <dxf>
      <alignment horizontal="center" readingOrder="0"/>
    </dxf>
    <dxf>
      <alignment vertical="center" readingOrder="0"/>
    </dxf>
    <dxf>
      <alignment vertical="center" readingOrder="0"/>
    </dxf>
    <dxf>
      <font>
        <b/>
      </font>
    </dxf>
    <dxf>
      <font>
        <b/>
      </font>
    </dxf>
    <dxf>
      <numFmt numFmtId="166" formatCode="#,###;\(#,###\)"/>
    </dxf>
    <dxf>
      <border>
        <bottom style="medium">
          <color indexed="64"/>
        </bottom>
      </border>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border outline="0">
        <left/>
        <right/>
        <top/>
        <bottom/>
      </border>
    </dxf>
    <dxf>
      <alignment horizontal="center" readingOrder="0"/>
    </dxf>
    <dxf>
      <alignment vertic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ill>
        <patternFill>
          <bgColor theme="8" tint="-0.24994659260841701"/>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7030A0"/>
        </patternFill>
      </fill>
    </dxf>
    <dxf>
      <font>
        <b/>
        <i/>
        <color rgb="FF00B050"/>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vertical="center" readingOrder="0"/>
    </dxf>
    <dxf>
      <alignment horizont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color theme="0"/>
      </font>
    </dxf>
    <dxf>
      <font>
        <b/>
      </font>
    </dxf>
    <dxf>
      <border>
        <left style="thin">
          <color indexed="64"/>
        </left>
      </border>
    </dxf>
    <dxf>
      <border>
        <left style="thin">
          <color indexed="64"/>
        </left>
      </border>
    </dxf>
    <dxf>
      <border>
        <left style="thin">
          <color indexed="64"/>
        </left>
      </border>
    </dxf>
    <dxf>
      <border>
        <right style="thin">
          <color indexed="64"/>
        </right>
      </border>
    </dxf>
    <dxf>
      <border>
        <top style="thin">
          <color indexed="64"/>
        </top>
        <bottom style="double">
          <color indexed="64"/>
        </bottom>
      </border>
    </dxf>
    <dxf>
      <numFmt numFmtId="166" formatCode="#,###;\(#,###\)"/>
    </dxf>
    <dxf>
      <font>
        <color theme="0"/>
      </font>
    </dxf>
    <dxf>
      <font>
        <color theme="0"/>
      </font>
    </dxf>
    <dxf>
      <font>
        <color theme="0"/>
      </font>
    </dxf>
    <dxf>
      <border outline="0">
        <top style="thin">
          <color indexed="64"/>
        </top>
        <bottom style="thin">
          <color indexed="64"/>
        </bottom>
      </border>
    </dxf>
    <dxf>
      <border outline="0">
        <top style="thin">
          <color indexed="64"/>
        </top>
        <bottom style="thin">
          <color indexed="64"/>
        </bottom>
      </border>
    </dxf>
    <dxf>
      <font>
        <color theme="0"/>
      </font>
    </dxf>
    <dxf>
      <font>
        <color theme="0"/>
      </font>
    </dxf>
    <dxf>
      <font>
        <color theme="0"/>
      </font>
    </dxf>
    <dxf>
      <font>
        <b/>
      </font>
    </dxf>
    <dxf>
      <font>
        <b/>
      </font>
    </dxf>
    <dxf>
      <font>
        <b/>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right style="thin">
          <color indexed="64"/>
        </right>
      </border>
    </dxf>
    <dxf>
      <border>
        <left style="thin">
          <color indexed="64"/>
        </left>
      </border>
    </dxf>
    <dxf>
      <border>
        <left style="thin">
          <color indexed="64"/>
        </left>
      </border>
    </dxf>
    <dxf>
      <border>
        <left style="thin">
          <color indexed="64"/>
        </left>
      </border>
    </dxf>
    <dxf>
      <border>
        <top style="thin">
          <color indexed="64"/>
        </top>
        <bottom style="double">
          <color indexed="64"/>
        </bottom>
      </border>
    </dxf>
    <dxf>
      <font>
        <color theme="0"/>
      </font>
    </dxf>
    <dxf>
      <alignment horizontal="center" readingOrder="0"/>
    </dxf>
    <dxf>
      <alignment horizontal="center" readingOrder="0"/>
    </dxf>
    <dxf>
      <alignment horizontal="center" readingOrder="0"/>
    </dxf>
    <dxf>
      <alignment vertical="center" readingOrder="0"/>
    </dxf>
    <dxf>
      <alignment vertical="center" readingOrder="0"/>
    </dxf>
    <dxf>
      <font>
        <color theme="0"/>
      </font>
    </dxf>
    <dxf>
      <font>
        <color theme="0"/>
      </font>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vertical="center" readingOrder="0"/>
    </dxf>
    <dxf>
      <alignment horizontal="center" readingOrder="0"/>
    </dxf>
    <dxf>
      <border outline="0">
        <left/>
        <right/>
        <top/>
        <bottom/>
      </border>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border>
        <bottom style="medium">
          <color indexed="64"/>
        </bottom>
      </border>
    </dxf>
    <dxf>
      <numFmt numFmtId="166" formatCode="#,###;\(#,###\)"/>
    </dxf>
    <dxf>
      <font>
        <b/>
      </font>
    </dxf>
    <dxf>
      <font>
        <b/>
      </font>
    </dxf>
    <dxf>
      <alignment vertical="center" readingOrder="0"/>
    </dxf>
    <dxf>
      <alignment vertical="center" readingOrder="0"/>
    </dxf>
    <dxf>
      <alignment horizontal="center" readingOrder="0"/>
    </dxf>
    <dxf>
      <alignment horizontal="center" readingOrder="0"/>
    </dxf>
    <dxf>
      <border>
        <left/>
      </border>
    </dxf>
    <dxf>
      <border outline="0">
        <bottom/>
      </border>
    </dxf>
    <dxf>
      <border outline="0">
        <bottom/>
      </border>
    </dxf>
    <dxf>
      <font>
        <b/>
      </font>
    </dxf>
    <dxf>
      <font>
        <i/>
      </font>
    </dxf>
    <dxf>
      <font>
        <i/>
      </font>
    </dxf>
    <dxf>
      <font>
        <b/>
      </font>
    </dxf>
    <dxf>
      <border>
        <bottom style="thin">
          <color indexed="64"/>
        </bottom>
      </border>
    </dxf>
    <dxf>
      <font>
        <b/>
      </font>
    </dxf>
    <dxf>
      <font>
        <b/>
      </font>
    </dxf>
    <dxf>
      <font>
        <sz val="12"/>
      </font>
    </dxf>
    <dxf>
      <font>
        <b/>
      </font>
    </dxf>
    <dxf>
      <alignment vertical="center" readingOrder="0"/>
    </dxf>
    <dxf>
      <alignment horizontal="center" readingOrder="0"/>
    </dxf>
    <dxf>
      <alignment horizontal="right" readingOrder="0"/>
    </dxf>
    <dxf>
      <font>
        <color auto="1"/>
      </font>
    </dxf>
    <dxf>
      <font>
        <color theme="0"/>
      </font>
    </dxf>
    <dxf>
      <border>
        <top style="thin">
          <color indexed="64"/>
        </top>
        <bottom style="double">
          <color indexed="64"/>
        </bottom>
      </border>
    </dxf>
    <dxf>
      <font>
        <color theme="0"/>
      </font>
    </dxf>
    <dxf>
      <border>
        <top style="thin">
          <color indexed="64"/>
        </top>
      </border>
    </dxf>
    <dxf>
      <border>
        <bottom style="medium">
          <color indexed="64"/>
        </bottom>
      </border>
    </dxf>
    <dxf>
      <border>
        <top style="thin">
          <color indexed="64"/>
        </top>
      </border>
    </dxf>
    <dxf>
      <border>
        <top style="thin">
          <color indexed="64"/>
        </top>
        <bottom style="double">
          <color indexed="64"/>
        </bottom>
      </border>
    </dxf>
    <dxf>
      <border>
        <bottom style="medium">
          <color indexed="64"/>
        </bottom>
      </border>
    </dxf>
    <dxf>
      <border>
        <top style="thin">
          <color indexed="64"/>
        </top>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border outline="0">
        <left/>
        <right/>
        <top/>
        <bottom/>
      </border>
    </dxf>
    <dxf>
      <border outline="0">
        <left/>
        <right/>
        <top/>
        <bottom/>
      </border>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color theme="0"/>
      </font>
    </dxf>
    <dxf>
      <border>
        <right style="thin">
          <color indexed="64"/>
        </right>
      </border>
    </dxf>
    <dxf>
      <border>
        <right style="thin">
          <color indexed="64"/>
        </right>
      </border>
    </dxf>
    <dxf>
      <border>
        <top style="thin">
          <color indexed="64"/>
        </top>
      </border>
    </dxf>
    <dxf>
      <border>
        <top style="thin">
          <color indexed="64"/>
        </top>
      </border>
    </dxf>
    <dxf>
      <border>
        <left style="thin">
          <color indexed="64"/>
        </left>
      </border>
    </dxf>
    <dxf>
      <numFmt numFmtId="166" formatCode="#,###;\(#,###\)"/>
    </dxf>
    <dxf>
      <border>
        <bottom style="thin">
          <color indexed="64"/>
        </bottom>
      </border>
    </dxf>
    <dxf>
      <border>
        <bottom style="thin">
          <color indexed="64"/>
        </bottom>
      </border>
    </dxf>
    <dxf>
      <border>
        <bottom style="thin">
          <color indexed="64"/>
        </bottom>
      </border>
    </dxf>
    <dxf>
      <font>
        <b/>
      </font>
    </dxf>
    <dxf>
      <font>
        <b/>
      </font>
    </dxf>
    <dxf>
      <font>
        <b/>
      </font>
    </dxf>
    <dxf>
      <border>
        <left style="thin">
          <color indexed="64"/>
        </left>
      </border>
    </dxf>
    <dxf>
      <border>
        <left style="thin">
          <color indexed="64"/>
        </left>
      </border>
    </dxf>
    <dxf>
      <border>
        <left style="thin">
          <color indexed="64"/>
        </left>
      </border>
    </dxf>
    <dxf>
      <border>
        <left style="thin">
          <color indexed="64"/>
        </left>
      </border>
    </dxf>
    <dxf>
      <font>
        <b/>
      </font>
    </dxf>
    <dxf>
      <font>
        <color theme="0"/>
      </font>
    </dxf>
    <dxf>
      <font>
        <color theme="0"/>
      </font>
    </dxf>
    <dxf>
      <font>
        <color theme="0"/>
      </font>
    </dxf>
    <dxf>
      <border>
        <top style="thin">
          <color indexed="64"/>
        </top>
        <bottom style="double">
          <color indexed="64"/>
        </bottom>
      </border>
    </dxf>
    <dxf>
      <border outline="0">
        <left/>
        <right/>
        <top/>
        <bottom/>
      </border>
    </dxf>
    <dxf>
      <font>
        <b/>
      </font>
    </dxf>
    <dxf>
      <border>
        <top style="thin">
          <color indexed="64"/>
        </top>
        <bottom style="double">
          <color indexed="64"/>
        </bottom>
      </border>
    </dxf>
    <dxf>
      <alignment vertical="center" readingOrder="0"/>
    </dxf>
    <dxf>
      <alignment horizont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vertical="center" readingOrder="0"/>
    </dxf>
    <dxf>
      <alignment horizontal="center" readingOrder="0"/>
    </dxf>
    <dxf>
      <border outline="0">
        <left/>
        <right/>
        <top/>
        <bottom/>
      </border>
    </dxf>
    <dxf>
      <alignment vertical="center" readingOrder="0"/>
    </dxf>
    <dxf>
      <alignment horizont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color theme="0"/>
      </font>
    </dxf>
    <dxf>
      <alignment vertical="center" readingOrder="0"/>
    </dxf>
    <dxf>
      <alignment vertical="center" readingOrder="0"/>
    </dxf>
    <dxf>
      <alignment horizontal="center" readingOrder="0"/>
    </dxf>
    <dxf>
      <alignment horizontal="center" readingOrder="0"/>
    </dxf>
    <dxf>
      <border>
        <left/>
      </border>
    </dxf>
    <dxf>
      <border>
        <left/>
      </border>
    </dxf>
    <dxf>
      <border>
        <left/>
      </border>
    </dxf>
    <dxf>
      <border outline="0">
        <bottom/>
      </border>
    </dxf>
    <dxf>
      <border outline="0">
        <bottom/>
      </border>
    </dxf>
    <dxf>
      <font>
        <sz val="12"/>
      </font>
    </dxf>
    <dxf>
      <font>
        <b/>
      </font>
    </dxf>
    <dxf>
      <font>
        <b/>
      </font>
    </dxf>
    <dxf>
      <border>
        <bottom style="thin">
          <color indexed="64"/>
        </bottom>
      </border>
    </dxf>
    <dxf>
      <border>
        <bottom style="thin">
          <color indexed="64"/>
        </bottom>
      </border>
    </dxf>
    <dxf>
      <alignment horizontal="left" readingOrder="0"/>
    </dxf>
    <dxf>
      <alignment vertical="center" readingOrder="0"/>
    </dxf>
    <dxf>
      <alignment vertical="top" readingOrder="0"/>
    </dxf>
    <dxf>
      <alignment horizontal="center" readingOrder="0"/>
    </dxf>
    <dxf>
      <alignment horizontal="left" readingOrder="0"/>
    </dxf>
    <dxf>
      <alignment horizontal="left" readingOrder="0"/>
    </dxf>
    <dxf>
      <alignment vertical="center" readingOrder="0"/>
    </dxf>
    <dxf>
      <alignment horizontal="center" indent="0" readingOrder="0"/>
    </dxf>
    <dxf>
      <alignment horizontal="right" indent="2" readingOrder="0"/>
    </dxf>
    <dxf>
      <alignment vertical="top" indent="0" readingOrder="0"/>
    </dxf>
    <dxf>
      <alignment vertical="top" indent="0" readingOrder="0"/>
    </dxf>
    <dxf>
      <font>
        <u val="double"/>
      </font>
    </dxf>
    <dxf>
      <font>
        <u val="double"/>
      </font>
    </dxf>
    <dxf>
      <font>
        <u/>
      </font>
    </dxf>
    <dxf>
      <font>
        <u/>
      </font>
    </dxf>
    <dxf>
      <font>
        <b/>
      </font>
    </dxf>
    <dxf>
      <font>
        <b/>
      </font>
    </dxf>
    <dxf>
      <font>
        <b/>
      </font>
    </dxf>
    <dxf>
      <font>
        <b/>
      </font>
    </dxf>
    <dxf>
      <border>
        <top style="thin">
          <color indexed="64"/>
        </top>
        <bottom style="double">
          <color indexed="64"/>
        </bottom>
      </border>
    </dxf>
    <dxf>
      <border>
        <left style="thin">
          <color indexed="64"/>
        </left>
      </border>
    </dxf>
    <dxf>
      <alignment vertical="center" readingOrder="0"/>
    </dxf>
    <dxf>
      <alignment horizontal="center" readingOrder="0"/>
    </dxf>
    <dxf>
      <border>
        <top style="thin">
          <color indexed="64"/>
        </top>
      </border>
    </dxf>
    <dxf>
      <border>
        <bottom style="medium">
          <color indexed="64"/>
        </bottom>
      </border>
    </dxf>
    <dxf>
      <alignment vertical="top" indent="0" readingOrder="0"/>
    </dxf>
    <dxf>
      <alignment vertical="top" indent="0" readingOrder="0"/>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bottom style="thin">
          <color indexed="64"/>
        </bottom>
      </border>
    </dxf>
    <dxf>
      <alignment vertical="center" readingOrder="0"/>
    </dxf>
    <dxf>
      <alignment horizontal="center" readingOrder="0"/>
    </dxf>
    <dxf>
      <border>
        <bottom style="thin">
          <color indexed="64"/>
        </bottom>
      </border>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vertical="center" readingOrder="0"/>
    </dxf>
    <dxf>
      <alignment horizontal="center" readingOrder="0"/>
    </dxf>
    <dxf>
      <border>
        <bottom style="thin">
          <color indexed="64"/>
        </bottom>
      </border>
    </dxf>
    <dxf>
      <border outline="0">
        <left/>
        <right/>
        <top/>
        <bottom/>
      </border>
    </dxf>
    <dxf>
      <alignment vertical="center" readingOrder="0"/>
    </dxf>
    <dxf>
      <alignment horizontal="center" readingOrder="0"/>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font>
        <name val="Palatino Linotype"/>
        <scheme val="none"/>
      </font>
    </dxf>
    <dxf>
      <alignment vertical="center" readingOrder="0"/>
    </dxf>
    <dxf>
      <alignment horizontal="center" readingOrder="0"/>
    </dxf>
    <dxf>
      <font>
        <b/>
      </font>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font>
        <b/>
      </font>
    </dxf>
    <dxf>
      <font>
        <b/>
      </font>
    </dxf>
    <dxf>
      <numFmt numFmtId="166" formatCode="#,###;\(#,###\)"/>
    </dxf>
    <dxf>
      <numFmt numFmtId="166" formatCode="#,###;\(#,###\)"/>
    </dxf>
    <dxf>
      <alignment vertical="center" readingOrder="0"/>
    </dxf>
    <dxf>
      <alignment vertical="center" readingOrder="0"/>
    </dxf>
    <dxf>
      <alignment horizontal="center" readingOrder="0"/>
    </dxf>
    <dxf>
      <alignment horizontal="center" readingOrder="0"/>
    </dxf>
    <dxf>
      <border>
        <left/>
      </border>
    </dxf>
    <dxf>
      <border outline="0">
        <bottom/>
      </border>
    </dxf>
    <dxf>
      <border outline="0">
        <bottom/>
      </border>
    </dxf>
    <dxf>
      <font>
        <b/>
      </font>
    </dxf>
    <dxf>
      <border>
        <bottom style="thin">
          <color indexed="64"/>
        </bottom>
      </border>
    </dxf>
    <dxf>
      <border>
        <bottom style="medium">
          <color indexed="64"/>
        </bottom>
      </border>
    </dxf>
    <dxf>
      <border>
        <top style="thin">
          <color indexed="64"/>
        </top>
      </border>
    </dxf>
    <dxf>
      <border>
        <bottom style="double">
          <color indexed="64"/>
        </bottom>
      </border>
    </dxf>
    <dxf>
      <border>
        <top style="thin">
          <color indexed="64"/>
        </top>
      </border>
    </dxf>
    <dxf>
      <border>
        <bottom style="medium">
          <color indexed="64"/>
        </bottom>
      </border>
    </dxf>
    <dxf>
      <font>
        <color theme="0"/>
      </font>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border outline="0">
        <left/>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4" tint="0.79998168889431442"/>
        </patternFill>
      </fill>
    </dxf>
    <dxf>
      <border>
        <bottom style="thin">
          <color theme="0"/>
        </bottom>
      </border>
    </dxf>
    <dxf>
      <font>
        <b val="0"/>
        <i val="0"/>
        <strike val="0"/>
        <condense val="0"/>
        <extend val="0"/>
        <outline val="0"/>
        <shadow val="0"/>
        <u val="none"/>
        <vertAlign val="baseline"/>
        <sz val="11"/>
        <color theme="1"/>
        <name val="Times New Roman"/>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b val="0"/>
        <i val="0"/>
        <strike val="0"/>
        <condense val="0"/>
        <extend val="0"/>
        <outline val="0"/>
        <shadow val="0"/>
        <u val="none"/>
        <vertAlign val="baseline"/>
        <sz val="11"/>
        <color theme="1"/>
        <name val="Times New Roman"/>
        <scheme val="none"/>
      </font>
    </dxf>
    <dxf>
      <border>
        <bottom style="thin">
          <color theme="0"/>
        </bottom>
      </border>
    </dxf>
    <dxf>
      <font>
        <b/>
        <i val="0"/>
        <strike val="0"/>
        <condense val="0"/>
        <extend val="0"/>
        <outline val="0"/>
        <shadow val="0"/>
        <u val="none"/>
        <vertAlign val="baseline"/>
        <sz val="11"/>
        <color theme="0"/>
        <name val="Times New Roman"/>
        <scheme val="none"/>
      </font>
      <fill>
        <patternFill patternType="solid">
          <fgColor indexed="64"/>
          <bgColor theme="1" tint="0.14999847407452621"/>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Times New Roman"/>
        <scheme val="none"/>
      </font>
      <numFmt numFmtId="167" formatCode="_(* #,##0_);_(* \(#,##0\);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strike val="0"/>
        <outline val="0"/>
        <shadow val="0"/>
        <u val="singleAccounting"/>
        <vertAlign val="baseline"/>
        <sz val="11"/>
        <color auto="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fill>
        <patternFill patternType="none">
          <fgColor indexed="64"/>
          <bgColor auto="1"/>
        </patternFill>
      </fill>
    </dxf>
    <dxf>
      <border>
        <bottom style="thin">
          <color theme="0"/>
        </bottom>
      </border>
    </dxf>
    <dxf>
      <font>
        <b val="0"/>
        <i val="0"/>
        <strike val="0"/>
        <condense val="0"/>
        <extend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Times New Roman"/>
        <scheme val="none"/>
      </font>
      <numFmt numFmtId="165" formatCode="_-* #,##0_-;\-* #,##0_-;_-* &quot;-&quot;??_-;_-@_-"/>
      <fill>
        <patternFill patternType="solid">
          <fgColor indexed="64"/>
          <bgColor theme="4" tint="0.79998168889431442"/>
        </patternFill>
      </fill>
      <border diagonalUp="0" diagonalDown="0" outline="0">
        <left style="thin">
          <color theme="0"/>
        </left>
        <right style="thin">
          <color theme="0"/>
        </right>
        <top style="thin">
          <color indexed="64"/>
        </top>
        <bottom style="double">
          <color indexed="64"/>
        </bottom>
      </border>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fill>
        <patternFill patternType="solid">
          <fgColor indexed="64"/>
          <bgColor theme="1" tint="0.499984740745262"/>
        </patternFill>
      </fill>
    </dxf>
    <dxf>
      <font>
        <b val="0"/>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_-* #,##0_-;\-* #,##0_-;_-* &quot;-&quot;??_-;_-@_-"/>
      <fill>
        <gradientFill degree="45">
          <stop position="0">
            <color rgb="FF3399FF"/>
          </stop>
          <stop position="1">
            <color rgb="FF46D6EA"/>
          </stop>
        </gradient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1"/>
        <name val="Times New Roman"/>
        <scheme val="none"/>
      </font>
    </dxf>
    <dxf>
      <border outline="0">
        <top style="thin">
          <color theme="0"/>
        </top>
      </border>
    </dxf>
    <dxf>
      <font>
        <strike val="0"/>
        <outline val="0"/>
        <shadow val="0"/>
        <u val="none"/>
        <vertAlign val="baseline"/>
        <sz val="11"/>
        <name val="Times New Roman"/>
        <scheme val="none"/>
      </font>
    </dxf>
    <dxf>
      <font>
        <strike val="0"/>
        <outline val="0"/>
        <shadow val="0"/>
        <u val="none"/>
        <vertAlign val="baseline"/>
        <sz val="11"/>
        <color theme="0"/>
        <name val="Times New Roman"/>
        <scheme val="none"/>
      </font>
      <fill>
        <patternFill patternType="solid">
          <fgColor indexed="64"/>
          <bgColor theme="1" tint="0.14999847407452621"/>
        </patternFill>
      </fill>
      <border diagonalUp="0" diagonalDown="0" outline="0">
        <left style="thin">
          <color theme="0"/>
        </left>
        <right style="thin">
          <color theme="0"/>
        </right>
        <top/>
        <bottom/>
      </border>
    </dxf>
    <dxf>
      <font>
        <b val="0"/>
        <i val="0"/>
        <strike val="0"/>
        <condense val="0"/>
        <extend val="0"/>
        <outline val="0"/>
        <shadow val="0"/>
        <u val="none"/>
        <vertAlign val="baseline"/>
        <sz val="12"/>
        <color theme="0"/>
        <name val="Times New Roman"/>
        <scheme val="none"/>
      </font>
      <numFmt numFmtId="165" formatCode="_-* #,##0_-;\-* #,##0_-;_-* &quot;-&quot;??_-;_-@_-"/>
      <fill>
        <patternFill patternType="solid">
          <fgColor indexed="64"/>
          <bgColor theme="1" tint="0.499984740745262"/>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Times New Roman"/>
        <scheme val="none"/>
      </font>
      <fill>
        <patternFill patternType="solid">
          <fgColor indexed="64"/>
          <bgColor theme="8" tint="0.3999755851924192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Times New Roman"/>
        <scheme val="none"/>
      </font>
      <fill>
        <patternFill patternType="solid">
          <fgColor indexed="64"/>
          <bgColor theme="8" tint="0.3999755851924192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0"/>
        <name val="Times New Roman"/>
        <scheme val="none"/>
      </font>
      <fill>
        <patternFill patternType="solid">
          <fgColor indexed="64"/>
          <bgColor theme="1" tint="0.34998626667073579"/>
        </patternFill>
      </fill>
      <alignment horizontal="left" vertical="top" textRotation="0" wrapText="0" indent="0" justifyLastLine="0" shrinkToFit="0" readingOrder="0"/>
      <border diagonalUp="0" diagonalDown="0">
        <left/>
        <right style="thin">
          <color theme="0"/>
        </right>
        <top style="thin">
          <color theme="0"/>
        </top>
        <bottom/>
        <vertical/>
        <horizontal/>
      </border>
    </dxf>
    <dxf>
      <border outline="0">
        <top style="thin">
          <color theme="0"/>
        </top>
      </border>
    </dxf>
    <dxf>
      <border outline="0">
        <bottom style="thin">
          <color theme="0"/>
        </bottom>
      </border>
    </dxf>
    <dxf>
      <font>
        <b/>
        <i val="0"/>
        <strike val="0"/>
        <condense val="0"/>
        <extend val="0"/>
        <outline val="0"/>
        <shadow val="0"/>
        <u val="none"/>
        <vertAlign val="baseline"/>
        <sz val="12"/>
        <color theme="0"/>
        <name val="Times New Roman"/>
        <scheme val="none"/>
      </font>
      <fill>
        <gradientFill degree="90">
          <stop position="0">
            <color theme="1" tint="0.34900967436750391"/>
          </stop>
          <stop position="1">
            <color theme="8" tint="0.40000610370189521"/>
          </stop>
        </gradient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0"/>
        <name val="Times New Roman"/>
        <scheme val="none"/>
      </font>
      <numFmt numFmtId="165" formatCode="_-* #,##0_-;\-* #,##0_-;_-* &quot;-&quot;??_-;_-@_-"/>
      <fill>
        <patternFill patternType="solid">
          <fgColor indexed="64"/>
          <bgColor theme="1" tint="0.499984740745262"/>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Times New Roman"/>
        <scheme val="none"/>
      </font>
      <fill>
        <patternFill patternType="solid">
          <fgColor indexed="64"/>
          <bgColor theme="8" tint="0.3999755851924192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Times New Roman"/>
        <scheme val="none"/>
      </font>
      <fill>
        <patternFill patternType="solid">
          <fgColor indexed="64"/>
          <bgColor theme="8" tint="0.3999755851924192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Times New Roman"/>
        <scheme val="none"/>
      </font>
      <fill>
        <patternFill patternType="solid">
          <fgColor indexed="64"/>
          <bgColor theme="8" tint="0.3999755851924192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0"/>
        <name val="Times New Roman"/>
        <scheme val="none"/>
      </font>
      <fill>
        <patternFill patternType="solid">
          <fgColor indexed="64"/>
          <bgColor theme="1" tint="0.34998626667073579"/>
        </patternFill>
      </fill>
      <alignment horizontal="left" vertical="top" textRotation="0" wrapText="0" indent="0" justifyLastLine="0" shrinkToFit="0" readingOrder="0"/>
      <border diagonalUp="0" diagonalDown="0">
        <left/>
        <right style="thin">
          <color theme="0"/>
        </right>
        <top style="thin">
          <color theme="0"/>
        </top>
        <bottom/>
        <vertical/>
        <horizontal/>
      </border>
    </dxf>
    <dxf>
      <border outline="0">
        <top style="thin">
          <color theme="0"/>
        </top>
      </border>
    </dxf>
    <dxf>
      <border outline="0">
        <bottom style="thin">
          <color theme="0"/>
        </bottom>
      </border>
    </dxf>
    <dxf>
      <font>
        <b/>
        <i val="0"/>
        <strike val="0"/>
        <condense val="0"/>
        <extend val="0"/>
        <outline val="0"/>
        <shadow val="0"/>
        <u val="none"/>
        <vertAlign val="baseline"/>
        <sz val="12"/>
        <color theme="0"/>
        <name val="Times New Roman"/>
        <scheme val="none"/>
      </font>
      <fill>
        <gradientFill degree="90">
          <stop position="0">
            <color theme="1" tint="0.34900967436750391"/>
          </stop>
          <stop position="1">
            <color theme="8" tint="0.40000610370189521"/>
          </stop>
        </gradient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0"/>
        <name val="Palatino Linotype"/>
        <scheme val="none"/>
      </font>
      <numFmt numFmtId="165" formatCode="_-* #,##0_-;\-* #,##0_-;_-* &quot;-&quot;??_-;_-@_-"/>
      <fill>
        <patternFill patternType="solid">
          <fgColor indexed="64"/>
          <bgColor theme="1" tint="0.499984740745262"/>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Palatino Linotype"/>
        <scheme val="none"/>
      </font>
      <numFmt numFmtId="0" formatCode="General"/>
      <fill>
        <patternFill patternType="solid">
          <fgColor indexed="64"/>
          <bgColor theme="8" tint="0.3999755851924192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Palatino Linotype"/>
        <scheme val="none"/>
      </font>
      <fill>
        <patternFill patternType="solid">
          <fgColor indexed="64"/>
          <bgColor theme="8" tint="0.3999755851924192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Palatino Linotype"/>
        <scheme val="none"/>
      </font>
      <fill>
        <patternFill patternType="solid">
          <fgColor indexed="64"/>
          <bgColor theme="8" tint="0.3999755851924192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0"/>
        <name val="Palatino Linotype"/>
        <scheme val="none"/>
      </font>
      <fill>
        <patternFill patternType="solid">
          <fgColor indexed="64"/>
          <bgColor theme="1" tint="0.349986266670735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Palatino Linotype"/>
        <scheme val="none"/>
      </font>
      <fill>
        <patternFill patternType="solid">
          <fgColor indexed="64"/>
          <bgColor theme="8" tint="0.39997558519241921"/>
        </patternFill>
      </fill>
    </dxf>
    <dxf>
      <border outline="0">
        <bottom style="thin">
          <color theme="0"/>
        </bottom>
      </border>
    </dxf>
    <dxf>
      <font>
        <b/>
        <i val="0"/>
        <strike val="0"/>
        <condense val="0"/>
        <extend val="0"/>
        <outline val="0"/>
        <shadow val="0"/>
        <u val="none"/>
        <vertAlign val="baseline"/>
        <sz val="12"/>
        <color theme="0"/>
        <name val="Palatino Linotype"/>
        <scheme val="none"/>
      </font>
      <fill>
        <gradientFill degree="90">
          <stop position="0">
            <color theme="1" tint="0.34900967436750391"/>
          </stop>
          <stop position="1">
            <color theme="8" tint="0.40000610370189521"/>
          </stop>
        </gradient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2"/>
        <color theme="0"/>
        <name val="Palatino Linotype"/>
        <scheme val="none"/>
      </font>
      <numFmt numFmtId="165" formatCode="_-* #,##0_-;\-* #,##0_-;_-* &quot;-&quot;??_-;_-@_-"/>
      <fill>
        <patternFill patternType="solid">
          <fgColor indexed="64"/>
          <bgColor theme="1" tint="0.499984740745262"/>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Palatino Linotype"/>
        <scheme val="none"/>
      </font>
      <fill>
        <patternFill patternType="solid">
          <fgColor indexed="64"/>
          <bgColor theme="8" tint="0.3999755851924192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Palatino Linotype"/>
        <scheme val="none"/>
      </font>
      <fill>
        <patternFill patternType="solid">
          <fgColor indexed="64"/>
          <bgColor theme="8" tint="0.3999755851924192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Palatino Linotype"/>
        <scheme val="none"/>
      </font>
      <fill>
        <patternFill patternType="solid">
          <fgColor indexed="64"/>
          <bgColor theme="8" tint="0.39997558519241921"/>
        </patternFill>
      </fill>
      <border diagonalUp="0" diagonalDown="0">
        <left style="thin">
          <color theme="0"/>
        </left>
        <right style="thin">
          <color theme="0"/>
        </right>
        <top style="thin">
          <color theme="0"/>
        </top>
        <bottom style="thin">
          <color theme="0"/>
        </bottom>
        <vertical/>
        <horizontal/>
      </border>
    </dxf>
    <dxf>
      <font>
        <strike val="0"/>
        <outline val="0"/>
        <shadow val="0"/>
        <u val="none"/>
        <vertAlign val="baseline"/>
        <sz val="12"/>
        <color theme="0"/>
        <name val="Palatino Linotype"/>
        <scheme val="none"/>
      </font>
      <fill>
        <patternFill patternType="solid">
          <fgColor indexed="64"/>
          <bgColor theme="1" tint="0.349986266670735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Palatino Linotype"/>
        <scheme val="none"/>
      </font>
      <fill>
        <patternFill patternType="solid">
          <fgColor indexed="64"/>
          <bgColor theme="8" tint="0.39997558519241921"/>
        </patternFill>
      </fill>
    </dxf>
    <dxf>
      <border outline="0">
        <bottom style="thin">
          <color theme="0"/>
        </bottom>
      </border>
    </dxf>
    <dxf>
      <font>
        <b/>
        <i val="0"/>
        <strike val="0"/>
        <condense val="0"/>
        <extend val="0"/>
        <outline val="0"/>
        <shadow val="0"/>
        <u val="none"/>
        <vertAlign val="baseline"/>
        <sz val="12"/>
        <color theme="0"/>
        <name val="Palatino Linotype"/>
        <scheme val="none"/>
      </font>
      <fill>
        <gradientFill degree="90">
          <stop position="0">
            <color theme="1" tint="0.34900967436750391"/>
          </stop>
          <stop position="1">
            <color theme="8" tint="0.40000610370189521"/>
          </stop>
        </gradient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u val="none"/>
        <vertAlign val="baseline"/>
        <sz val="12"/>
        <color theme="0"/>
        <name val="Times New Roman"/>
        <scheme val="none"/>
      </font>
      <numFmt numFmtId="165" formatCode="_-* #,##0_-;\-* #,##0_-;_-* &quot;-&quot;??_-;_-@_-"/>
      <fill>
        <patternFill patternType="solid">
          <fgColor indexed="64"/>
          <bgColor theme="1" tint="0.499984740745262"/>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2"/>
        <color theme="1"/>
        <name val="Times New Roman"/>
        <scheme val="none"/>
      </font>
      <fill>
        <patternFill patternType="solid">
          <fgColor indexed="64"/>
          <bgColor theme="8" tint="0.39997558519241921"/>
        </pattern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2"/>
        <color theme="1"/>
        <name val="Times New Roman"/>
        <scheme val="none"/>
      </font>
      <fill>
        <patternFill patternType="solid">
          <fgColor indexed="64"/>
          <bgColor theme="8" tint="0.3999755851924192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Times New Roman"/>
        <scheme val="none"/>
      </font>
      <fill>
        <patternFill patternType="solid">
          <fgColor indexed="64"/>
          <bgColor theme="8" tint="0.39997558519241921"/>
        </pattern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2"/>
        <color theme="0"/>
        <name val="Times New Roman"/>
        <scheme val="none"/>
      </font>
      <fill>
        <patternFill patternType="solid">
          <fgColor indexed="64"/>
          <bgColor theme="1" tint="0.34998626667073579"/>
        </patternFill>
      </fill>
      <alignment horizontal="left" vertical="top" textRotation="0" wrapText="0" indent="0"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name val="Times New Roman"/>
        <scheme val="none"/>
      </font>
    </dxf>
    <dxf>
      <border outline="0">
        <bottom style="thin">
          <color theme="0"/>
        </bottom>
      </border>
    </dxf>
    <dxf>
      <font>
        <b/>
        <i val="0"/>
        <strike val="0"/>
        <condense val="0"/>
        <extend val="0"/>
        <outline val="0"/>
        <shadow val="0"/>
        <u val="none"/>
        <vertAlign val="baseline"/>
        <sz val="12"/>
        <color theme="0"/>
        <name val="Times New Roman"/>
        <scheme val="none"/>
      </font>
      <fill>
        <gradientFill degree="90">
          <stop position="0">
            <color theme="1" tint="0.34900967436750391"/>
          </stop>
          <stop position="1">
            <color theme="8" tint="0.40000610370189521"/>
          </stop>
        </gradientFill>
      </fill>
      <alignment horizontal="center" vertical="center"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66FFFF"/>
      <color rgb="FF46D6EA"/>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pivotCacheDefinition" Target="pivotCache/pivotCacheDefinition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Sheet2!K10"/><Relationship Id="rId1" Type="http://schemas.openxmlformats.org/officeDocument/2006/relationships/hyperlink" Target="#'Product Of'!A1"/></Relationships>
</file>

<file path=xl/drawings/drawing1.xml><?xml version="1.0" encoding="utf-8"?>
<xdr:wsDr xmlns:xdr="http://schemas.openxmlformats.org/drawingml/2006/spreadsheetDrawing" xmlns:a="http://schemas.openxmlformats.org/drawingml/2006/main">
  <xdr:twoCellAnchor>
    <xdr:from>
      <xdr:col>2</xdr:col>
      <xdr:colOff>247650</xdr:colOff>
      <xdr:row>7</xdr:row>
      <xdr:rowOff>133350</xdr:rowOff>
    </xdr:from>
    <xdr:to>
      <xdr:col>19</xdr:col>
      <xdr:colOff>428625</xdr:colOff>
      <xdr:row>26</xdr:row>
      <xdr:rowOff>66676</xdr:rowOff>
    </xdr:to>
    <xdr:grpSp>
      <xdr:nvGrpSpPr>
        <xdr:cNvPr id="9" name="Group 8">
          <a:hlinkClick xmlns:r="http://schemas.openxmlformats.org/officeDocument/2006/relationships" r:id="rId1" tooltip="CPA JUMA ABDULRAHMAN BAKARI"/>
          <a:extLst>
            <a:ext uri="{FF2B5EF4-FFF2-40B4-BE49-F238E27FC236}">
              <a16:creationId xmlns:a16="http://schemas.microsoft.com/office/drawing/2014/main" id="{00000000-0008-0000-0000-000009000000}"/>
            </a:ext>
          </a:extLst>
        </xdr:cNvPr>
        <xdr:cNvGrpSpPr/>
      </xdr:nvGrpSpPr>
      <xdr:grpSpPr>
        <a:xfrm>
          <a:off x="1466850" y="1466850"/>
          <a:ext cx="10544175" cy="3552826"/>
          <a:chOff x="1066800" y="1371600"/>
          <a:chExt cx="10544175" cy="3552826"/>
        </a:xfrm>
        <a:solidFill>
          <a:schemeClr val="accent5">
            <a:lumMod val="50000"/>
          </a:schemeClr>
        </a:solidFill>
      </xdr:grpSpPr>
      <xdr:sp macro="" textlink="">
        <xdr:nvSpPr>
          <xdr:cNvPr id="2" name="JUMA">
            <a:hlinkClick xmlns:r="http://schemas.openxmlformats.org/officeDocument/2006/relationships" r:id="rId2" tooltip="(CPA) JUMA ABDULRAHMAN BAKARI"/>
            <a:extLst>
              <a:ext uri="{FF2B5EF4-FFF2-40B4-BE49-F238E27FC236}">
                <a16:creationId xmlns:a16="http://schemas.microsoft.com/office/drawing/2014/main" id="{00000000-0008-0000-0000-000002000000}"/>
              </a:ext>
            </a:extLst>
          </xdr:cNvPr>
          <xdr:cNvSpPr/>
        </xdr:nvSpPr>
        <xdr:spPr>
          <a:xfrm>
            <a:off x="1066800" y="1371600"/>
            <a:ext cx="10544175" cy="3552826"/>
          </a:xfrm>
          <a:prstGeom prst="roundRect">
            <a:avLst>
              <a:gd name="adj" fmla="val 4235"/>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75953" y="1693124"/>
            <a:ext cx="1977033" cy="1872869"/>
          </a:xfrm>
          <a:prstGeom prst="rect">
            <a:avLst/>
          </a:prstGeom>
          <a:grpFill/>
          <a:ln>
            <a:noFill/>
          </a:ln>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1432917" y="2746111"/>
            <a:ext cx="6077546" cy="972605"/>
          </a:xfrm>
          <a:prstGeom prst="rect">
            <a:avLst/>
          </a:prstGeom>
          <a:grp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3000" b="1" i="0">
                <a:solidFill>
                  <a:schemeClr val="bg1"/>
                </a:solidFill>
                <a:latin typeface="Bell MT" panose="02020503060305020303" pitchFamily="18" charset="0"/>
              </a:rPr>
              <a:t>JUMA ABDULRAHMAN BAKARI</a:t>
            </a:r>
          </a:p>
        </xdr:txBody>
      </xdr:sp>
      <xdr:sp macro="" textlink="">
        <xdr:nvSpPr>
          <xdr:cNvPr id="8" name="Rounded Rectangle 7">
            <a:hlinkClick xmlns:r="http://schemas.openxmlformats.org/officeDocument/2006/relationships" r:id="rId1" tooltip="CPA JUMA ABDULRAHMAN BAKARI"/>
            <a:extLst>
              <a:ext uri="{FF2B5EF4-FFF2-40B4-BE49-F238E27FC236}">
                <a16:creationId xmlns:a16="http://schemas.microsoft.com/office/drawing/2014/main" id="{00000000-0008-0000-0000-000008000000}"/>
              </a:ext>
            </a:extLst>
          </xdr:cNvPr>
          <xdr:cNvSpPr/>
        </xdr:nvSpPr>
        <xdr:spPr>
          <a:xfrm>
            <a:off x="1075953" y="1379639"/>
            <a:ext cx="3606255" cy="1004758"/>
          </a:xfrm>
          <a:prstGeom prst="roundRect">
            <a:avLst/>
          </a:prstGeom>
          <a:grp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lvl="1" algn="l"/>
            <a:r>
              <a:rPr lang="en-US" sz="3000">
                <a:solidFill>
                  <a:schemeClr val="bg1"/>
                </a:solidFill>
                <a:latin typeface="Bell MT" panose="02020503060305020303" pitchFamily="18" charset="0"/>
              </a:rPr>
              <a:t>A PRODUCT OF</a:t>
            </a:r>
          </a:p>
        </xdr:txBody>
      </xdr:sp>
      <xdr:sp macro="" textlink="">
        <xdr:nvSpPr>
          <xdr:cNvPr id="25" name="Rounded Rectangle 24">
            <a:extLst>
              <a:ext uri="{FF2B5EF4-FFF2-40B4-BE49-F238E27FC236}">
                <a16:creationId xmlns:a16="http://schemas.microsoft.com/office/drawing/2014/main" id="{00000000-0008-0000-0000-000019000000}"/>
              </a:ext>
            </a:extLst>
          </xdr:cNvPr>
          <xdr:cNvSpPr/>
        </xdr:nvSpPr>
        <xdr:spPr>
          <a:xfrm>
            <a:off x="1442069" y="3228394"/>
            <a:ext cx="3047926" cy="281332"/>
          </a:xfrm>
          <a:prstGeom prst="roundRect">
            <a:avLst/>
          </a:prstGeom>
          <a:grp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a:solidFill>
                  <a:schemeClr val="bg1"/>
                </a:solidFill>
                <a:latin typeface="Bell MT" panose="02020503060305020303" pitchFamily="18" charset="0"/>
              </a:rPr>
              <a:t>Phone</a:t>
            </a:r>
            <a:r>
              <a:rPr lang="en-US" sz="1400" b="1" baseline="0">
                <a:solidFill>
                  <a:schemeClr val="bg1"/>
                </a:solidFill>
                <a:latin typeface="Bell MT" panose="02020503060305020303" pitchFamily="18" charset="0"/>
              </a:rPr>
              <a:t> No :+ 254-713883912  </a:t>
            </a:r>
            <a:endParaRPr lang="en-US" sz="1400" b="1">
              <a:solidFill>
                <a:schemeClr val="bg1"/>
              </a:solidFill>
              <a:latin typeface="Bell MT" panose="02020503060305020303" pitchFamily="18" charset="0"/>
            </a:endParaRPr>
          </a:p>
        </xdr:txBody>
      </xdr:sp>
      <xdr:sp macro="" textlink="">
        <xdr:nvSpPr>
          <xdr:cNvPr id="26" name="Rounded Rectangle 25">
            <a:extLst>
              <a:ext uri="{FF2B5EF4-FFF2-40B4-BE49-F238E27FC236}">
                <a16:creationId xmlns:a16="http://schemas.microsoft.com/office/drawing/2014/main" id="{00000000-0008-0000-0000-00001A000000}"/>
              </a:ext>
            </a:extLst>
          </xdr:cNvPr>
          <xdr:cNvSpPr/>
        </xdr:nvSpPr>
        <xdr:spPr>
          <a:xfrm>
            <a:off x="1442069" y="3517764"/>
            <a:ext cx="3047926" cy="281332"/>
          </a:xfrm>
          <a:prstGeom prst="roundRect">
            <a:avLst/>
          </a:prstGeom>
          <a:grp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baseline="0">
                <a:solidFill>
                  <a:schemeClr val="bg1"/>
                </a:solidFill>
                <a:latin typeface="Bell MT" panose="02020503060305020303" pitchFamily="18" charset="0"/>
              </a:rPr>
              <a:t>Email -jumabakari752@gmail.com  </a:t>
            </a:r>
            <a:endParaRPr lang="en-US" sz="1400" b="1">
              <a:solidFill>
                <a:schemeClr val="bg1"/>
              </a:solidFill>
              <a:latin typeface="Bell MT" panose="02020503060305020303" pitchFamily="18"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85875" y="3790951"/>
            <a:ext cx="2362200" cy="3619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latin typeface="Bell MT" panose="02020503060305020303" pitchFamily="18" charset="0"/>
              </a:rPr>
              <a:t>Simple Audit Template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KI%20PIKI%20%20LIMITED%202019-FINANCIAL%20STATEMENTS-Tax%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TAX"/>
      <sheetName val="L0"/>
      <sheetName val="F0"/>
      <sheetName val="F4"/>
      <sheetName val="Op Bal-A.4.7"/>
      <sheetName val="A5"/>
      <sheetName val="G3"/>
      <sheetName val="G0"/>
      <sheetName val="Sheet1 (3)"/>
      <sheetName val="G4"/>
      <sheetName val="E0"/>
      <sheetName val="Sheet11"/>
      <sheetName val="E4"/>
      <sheetName val="E5"/>
      <sheetName val="E6"/>
      <sheetName val="OP"/>
      <sheetName val="NOTE 1"/>
      <sheetName val="NOTE 2"/>
      <sheetName val="TCT"/>
      <sheetName val="Ctb"/>
      <sheetName val="Tb"/>
      <sheetName val="J"/>
      <sheetName val="Cover"/>
      <sheetName val="PO"/>
      <sheetName val="P1"/>
      <sheetName val="P2"/>
      <sheetName val="P3"/>
      <sheetName val="P4(a)"/>
      <sheetName val="P4"/>
      <sheetName val="P&amp;L"/>
      <sheetName val="BS"/>
      <sheetName val="EQ"/>
      <sheetName val="CF"/>
      <sheetName val="N1"/>
      <sheetName val="N2"/>
      <sheetName val="N3"/>
      <sheetName val="N4"/>
      <sheetName val="N5"/>
      <sheetName val="Appendix"/>
      <sheetName val="Tax comp"/>
      <sheetName val="Instalment"/>
      <sheetName val="Itax paid"/>
      <sheetName val="VAT3"/>
      <sheetName val="Advance Tax paid"/>
      <sheetName val="Disposal"/>
      <sheetName val="Itax payments"/>
      <sheetName val="inslalment paid"/>
      <sheetName val="Tax comp (2)"/>
      <sheetName val="MO"/>
      <sheetName val="Motor vehicle advance"/>
      <sheetName val="WITHOLDIND"/>
      <sheetName val="Other payment"/>
      <sheetName val="Deferred tax assets"/>
      <sheetName val="S0"/>
      <sheetName val="S3"/>
      <sheetName val="SP0"/>
      <sheetName val="SP4"/>
      <sheetName val="SP5"/>
      <sheetName val="C0"/>
      <sheetName val="C3"/>
      <sheetName val="C4"/>
      <sheetName val="D0"/>
      <sheetName val="D4"/>
      <sheetName val="P0"/>
      <sheetName val="P33"/>
      <sheetName val="T0"/>
      <sheetName val="T3"/>
      <sheetName val="Q0"/>
      <sheetName val="Q3"/>
      <sheetName val="Q5"/>
      <sheetName val="CHIRAG SHAH"/>
      <sheetName val="BENARD OMOLLO"/>
      <sheetName val="TP0"/>
      <sheetName val="TP3"/>
      <sheetName val="Sheet1 (2)"/>
      <sheetName val="Sheet29"/>
      <sheetName val="Sheet27"/>
      <sheetName val="Sheet24"/>
      <sheetName val="Sheet28"/>
      <sheetName val="TP4"/>
      <sheetName val="TP5"/>
      <sheetName val="V1"/>
      <sheetName val="V2"/>
      <sheetName val="V3"/>
      <sheetName val="V4"/>
      <sheetName val="V5"/>
      <sheetName val="V6"/>
      <sheetName val="Sheet1"/>
      <sheetName val="WORKING 1"/>
      <sheetName val="WORKING 2"/>
      <sheetName val="WORKING 3"/>
      <sheetName val="WORKING 4"/>
      <sheetName val="customer balances"/>
      <sheetName val="DEPOSITS"/>
      <sheetName val="payables"/>
      <sheetName val="sales analysis"/>
      <sheetName val="s m"/>
      <sheetName val="s anal 2"/>
      <sheetName val="INTEREST INCOME"/>
      <sheetName val="Sheet2"/>
      <sheetName val="purchases analysis"/>
      <sheetName val="SUMMARY P"/>
      <sheetName val="S P "/>
      <sheetName val="SP"/>
      <sheetName val="S  P"/>
      <sheetName val="CREDITORS"/>
      <sheetName val="CREDITORS 2"/>
      <sheetName val="Sheet3"/>
      <sheetName val="Sheet12"/>
      <sheetName val="p"/>
      <sheetName val="Sheet4"/>
      <sheetName val="Sheet5"/>
      <sheetName val="Sheet6"/>
      <sheetName val="Sheet7"/>
      <sheetName val="Sheet9"/>
      <sheetName val="Sheet8"/>
      <sheetName val="Sheet10"/>
      <sheetName val="Sheet13"/>
      <sheetName val="Sheet15"/>
      <sheetName val="Sheet14"/>
      <sheetName val="Sheet16"/>
      <sheetName val="Sheet17"/>
      <sheetName val="Sheet18"/>
      <sheetName val="Sheet19"/>
      <sheetName val="Sheet20"/>
      <sheetName val="Sheet21"/>
      <sheetName val="BANK RECONCILIATION"/>
      <sheetName val="mr k&amp;m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PC" refreshedDate="44869.480486921297" createdVersion="6" refreshedVersion="6" minRefreshableVersion="3" recordCount="602" xr:uid="{00000000-000A-0000-FFFF-FFFF00000000}">
  <cacheSource type="worksheet">
    <worksheetSource name="PPE"/>
  </cacheSource>
  <cacheFields count="4">
    <cacheField name="Year" numFmtId="0">
      <sharedItems containsString="0" containsBlank="1" containsNumber="1" containsInteger="1" minValue="2020" maxValue="2022" count="4">
        <n v="2020"/>
        <n v="2021"/>
        <m/>
        <n v="2022" u="1"/>
      </sharedItems>
    </cacheField>
    <cacheField name="Sub-Accounts" numFmtId="0">
      <sharedItems containsBlank="1" count="5">
        <s v="Computer Equipments"/>
        <s v="Funiture &amp; Fittings"/>
        <s v="Motor Vehicle"/>
        <s v="Plants &amp; Equipment"/>
        <m/>
      </sharedItems>
    </cacheField>
    <cacheField name="Description" numFmtId="0">
      <sharedItems containsBlank="1" count="7">
        <s v="Opening Balance "/>
        <s v="Accumulated Depriciation"/>
        <s v="Depriciation for the Year"/>
        <s v="Closing balance"/>
        <s v="Additional for the year "/>
        <s v="Disposal in the Year"/>
        <m/>
      </sharedItems>
    </cacheField>
    <cacheField name="Amount" numFmtId="165">
      <sharedItems containsString="0" containsBlank="1" containsNumber="1" minValue="-975000" maxValue="15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PC" refreshedDate="44869.480490624999" createdVersion="6" refreshedVersion="6" minRefreshableVersion="3" recordCount="397" xr:uid="{00000000-000A-0000-FFFF-FFFF01000000}">
  <cacheSource type="worksheet">
    <worksheetSource name="CFSTM"/>
  </cacheSource>
  <cacheFields count="5">
    <cacheField name="Year" numFmtId="0">
      <sharedItems containsString="0" containsBlank="1" containsNumber="1" containsInteger="1" minValue="2020" maxValue="2021" count="3">
        <n v="2021"/>
        <n v="2020"/>
        <m/>
      </sharedItems>
    </cacheField>
    <cacheField name="Main Accounts" numFmtId="0">
      <sharedItems containsBlank="1" count="8">
        <s v="Operating Activities"/>
        <s v="Investing Activitiees"/>
        <s v="Financing Activities"/>
        <s v="Increase(Decrease) in Cash and Cash Equivalent"/>
        <s v="Opening Cash and Cash Equivalent"/>
        <s v="Closing Cash and Cash Equivalent"/>
        <m/>
        <s v="Cost of Goods Sold" u="1"/>
      </sharedItems>
    </cacheField>
    <cacheField name="Sub Group" numFmtId="0">
      <sharedItems containsBlank="1" count="14">
        <s v="Profit Befor Working Capital Changes:"/>
        <s v="Adjustment Of Working Capital"/>
        <s v="Tax Paid"/>
        <s v="Net Cash Generated(Utilized) from Operating Activites"/>
        <s v="Disposal Proceeds"/>
        <s v="Purchase of property, plant &amp; equipment"/>
        <s v="Net Cash Generated(Utilized) from Investing Activites"/>
        <s v="Interim dividends paid"/>
        <s v="Net Cash Generated(Utilized) from Financing Activites"/>
        <s v="Increase(Decrease) in Cash and Cash Equivalent"/>
        <s v="Opening Cash and Cash Equivalent"/>
        <s v="Closing Cash and Cash Equivalent"/>
        <m/>
        <s v="Cost of Goods Sold" u="1"/>
      </sharedItems>
    </cacheField>
    <cacheField name="Account Name" numFmtId="0">
      <sharedItems containsBlank="1" count="18">
        <s v="Profit Befor Working Capital Changes:"/>
        <s v="Depreciation expense"/>
        <s v="Gain On Disposal"/>
        <s v="Inventories"/>
        <s v="Receivables and prepayments"/>
        <s v="Payables &amp; Accruals"/>
        <s v="Tax Paid"/>
        <s v="Net Cash Generated(Utilized) from Operating Activites"/>
        <s v="Disposal Proceeds"/>
        <s v="Purchase of property, plant &amp; equipment"/>
        <s v="Net Cash Generated(Utilized) from Investing Activites"/>
        <s v="Interim dividends paid"/>
        <s v="Net Cash Generated(Utilized) from Financing Activites"/>
        <s v="Increase(Decrease) in Cash and Cash Equivalent"/>
        <s v="Opening Cash and Cash Equivalent"/>
        <s v="Closing Cash and Cash Equivalent"/>
        <m/>
        <s v="Cost of Goods Sold" u="1"/>
      </sharedItems>
    </cacheField>
    <cacheField name="Debit " numFmtId="165">
      <sharedItems containsString="0" containsBlank="1" containsNumber="1" minValue="-11794430.57" maxValue="13927484.04999999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PC" refreshedDate="44869.699367592591" createdVersion="6" refreshedVersion="6" minRefreshableVersion="3" recordCount="397" xr:uid="{00000000-000A-0000-FFFF-FFFF02000000}">
  <cacheSource type="worksheet">
    <worksheetSource name="BTTABLE"/>
  </cacheSource>
  <cacheFields count="5">
    <cacheField name="Year" numFmtId="0">
      <sharedItems containsString="0" containsBlank="1" containsNumber="1" containsInteger="1" minValue="2020" maxValue="2021" count="3">
        <n v="2021"/>
        <n v="2020"/>
        <m/>
      </sharedItems>
    </cacheField>
    <cacheField name="Main Accounts" numFmtId="0">
      <sharedItems containsBlank="1" count="3">
        <s v="Assets"/>
        <s v="Capital &amp; Liabiliteis"/>
        <m/>
      </sharedItems>
    </cacheField>
    <cacheField name="Sub Group" numFmtId="0">
      <sharedItems containsBlank="1" count="5">
        <s v="Current Assests"/>
        <s v="Current Liabilities"/>
        <s v="Non -Current Assests"/>
        <s v="Capital"/>
        <m/>
      </sharedItems>
    </cacheField>
    <cacheField name="Account Name" numFmtId="0">
      <sharedItems containsBlank="1" count="12">
        <s v="Cash and bank balances"/>
        <s v="Bank Overdraft"/>
        <s v="Property, Plant &amp; Equipment"/>
        <s v="Receivables and prepayments"/>
        <s v="Payables &amp; Accruals"/>
        <s v="Share Capital"/>
        <s v="Tax payable/recoverable"/>
        <s v="Retained earnings"/>
        <s v="Closing Inventory"/>
        <s v="Tax Recoverbal"/>
        <m/>
        <s v="Profit for the Period" u="1"/>
      </sharedItems>
    </cacheField>
    <cacheField name="KSH000" numFmtId="165">
      <sharedItems containsString="0" containsBlank="1" containsNumber="1" minValue="400" maxValue="18557575.949999999"/>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PC" refreshedDate="44869.714380902777" createdVersion="6" refreshedVersion="6" minRefreshableVersion="3" recordCount="401" xr:uid="{00000000-000A-0000-FFFF-FFFF03000000}">
  <cacheSource type="worksheet">
    <worksheetSource name="Table710"/>
  </cacheSource>
  <cacheFields count="5">
    <cacheField name="Year" numFmtId="0">
      <sharedItems containsString="0" containsBlank="1" containsNumber="1" containsInteger="1" minValue="2020" maxValue="2021" count="3">
        <n v="2020"/>
        <n v="2021"/>
        <m/>
      </sharedItems>
    </cacheField>
    <cacheField name="Accounts" numFmtId="0">
      <sharedItems containsBlank="1" count="3">
        <s v="Share Capital"/>
        <s v="Retained earnings"/>
        <m/>
      </sharedItems>
    </cacheField>
    <cacheField name="Sub-Accounts" numFmtId="0">
      <sharedItems containsBlank="1" count="5">
        <s v="Share Capital"/>
        <s v="Profit for the Period"/>
        <s v="Retained earnings"/>
        <s v="Interim dividends paid"/>
        <m/>
      </sharedItems>
    </cacheField>
    <cacheField name="Description" numFmtId="0">
      <sharedItems containsBlank="1" count="5">
        <s v="Balance as at 1st January 2020"/>
        <s v="Accumulated Balance for 2020"/>
        <s v="Balance as at 1st January 2021"/>
        <s v="Accumulated Balance for 2021"/>
        <m/>
      </sharedItems>
    </cacheField>
    <cacheField name="Amount" numFmtId="165">
      <sharedItems containsString="0" containsBlank="1" containsNumber="1" minValue="-1000000" maxValue="11852074.45492935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PC" refreshedDate="44872.579923379628" createdVersion="6" refreshedVersion="6" minRefreshableVersion="3" recordCount="1998" xr:uid="{00000000-000A-0000-FFFF-FFFF04000000}">
  <cacheSource type="worksheet">
    <worksheetSource name="PLTABLE"/>
  </cacheSource>
  <cacheFields count="5">
    <cacheField name="Year" numFmtId="0">
      <sharedItems containsString="0" containsBlank="1" containsNumber="1" containsInteger="1" minValue="2020" maxValue="2021" count="3">
        <n v="2021"/>
        <n v="2020"/>
        <m/>
      </sharedItems>
    </cacheField>
    <cacheField name="Main Accounts" numFmtId="0">
      <sharedItems containsBlank="1" count="11">
        <s v="Cost of Goods Sold"/>
        <s v="Expenses"/>
        <s v="Incomes"/>
        <s v="Profit Before Tax"/>
        <s v="Taxation"/>
        <s v="Net Profit For The Year"/>
        <m/>
        <s v="Administration Expenses" u="1"/>
        <s v="Financial And Professional Charges" u="1"/>
        <s v="Costs" u="1"/>
        <s v="Total Incomes" u="1"/>
      </sharedItems>
    </cacheField>
    <cacheField name="Sub Group" numFmtId="0">
      <sharedItems containsBlank="1" count="42">
        <s v="Inventories"/>
        <s v="Purchases"/>
        <s v="Closing Inventory"/>
        <s v="Salaries and wages"/>
        <s v="Staff welfare"/>
        <s v="Rent"/>
        <s v="Delivery and postage"/>
        <s v="Director remuneration"/>
        <s v="Licenses "/>
        <s v="Electricity and water"/>
        <s v="Printing and stationery"/>
        <s v="Telephone,Postage and internet"/>
        <s v="Insurance"/>
        <s v="Security"/>
        <s v="Marketing and Advertisement"/>
        <s v="General expenses"/>
        <s v="Travelling"/>
        <s v="Medical expenses"/>
        <s v="Motor vehicle expense"/>
        <s v="Stamp Duty"/>
        <s v="Standard levy"/>
        <s v="Depreciation expense"/>
        <s v="Administration Expenses"/>
        <s v="Accounting fee"/>
        <s v="Interest charged"/>
        <s v="Audit fee"/>
        <s v="Legal Fees"/>
        <s v="Bank charges "/>
        <s v="Financial And Professional Charges"/>
        <s v="Income"/>
        <s v="Other income"/>
        <s v="Profit Before Tax"/>
        <s v="Tax For The Period"/>
        <s v="Profit After Tax"/>
        <s v="Cleaning expenses"/>
        <s v="Dividend expenses"/>
        <s v="Professional fees"/>
        <s v="Secretarial fees"/>
        <m/>
        <s v="Total Incomes" u="1"/>
        <s v="Profit for the Period" u="1"/>
        <s v="Cost of Goods Sold" u="1"/>
      </sharedItems>
    </cacheField>
    <cacheField name="Account Name" numFmtId="0">
      <sharedItems containsNonDate="0" containsString="0" containsBlank="1"/>
    </cacheField>
    <cacheField name="KSH000" numFmtId="165">
      <sharedItems containsString="0" containsBlank="1" containsNumber="1" minValue="-10003059" maxValue="332888352.44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2">
  <r>
    <x v="0"/>
    <x v="0"/>
    <x v="0"/>
    <n v="676160"/>
  </r>
  <r>
    <x v="0"/>
    <x v="0"/>
    <x v="1"/>
    <n v="-645785.29200000002"/>
  </r>
  <r>
    <x v="0"/>
    <x v="0"/>
    <x v="2"/>
    <n v="-9112.4123999999956"/>
  </r>
  <r>
    <x v="0"/>
    <x v="0"/>
    <x v="3"/>
    <n v="21262.29559999999"/>
  </r>
  <r>
    <x v="0"/>
    <x v="1"/>
    <x v="0"/>
    <n v="483987"/>
  </r>
  <r>
    <x v="0"/>
    <x v="1"/>
    <x v="1"/>
    <n v="-328179.919921875"/>
  </r>
  <r>
    <x v="0"/>
    <x v="1"/>
    <x v="2"/>
    <n v="-19475.885009765625"/>
  </r>
  <r>
    <x v="0"/>
    <x v="1"/>
    <x v="3"/>
    <n v="136331.19506835938"/>
  </r>
  <r>
    <x v="0"/>
    <x v="2"/>
    <x v="0"/>
    <n v="975000"/>
  </r>
  <r>
    <x v="0"/>
    <x v="2"/>
    <x v="1"/>
    <n v="-243750"/>
  </r>
  <r>
    <x v="0"/>
    <x v="2"/>
    <x v="2"/>
    <n v="-182812.5"/>
  </r>
  <r>
    <x v="0"/>
    <x v="2"/>
    <x v="3"/>
    <n v="548437.5"/>
  </r>
  <r>
    <x v="0"/>
    <x v="3"/>
    <x v="0"/>
    <n v="375657"/>
  </r>
  <r>
    <x v="0"/>
    <x v="3"/>
    <x v="1"/>
    <n v="-276379.9375"/>
  </r>
  <r>
    <x v="0"/>
    <x v="3"/>
    <x v="2"/>
    <n v="-12409.6328125"/>
  </r>
  <r>
    <x v="0"/>
    <x v="3"/>
    <x v="3"/>
    <n v="86867.4296875"/>
  </r>
  <r>
    <x v="1"/>
    <x v="0"/>
    <x v="0"/>
    <n v="21262.29559999999"/>
  </r>
  <r>
    <x v="1"/>
    <x v="0"/>
    <x v="1"/>
    <n v="-654897.70440000005"/>
  </r>
  <r>
    <x v="1"/>
    <x v="0"/>
    <x v="2"/>
    <n v="-6378.6886799999857"/>
  </r>
  <r>
    <x v="1"/>
    <x v="0"/>
    <x v="3"/>
    <n v="14883.606920000006"/>
  </r>
  <r>
    <x v="1"/>
    <x v="1"/>
    <x v="0"/>
    <n v="136331.19506835938"/>
  </r>
  <r>
    <x v="1"/>
    <x v="1"/>
    <x v="4"/>
    <n v="344748.28"/>
  </r>
  <r>
    <x v="1"/>
    <x v="1"/>
    <x v="1"/>
    <n v="-347655.80493164063"/>
  </r>
  <r>
    <x v="1"/>
    <x v="1"/>
    <x v="2"/>
    <n v="-17041.399383544922"/>
  </r>
  <r>
    <x v="1"/>
    <x v="1"/>
    <x v="3"/>
    <n v="464038.07568481448"/>
  </r>
  <r>
    <x v="1"/>
    <x v="2"/>
    <x v="0"/>
    <n v="548437.5"/>
  </r>
  <r>
    <x v="1"/>
    <x v="2"/>
    <x v="4"/>
    <n v="1500000"/>
  </r>
  <r>
    <x v="1"/>
    <x v="2"/>
    <x v="5"/>
    <n v="-975000"/>
  </r>
  <r>
    <x v="1"/>
    <x v="2"/>
    <x v="1"/>
    <n v="-426562.5"/>
  </r>
  <r>
    <x v="1"/>
    <x v="2"/>
    <x v="2"/>
    <n v="426562.5"/>
  </r>
  <r>
    <x v="1"/>
    <x v="2"/>
    <x v="2"/>
    <n v="-375000"/>
  </r>
  <r>
    <x v="1"/>
    <x v="2"/>
    <x v="3"/>
    <n v="1125000"/>
  </r>
  <r>
    <x v="1"/>
    <x v="3"/>
    <x v="0"/>
    <n v="86867.4296875"/>
  </r>
  <r>
    <x v="1"/>
    <x v="3"/>
    <x v="1"/>
    <n v="-288789.5703125"/>
  </r>
  <r>
    <x v="1"/>
    <x v="3"/>
    <x v="2"/>
    <n v="-10858.4287109375"/>
  </r>
  <r>
    <x v="1"/>
    <x v="3"/>
    <x v="3"/>
    <n v="76009.0009765625"/>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r>
    <x v="2"/>
    <x v="4"/>
    <x v="6"/>
    <m/>
  </r>
</pivotCacheRecords>
</file>

<file path=xl/pivotCache/pivotCacheRecords2.xml><?xml version="1.0" encoding="utf-8"?>
<pivotCacheRecords xmlns="http://schemas.openxmlformats.org/spreadsheetml/2006/main" xmlns:r="http://schemas.openxmlformats.org/officeDocument/2006/relationships" count="397">
  <r>
    <x v="0"/>
    <x v="0"/>
    <x v="0"/>
    <x v="0"/>
    <n v="8341041.1232255697"/>
  </r>
  <r>
    <x v="0"/>
    <x v="0"/>
    <x v="0"/>
    <x v="1"/>
    <n v="409278.51677448238"/>
  </r>
  <r>
    <x v="0"/>
    <x v="0"/>
    <x v="0"/>
    <x v="2"/>
    <n v="-251563"/>
  </r>
  <r>
    <x v="0"/>
    <x v="0"/>
    <x v="1"/>
    <x v="3"/>
    <n v="-6706659"/>
  </r>
  <r>
    <x v="0"/>
    <x v="0"/>
    <x v="1"/>
    <x v="4"/>
    <n v="-7720742.6699999999"/>
  </r>
  <r>
    <x v="0"/>
    <x v="0"/>
    <x v="1"/>
    <x v="5"/>
    <n v="12538411.640000001"/>
  </r>
  <r>
    <x v="0"/>
    <x v="0"/>
    <x v="2"/>
    <x v="6"/>
    <n v="-2120100"/>
  </r>
  <r>
    <x v="0"/>
    <x v="0"/>
    <x v="3"/>
    <x v="7"/>
    <n v="4489666.6100000534"/>
  </r>
  <r>
    <x v="0"/>
    <x v="1"/>
    <x v="4"/>
    <x v="8"/>
    <n v="800000"/>
  </r>
  <r>
    <x v="0"/>
    <x v="1"/>
    <x v="5"/>
    <x v="9"/>
    <n v="-1844748.28"/>
  </r>
  <r>
    <x v="0"/>
    <x v="1"/>
    <x v="6"/>
    <x v="10"/>
    <n v="-1044748.28"/>
  </r>
  <r>
    <x v="0"/>
    <x v="2"/>
    <x v="7"/>
    <x v="11"/>
    <n v="-1000000"/>
  </r>
  <r>
    <x v="0"/>
    <x v="2"/>
    <x v="8"/>
    <x v="12"/>
    <n v="-1000000"/>
  </r>
  <r>
    <x v="0"/>
    <x v="3"/>
    <x v="9"/>
    <x v="13"/>
    <n v="2444918.3300000532"/>
  </r>
  <r>
    <x v="0"/>
    <x v="4"/>
    <x v="10"/>
    <x v="14"/>
    <n v="-202689.86489523016"/>
  </r>
  <r>
    <x v="0"/>
    <x v="5"/>
    <x v="11"/>
    <x v="15"/>
    <n v="2242228.465104823"/>
  </r>
  <r>
    <x v="1"/>
    <x v="0"/>
    <x v="0"/>
    <x v="0"/>
    <n v="6071289.5797777502"/>
  </r>
  <r>
    <x v="1"/>
    <x v="0"/>
    <x v="0"/>
    <x v="1"/>
    <n v="223810.430222266"/>
  </r>
  <r>
    <x v="1"/>
    <x v="0"/>
    <x v="1"/>
    <x v="3"/>
    <n v="1007245"/>
  </r>
  <r>
    <x v="1"/>
    <x v="0"/>
    <x v="1"/>
    <x v="4"/>
    <n v="13927484.049999999"/>
  </r>
  <r>
    <x v="1"/>
    <x v="0"/>
    <x v="1"/>
    <x v="5"/>
    <n v="-11794430.57"/>
  </r>
  <r>
    <x v="1"/>
    <x v="0"/>
    <x v="2"/>
    <x v="6"/>
    <n v="-2131001"/>
  </r>
  <r>
    <x v="1"/>
    <x v="0"/>
    <x v="3"/>
    <x v="7"/>
    <n v="7304397.490000017"/>
  </r>
  <r>
    <x v="1"/>
    <x v="1"/>
    <x v="6"/>
    <x v="10"/>
    <n v="0"/>
  </r>
  <r>
    <x v="1"/>
    <x v="2"/>
    <x v="8"/>
    <x v="12"/>
    <n v="0"/>
  </r>
  <r>
    <x v="1"/>
    <x v="3"/>
    <x v="9"/>
    <x v="13"/>
    <n v="7304397.490000017"/>
  </r>
  <r>
    <x v="1"/>
    <x v="4"/>
    <x v="10"/>
    <x v="14"/>
    <n v="-7507087.3548952397"/>
  </r>
  <r>
    <x v="1"/>
    <x v="5"/>
    <x v="11"/>
    <x v="15"/>
    <n v="-202689.86489522271"/>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r>
    <x v="2"/>
    <x v="6"/>
    <x v="12"/>
    <x v="16"/>
    <m/>
  </r>
</pivotCacheRecords>
</file>

<file path=xl/pivotCache/pivotCacheRecords3.xml><?xml version="1.0" encoding="utf-8"?>
<pivotCacheRecords xmlns="http://schemas.openxmlformats.org/spreadsheetml/2006/main" xmlns:r="http://schemas.openxmlformats.org/officeDocument/2006/relationships" count="397">
  <r>
    <x v="0"/>
    <x v="0"/>
    <x v="0"/>
    <x v="0"/>
    <n v="5942181.0100000007"/>
  </r>
  <r>
    <x v="0"/>
    <x v="1"/>
    <x v="1"/>
    <x v="1"/>
    <n v="3699952.7"/>
  </r>
  <r>
    <x v="0"/>
    <x v="0"/>
    <x v="2"/>
    <x v="2"/>
    <n v="1679932.7632255179"/>
  </r>
  <r>
    <x v="0"/>
    <x v="0"/>
    <x v="0"/>
    <x v="3"/>
    <n v="18557575.949999999"/>
  </r>
  <r>
    <x v="0"/>
    <x v="1"/>
    <x v="1"/>
    <x v="4"/>
    <n v="15582583.640000001"/>
  </r>
  <r>
    <x v="0"/>
    <x v="1"/>
    <x v="3"/>
    <x v="5"/>
    <n v="400"/>
  </r>
  <r>
    <x v="0"/>
    <x v="1"/>
    <x v="1"/>
    <x v="6"/>
    <n v="214724"/>
  </r>
  <r>
    <x v="0"/>
    <x v="1"/>
    <x v="3"/>
    <x v="7"/>
    <n v="10852079.26"/>
  </r>
  <r>
    <x v="0"/>
    <x v="0"/>
    <x v="0"/>
    <x v="8"/>
    <n v="10003059"/>
  </r>
  <r>
    <x v="0"/>
    <x v="1"/>
    <x v="3"/>
    <x v="7"/>
    <n v="5833009.5228915298"/>
  </r>
  <r>
    <x v="1"/>
    <x v="0"/>
    <x v="0"/>
    <x v="0"/>
    <n v="3489750.21"/>
  </r>
  <r>
    <x v="1"/>
    <x v="1"/>
    <x v="1"/>
    <x v="1"/>
    <n v="3692438.8"/>
  </r>
  <r>
    <x v="1"/>
    <x v="0"/>
    <x v="2"/>
    <x v="2"/>
    <n v="792898.42035585933"/>
  </r>
  <r>
    <x v="1"/>
    <x v="0"/>
    <x v="0"/>
    <x v="3"/>
    <n v="10836833.279999999"/>
  </r>
  <r>
    <x v="1"/>
    <x v="1"/>
    <x v="1"/>
    <x v="4"/>
    <n v="3044177"/>
  </r>
  <r>
    <x v="1"/>
    <x v="1"/>
    <x v="3"/>
    <x v="5"/>
    <n v="400"/>
  </r>
  <r>
    <x v="1"/>
    <x v="0"/>
    <x v="0"/>
    <x v="9"/>
    <n v="173207.74004687136"/>
  </r>
  <r>
    <x v="1"/>
    <x v="1"/>
    <x v="3"/>
    <x v="7"/>
    <n v="11852074.454929359"/>
  </r>
  <r>
    <x v="1"/>
    <x v="0"/>
    <x v="0"/>
    <x v="8"/>
    <n v="3296400"/>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r>
    <x v="2"/>
    <x v="2"/>
    <x v="4"/>
    <x v="10"/>
    <m/>
  </r>
</pivotCacheRecords>
</file>

<file path=xl/pivotCache/pivotCacheRecords4.xml><?xml version="1.0" encoding="utf-8"?>
<pivotCacheRecords xmlns="http://schemas.openxmlformats.org/spreadsheetml/2006/main" xmlns:r="http://schemas.openxmlformats.org/officeDocument/2006/relationships" count="401">
  <r>
    <x v="0"/>
    <x v="0"/>
    <x v="0"/>
    <x v="0"/>
    <n v="400"/>
  </r>
  <r>
    <x v="0"/>
    <x v="1"/>
    <x v="1"/>
    <x v="1"/>
    <n v="4251074.3198246192"/>
  </r>
  <r>
    <x v="0"/>
    <x v="1"/>
    <x v="2"/>
    <x v="0"/>
    <n v="7601000.13510474"/>
  </r>
  <r>
    <x v="1"/>
    <x v="0"/>
    <x v="0"/>
    <x v="2"/>
    <n v="400"/>
  </r>
  <r>
    <x v="1"/>
    <x v="1"/>
    <x v="1"/>
    <x v="3"/>
    <n v="5833009.4228915265"/>
  </r>
  <r>
    <x v="1"/>
    <x v="1"/>
    <x v="2"/>
    <x v="2"/>
    <n v="11852074.454929359"/>
  </r>
  <r>
    <x v="1"/>
    <x v="1"/>
    <x v="3"/>
    <x v="3"/>
    <n v="-1000000"/>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r>
    <x v="2"/>
    <x v="2"/>
    <x v="4"/>
    <x v="4"/>
    <m/>
  </r>
</pivotCacheRecords>
</file>

<file path=xl/pivotCache/pivotCacheRecords5.xml><?xml version="1.0" encoding="utf-8"?>
<pivotCacheRecords xmlns="http://schemas.openxmlformats.org/spreadsheetml/2006/main" xmlns:r="http://schemas.openxmlformats.org/officeDocument/2006/relationships" count="1998">
  <r>
    <x v="0"/>
    <x v="0"/>
    <x v="0"/>
    <m/>
    <n v="3296400"/>
  </r>
  <r>
    <x v="0"/>
    <x v="0"/>
    <x v="1"/>
    <m/>
    <n v="317589719.63"/>
  </r>
  <r>
    <x v="0"/>
    <x v="0"/>
    <x v="2"/>
    <m/>
    <n v="-10003059"/>
  </r>
  <r>
    <x v="0"/>
    <x v="1"/>
    <x v="3"/>
    <m/>
    <n v="3516485"/>
  </r>
  <r>
    <x v="0"/>
    <x v="1"/>
    <x v="4"/>
    <m/>
    <n v="721567.76"/>
  </r>
  <r>
    <x v="0"/>
    <x v="1"/>
    <x v="5"/>
    <m/>
    <n v="1409746.56"/>
  </r>
  <r>
    <x v="0"/>
    <x v="1"/>
    <x v="6"/>
    <m/>
    <n v="845624"/>
  </r>
  <r>
    <x v="0"/>
    <x v="1"/>
    <x v="7"/>
    <m/>
    <n v="2500001"/>
  </r>
  <r>
    <x v="0"/>
    <x v="1"/>
    <x v="8"/>
    <m/>
    <n v="77850"/>
  </r>
  <r>
    <x v="0"/>
    <x v="1"/>
    <x v="9"/>
    <m/>
    <n v="268183.07"/>
  </r>
  <r>
    <x v="0"/>
    <x v="1"/>
    <x v="10"/>
    <m/>
    <n v="653656.38"/>
  </r>
  <r>
    <x v="0"/>
    <x v="1"/>
    <x v="11"/>
    <m/>
    <n v="208578.65"/>
  </r>
  <r>
    <x v="0"/>
    <x v="1"/>
    <x v="12"/>
    <m/>
    <n v="542263"/>
  </r>
  <r>
    <x v="0"/>
    <x v="1"/>
    <x v="13"/>
    <m/>
    <n v="302989.64"/>
  </r>
  <r>
    <x v="0"/>
    <x v="1"/>
    <x v="14"/>
    <m/>
    <n v="233250"/>
  </r>
  <r>
    <x v="0"/>
    <x v="1"/>
    <x v="15"/>
    <m/>
    <n v="51948.32"/>
  </r>
  <r>
    <x v="0"/>
    <x v="1"/>
    <x v="16"/>
    <m/>
    <n v="219706"/>
  </r>
  <r>
    <x v="0"/>
    <x v="1"/>
    <x v="17"/>
    <m/>
    <n v="300"/>
  </r>
  <r>
    <x v="0"/>
    <x v="1"/>
    <x v="18"/>
    <m/>
    <n v="436840.42"/>
  </r>
  <r>
    <x v="0"/>
    <x v="1"/>
    <x v="19"/>
    <m/>
    <n v="2000"/>
  </r>
  <r>
    <x v="0"/>
    <x v="1"/>
    <x v="20"/>
    <m/>
    <n v="13250"/>
  </r>
  <r>
    <x v="0"/>
    <x v="1"/>
    <x v="21"/>
    <m/>
    <n v="409278.51677448238"/>
  </r>
  <r>
    <x v="0"/>
    <x v="1"/>
    <x v="22"/>
    <m/>
    <n v="12413518.316774486"/>
  </r>
  <r>
    <x v="0"/>
    <x v="1"/>
    <x v="23"/>
    <m/>
    <n v="568965.54"/>
  </r>
  <r>
    <x v="0"/>
    <x v="1"/>
    <x v="24"/>
    <m/>
    <n v="436880"/>
  </r>
  <r>
    <x v="0"/>
    <x v="1"/>
    <x v="25"/>
    <m/>
    <n v="175000"/>
  </r>
  <r>
    <x v="0"/>
    <x v="1"/>
    <x v="26"/>
    <m/>
    <n v="145440"/>
  </r>
  <r>
    <x v="0"/>
    <x v="1"/>
    <x v="27"/>
    <m/>
    <n v="176009.84"/>
  </r>
  <r>
    <x v="0"/>
    <x v="1"/>
    <x v="28"/>
    <m/>
    <n v="1502295.3800000001"/>
  </r>
  <r>
    <x v="0"/>
    <x v="2"/>
    <x v="29"/>
    <m/>
    <n v="332888352.44999999"/>
  </r>
  <r>
    <x v="0"/>
    <x v="2"/>
    <x v="30"/>
    <m/>
    <n v="251563"/>
  </r>
  <r>
    <x v="0"/>
    <x v="3"/>
    <x v="31"/>
    <m/>
    <n v="8341041.1232255697"/>
  </r>
  <r>
    <x v="0"/>
    <x v="4"/>
    <x v="32"/>
    <m/>
    <n v="-2508031.2003339818"/>
  </r>
  <r>
    <x v="0"/>
    <x v="5"/>
    <x v="33"/>
    <m/>
    <n v="5833009.922891588"/>
  </r>
  <r>
    <x v="1"/>
    <x v="0"/>
    <x v="0"/>
    <m/>
    <n v="4303645"/>
  </r>
  <r>
    <x v="1"/>
    <x v="0"/>
    <x v="1"/>
    <m/>
    <n v="212583719.66"/>
  </r>
  <r>
    <x v="1"/>
    <x v="0"/>
    <x v="2"/>
    <m/>
    <n v="-3296400"/>
  </r>
  <r>
    <x v="1"/>
    <x v="1"/>
    <x v="3"/>
    <m/>
    <n v="1334941"/>
  </r>
  <r>
    <x v="1"/>
    <x v="1"/>
    <x v="4"/>
    <m/>
    <n v="237976.4"/>
  </r>
  <r>
    <x v="1"/>
    <x v="1"/>
    <x v="5"/>
    <m/>
    <n v="2142689.66"/>
  </r>
  <r>
    <x v="1"/>
    <x v="1"/>
    <x v="34"/>
    <m/>
    <n v="39746.559999999998"/>
  </r>
  <r>
    <x v="1"/>
    <x v="1"/>
    <x v="7"/>
    <m/>
    <n v="2691143"/>
  </r>
  <r>
    <x v="1"/>
    <x v="1"/>
    <x v="8"/>
    <m/>
    <n v="220620"/>
  </r>
  <r>
    <x v="1"/>
    <x v="1"/>
    <x v="9"/>
    <m/>
    <n v="280933.02"/>
  </r>
  <r>
    <x v="1"/>
    <x v="1"/>
    <x v="10"/>
    <m/>
    <n v="142448.57999999999"/>
  </r>
  <r>
    <x v="1"/>
    <x v="1"/>
    <x v="11"/>
    <m/>
    <n v="170482.24"/>
  </r>
  <r>
    <x v="1"/>
    <x v="1"/>
    <x v="12"/>
    <m/>
    <n v="314437"/>
  </r>
  <r>
    <x v="1"/>
    <x v="1"/>
    <x v="13"/>
    <m/>
    <n v="283689.64"/>
  </r>
  <r>
    <x v="1"/>
    <x v="1"/>
    <x v="14"/>
    <m/>
    <n v="112500"/>
  </r>
  <r>
    <x v="1"/>
    <x v="1"/>
    <x v="15"/>
    <m/>
    <n v="389076"/>
  </r>
  <r>
    <x v="1"/>
    <x v="1"/>
    <x v="16"/>
    <m/>
    <n v="36500"/>
  </r>
  <r>
    <x v="1"/>
    <x v="1"/>
    <x v="17"/>
    <m/>
    <n v="1200"/>
  </r>
  <r>
    <x v="1"/>
    <x v="1"/>
    <x v="20"/>
    <m/>
    <n v="14150"/>
  </r>
  <r>
    <x v="1"/>
    <x v="1"/>
    <x v="21"/>
    <m/>
    <n v="223810.430222266"/>
  </r>
  <r>
    <x v="1"/>
    <x v="1"/>
    <x v="35"/>
    <m/>
    <n v="1000000"/>
  </r>
  <r>
    <x v="1"/>
    <x v="1"/>
    <x v="22"/>
    <m/>
    <n v="9636343.5302222669"/>
  </r>
  <r>
    <x v="1"/>
    <x v="1"/>
    <x v="23"/>
    <m/>
    <n v="517241.4"/>
  </r>
  <r>
    <x v="1"/>
    <x v="1"/>
    <x v="24"/>
    <m/>
    <n v="587495.65"/>
  </r>
  <r>
    <x v="1"/>
    <x v="1"/>
    <x v="25"/>
    <m/>
    <n v="175000"/>
  </r>
  <r>
    <x v="1"/>
    <x v="1"/>
    <x v="36"/>
    <m/>
    <n v="600540"/>
  </r>
  <r>
    <x v="1"/>
    <x v="1"/>
    <x v="37"/>
    <m/>
    <n v="10000"/>
  </r>
  <r>
    <x v="1"/>
    <x v="1"/>
    <x v="27"/>
    <m/>
    <n v="102278.42"/>
  </r>
  <r>
    <x v="1"/>
    <x v="1"/>
    <x v="28"/>
    <m/>
    <n v="1992555.47"/>
  </r>
  <r>
    <x v="1"/>
    <x v="2"/>
    <x v="29"/>
    <m/>
    <n v="231291153.24000001"/>
  </r>
  <r>
    <x v="1"/>
    <x v="3"/>
    <x v="31"/>
    <m/>
    <n v="6071289.5797777465"/>
  </r>
  <r>
    <x v="1"/>
    <x v="4"/>
    <x v="32"/>
    <m/>
    <n v="-1820215.25995313"/>
  </r>
  <r>
    <x v="1"/>
    <x v="5"/>
    <x v="33"/>
    <m/>
    <n v="4251074.3198246164"/>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r>
    <x v="2"/>
    <x v="6"/>
    <x v="38"/>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200-000003000000}" name="PivotTable4" cacheId="3" applyNumberFormats="0" applyBorderFormats="0" applyFontFormats="0" applyPatternFormats="0" applyAlignmentFormats="0" applyWidthHeightFormats="1" dataCaption="Values" grandTotalCaption="Total Changes In Equity" updatedVersion="6" minRefreshableVersion="3" useAutoFormatting="1" itemPrintTitles="1" createdVersion="6" indent="0" outline="1" outlineData="1" multipleFieldFilters="0" rowHeaderCaption="." colHeaderCaption=",">
  <location ref="D240:G248" firstHeaderRow="1" firstDataRow="2" firstDataCol="1" rowPageCount="1" colPageCount="1"/>
  <pivotFields count="5">
    <pivotField axis="axisPage" showAll="0">
      <items count="4">
        <item x="0"/>
        <item n="2022" x="2"/>
        <item x="1"/>
        <item t="default"/>
      </items>
    </pivotField>
    <pivotField axis="axisCol" showAll="0">
      <items count="4">
        <item x="1"/>
        <item x="0"/>
        <item x="2"/>
        <item t="default"/>
      </items>
    </pivotField>
    <pivotField axis="axisRow" showAll="0">
      <items count="6">
        <item x="3"/>
        <item x="1"/>
        <item x="0"/>
        <item x="4"/>
        <item x="2"/>
        <item t="default"/>
      </items>
    </pivotField>
    <pivotField axis="axisRow" showAll="0">
      <items count="6">
        <item x="0"/>
        <item x="1"/>
        <item x="2"/>
        <item x="3"/>
        <item sd="0" x="4"/>
        <item t="default"/>
      </items>
    </pivotField>
    <pivotField dataField="1" showAll="0"/>
  </pivotFields>
  <rowFields count="2">
    <field x="3"/>
    <field x="2"/>
  </rowFields>
  <rowItems count="7">
    <i>
      <x v="2"/>
    </i>
    <i r="1">
      <x v="2"/>
    </i>
    <i r="1">
      <x v="4"/>
    </i>
    <i>
      <x v="3"/>
    </i>
    <i r="1">
      <x/>
    </i>
    <i r="1">
      <x v="1"/>
    </i>
    <i t="grand">
      <x/>
    </i>
  </rowItems>
  <colFields count="1">
    <field x="1"/>
  </colFields>
  <colItems count="3">
    <i>
      <x/>
    </i>
    <i>
      <x v="1"/>
    </i>
    <i t="grand">
      <x/>
    </i>
  </colItems>
  <pageFields count="1">
    <pageField fld="0" item="2" hier="-1"/>
  </pageFields>
  <dataFields count="1">
    <dataField name="." fld="4" baseField="2" baseItem="1" numFmtId="166"/>
  </dataFields>
  <formats count="86">
    <format dxfId="691">
      <pivotArea type="all" dataOnly="0" outline="0" fieldPosition="0"/>
    </format>
    <format dxfId="690">
      <pivotArea outline="0" collapsedLevelsAreSubtotals="1" fieldPosition="0"/>
    </format>
    <format dxfId="689">
      <pivotArea type="origin" dataOnly="0" labelOnly="1" outline="0" fieldPosition="0"/>
    </format>
    <format dxfId="688">
      <pivotArea field="1" type="button" dataOnly="0" labelOnly="1" outline="0" axis="axisCol" fieldPosition="0"/>
    </format>
    <format dxfId="687">
      <pivotArea type="topRight" dataOnly="0" labelOnly="1" outline="0" fieldPosition="0"/>
    </format>
    <format dxfId="686">
      <pivotArea field="3" type="button" dataOnly="0" labelOnly="1" outline="0" axis="axisRow" fieldPosition="0"/>
    </format>
    <format dxfId="685">
      <pivotArea dataOnly="0" labelOnly="1" fieldPosition="0">
        <references count="1">
          <reference field="3" count="2">
            <x v="0"/>
            <x v="1"/>
          </reference>
        </references>
      </pivotArea>
    </format>
    <format dxfId="684">
      <pivotArea dataOnly="0" labelOnly="1" fieldPosition="0">
        <references count="2">
          <reference field="2" count="2">
            <x v="1"/>
            <x v="2"/>
          </reference>
          <reference field="3" count="1" selected="0">
            <x v="0"/>
          </reference>
        </references>
      </pivotArea>
    </format>
    <format dxfId="683">
      <pivotArea dataOnly="0" labelOnly="1" fieldPosition="0">
        <references count="1">
          <reference field="1" count="2">
            <x v="0"/>
            <x v="1"/>
          </reference>
        </references>
      </pivotArea>
    </format>
    <format dxfId="682">
      <pivotArea dataOnly="0" labelOnly="1" grandCol="1" outline="0" fieldPosition="0"/>
    </format>
    <format dxfId="681">
      <pivotArea type="origin" dataOnly="0" labelOnly="1" outline="0" fieldPosition="0"/>
    </format>
    <format dxfId="680">
      <pivotArea field="1" type="button" dataOnly="0" labelOnly="1" outline="0" axis="axisCol" fieldPosition="0"/>
    </format>
    <format dxfId="679">
      <pivotArea type="origin" dataOnly="0" labelOnly="1" outline="0" fieldPosition="0"/>
    </format>
    <format dxfId="678">
      <pivotArea field="1" type="button" dataOnly="0" labelOnly="1" outline="0" axis="axisCol" fieldPosition="0"/>
    </format>
    <format dxfId="677">
      <pivotArea type="origin" dataOnly="0" labelOnly="1" outline="0" fieldPosition="0"/>
    </format>
    <format dxfId="676">
      <pivotArea field="1" type="button" dataOnly="0" labelOnly="1" outline="0" axis="axisCol" fieldPosition="0"/>
    </format>
    <format dxfId="675">
      <pivotArea field="3" type="button" dataOnly="0" labelOnly="1" outline="0" axis="axisRow" fieldPosition="0"/>
    </format>
    <format dxfId="674">
      <pivotArea field="3" type="button" dataOnly="0" labelOnly="1" outline="0" axis="axisRow" fieldPosition="0"/>
    </format>
    <format dxfId="673">
      <pivotArea field="0" dataOnly="0" grandRow="1" axis="axisPage" fieldPosition="0">
        <references count="1">
          <reference field="0" count="1" selected="0">
            <x v="0"/>
          </reference>
        </references>
      </pivotArea>
    </format>
    <format dxfId="672">
      <pivotArea dataOnly="0" outline="0" fieldPosition="0">
        <references count="2">
          <reference field="0" count="1" selected="0">
            <x v="0"/>
          </reference>
          <reference field="1" count="1">
            <x v="0"/>
          </reference>
        </references>
      </pivotArea>
    </format>
    <format dxfId="671">
      <pivotArea dataOnly="0" outline="0" fieldPosition="0">
        <references count="2">
          <reference field="0" count="1" selected="0">
            <x v="0"/>
          </reference>
          <reference field="1" count="1">
            <x v="1"/>
          </reference>
        </references>
      </pivotArea>
    </format>
    <format dxfId="670">
      <pivotArea field="0" dataOnly="0" grandCol="1" outline="0" axis="axisPage" fieldPosition="0">
        <references count="1">
          <reference field="0" count="1" selected="0">
            <x v="0"/>
          </reference>
        </references>
      </pivotArea>
    </format>
    <format dxfId="669">
      <pivotArea field="0" dataOnly="0" grandCol="1" outline="0" axis="axisPage" fieldPosition="0">
        <references count="1">
          <reference field="0" count="1" selected="0">
            <x v="0"/>
          </reference>
        </references>
      </pivotArea>
    </format>
    <format dxfId="668">
      <pivotArea field="3" type="button" dataOnly="0" labelOnly="1" outline="0" axis="axisRow" fieldPosition="0"/>
    </format>
    <format dxfId="667">
      <pivotArea dataOnly="0" labelOnly="1" fieldPosition="0">
        <references count="1">
          <reference field="1" count="2">
            <x v="0"/>
            <x v="1"/>
          </reference>
        </references>
      </pivotArea>
    </format>
    <format dxfId="666">
      <pivotArea dataOnly="0" labelOnly="1" grandCol="1" outline="0" fieldPosition="0"/>
    </format>
    <format dxfId="665">
      <pivotArea field="3" type="button" dataOnly="0" labelOnly="1" outline="0" axis="axisRow" fieldPosition="0"/>
    </format>
    <format dxfId="664">
      <pivotArea dataOnly="0" labelOnly="1" fieldPosition="0">
        <references count="1">
          <reference field="1" count="2">
            <x v="0"/>
            <x v="1"/>
          </reference>
        </references>
      </pivotArea>
    </format>
    <format dxfId="663">
      <pivotArea dataOnly="0" labelOnly="1" grandCol="1" outline="0" fieldPosition="0"/>
    </format>
    <format dxfId="662">
      <pivotArea field="3" type="button" dataOnly="0" labelOnly="1" outline="0" axis="axisRow" fieldPosition="0"/>
    </format>
    <format dxfId="661">
      <pivotArea dataOnly="0" labelOnly="1" fieldPosition="0">
        <references count="1">
          <reference field="1" count="2">
            <x v="0"/>
            <x v="1"/>
          </reference>
        </references>
      </pivotArea>
    </format>
    <format dxfId="660">
      <pivotArea dataOnly="0" labelOnly="1" grandCol="1" outline="0" fieldPosition="0"/>
    </format>
    <format dxfId="659">
      <pivotArea collapsedLevelsAreSubtotals="1" fieldPosition="0">
        <references count="2">
          <reference field="1" count="1" selected="0">
            <x v="0"/>
          </reference>
          <reference field="3" count="1">
            <x v="0"/>
          </reference>
        </references>
      </pivotArea>
    </format>
    <format dxfId="658">
      <pivotArea collapsedLevelsAreSubtotals="1" fieldPosition="0">
        <references count="2">
          <reference field="1" count="1" selected="0">
            <x v="1"/>
          </reference>
          <reference field="3" count="1">
            <x v="0"/>
          </reference>
        </references>
      </pivotArea>
    </format>
    <format dxfId="657">
      <pivotArea field="3" grandCol="1" collapsedLevelsAreSubtotals="1" axis="axisRow" fieldPosition="0">
        <references count="1">
          <reference field="3" count="1">
            <x v="0"/>
          </reference>
        </references>
      </pivotArea>
    </format>
    <format dxfId="656">
      <pivotArea dataOnly="0" labelOnly="1" fieldPosition="0">
        <references count="1">
          <reference field="1" count="2">
            <x v="0"/>
            <x v="1"/>
          </reference>
        </references>
      </pivotArea>
    </format>
    <format dxfId="655">
      <pivotArea dataOnly="0" labelOnly="1" grandCol="1" outline="0" fieldPosition="0"/>
    </format>
    <format dxfId="654">
      <pivotArea collapsedLevelsAreSubtotals="1" fieldPosition="0">
        <references count="2">
          <reference field="1" count="1" selected="0">
            <x v="0"/>
          </reference>
          <reference field="3" count="1">
            <x v="1"/>
          </reference>
        </references>
      </pivotArea>
    </format>
    <format dxfId="653">
      <pivotArea field="3" grandCol="1" collapsedLevelsAreSubtotals="1" axis="axisRow" fieldPosition="0">
        <references count="1">
          <reference field="3" count="1">
            <x v="1"/>
          </reference>
        </references>
      </pivotArea>
    </format>
    <format dxfId="652">
      <pivotArea collapsedLevelsAreSubtotals="1" fieldPosition="0">
        <references count="1">
          <reference field="3" count="1">
            <x v="3"/>
          </reference>
        </references>
      </pivotArea>
    </format>
    <format dxfId="651">
      <pivotArea outline="0" fieldPosition="0">
        <references count="1">
          <reference field="4294967294" count="1">
            <x v="0"/>
          </reference>
        </references>
      </pivotArea>
    </format>
    <format dxfId="650">
      <pivotArea field="0" dataOnly="0" grandRow="1" axis="axisPage" fieldPosition="0">
        <references count="1">
          <reference field="0" count="1" selected="0">
            <x v="2"/>
          </reference>
        </references>
      </pivotArea>
    </format>
    <format dxfId="649">
      <pivotArea field="0" dataOnly="0" grandCol="1" outline="0" axis="axisPage" fieldPosition="0">
        <references count="1">
          <reference field="0" count="1" selected="0">
            <x v="2"/>
          </reference>
        </references>
      </pivotArea>
    </format>
    <format dxfId="648">
      <pivotArea field="0" dataOnly="0" grandCol="1" outline="0" axis="axisPage" fieldPosition="0">
        <references count="1">
          <reference field="0" count="1" selected="0">
            <x v="2"/>
          </reference>
        </references>
      </pivotArea>
    </format>
    <format dxfId="647">
      <pivotArea dataOnly="0" outline="0" fieldPosition="0">
        <references count="2">
          <reference field="0" count="1" selected="0">
            <x v="2"/>
          </reference>
          <reference field="1" count="1">
            <x v="1"/>
          </reference>
        </references>
      </pivotArea>
    </format>
    <format dxfId="646">
      <pivotArea dataOnly="0" outline="0" fieldPosition="0">
        <references count="2">
          <reference field="0" count="1" selected="0">
            <x v="2"/>
          </reference>
          <reference field="1" count="1">
            <x v="0"/>
          </reference>
        </references>
      </pivotArea>
    </format>
    <format dxfId="645">
      <pivotArea field="0" dataOnly="0" grandRow="1" axis="axisPage" fieldPosition="0">
        <references count="1">
          <reference field="0" count="1" selected="0">
            <x v="2"/>
          </reference>
        </references>
      </pivotArea>
    </format>
    <format dxfId="644">
      <pivotArea collapsedLevelsAreSubtotals="1" fieldPosition="0">
        <references count="1">
          <reference field="3" count="1">
            <x v="2"/>
          </reference>
        </references>
      </pivotArea>
    </format>
    <format dxfId="643">
      <pivotArea type="all" dataOnly="0" outline="0" fieldPosition="0"/>
    </format>
    <format dxfId="642">
      <pivotArea outline="0" collapsedLevelsAreSubtotals="1" fieldPosition="0"/>
    </format>
    <format dxfId="641">
      <pivotArea type="origin" dataOnly="0" labelOnly="1" outline="0" fieldPosition="0"/>
    </format>
    <format dxfId="640">
      <pivotArea field="1" type="button" dataOnly="0" labelOnly="1" outline="0" axis="axisCol" fieldPosition="0"/>
    </format>
    <format dxfId="639">
      <pivotArea type="topRight" dataOnly="0" labelOnly="1" outline="0" fieldPosition="0"/>
    </format>
    <format dxfId="638">
      <pivotArea field="3" type="button" dataOnly="0" labelOnly="1" outline="0" axis="axisRow" fieldPosition="0"/>
    </format>
    <format dxfId="637">
      <pivotArea dataOnly="0" labelOnly="1" fieldPosition="0">
        <references count="1">
          <reference field="3" count="2">
            <x v="2"/>
            <x v="3"/>
          </reference>
        </references>
      </pivotArea>
    </format>
    <format dxfId="636">
      <pivotArea dataOnly="0" labelOnly="1" grandRow="1" outline="0" fieldPosition="0"/>
    </format>
    <format dxfId="635">
      <pivotArea dataOnly="0" labelOnly="1" fieldPosition="0">
        <references count="2">
          <reference field="2" count="2">
            <x v="1"/>
            <x v="2"/>
          </reference>
          <reference field="3" count="1" selected="0">
            <x v="2"/>
          </reference>
        </references>
      </pivotArea>
    </format>
    <format dxfId="634">
      <pivotArea dataOnly="0" labelOnly="1" fieldPosition="0">
        <references count="2">
          <reference field="2" count="2">
            <x v="0"/>
            <x v="1"/>
          </reference>
          <reference field="3" count="1" selected="0">
            <x v="3"/>
          </reference>
        </references>
      </pivotArea>
    </format>
    <format dxfId="633">
      <pivotArea dataOnly="0" labelOnly="1" fieldPosition="0">
        <references count="1">
          <reference field="1" count="2">
            <x v="0"/>
            <x v="1"/>
          </reference>
        </references>
      </pivotArea>
    </format>
    <format dxfId="632">
      <pivotArea dataOnly="0" labelOnly="1" grandCol="1" outline="0" fieldPosition="0"/>
    </format>
    <format dxfId="631">
      <pivotArea type="all" dataOnly="0" outline="0" fieldPosition="0"/>
    </format>
    <format dxfId="630">
      <pivotArea outline="0" collapsedLevelsAreSubtotals="1" fieldPosition="0"/>
    </format>
    <format dxfId="629">
      <pivotArea type="origin" dataOnly="0" labelOnly="1" outline="0" fieldPosition="0"/>
    </format>
    <format dxfId="628">
      <pivotArea field="1" type="button" dataOnly="0" labelOnly="1" outline="0" axis="axisCol" fieldPosition="0"/>
    </format>
    <format dxfId="627">
      <pivotArea type="topRight" dataOnly="0" labelOnly="1" outline="0" fieldPosition="0"/>
    </format>
    <format dxfId="626">
      <pivotArea field="3" type="button" dataOnly="0" labelOnly="1" outline="0" axis="axisRow" fieldPosition="0"/>
    </format>
    <format dxfId="625">
      <pivotArea dataOnly="0" labelOnly="1" fieldPosition="0">
        <references count="1">
          <reference field="3" count="2">
            <x v="2"/>
            <x v="3"/>
          </reference>
        </references>
      </pivotArea>
    </format>
    <format dxfId="624">
      <pivotArea dataOnly="0" labelOnly="1" grandRow="1" outline="0" fieldPosition="0"/>
    </format>
    <format dxfId="623">
      <pivotArea dataOnly="0" labelOnly="1" fieldPosition="0">
        <references count="2">
          <reference field="2" count="2">
            <x v="1"/>
            <x v="2"/>
          </reference>
          <reference field="3" count="1" selected="0">
            <x v="2"/>
          </reference>
        </references>
      </pivotArea>
    </format>
    <format dxfId="622">
      <pivotArea dataOnly="0" labelOnly="1" fieldPosition="0">
        <references count="2">
          <reference field="2" count="2">
            <x v="0"/>
            <x v="1"/>
          </reference>
          <reference field="3" count="1" selected="0">
            <x v="3"/>
          </reference>
        </references>
      </pivotArea>
    </format>
    <format dxfId="621">
      <pivotArea dataOnly="0" labelOnly="1" fieldPosition="0">
        <references count="1">
          <reference field="1" count="2">
            <x v="0"/>
            <x v="1"/>
          </reference>
        </references>
      </pivotArea>
    </format>
    <format dxfId="620">
      <pivotArea dataOnly="0" labelOnly="1" grandCol="1" outline="0" fieldPosition="0"/>
    </format>
    <format dxfId="619">
      <pivotArea field="0" type="button" dataOnly="0" labelOnly="1" outline="0" axis="axisPage" fieldPosition="0"/>
    </format>
    <format dxfId="618">
      <pivotArea field="0" type="button" dataOnly="0" labelOnly="1" outline="0" axis="axisPage" fieldPosition="0"/>
    </format>
    <format dxfId="617">
      <pivotArea type="all" dataOnly="0" outline="0" fieldPosition="0"/>
    </format>
    <format dxfId="616">
      <pivotArea outline="0" collapsedLevelsAreSubtotals="1" fieldPosition="0"/>
    </format>
    <format dxfId="615">
      <pivotArea type="origin" dataOnly="0" labelOnly="1" outline="0" fieldPosition="0"/>
    </format>
    <format dxfId="614">
      <pivotArea field="1" type="button" dataOnly="0" labelOnly="1" outline="0" axis="axisCol" fieldPosition="0"/>
    </format>
    <format dxfId="613">
      <pivotArea type="topRight" dataOnly="0" labelOnly="1" outline="0" fieldPosition="0"/>
    </format>
    <format dxfId="612">
      <pivotArea field="3" type="button" dataOnly="0" labelOnly="1" outline="0" axis="axisRow" fieldPosition="0"/>
    </format>
    <format dxfId="611">
      <pivotArea dataOnly="0" labelOnly="1" fieldPosition="0">
        <references count="1">
          <reference field="3" count="2">
            <x v="2"/>
            <x v="3"/>
          </reference>
        </references>
      </pivotArea>
    </format>
    <format dxfId="610">
      <pivotArea dataOnly="0" labelOnly="1" grandRow="1" outline="0" fieldPosition="0"/>
    </format>
    <format dxfId="609">
      <pivotArea dataOnly="0" labelOnly="1" fieldPosition="0">
        <references count="2">
          <reference field="2" count="2">
            <x v="1"/>
            <x v="2"/>
          </reference>
          <reference field="3" count="1" selected="0">
            <x v="2"/>
          </reference>
        </references>
      </pivotArea>
    </format>
    <format dxfId="608">
      <pivotArea dataOnly="0" labelOnly="1" fieldPosition="0">
        <references count="2">
          <reference field="2" count="2">
            <x v="0"/>
            <x v="1"/>
          </reference>
          <reference field="3" count="1" selected="0">
            <x v="3"/>
          </reference>
        </references>
      </pivotArea>
    </format>
    <format dxfId="607">
      <pivotArea dataOnly="0" labelOnly="1" fieldPosition="0">
        <references count="1">
          <reference field="1" count="2">
            <x v="0"/>
            <x v="1"/>
          </reference>
        </references>
      </pivotArea>
    </format>
    <format dxfId="606">
      <pivotArea dataOnly="0" labelOnly="1" grandCol="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PivotTable1" cacheId="4"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rowHeaderCaption=".">
  <location ref="D9:E15" firstHeaderRow="1" firstDataRow="1" firstDataCol="1" rowPageCount="1" colPageCount="1"/>
  <pivotFields count="5">
    <pivotField name="Accounts" axis="axisPage" subtotalTop="0" showAll="0">
      <items count="4">
        <item x="0"/>
        <item n="2020" x="2"/>
        <item x="1"/>
        <item t="default"/>
      </items>
    </pivotField>
    <pivotField axis="axisRow" subtotalCaption="Total ?" subtotalTop="0" showAll="0">
      <items count="12">
        <item sd="0" x="2"/>
        <item sd="0" m="1" x="10"/>
        <item sd="0" m="1" x="9"/>
        <item sd="0" x="0"/>
        <item sd="0" x="1"/>
        <item sd="0" m="1" x="7"/>
        <item sd="0" m="1" x="8"/>
        <item h="1" sd="0" x="6"/>
        <item sd="0" x="3"/>
        <item sd="0" x="4"/>
        <item sd="0" x="5"/>
        <item t="default"/>
      </items>
    </pivotField>
    <pivotField axis="axisRow" subtotalTop="0" showAll="0">
      <items count="43">
        <item x="23"/>
        <item x="26"/>
        <item x="34"/>
        <item x="24"/>
        <item x="37"/>
        <item x="25"/>
        <item x="36"/>
        <item x="27"/>
        <item m="1" x="41"/>
        <item x="28"/>
        <item x="6"/>
        <item x="21"/>
        <item x="7"/>
        <item x="9"/>
        <item x="15"/>
        <item x="29"/>
        <item x="12"/>
        <item x="0"/>
        <item x="8"/>
        <item x="14"/>
        <item x="17"/>
        <item x="18"/>
        <item x="30"/>
        <item x="10"/>
        <item m="1" x="40"/>
        <item x="1"/>
        <item x="5"/>
        <item x="3"/>
        <item x="13"/>
        <item x="4"/>
        <item x="19"/>
        <item x="20"/>
        <item x="11"/>
        <item m="1" x="39"/>
        <item x="16"/>
        <item x="38"/>
        <item x="2"/>
        <item x="31"/>
        <item x="32"/>
        <item x="33"/>
        <item x="35"/>
        <item x="22"/>
        <item t="default"/>
      </items>
    </pivotField>
    <pivotField subtotalTop="0" showAll="0"/>
    <pivotField name="KSH0002" dataField="1" showAll="0" defaultSubtotal="0"/>
  </pivotFields>
  <rowFields count="2">
    <field x="1"/>
    <field x="2"/>
  </rowFields>
  <rowItems count="6">
    <i>
      <x/>
    </i>
    <i>
      <x v="3"/>
    </i>
    <i>
      <x v="4"/>
    </i>
    <i>
      <x v="8"/>
    </i>
    <i>
      <x v="9"/>
    </i>
    <i>
      <x v="10"/>
    </i>
  </rowItems>
  <colItems count="1">
    <i/>
  </colItems>
  <pageFields count="1">
    <pageField fld="0" item="2" hier="-1"/>
  </pageFields>
  <dataFields count="1">
    <dataField name="Ksh000" fld="4" baseField="2" baseItem="12" numFmtId="166"/>
  </dataFields>
  <formats count="74">
    <format dxfId="765">
      <pivotArea type="all" dataOnly="0" outline="0" fieldPosition="0"/>
    </format>
    <format dxfId="764">
      <pivotArea outline="0" collapsedLevelsAreSubtotals="1" fieldPosition="0"/>
    </format>
    <format dxfId="763">
      <pivotArea field="1" type="button" dataOnly="0" labelOnly="1" outline="0" axis="axisRow" fieldPosition="0"/>
    </format>
    <format dxfId="762">
      <pivotArea dataOnly="0" labelOnly="1" fieldPosition="0">
        <references count="1">
          <reference field="1" count="0"/>
        </references>
      </pivotArea>
    </format>
    <format dxfId="761">
      <pivotArea dataOnly="0" labelOnly="1" fieldPosition="0">
        <references count="1">
          <reference field="1" count="3" defaultSubtotal="1">
            <x v="0"/>
            <x v="2"/>
            <x v="4"/>
          </reference>
        </references>
      </pivotArea>
    </format>
    <format dxfId="760">
      <pivotArea dataOnly="0" labelOnly="1" fieldPosition="0">
        <references count="2">
          <reference field="1" count="1" selected="0">
            <x v="0"/>
          </reference>
          <reference field="2" count="2">
            <x v="15"/>
            <x v="22"/>
          </reference>
        </references>
      </pivotArea>
    </format>
    <format dxfId="759">
      <pivotArea dataOnly="0" labelOnly="1" fieldPosition="0">
        <references count="2">
          <reference field="1" count="1" selected="0">
            <x v="2"/>
          </reference>
          <reference field="2" count="3">
            <x v="17"/>
            <x v="25"/>
            <x v="36"/>
          </reference>
        </references>
      </pivotArea>
    </format>
    <format dxfId="758">
      <pivotArea dataOnly="0" labelOnly="1" fieldPosition="0">
        <references count="2">
          <reference field="1" count="1" selected="0">
            <x v="4"/>
          </reference>
          <reference field="2" count="26">
            <x v="0"/>
            <x v="1"/>
            <x v="3"/>
            <x v="5"/>
            <x v="7"/>
            <x v="9"/>
            <x v="10"/>
            <x v="11"/>
            <x v="12"/>
            <x v="13"/>
            <x v="14"/>
            <x v="16"/>
            <x v="18"/>
            <x v="19"/>
            <x v="20"/>
            <x v="21"/>
            <x v="23"/>
            <x v="26"/>
            <x v="27"/>
            <x v="28"/>
            <x v="29"/>
            <x v="30"/>
            <x v="31"/>
            <x v="32"/>
            <x v="34"/>
            <x v="41"/>
          </reference>
        </references>
      </pivotArea>
    </format>
    <format dxfId="757">
      <pivotArea dataOnly="0" fieldPosition="0">
        <references count="1">
          <reference field="1" count="0" defaultSubtotal="1"/>
        </references>
      </pivotArea>
    </format>
    <format dxfId="756">
      <pivotArea dataOnly="0" fieldPosition="0">
        <references count="1">
          <reference field="1" count="0" defaultSubtotal="1"/>
        </references>
      </pivotArea>
    </format>
    <format dxfId="755">
      <pivotArea dataOnly="0" fieldPosition="0">
        <references count="1">
          <reference field="1" count="1">
            <x v="3"/>
          </reference>
        </references>
      </pivotArea>
    </format>
    <format dxfId="754">
      <pivotArea dataOnly="0" fieldPosition="0">
        <references count="1">
          <reference field="2" count="1">
            <x v="9"/>
          </reference>
        </references>
      </pivotArea>
    </format>
    <format dxfId="753">
      <pivotArea dataOnly="0" fieldPosition="0">
        <references count="1">
          <reference field="2" count="1">
            <x v="9"/>
          </reference>
        </references>
      </pivotArea>
    </format>
    <format dxfId="752">
      <pivotArea dataOnly="0" fieldPosition="0">
        <references count="1">
          <reference field="2" count="1">
            <x v="41"/>
          </reference>
        </references>
      </pivotArea>
    </format>
    <format dxfId="751">
      <pivotArea field="1" type="button" dataOnly="0" labelOnly="1" outline="0" axis="axisRow" fieldPosition="0"/>
    </format>
    <format dxfId="750">
      <pivotArea dataOnly="0" fieldPosition="0">
        <references count="1">
          <reference field="1" count="1">
            <x v="10"/>
          </reference>
        </references>
      </pivotArea>
    </format>
    <format dxfId="749">
      <pivotArea dataOnly="0" labelOnly="1" outline="0" fieldPosition="0">
        <references count="1">
          <reference field="0" count="0"/>
        </references>
      </pivotArea>
    </format>
    <format dxfId="748">
      <pivotArea dataOnly="0" labelOnly="1" outline="0" fieldPosition="0">
        <references count="1">
          <reference field="0" count="0"/>
        </references>
      </pivotArea>
    </format>
    <format dxfId="747">
      <pivotArea dataOnly="0" labelOnly="1" outline="0" fieldPosition="0">
        <references count="1">
          <reference field="0" count="0"/>
        </references>
      </pivotArea>
    </format>
    <format dxfId="746">
      <pivotArea dataOnly="0" labelOnly="1" outline="0" fieldPosition="0">
        <references count="1">
          <reference field="0" count="0"/>
        </references>
      </pivotArea>
    </format>
    <format dxfId="745">
      <pivotArea dataOnly="0" labelOnly="1" outline="0" fieldPosition="0">
        <references count="1">
          <reference field="0" count="0"/>
        </references>
      </pivotArea>
    </format>
    <format dxfId="744">
      <pivotArea dataOnly="0" fieldPosition="0">
        <references count="1">
          <reference field="1" count="0" defaultSubtotal="1"/>
        </references>
      </pivotArea>
    </format>
    <format dxfId="743">
      <pivotArea dataOnly="0" fieldPosition="0">
        <references count="1">
          <reference field="1" count="1">
            <x v="10"/>
          </reference>
        </references>
      </pivotArea>
    </format>
    <format dxfId="742">
      <pivotArea dataOnly="0" fieldPosition="0">
        <references count="1">
          <reference field="1" count="1">
            <x v="10"/>
          </reference>
        </references>
      </pivotArea>
    </format>
    <format dxfId="741">
      <pivotArea field="1" type="button" dataOnly="0" labelOnly="1" outline="0" axis="axisRow" fieldPosition="0"/>
    </format>
    <format dxfId="740">
      <pivotArea field="1" type="button" dataOnly="0" labelOnly="1" outline="0" axis="axisRow" fieldPosition="0"/>
    </format>
    <format dxfId="739">
      <pivotArea dataOnly="0" fieldPosition="0">
        <references count="2">
          <reference field="0" count="1" selected="0">
            <x v="0"/>
          </reference>
          <reference field="2" count="1">
            <x v="9"/>
          </reference>
        </references>
      </pivotArea>
    </format>
    <format dxfId="738">
      <pivotArea dataOnly="0" fieldPosition="0">
        <references count="2">
          <reference field="0" count="1" selected="0">
            <x v="0"/>
          </reference>
          <reference field="2" count="1">
            <x v="9"/>
          </reference>
        </references>
      </pivotArea>
    </format>
    <format dxfId="737">
      <pivotArea dataOnly="0" fieldPosition="0">
        <references count="2">
          <reference field="0" count="1" selected="0">
            <x v="0"/>
          </reference>
          <reference field="2" count="1">
            <x v="41"/>
          </reference>
        </references>
      </pivotArea>
    </format>
    <format dxfId="736">
      <pivotArea dataOnly="0" fieldPosition="0">
        <references count="2">
          <reference field="0" count="1" selected="0">
            <x v="0"/>
          </reference>
          <reference field="2" count="1">
            <x v="41"/>
          </reference>
        </references>
      </pivotArea>
    </format>
    <format dxfId="735">
      <pivotArea field="1" type="button" dataOnly="0" labelOnly="1" outline="0" axis="axisRow" fieldPosition="0"/>
    </format>
    <format dxfId="734">
      <pivotArea dataOnly="0" labelOnly="1" fieldPosition="0">
        <references count="1">
          <reference field="1" count="1">
            <x v="0"/>
          </reference>
        </references>
      </pivotArea>
    </format>
    <format dxfId="733">
      <pivotArea outline="0" collapsedLevelsAreSubtotals="1" fieldPosition="0"/>
    </format>
    <format dxfId="732">
      <pivotArea dataOnly="0" labelOnly="1" outline="0" axis="axisValues" fieldPosition="0"/>
    </format>
    <format dxfId="731">
      <pivotArea dataOnly="0" labelOnly="1" outline="0" axis="axisValues" fieldPosition="0"/>
    </format>
    <format dxfId="730">
      <pivotArea dataOnly="0" labelOnly="1" outline="0" axis="axisValues" fieldPosition="0"/>
    </format>
    <format dxfId="729">
      <pivotArea dataOnly="0" labelOnly="1" outline="0" axis="axisValues" fieldPosition="0"/>
    </format>
    <format dxfId="728">
      <pivotArea dataOnly="0" labelOnly="1" outline="0" axis="axisValues" fieldPosition="0"/>
    </format>
    <format dxfId="727">
      <pivotArea dataOnly="0" labelOnly="1" outline="0" axis="axisValues" fieldPosition="0"/>
    </format>
    <format dxfId="726">
      <pivotArea outline="0" fieldPosition="0">
        <references count="1">
          <reference field="4294967294" count="1">
            <x v="0"/>
          </reference>
        </references>
      </pivotArea>
    </format>
    <format dxfId="725">
      <pivotArea dataOnly="0" fieldPosition="0">
        <references count="2">
          <reference field="0" count="1" selected="0">
            <x v="2"/>
          </reference>
          <reference field="2" count="1">
            <x v="41"/>
          </reference>
        </references>
      </pivotArea>
    </format>
    <format dxfId="724">
      <pivotArea type="all" dataOnly="0" outline="0" fieldPosition="0"/>
    </format>
    <format dxfId="723">
      <pivotArea outline="0" collapsedLevelsAreSubtotals="1" fieldPosition="0"/>
    </format>
    <format dxfId="722">
      <pivotArea field="1" type="button" dataOnly="0" labelOnly="1" outline="0" axis="axisRow" fieldPosition="0"/>
    </format>
    <format dxfId="721">
      <pivotArea dataOnly="0" labelOnly="1" outline="0" axis="axisValues" fieldPosition="0"/>
    </format>
    <format dxfId="720">
      <pivotArea dataOnly="0" labelOnly="1" fieldPosition="0">
        <references count="1">
          <reference field="1" count="0"/>
        </references>
      </pivotArea>
    </format>
    <format dxfId="719">
      <pivotArea dataOnly="0" labelOnly="1" fieldPosition="0">
        <references count="1">
          <reference field="1" count="3" defaultSubtotal="1">
            <x v="0"/>
            <x v="3"/>
            <x v="4"/>
          </reference>
        </references>
      </pivotArea>
    </format>
    <format dxfId="718">
      <pivotArea dataOnly="0" labelOnly="1" fieldPosition="0">
        <references count="2">
          <reference field="1" count="1" selected="0">
            <x v="0"/>
          </reference>
          <reference field="2" count="2">
            <x v="15"/>
            <x v="22"/>
          </reference>
        </references>
      </pivotArea>
    </format>
    <format dxfId="717">
      <pivotArea dataOnly="0" labelOnly="1" fieldPosition="0">
        <references count="2">
          <reference field="1" count="1" selected="0">
            <x v="3"/>
          </reference>
          <reference field="2" count="3">
            <x v="17"/>
            <x v="25"/>
            <x v="36"/>
          </reference>
        </references>
      </pivotArea>
    </format>
    <format dxfId="716">
      <pivotArea dataOnly="0" labelOnly="1" fieldPosition="0">
        <references count="2">
          <reference field="1" count="1" selected="0">
            <x v="4"/>
          </reference>
          <reference field="2" count="26">
            <x v="0"/>
            <x v="1"/>
            <x v="3"/>
            <x v="5"/>
            <x v="7"/>
            <x v="9"/>
            <x v="10"/>
            <x v="11"/>
            <x v="12"/>
            <x v="13"/>
            <x v="14"/>
            <x v="16"/>
            <x v="18"/>
            <x v="19"/>
            <x v="20"/>
            <x v="21"/>
            <x v="23"/>
            <x v="26"/>
            <x v="27"/>
            <x v="28"/>
            <x v="29"/>
            <x v="30"/>
            <x v="31"/>
            <x v="32"/>
            <x v="34"/>
            <x v="41"/>
          </reference>
        </references>
      </pivotArea>
    </format>
    <format dxfId="715">
      <pivotArea dataOnly="0" labelOnly="1" outline="0" axis="axisValues" fieldPosition="0"/>
    </format>
    <format dxfId="714">
      <pivotArea field="0" type="button" dataOnly="0" labelOnly="1" outline="0" axis="axisPage" fieldPosition="0"/>
    </format>
    <format dxfId="713">
      <pivotArea field="0" type="button" dataOnly="0" labelOnly="1" outline="0" axis="axisPage" fieldPosition="0"/>
    </format>
    <format dxfId="712">
      <pivotArea field="0" type="button" dataOnly="0" labelOnly="1" outline="0" axis="axisPage" fieldPosition="0"/>
    </format>
    <format dxfId="711">
      <pivotArea type="all" dataOnly="0" outline="0" fieldPosition="0"/>
    </format>
    <format dxfId="710">
      <pivotArea outline="0" collapsedLevelsAreSubtotals="1" fieldPosition="0"/>
    </format>
    <format dxfId="709">
      <pivotArea field="1" type="button" dataOnly="0" labelOnly="1" outline="0" axis="axisRow" fieldPosition="0"/>
    </format>
    <format dxfId="708">
      <pivotArea dataOnly="0" labelOnly="1" outline="0" axis="axisValues" fieldPosition="0"/>
    </format>
    <format dxfId="707">
      <pivotArea dataOnly="0" labelOnly="1" fieldPosition="0">
        <references count="1">
          <reference field="1" count="0"/>
        </references>
      </pivotArea>
    </format>
    <format dxfId="706">
      <pivotArea dataOnly="0" labelOnly="1" fieldPosition="0">
        <references count="1">
          <reference field="1" count="3" defaultSubtotal="1">
            <x v="0"/>
            <x v="3"/>
            <x v="4"/>
          </reference>
        </references>
      </pivotArea>
    </format>
    <format dxfId="705">
      <pivotArea dataOnly="0" labelOnly="1" fieldPosition="0">
        <references count="2">
          <reference field="1" count="1" selected="0">
            <x v="0"/>
          </reference>
          <reference field="2" count="2">
            <x v="15"/>
            <x v="22"/>
          </reference>
        </references>
      </pivotArea>
    </format>
    <format dxfId="704">
      <pivotArea dataOnly="0" labelOnly="1" fieldPosition="0">
        <references count="2">
          <reference field="1" count="1" selected="0">
            <x v="3"/>
          </reference>
          <reference field="2" count="3">
            <x v="17"/>
            <x v="25"/>
            <x v="36"/>
          </reference>
        </references>
      </pivotArea>
    </format>
    <format dxfId="703">
      <pivotArea dataOnly="0" labelOnly="1" fieldPosition="0">
        <references count="2">
          <reference field="1" count="1" selected="0">
            <x v="4"/>
          </reference>
          <reference field="2" count="26">
            <x v="0"/>
            <x v="1"/>
            <x v="3"/>
            <x v="5"/>
            <x v="7"/>
            <x v="9"/>
            <x v="10"/>
            <x v="11"/>
            <x v="12"/>
            <x v="13"/>
            <x v="14"/>
            <x v="16"/>
            <x v="18"/>
            <x v="19"/>
            <x v="20"/>
            <x v="21"/>
            <x v="23"/>
            <x v="26"/>
            <x v="27"/>
            <x v="28"/>
            <x v="29"/>
            <x v="30"/>
            <x v="31"/>
            <x v="32"/>
            <x v="34"/>
            <x v="41"/>
          </reference>
        </references>
      </pivotArea>
    </format>
    <format dxfId="702">
      <pivotArea dataOnly="0" labelOnly="1" outline="0" axis="axisValues" fieldPosition="0"/>
    </format>
    <format dxfId="701">
      <pivotArea type="all" dataOnly="0" outline="0" fieldPosition="0"/>
    </format>
    <format dxfId="700">
      <pivotArea outline="0" collapsedLevelsAreSubtotals="1" fieldPosition="0"/>
    </format>
    <format dxfId="699">
      <pivotArea field="1" type="button" dataOnly="0" labelOnly="1" outline="0" axis="axisRow" fieldPosition="0"/>
    </format>
    <format dxfId="698">
      <pivotArea dataOnly="0" labelOnly="1" outline="0" axis="axisValues" fieldPosition="0"/>
    </format>
    <format dxfId="697">
      <pivotArea dataOnly="0" labelOnly="1" fieldPosition="0">
        <references count="1">
          <reference field="1" count="0"/>
        </references>
      </pivotArea>
    </format>
    <format dxfId="696">
      <pivotArea dataOnly="0" labelOnly="1" fieldPosition="0">
        <references count="1">
          <reference field="1" count="3" defaultSubtotal="1">
            <x v="0"/>
            <x v="3"/>
            <x v="4"/>
          </reference>
        </references>
      </pivotArea>
    </format>
    <format dxfId="695">
      <pivotArea dataOnly="0" labelOnly="1" fieldPosition="0">
        <references count="2">
          <reference field="1" count="1" selected="0">
            <x v="0"/>
          </reference>
          <reference field="2" count="2">
            <x v="15"/>
            <x v="22"/>
          </reference>
        </references>
      </pivotArea>
    </format>
    <format dxfId="694">
      <pivotArea dataOnly="0" labelOnly="1" fieldPosition="0">
        <references count="2">
          <reference field="1" count="1" selected="0">
            <x v="3"/>
          </reference>
          <reference field="2" count="3">
            <x v="17"/>
            <x v="25"/>
            <x v="36"/>
          </reference>
        </references>
      </pivotArea>
    </format>
    <format dxfId="693">
      <pivotArea dataOnly="0" labelOnly="1" fieldPosition="0">
        <references count="2">
          <reference field="1" count="1" selected="0">
            <x v="4"/>
          </reference>
          <reference field="2" count="26">
            <x v="0"/>
            <x v="1"/>
            <x v="3"/>
            <x v="5"/>
            <x v="7"/>
            <x v="9"/>
            <x v="10"/>
            <x v="11"/>
            <x v="12"/>
            <x v="13"/>
            <x v="14"/>
            <x v="16"/>
            <x v="18"/>
            <x v="19"/>
            <x v="20"/>
            <x v="21"/>
            <x v="23"/>
            <x v="26"/>
            <x v="27"/>
            <x v="28"/>
            <x v="29"/>
            <x v="30"/>
            <x v="31"/>
            <x v="32"/>
            <x v="34"/>
            <x v="41"/>
          </reference>
        </references>
      </pivotArea>
    </format>
    <format dxfId="692">
      <pivotArea dataOnly="0" labelOnly="1" outline="0" axis="axisValues"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1200-000004000000}" name="PivotTable5" cacheId="0" applyNumberFormats="0" applyBorderFormats="0" applyFontFormats="0" applyPatternFormats="0" applyAlignmentFormats="0" applyWidthHeightFormats="1" dataCaption="Values" grandTotalCaption="Total Property,Plant &amp; Equipment" updatedVersion="6" minRefreshableVersion="3" useAutoFormatting="1" rowGrandTotals="0" itemPrintTitles="1" createdVersion="6" indent="0" outline="1" outlineData="1" multipleFieldFilters="0">
  <location ref="D185:I192" firstHeaderRow="1" firstDataRow="2" firstDataCol="1" rowPageCount="1" colPageCount="1"/>
  <pivotFields count="4">
    <pivotField name="Year" axis="axisPage" showAll="0">
      <items count="5">
        <item n="2021" x="1"/>
        <item m="1" x="3"/>
        <item n="2020" x="2"/>
        <item x="0"/>
        <item t="default"/>
      </items>
    </pivotField>
    <pivotField axis="axisCol" showAll="0">
      <items count="6">
        <item x="0"/>
        <item x="1"/>
        <item x="2"/>
        <item x="3"/>
        <item h="1" x="4"/>
        <item t="default"/>
      </items>
    </pivotField>
    <pivotField axis="axisRow" showAll="0">
      <items count="8">
        <item x="0"/>
        <item x="4"/>
        <item x="5"/>
        <item x="1"/>
        <item x="2"/>
        <item h="1" x="6"/>
        <item x="3"/>
        <item t="default"/>
      </items>
    </pivotField>
    <pivotField dataField="1" showAll="0"/>
  </pivotFields>
  <rowFields count="1">
    <field x="2"/>
  </rowFields>
  <rowItems count="6">
    <i>
      <x/>
    </i>
    <i>
      <x v="1"/>
    </i>
    <i>
      <x v="2"/>
    </i>
    <i>
      <x v="3"/>
    </i>
    <i>
      <x v="4"/>
    </i>
    <i>
      <x v="6"/>
    </i>
  </rowItems>
  <colFields count="1">
    <field x="1"/>
  </colFields>
  <colItems count="5">
    <i>
      <x/>
    </i>
    <i>
      <x v="1"/>
    </i>
    <i>
      <x v="2"/>
    </i>
    <i>
      <x v="3"/>
    </i>
    <i t="grand">
      <x/>
    </i>
  </colItems>
  <pageFields count="1">
    <pageField fld="0" item="0" hier="-1"/>
  </pageFields>
  <dataFields count="1">
    <dataField name="Sum of Amount" fld="3" baseField="2" baseItem="0" numFmtId="166"/>
  </dataFields>
  <formats count="54">
    <format dxfId="819">
      <pivotArea dataOnly="0" fieldPosition="0">
        <references count="1">
          <reference field="2" count="1">
            <x v="6"/>
          </reference>
        </references>
      </pivotArea>
    </format>
    <format dxfId="818">
      <pivotArea dataOnly="0" fieldPosition="0">
        <references count="1">
          <reference field="2" count="1">
            <x v="6"/>
          </reference>
        </references>
      </pivotArea>
    </format>
    <format dxfId="817">
      <pivotArea type="all" dataOnly="0" outline="0" fieldPosition="0"/>
    </format>
    <format dxfId="816">
      <pivotArea dataOnly="0" fieldPosition="0">
        <references count="1">
          <reference field="2" count="1">
            <x v="6"/>
          </reference>
        </references>
      </pivotArea>
    </format>
    <format dxfId="815">
      <pivotArea type="origin" dataOnly="0" labelOnly="1" outline="0" fieldPosition="0"/>
    </format>
    <format dxfId="814">
      <pivotArea field="1" type="button" dataOnly="0" labelOnly="1" outline="0" axis="axisCol" fieldPosition="0"/>
    </format>
    <format dxfId="813">
      <pivotArea field="2" type="button" dataOnly="0" labelOnly="1" outline="0" axis="axisRow" fieldPosition="0"/>
    </format>
    <format dxfId="812">
      <pivotArea dataOnly="0" labelOnly="1" fieldPosition="0">
        <references count="1">
          <reference field="1" count="0"/>
        </references>
      </pivotArea>
    </format>
    <format dxfId="811">
      <pivotArea dataOnly="0" outline="0" fieldPosition="0">
        <references count="1">
          <reference field="1" count="1">
            <x v="0"/>
          </reference>
        </references>
      </pivotArea>
    </format>
    <format dxfId="810">
      <pivotArea dataOnly="0" outline="0" fieldPosition="0">
        <references count="1">
          <reference field="1" count="1">
            <x v="1"/>
          </reference>
        </references>
      </pivotArea>
    </format>
    <format dxfId="809">
      <pivotArea dataOnly="0" outline="0" fieldPosition="0">
        <references count="1">
          <reference field="1" count="1">
            <x v="2"/>
          </reference>
        </references>
      </pivotArea>
    </format>
    <format dxfId="808">
      <pivotArea dataOnly="0" outline="0" fieldPosition="0">
        <references count="1">
          <reference field="1" count="1">
            <x v="3"/>
          </reference>
        </references>
      </pivotArea>
    </format>
    <format dxfId="807">
      <pivotArea field="2" type="button" dataOnly="0" labelOnly="1" outline="0" axis="axisRow" fieldPosition="0"/>
    </format>
    <format dxfId="806">
      <pivotArea dataOnly="0" labelOnly="1" fieldPosition="0">
        <references count="1">
          <reference field="1" count="0"/>
        </references>
      </pivotArea>
    </format>
    <format dxfId="805">
      <pivotArea dataOnly="0" labelOnly="1" grandCol="1" outline="0" fieldPosition="0"/>
    </format>
    <format dxfId="804">
      <pivotArea field="2" type="button" dataOnly="0" labelOnly="1" outline="0" axis="axisRow" fieldPosition="0"/>
    </format>
    <format dxfId="803">
      <pivotArea dataOnly="0" labelOnly="1" fieldPosition="0">
        <references count="1">
          <reference field="1" count="0"/>
        </references>
      </pivotArea>
    </format>
    <format dxfId="802">
      <pivotArea dataOnly="0" labelOnly="1" grandCol="1" outline="0" fieldPosition="0"/>
    </format>
    <format dxfId="801">
      <pivotArea outline="0" fieldPosition="0">
        <references count="1">
          <reference field="4294967294" count="1">
            <x v="0"/>
          </reference>
        </references>
      </pivotArea>
    </format>
    <format dxfId="800">
      <pivotArea dataOnly="0" grandCol="1" outline="0" fieldPosition="0"/>
    </format>
    <format dxfId="799">
      <pivotArea dataOnly="0" labelOnly="1" fieldPosition="0">
        <references count="1">
          <reference field="1" count="0"/>
        </references>
      </pivotArea>
    </format>
    <format dxfId="798">
      <pivotArea dataOnly="0" labelOnly="1" grandCol="1" outline="0" fieldPosition="0"/>
    </format>
    <format dxfId="797">
      <pivotArea grandCol="1" outline="0" collapsedLevelsAreSubtotals="1" fieldPosition="0"/>
    </format>
    <format dxfId="796">
      <pivotArea dataOnly="0" labelOnly="1" grandCol="1" outline="0" fieldPosition="0"/>
    </format>
    <format dxfId="795">
      <pivotArea field="2" type="button" dataOnly="0" labelOnly="1" outline="0" axis="axisRow" fieldPosition="0"/>
    </format>
    <format dxfId="794">
      <pivotArea type="all" dataOnly="0" outline="0" fieldPosition="0"/>
    </format>
    <format dxfId="793">
      <pivotArea outline="0" collapsedLevelsAreSubtotals="1" fieldPosition="0"/>
    </format>
    <format dxfId="792">
      <pivotArea type="origin" dataOnly="0" labelOnly="1" outline="0" fieldPosition="0"/>
    </format>
    <format dxfId="791">
      <pivotArea field="1" type="button" dataOnly="0" labelOnly="1" outline="0" axis="axisCol" fieldPosition="0"/>
    </format>
    <format dxfId="790">
      <pivotArea type="topRight" dataOnly="0" labelOnly="1" outline="0" fieldPosition="0"/>
    </format>
    <format dxfId="789">
      <pivotArea field="2" type="button" dataOnly="0" labelOnly="1" outline="0" axis="axisRow" fieldPosition="0"/>
    </format>
    <format dxfId="788">
      <pivotArea dataOnly="0" labelOnly="1" fieldPosition="0">
        <references count="1">
          <reference field="2" count="0"/>
        </references>
      </pivotArea>
    </format>
    <format dxfId="787">
      <pivotArea dataOnly="0" labelOnly="1" fieldPosition="0">
        <references count="1">
          <reference field="1" count="0"/>
        </references>
      </pivotArea>
    </format>
    <format dxfId="786">
      <pivotArea dataOnly="0" labelOnly="1" grandCol="1" outline="0" fieldPosition="0"/>
    </format>
    <format dxfId="785">
      <pivotArea type="all" dataOnly="0" outline="0" fieldPosition="0"/>
    </format>
    <format dxfId="784">
      <pivotArea outline="0" collapsedLevelsAreSubtotals="1" fieldPosition="0"/>
    </format>
    <format dxfId="783">
      <pivotArea type="origin" dataOnly="0" labelOnly="1" outline="0" fieldPosition="0"/>
    </format>
    <format dxfId="782">
      <pivotArea field="1" type="button" dataOnly="0" labelOnly="1" outline="0" axis="axisCol" fieldPosition="0"/>
    </format>
    <format dxfId="781">
      <pivotArea type="topRight" dataOnly="0" labelOnly="1" outline="0" fieldPosition="0"/>
    </format>
    <format dxfId="780">
      <pivotArea field="2" type="button" dataOnly="0" labelOnly="1" outline="0" axis="axisRow" fieldPosition="0"/>
    </format>
    <format dxfId="779">
      <pivotArea dataOnly="0" labelOnly="1" fieldPosition="0">
        <references count="1">
          <reference field="2" count="0"/>
        </references>
      </pivotArea>
    </format>
    <format dxfId="778">
      <pivotArea dataOnly="0" labelOnly="1" fieldPosition="0">
        <references count="1">
          <reference field="1" count="0"/>
        </references>
      </pivotArea>
    </format>
    <format dxfId="777">
      <pivotArea dataOnly="0" labelOnly="1" grandCol="1" outline="0" fieldPosition="0"/>
    </format>
    <format dxfId="776">
      <pivotArea field="0" type="button" dataOnly="0" labelOnly="1" outline="0" axis="axisPage" fieldPosition="0"/>
    </format>
    <format dxfId="775">
      <pivotArea field="0" type="button" dataOnly="0" labelOnly="1" outline="0" axis="axisPage" fieldPosition="0"/>
    </format>
    <format dxfId="774">
      <pivotArea type="all" dataOnly="0" outline="0" fieldPosition="0"/>
    </format>
    <format dxfId="773">
      <pivotArea outline="0" collapsedLevelsAreSubtotals="1" fieldPosition="0"/>
    </format>
    <format dxfId="772">
      <pivotArea type="origin" dataOnly="0" labelOnly="1" outline="0" fieldPosition="0"/>
    </format>
    <format dxfId="771">
      <pivotArea field="1" type="button" dataOnly="0" labelOnly="1" outline="0" axis="axisCol" fieldPosition="0"/>
    </format>
    <format dxfId="770">
      <pivotArea type="topRight" dataOnly="0" labelOnly="1" outline="0" fieldPosition="0"/>
    </format>
    <format dxfId="769">
      <pivotArea field="2" type="button" dataOnly="0" labelOnly="1" outline="0" axis="axisRow" fieldPosition="0"/>
    </format>
    <format dxfId="768">
      <pivotArea dataOnly="0" labelOnly="1" fieldPosition="0">
        <references count="1">
          <reference field="2" count="0"/>
        </references>
      </pivotArea>
    </format>
    <format dxfId="767">
      <pivotArea dataOnly="0" labelOnly="1" fieldPosition="0">
        <references count="1">
          <reference field="1" count="0"/>
        </references>
      </pivotArea>
    </format>
    <format dxfId="766">
      <pivotArea dataOnly="0" labelOnly="1" grandCol="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1200-000002000000}" name="PivotTable3" cacheId="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location ref="D112:E118" firstHeaderRow="1" firstDataRow="1" firstDataCol="1" rowPageCount="1" colPageCount="1"/>
  <pivotFields count="5">
    <pivotField name="Accounts" axis="axisPage" subtotalTop="0" showAll="0" defaultSubtotal="0">
      <items count="3">
        <item x="0"/>
        <item x="2"/>
        <item x="1"/>
      </items>
    </pivotField>
    <pivotField axis="axisRow" subtotalCaption=" Total ?" subtotalTop="0" showAll="0" defaultSubtotal="0">
      <items count="8">
        <item m="1" x="7"/>
        <item sd="0" x="0"/>
        <item sd="0" x="1"/>
        <item sd="0" x="2"/>
        <item sd="0" x="3"/>
        <item sd="0" x="4"/>
        <item h="1" sd="0" x="6"/>
        <item sd="0" x="5"/>
      </items>
    </pivotField>
    <pivotField axis="axisRow" subtotalCaption=" Total ?" subtotalTop="0" showAll="0" defaultSubtotal="0">
      <items count="14">
        <item sd="0" x="0"/>
        <item sd="0" x="1"/>
        <item m="1" x="13"/>
        <item x="9"/>
        <item x="10"/>
        <item h="1" sd="0" x="12"/>
        <item x="11"/>
        <item sd="0" x="2"/>
        <item sd="0" x="4"/>
        <item sd="0" x="5"/>
        <item sd="0" x="7"/>
        <item x="6"/>
        <item sd="0" x="8"/>
        <item sd="0" x="3"/>
      </items>
    </pivotField>
    <pivotField axis="axisRow" subtotalTop="0" showAll="0" defaultSubtotal="0">
      <items count="18">
        <item m="1" x="17"/>
        <item x="1"/>
        <item x="8"/>
        <item x="2"/>
        <item x="13"/>
        <item x="11"/>
        <item x="3"/>
        <item x="12"/>
        <item x="10"/>
        <item x="7"/>
        <item x="14"/>
        <item x="5"/>
        <item x="0"/>
        <item x="9"/>
        <item x="4"/>
        <item x="6"/>
        <item x="16"/>
        <item x="15"/>
      </items>
    </pivotField>
    <pivotField dataField="1" subtotalTop="0" showAll="0" defaultSubtotal="0"/>
  </pivotFields>
  <rowFields count="3">
    <field x="1"/>
    <field x="2"/>
    <field x="3"/>
  </rowFields>
  <rowItems count="6">
    <i>
      <x v="1"/>
    </i>
    <i>
      <x v="2"/>
    </i>
    <i>
      <x v="3"/>
    </i>
    <i>
      <x v="4"/>
    </i>
    <i>
      <x v="5"/>
    </i>
    <i>
      <x v="7"/>
    </i>
  </rowItems>
  <colItems count="1">
    <i/>
  </colItems>
  <pageFields count="1">
    <pageField fld="0" item="0" hier="-1"/>
  </pageFields>
  <dataFields count="1">
    <dataField name="Ksh000" fld="4" baseField="1" baseItem="2" numFmtId="166"/>
  </dataFields>
  <formats count="92">
    <format dxfId="911">
      <pivotArea type="all" dataOnly="0" outline="0" fieldPosition="0"/>
    </format>
    <format dxfId="910">
      <pivotArea outline="0" collapsedLevelsAreSubtotals="1" fieldPosition="0"/>
    </format>
    <format dxfId="909">
      <pivotArea field="1" type="button" dataOnly="0" labelOnly="1" outline="0" axis="axisRow" fieldPosition="0"/>
    </format>
    <format dxfId="908">
      <pivotArea dataOnly="0" labelOnly="1" fieldPosition="0">
        <references count="1">
          <reference field="1" count="0"/>
        </references>
      </pivotArea>
    </format>
    <format dxfId="907">
      <pivotArea dataOnly="0" labelOnly="1" fieldPosition="0">
        <references count="2">
          <reference field="1" count="1" selected="0">
            <x v="1"/>
          </reference>
          <reference field="2" count="4">
            <x v="0"/>
            <x v="1"/>
            <x v="7"/>
            <x v="13"/>
          </reference>
        </references>
      </pivotArea>
    </format>
    <format dxfId="906">
      <pivotArea dataOnly="0" labelOnly="1" fieldPosition="0">
        <references count="2">
          <reference field="1" count="1" selected="0">
            <x v="2"/>
          </reference>
          <reference field="2" count="3">
            <x v="8"/>
            <x v="9"/>
            <x v="11"/>
          </reference>
        </references>
      </pivotArea>
    </format>
    <format dxfId="905">
      <pivotArea dataOnly="0" labelOnly="1" fieldPosition="0">
        <references count="2">
          <reference field="1" count="1" selected="0">
            <x v="3"/>
          </reference>
          <reference field="2" count="2">
            <x v="10"/>
            <x v="12"/>
          </reference>
        </references>
      </pivotArea>
    </format>
    <format dxfId="904">
      <pivotArea dataOnly="0" labelOnly="1" fieldPosition="0">
        <references count="3">
          <reference field="1" count="1" selected="0">
            <x v="1"/>
          </reference>
          <reference field="2" count="1" selected="0">
            <x v="0"/>
          </reference>
          <reference field="3" count="3">
            <x v="1"/>
            <x v="3"/>
            <x v="12"/>
          </reference>
        </references>
      </pivotArea>
    </format>
    <format dxfId="903">
      <pivotArea dataOnly="0" labelOnly="1" fieldPosition="0">
        <references count="3">
          <reference field="1" count="1" selected="0">
            <x v="1"/>
          </reference>
          <reference field="2" count="1" selected="0">
            <x v="1"/>
          </reference>
          <reference field="3" count="3">
            <x v="6"/>
            <x v="11"/>
            <x v="14"/>
          </reference>
        </references>
      </pivotArea>
    </format>
    <format dxfId="902">
      <pivotArea dataOnly="0" labelOnly="1" outline="0" fieldPosition="0">
        <references count="1">
          <reference field="4294967294" count="1">
            <x v="0"/>
          </reference>
        </references>
      </pivotArea>
    </format>
    <format dxfId="901">
      <pivotArea dataOnly="0" fieldPosition="0">
        <references count="1">
          <reference field="2" count="2">
            <x v="12"/>
            <x v="13"/>
          </reference>
        </references>
      </pivotArea>
    </format>
    <format dxfId="900">
      <pivotArea dataOnly="0" fieldPosition="0">
        <references count="1">
          <reference field="2" count="3">
            <x v="11"/>
            <x v="12"/>
            <x v="13"/>
          </reference>
        </references>
      </pivotArea>
    </format>
    <format dxfId="899">
      <pivotArea dataOnly="0" fieldPosition="0">
        <references count="1">
          <reference field="2" count="3">
            <x v="11"/>
            <x v="12"/>
            <x v="13"/>
          </reference>
        </references>
      </pivotArea>
    </format>
    <format dxfId="898">
      <pivotArea dataOnly="0" fieldPosition="0">
        <references count="1">
          <reference field="2" count="3">
            <x v="11"/>
            <x v="12"/>
            <x v="13"/>
          </reference>
        </references>
      </pivotArea>
    </format>
    <format dxfId="897">
      <pivotArea dataOnly="0" labelOnly="1" outline="0" fieldPosition="0">
        <references count="1">
          <reference field="4294967294" count="1">
            <x v="0"/>
          </reference>
        </references>
      </pivotArea>
    </format>
    <format dxfId="896">
      <pivotArea dataOnly="0" labelOnly="1" outline="0" fieldPosition="0">
        <references count="1">
          <reference field="4294967294" count="1">
            <x v="0"/>
          </reference>
        </references>
      </pivotArea>
    </format>
    <format dxfId="895">
      <pivotArea dataOnly="0" outline="0" fieldPosition="0">
        <references count="1">
          <reference field="4294967294" count="1">
            <x v="0"/>
          </reference>
        </references>
      </pivotArea>
    </format>
    <format dxfId="894">
      <pivotArea dataOnly="0" fieldPosition="0">
        <references count="1">
          <reference field="1" count="1">
            <x v="7"/>
          </reference>
        </references>
      </pivotArea>
    </format>
    <format dxfId="893">
      <pivotArea dataOnly="0" fieldPosition="0">
        <references count="1">
          <reference field="1" count="1">
            <x v="7"/>
          </reference>
        </references>
      </pivotArea>
    </format>
    <format dxfId="892">
      <pivotArea dataOnly="0" fieldPosition="0">
        <references count="1">
          <reference field="2" count="1">
            <x v="13"/>
          </reference>
        </references>
      </pivotArea>
    </format>
    <format dxfId="891">
      <pivotArea dataOnly="0" fieldPosition="0">
        <references count="1">
          <reference field="2" count="1">
            <x v="11"/>
          </reference>
        </references>
      </pivotArea>
    </format>
    <format dxfId="890">
      <pivotArea dataOnly="0" fieldPosition="0">
        <references count="1">
          <reference field="2" count="1">
            <x v="12"/>
          </reference>
        </references>
      </pivotArea>
    </format>
    <format dxfId="889">
      <pivotArea dataOnly="0" labelOnly="1" fieldPosition="0">
        <references count="2">
          <reference field="1" count="1" selected="0">
            <x v="1"/>
          </reference>
          <reference field="2" count="1">
            <x v="1"/>
          </reference>
        </references>
      </pivotArea>
    </format>
    <format dxfId="888">
      <pivotArea dataOnly="0" labelOnly="1" fieldPosition="0">
        <references count="2">
          <reference field="1" count="1" selected="0">
            <x v="1"/>
          </reference>
          <reference field="2" count="1">
            <x v="0"/>
          </reference>
        </references>
      </pivotArea>
    </format>
    <format dxfId="887">
      <pivotArea dataOnly="0" labelOnly="1" fieldPosition="0">
        <references count="2">
          <reference field="1" count="1" selected="0">
            <x v="1"/>
          </reference>
          <reference field="2" count="1">
            <x v="0"/>
          </reference>
        </references>
      </pivotArea>
    </format>
    <format dxfId="886">
      <pivotArea dataOnly="0" labelOnly="1" fieldPosition="0">
        <references count="2">
          <reference field="1" count="1" selected="0">
            <x v="1"/>
          </reference>
          <reference field="2" count="1">
            <x v="1"/>
          </reference>
        </references>
      </pivotArea>
    </format>
    <format dxfId="885">
      <pivotArea dataOnly="0" fieldPosition="0">
        <references count="1">
          <reference field="2" count="1">
            <x v="0"/>
          </reference>
        </references>
      </pivotArea>
    </format>
    <format dxfId="884">
      <pivotArea dataOnly="0" fieldPosition="0">
        <references count="1">
          <reference field="2" count="1">
            <x v="1"/>
          </reference>
        </references>
      </pivotArea>
    </format>
    <format dxfId="883">
      <pivotArea dataOnly="0" labelOnly="1" fieldPosition="0">
        <references count="1">
          <reference field="3" count="0"/>
        </references>
      </pivotArea>
    </format>
    <format dxfId="882">
      <pivotArea dataOnly="0" labelOnly="1" fieldPosition="0">
        <references count="1">
          <reference field="3" count="0"/>
        </references>
      </pivotArea>
    </format>
    <format dxfId="881">
      <pivotArea dataOnly="0" labelOnly="1" fieldPosition="0">
        <references count="1">
          <reference field="3" count="0"/>
        </references>
      </pivotArea>
    </format>
    <format dxfId="880">
      <pivotArea dataOnly="0" labelOnly="1" fieldPosition="0">
        <references count="3">
          <reference field="1" count="1" selected="0">
            <x v="1"/>
          </reference>
          <reference field="2" count="1" selected="0">
            <x v="0"/>
          </reference>
          <reference field="3" count="3">
            <x v="1"/>
            <x v="3"/>
            <x v="12"/>
          </reference>
        </references>
      </pivotArea>
    </format>
    <format dxfId="879">
      <pivotArea dataOnly="0" labelOnly="1" fieldPosition="0">
        <references count="3">
          <reference field="1" count="1" selected="0">
            <x v="1"/>
          </reference>
          <reference field="2" count="1" selected="0">
            <x v="1"/>
          </reference>
          <reference field="3" count="3">
            <x v="6"/>
            <x v="11"/>
            <x v="14"/>
          </reference>
        </references>
      </pivotArea>
    </format>
    <format dxfId="878">
      <pivotArea dataOnly="0" labelOnly="1" fieldPosition="0">
        <references count="3">
          <reference field="1" count="1" selected="0">
            <x v="1"/>
          </reference>
          <reference field="2" count="1" selected="0">
            <x v="1"/>
          </reference>
          <reference field="3" count="3">
            <x v="6"/>
            <x v="11"/>
            <x v="14"/>
          </reference>
        </references>
      </pivotArea>
    </format>
    <format dxfId="877">
      <pivotArea dataOnly="0" labelOnly="1" fieldPosition="0">
        <references count="3">
          <reference field="1" count="1" selected="0">
            <x v="1"/>
          </reference>
          <reference field="2" count="1" selected="0">
            <x v="1"/>
          </reference>
          <reference field="3" count="3">
            <x v="6"/>
            <x v="11"/>
            <x v="14"/>
          </reference>
        </references>
      </pivotArea>
    </format>
    <format dxfId="876">
      <pivotArea dataOnly="0" labelOnly="1" fieldPosition="0">
        <references count="3">
          <reference field="1" count="1" selected="0">
            <x v="1"/>
          </reference>
          <reference field="2" count="1" selected="0">
            <x v="1"/>
          </reference>
          <reference field="3" count="3">
            <x v="6"/>
            <x v="11"/>
            <x v="14"/>
          </reference>
        </references>
      </pivotArea>
    </format>
    <format dxfId="875">
      <pivotArea dataOnly="0" labelOnly="1" fieldPosition="0">
        <references count="3">
          <reference field="1" count="1" selected="0">
            <x v="1"/>
          </reference>
          <reference field="2" count="1" selected="0">
            <x v="1"/>
          </reference>
          <reference field="3" count="3">
            <x v="6"/>
            <x v="11"/>
            <x v="14"/>
          </reference>
        </references>
      </pivotArea>
    </format>
    <format dxfId="874">
      <pivotArea field="1" type="button" dataOnly="0" labelOnly="1" outline="0" axis="axisRow" fieldPosition="0"/>
    </format>
    <format dxfId="873">
      <pivotArea dataOnly="0" labelOnly="1" outline="0" fieldPosition="0">
        <references count="1">
          <reference field="4294967294" count="1">
            <x v="0"/>
          </reference>
        </references>
      </pivotArea>
    </format>
    <format dxfId="872">
      <pivotArea field="1" type="button" dataOnly="0" labelOnly="1" outline="0" axis="axisRow" fieldPosition="0"/>
    </format>
    <format dxfId="871">
      <pivotArea dataOnly="0" labelOnly="1" outline="0" fieldPosition="0">
        <references count="1">
          <reference field="4294967294" count="1">
            <x v="0"/>
          </reference>
        </references>
      </pivotArea>
    </format>
    <format dxfId="870">
      <pivotArea dataOnly="0" fieldPosition="0">
        <references count="1">
          <reference field="1" count="1">
            <x v="7"/>
          </reference>
        </references>
      </pivotArea>
    </format>
    <format dxfId="869">
      <pivotArea field="1" type="button" dataOnly="0" labelOnly="1" outline="0" axis="axisRow" fieldPosition="0"/>
    </format>
    <format dxfId="868">
      <pivotArea dataOnly="0" labelOnly="1" fieldPosition="0">
        <references count="1">
          <reference field="1" count="1">
            <x v="1"/>
          </reference>
        </references>
      </pivotArea>
    </format>
    <format dxfId="867">
      <pivotArea outline="0" collapsedLevelsAreSubtotals="1" fieldPosition="0"/>
    </format>
    <format dxfId="866">
      <pivotArea dataOnly="0" labelOnly="1" outline="0" axis="axisValues" fieldPosition="0"/>
    </format>
    <format dxfId="865">
      <pivotArea dataOnly="0" labelOnly="1" outline="0" axis="axisValues" fieldPosition="0"/>
    </format>
    <format dxfId="864">
      <pivotArea dataOnly="0" labelOnly="1" outline="0" axis="axisValues" fieldPosition="0"/>
    </format>
    <format dxfId="863">
      <pivotArea dataOnly="0" labelOnly="1" outline="0" axis="axisValues" fieldPosition="0"/>
    </format>
    <format dxfId="862">
      <pivotArea dataOnly="0" labelOnly="1" outline="0" axis="axisValues" fieldPosition="0"/>
    </format>
    <format dxfId="861">
      <pivotArea dataOnly="0" labelOnly="1" outline="0" axis="axisValues" fieldPosition="0"/>
    </format>
    <format dxfId="860">
      <pivotArea field="1" type="button" dataOnly="0" labelOnly="1" outline="0" axis="axisRow" fieldPosition="0"/>
    </format>
    <format dxfId="859">
      <pivotArea type="all" dataOnly="0" outline="0" fieldPosition="0"/>
    </format>
    <format dxfId="858">
      <pivotArea outline="0" collapsedLevelsAreSubtotals="1" fieldPosition="0"/>
    </format>
    <format dxfId="857">
      <pivotArea field="1" type="button" dataOnly="0" labelOnly="1" outline="0" axis="axisRow" fieldPosition="0"/>
    </format>
    <format dxfId="856">
      <pivotArea dataOnly="0" labelOnly="1" outline="0" axis="axisValues" fieldPosition="0"/>
    </format>
    <format dxfId="855">
      <pivotArea dataOnly="0" labelOnly="1" fieldPosition="0">
        <references count="1">
          <reference field="1" count="0"/>
        </references>
      </pivotArea>
    </format>
    <format dxfId="854">
      <pivotArea dataOnly="0" labelOnly="1" fieldPosition="0">
        <references count="2">
          <reference field="1" count="1" selected="0">
            <x v="1"/>
          </reference>
          <reference field="2" count="4">
            <x v="0"/>
            <x v="1"/>
            <x v="7"/>
            <x v="13"/>
          </reference>
        </references>
      </pivotArea>
    </format>
    <format dxfId="853">
      <pivotArea dataOnly="0" labelOnly="1" fieldPosition="0">
        <references count="2">
          <reference field="1" count="1" selected="0">
            <x v="2"/>
          </reference>
          <reference field="2" count="3">
            <x v="8"/>
            <x v="9"/>
            <x v="11"/>
          </reference>
        </references>
      </pivotArea>
    </format>
    <format dxfId="852">
      <pivotArea dataOnly="0" labelOnly="1" fieldPosition="0">
        <references count="2">
          <reference field="1" count="1" selected="0">
            <x v="3"/>
          </reference>
          <reference field="2" count="2">
            <x v="10"/>
            <x v="12"/>
          </reference>
        </references>
      </pivotArea>
    </format>
    <format dxfId="851">
      <pivotArea dataOnly="0" labelOnly="1" fieldPosition="0">
        <references count="3">
          <reference field="1" count="1" selected="0">
            <x v="1"/>
          </reference>
          <reference field="2" count="1" selected="0">
            <x v="0"/>
          </reference>
          <reference field="3" count="3">
            <x v="1"/>
            <x v="3"/>
            <x v="12"/>
          </reference>
        </references>
      </pivotArea>
    </format>
    <format dxfId="850">
      <pivotArea dataOnly="0" labelOnly="1" fieldPosition="0">
        <references count="3">
          <reference field="1" count="1" selected="0">
            <x v="1"/>
          </reference>
          <reference field="2" count="1" selected="0">
            <x v="1"/>
          </reference>
          <reference field="3" count="3">
            <x v="6"/>
            <x v="11"/>
            <x v="14"/>
          </reference>
        </references>
      </pivotArea>
    </format>
    <format dxfId="849">
      <pivotArea dataOnly="0" labelOnly="1" outline="0" axis="axisValues" fieldPosition="0"/>
    </format>
    <format dxfId="848">
      <pivotArea type="all" dataOnly="0" outline="0" fieldPosition="0"/>
    </format>
    <format dxfId="847">
      <pivotArea outline="0" collapsedLevelsAreSubtotals="1" fieldPosition="0"/>
    </format>
    <format dxfId="846">
      <pivotArea field="1" type="button" dataOnly="0" labelOnly="1" outline="0" axis="axisRow" fieldPosition="0"/>
    </format>
    <format dxfId="845">
      <pivotArea dataOnly="0" labelOnly="1" outline="0" axis="axisValues" fieldPosition="0"/>
    </format>
    <format dxfId="844">
      <pivotArea dataOnly="0" labelOnly="1" fieldPosition="0">
        <references count="1">
          <reference field="1" count="0"/>
        </references>
      </pivotArea>
    </format>
    <format dxfId="843">
      <pivotArea dataOnly="0" labelOnly="1" fieldPosition="0">
        <references count="2">
          <reference field="1" count="1" selected="0">
            <x v="1"/>
          </reference>
          <reference field="2" count="4">
            <x v="0"/>
            <x v="1"/>
            <x v="7"/>
            <x v="13"/>
          </reference>
        </references>
      </pivotArea>
    </format>
    <format dxfId="842">
      <pivotArea dataOnly="0" labelOnly="1" fieldPosition="0">
        <references count="2">
          <reference field="1" count="1" selected="0">
            <x v="2"/>
          </reference>
          <reference field="2" count="3">
            <x v="8"/>
            <x v="9"/>
            <x v="11"/>
          </reference>
        </references>
      </pivotArea>
    </format>
    <format dxfId="841">
      <pivotArea dataOnly="0" labelOnly="1" fieldPosition="0">
        <references count="2">
          <reference field="1" count="1" selected="0">
            <x v="3"/>
          </reference>
          <reference field="2" count="2">
            <x v="10"/>
            <x v="12"/>
          </reference>
        </references>
      </pivotArea>
    </format>
    <format dxfId="840">
      <pivotArea dataOnly="0" labelOnly="1" fieldPosition="0">
        <references count="3">
          <reference field="1" count="1" selected="0">
            <x v="1"/>
          </reference>
          <reference field="2" count="1" selected="0">
            <x v="0"/>
          </reference>
          <reference field="3" count="3">
            <x v="1"/>
            <x v="3"/>
            <x v="12"/>
          </reference>
        </references>
      </pivotArea>
    </format>
    <format dxfId="839">
      <pivotArea dataOnly="0" labelOnly="1" fieldPosition="0">
        <references count="3">
          <reference field="1" count="1" selected="0">
            <x v="1"/>
          </reference>
          <reference field="2" count="1" selected="0">
            <x v="1"/>
          </reference>
          <reference field="3" count="3">
            <x v="6"/>
            <x v="11"/>
            <x v="14"/>
          </reference>
        </references>
      </pivotArea>
    </format>
    <format dxfId="838">
      <pivotArea dataOnly="0" labelOnly="1" outline="0" axis="axisValues" fieldPosition="0"/>
    </format>
    <format dxfId="837">
      <pivotArea field="0" type="button" dataOnly="0" labelOnly="1" outline="0" axis="axisPage" fieldPosition="0"/>
    </format>
    <format dxfId="836">
      <pivotArea field="0" type="button" dataOnly="0" labelOnly="1" outline="0" axis="axisPage" fieldPosition="0"/>
    </format>
    <format dxfId="835">
      <pivotArea field="0" type="button" dataOnly="0" labelOnly="1" outline="0" axis="axisPage" fieldPosition="0"/>
    </format>
    <format dxfId="834">
      <pivotArea field="0" type="button" dataOnly="0" labelOnly="1" outline="0" axis="axisPage" fieldPosition="0"/>
    </format>
    <format dxfId="833">
      <pivotArea field="0" type="button" dataOnly="0" labelOnly="1" outline="0" axis="axisPage" fieldPosition="0"/>
    </format>
    <format dxfId="832">
      <pivotArea type="all" dataOnly="0" outline="0" fieldPosition="0"/>
    </format>
    <format dxfId="831">
      <pivotArea outline="0" collapsedLevelsAreSubtotals="1" fieldPosition="0"/>
    </format>
    <format dxfId="830">
      <pivotArea field="1" type="button" dataOnly="0" labelOnly="1" outline="0" axis="axisRow" fieldPosition="0"/>
    </format>
    <format dxfId="829">
      <pivotArea dataOnly="0" labelOnly="1" outline="0" axis="axisValues" fieldPosition="0"/>
    </format>
    <format dxfId="828">
      <pivotArea dataOnly="0" labelOnly="1" fieldPosition="0">
        <references count="1">
          <reference field="1" count="0"/>
        </references>
      </pivotArea>
    </format>
    <format dxfId="827">
      <pivotArea dataOnly="0" labelOnly="1" fieldPosition="0">
        <references count="2">
          <reference field="1" count="1" selected="0">
            <x v="1"/>
          </reference>
          <reference field="2" count="4">
            <x v="0"/>
            <x v="1"/>
            <x v="7"/>
            <x v="13"/>
          </reference>
        </references>
      </pivotArea>
    </format>
    <format dxfId="826">
      <pivotArea dataOnly="0" labelOnly="1" fieldPosition="0">
        <references count="2">
          <reference field="1" count="1" selected="0">
            <x v="2"/>
          </reference>
          <reference field="2" count="3">
            <x v="8"/>
            <x v="9"/>
            <x v="11"/>
          </reference>
        </references>
      </pivotArea>
    </format>
    <format dxfId="825">
      <pivotArea dataOnly="0" labelOnly="1" fieldPosition="0">
        <references count="2">
          <reference field="1" count="1" selected="0">
            <x v="3"/>
          </reference>
          <reference field="2" count="2">
            <x v="10"/>
            <x v="12"/>
          </reference>
        </references>
      </pivotArea>
    </format>
    <format dxfId="824">
      <pivotArea dataOnly="0" labelOnly="1" fieldPosition="0">
        <references count="3">
          <reference field="1" count="1" selected="0">
            <x v="1"/>
          </reference>
          <reference field="2" count="1" selected="0">
            <x v="0"/>
          </reference>
          <reference field="3" count="3">
            <x v="1"/>
            <x v="3"/>
            <x v="12"/>
          </reference>
        </references>
      </pivotArea>
    </format>
    <format dxfId="823">
      <pivotArea dataOnly="0" labelOnly="1" fieldPosition="0">
        <references count="3">
          <reference field="1" count="1" selected="0">
            <x v="1"/>
          </reference>
          <reference field="2" count="1" selected="0">
            <x v="1"/>
          </reference>
          <reference field="3" count="3">
            <x v="6"/>
            <x v="11"/>
            <x v="14"/>
          </reference>
        </references>
      </pivotArea>
    </format>
    <format dxfId="822">
      <pivotArea dataOnly="0" labelOnly="1" outline="0" axis="axisValues" fieldPosition="0"/>
    </format>
    <format dxfId="821">
      <pivotArea dataOnly="0" labelOnly="1" outline="0" fieldPosition="0">
        <references count="1">
          <reference field="0" count="1">
            <x v="2"/>
          </reference>
        </references>
      </pivotArea>
    </format>
    <format dxfId="820">
      <pivotArea dataOnly="0" labelOnly="1" outline="0" fieldPosition="0">
        <references count="1">
          <reference field="0" count="1">
            <x v="2"/>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1200-000001000000}" name="PivotTable2"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
  <location ref="D69:E71" firstHeaderRow="1" firstDataRow="1" firstDataCol="1" rowPageCount="1" colPageCount="1"/>
  <pivotFields count="5">
    <pivotField name="Accounts" axis="axisPage" subtotalTop="0" showAll="0">
      <items count="4">
        <item x="2"/>
        <item x="0"/>
        <item x="1"/>
        <item t="default"/>
      </items>
    </pivotField>
    <pivotField axis="axisRow" subtotalCaption="Total ?  " subtotalTop="0" showAll="0">
      <items count="4">
        <item sd="0" x="0"/>
        <item sd="0" x="1"/>
        <item x="2"/>
        <item t="default"/>
      </items>
    </pivotField>
    <pivotField axis="axisRow" subtotalCaption="Total ? " subtotalTop="0" showAll="0">
      <items count="6">
        <item x="3"/>
        <item x="2"/>
        <item x="0"/>
        <item x="1"/>
        <item x="4"/>
        <item t="default"/>
      </items>
    </pivotField>
    <pivotField axis="axisRow" subtotalTop="0" showAll="0">
      <items count="13">
        <item x="1"/>
        <item x="0"/>
        <item x="8"/>
        <item x="4"/>
        <item m="1" x="11"/>
        <item x="2"/>
        <item x="3"/>
        <item x="7"/>
        <item x="5"/>
        <item x="6"/>
        <item x="9"/>
        <item h="1" x="10"/>
        <item t="default"/>
      </items>
    </pivotField>
    <pivotField dataField="1" showAll="0" defaultSubtotal="0"/>
  </pivotFields>
  <rowFields count="3">
    <field x="1"/>
    <field x="2"/>
    <field x="3"/>
  </rowFields>
  <rowItems count="2">
    <i>
      <x/>
    </i>
    <i>
      <x v="1"/>
    </i>
  </rowItems>
  <colItems count="1">
    <i/>
  </colItems>
  <pageFields count="1">
    <pageField fld="0" item="1" hier="-1"/>
  </pageFields>
  <dataFields count="1">
    <dataField name=" Ksh000" fld="4" baseField="0" baseItem="0"/>
  </dataFields>
  <formats count="105">
    <format dxfId="1016">
      <pivotArea type="all" dataOnly="0" outline="0" fieldPosition="0"/>
    </format>
    <format dxfId="1015">
      <pivotArea outline="0" collapsedLevelsAreSubtotals="1" fieldPosition="0"/>
    </format>
    <format dxfId="1014">
      <pivotArea field="1" type="button" dataOnly="0" labelOnly="1" outline="0" axis="axisRow" fieldPosition="0"/>
    </format>
    <format dxfId="1013">
      <pivotArea dataOnly="0" labelOnly="1" fieldPosition="0">
        <references count="1">
          <reference field="1" count="2">
            <x v="0"/>
            <x v="1"/>
          </reference>
        </references>
      </pivotArea>
    </format>
    <format dxfId="1012">
      <pivotArea dataOnly="0" labelOnly="1" fieldPosition="0">
        <references count="1">
          <reference field="1" count="2" defaultSubtotal="1">
            <x v="0"/>
            <x v="1"/>
          </reference>
        </references>
      </pivotArea>
    </format>
    <format dxfId="1011">
      <pivotArea dataOnly="0" labelOnly="1" fieldPosition="0">
        <references count="2">
          <reference field="1" count="1" selected="0">
            <x v="0"/>
          </reference>
          <reference field="2" count="2">
            <x v="1"/>
            <x v="2"/>
          </reference>
        </references>
      </pivotArea>
    </format>
    <format dxfId="1010">
      <pivotArea dataOnly="0" labelOnly="1" fieldPosition="0">
        <references count="2">
          <reference field="1" count="1" selected="0">
            <x v="0"/>
          </reference>
          <reference field="2" count="2" defaultSubtotal="1">
            <x v="1"/>
            <x v="2"/>
          </reference>
        </references>
      </pivotArea>
    </format>
    <format dxfId="1009">
      <pivotArea dataOnly="0" labelOnly="1" fieldPosition="0">
        <references count="2">
          <reference field="1" count="1" selected="0">
            <x v="1"/>
          </reference>
          <reference field="2" count="2">
            <x v="0"/>
            <x v="3"/>
          </reference>
        </references>
      </pivotArea>
    </format>
    <format dxfId="1008">
      <pivotArea dataOnly="0" labelOnly="1" fieldPosition="0">
        <references count="2">
          <reference field="1" count="1" selected="0">
            <x v="1"/>
          </reference>
          <reference field="2" count="2" defaultSubtotal="1">
            <x v="0"/>
            <x v="3"/>
          </reference>
        </references>
      </pivotArea>
    </format>
    <format dxfId="1007">
      <pivotArea dataOnly="0" labelOnly="1" fieldPosition="0">
        <references count="3">
          <reference field="1" count="1" selected="0">
            <x v="0"/>
          </reference>
          <reference field="2" count="1" selected="0">
            <x v="1"/>
          </reference>
          <reference field="3" count="1">
            <x v="5"/>
          </reference>
        </references>
      </pivotArea>
    </format>
    <format dxfId="1006">
      <pivotArea dataOnly="0" labelOnly="1" fieldPosition="0">
        <references count="3">
          <reference field="1" count="1" selected="0">
            <x v="0"/>
          </reference>
          <reference field="2" count="1" selected="0">
            <x v="2"/>
          </reference>
          <reference field="3" count="5">
            <x v="1"/>
            <x v="2"/>
            <x v="6"/>
            <x v="9"/>
            <x v="10"/>
          </reference>
        </references>
      </pivotArea>
    </format>
    <format dxfId="1005">
      <pivotArea dataOnly="0" labelOnly="1" fieldPosition="0">
        <references count="3">
          <reference field="1" count="1" selected="0">
            <x v="1"/>
          </reference>
          <reference field="2" count="1" selected="0">
            <x v="0"/>
          </reference>
          <reference field="3" count="3">
            <x v="4"/>
            <x v="7"/>
            <x v="8"/>
          </reference>
        </references>
      </pivotArea>
    </format>
    <format dxfId="1004">
      <pivotArea dataOnly="0" labelOnly="1" fieldPosition="0">
        <references count="3">
          <reference field="1" count="1" selected="0">
            <x v="1"/>
          </reference>
          <reference field="2" count="1" selected="0">
            <x v="3"/>
          </reference>
          <reference field="3" count="2">
            <x v="0"/>
            <x v="3"/>
          </reference>
        </references>
      </pivotArea>
    </format>
    <format dxfId="1003">
      <pivotArea field="1" type="button" dataOnly="0" labelOnly="1" outline="0" axis="axisRow" fieldPosition="0"/>
    </format>
    <format dxfId="1002">
      <pivotArea dataOnly="0" fieldPosition="0">
        <references count="1">
          <reference field="1" count="0" defaultSubtotal="1"/>
        </references>
      </pivotArea>
    </format>
    <format dxfId="1001">
      <pivotArea dataOnly="0" fieldPosition="0">
        <references count="1">
          <reference field="1" count="0" defaultSubtotal="1"/>
        </references>
      </pivotArea>
    </format>
    <format dxfId="1000">
      <pivotArea dataOnly="0" fieldPosition="0">
        <references count="1">
          <reference field="1" count="0" defaultSubtotal="1"/>
        </references>
      </pivotArea>
    </format>
    <format dxfId="999">
      <pivotArea dataOnly="0" fieldPosition="0">
        <references count="1">
          <reference field="2" count="0" defaultSubtotal="1"/>
        </references>
      </pivotArea>
    </format>
    <format dxfId="998">
      <pivotArea dataOnly="0" fieldPosition="0">
        <references count="1">
          <reference field="2" count="0" defaultSubtotal="1"/>
        </references>
      </pivotArea>
    </format>
    <format dxfId="997">
      <pivotArea field="1" type="button" dataOnly="0" labelOnly="1" outline="0" axis="axisRow" fieldPosition="0"/>
    </format>
    <format dxfId="996">
      <pivotArea dataOnly="0" fieldPosition="0">
        <references count="2">
          <reference field="0" count="1" selected="0">
            <x v="1"/>
          </reference>
          <reference field="1" count="0" defaultSubtotal="1"/>
        </references>
      </pivotArea>
    </format>
    <format dxfId="995">
      <pivotArea field="1" type="button" dataOnly="0" labelOnly="1" outline="0" axis="axisRow" fieldPosition="0"/>
    </format>
    <format dxfId="994">
      <pivotArea dataOnly="0" labelOnly="1" fieldPosition="0">
        <references count="1">
          <reference field="1" count="1">
            <x v="0"/>
          </reference>
        </references>
      </pivotArea>
    </format>
    <format dxfId="993">
      <pivotArea outline="0" collapsedLevelsAreSubtotals="1" fieldPosition="0"/>
    </format>
    <format dxfId="992">
      <pivotArea dataOnly="0" labelOnly="1" outline="0" axis="axisValues" fieldPosition="0"/>
    </format>
    <format dxfId="991">
      <pivotArea dataOnly="0" labelOnly="1" outline="0" axis="axisValues" fieldPosition="0"/>
    </format>
    <format dxfId="990">
      <pivotArea dataOnly="0" labelOnly="1" outline="0" axis="axisValues" fieldPosition="0"/>
    </format>
    <format dxfId="989">
      <pivotArea dataOnly="0" labelOnly="1" outline="0" axis="axisValues" fieldPosition="0"/>
    </format>
    <format dxfId="988">
      <pivotArea collapsedLevelsAreSubtotals="1" fieldPosition="0">
        <references count="2">
          <reference field="1" count="1" selected="0">
            <x v="0"/>
          </reference>
          <reference field="2" count="1">
            <x v="2"/>
          </reference>
        </references>
      </pivotArea>
    </format>
    <format dxfId="987">
      <pivotArea collapsedLevelsAreSubtotals="1" fieldPosition="0">
        <references count="2">
          <reference field="1" count="1" selected="0">
            <x v="0"/>
          </reference>
          <reference field="2" count="1" defaultSubtotal="1">
            <x v="1"/>
          </reference>
        </references>
      </pivotArea>
    </format>
    <format dxfId="986">
      <pivotArea dataOnly="0" labelOnly="1" outline="0" axis="axisValues" fieldPosition="0"/>
    </format>
    <format dxfId="985">
      <pivotArea dataOnly="0" labelOnly="1" outline="0" axis="axisValues" fieldPosition="0"/>
    </format>
    <format dxfId="984">
      <pivotArea collapsedLevelsAreSubtotals="1" fieldPosition="0">
        <references count="3">
          <reference field="1" count="1" selected="0">
            <x v="0"/>
          </reference>
          <reference field="2" count="1" selected="0">
            <x v="2"/>
          </reference>
          <reference field="3" count="1">
            <x v="6"/>
          </reference>
        </references>
      </pivotArea>
    </format>
    <format dxfId="983">
      <pivotArea collapsedLevelsAreSubtotals="1" fieldPosition="0">
        <references count="3">
          <reference field="1" count="1" selected="0">
            <x v="0"/>
          </reference>
          <reference field="2" count="1" selected="0">
            <x v="1"/>
          </reference>
          <reference field="3" count="1">
            <x v="5"/>
          </reference>
        </references>
      </pivotArea>
    </format>
    <format dxfId="982">
      <pivotArea collapsedLevelsAreSubtotals="1" fieldPosition="0">
        <references count="2">
          <reference field="1" count="1" selected="0">
            <x v="0"/>
          </reference>
          <reference field="2" count="1" defaultSubtotal="1">
            <x v="1"/>
          </reference>
        </references>
      </pivotArea>
    </format>
    <format dxfId="981">
      <pivotArea collapsedLevelsAreSubtotals="1" fieldPosition="0">
        <references count="2">
          <reference field="1" count="1" selected="0">
            <x v="0"/>
          </reference>
          <reference field="2" count="1">
            <x v="2"/>
          </reference>
        </references>
      </pivotArea>
    </format>
    <format dxfId="980">
      <pivotArea collapsedLevelsAreSubtotals="1" fieldPosition="0">
        <references count="3">
          <reference field="1" count="1" selected="0">
            <x v="0"/>
          </reference>
          <reference field="2" count="1" selected="0">
            <x v="2"/>
          </reference>
          <reference field="3" count="5">
            <x v="1"/>
            <x v="2"/>
            <x v="6"/>
            <x v="9"/>
            <x v="10"/>
          </reference>
        </references>
      </pivotArea>
    </format>
    <format dxfId="979">
      <pivotArea collapsedLevelsAreSubtotals="1" fieldPosition="0">
        <references count="2">
          <reference field="1" count="1" selected="0">
            <x v="0"/>
          </reference>
          <reference field="2" count="1" defaultSubtotal="1">
            <x v="2"/>
          </reference>
        </references>
      </pivotArea>
    </format>
    <format dxfId="978">
      <pivotArea collapsedLevelsAreSubtotals="1" fieldPosition="0">
        <references count="1">
          <reference field="1" count="1" defaultSubtotal="1">
            <x v="0"/>
          </reference>
        </references>
      </pivotArea>
    </format>
    <format dxfId="977">
      <pivotArea collapsedLevelsAreSubtotals="1" fieldPosition="0">
        <references count="1">
          <reference field="1" count="1">
            <x v="1"/>
          </reference>
        </references>
      </pivotArea>
    </format>
    <format dxfId="976">
      <pivotArea collapsedLevelsAreSubtotals="1" fieldPosition="0">
        <references count="2">
          <reference field="1" count="1" selected="0">
            <x v="1"/>
          </reference>
          <reference field="2" count="1">
            <x v="0"/>
          </reference>
        </references>
      </pivotArea>
    </format>
    <format dxfId="975">
      <pivotArea collapsedLevelsAreSubtotals="1" fieldPosition="0">
        <references count="3">
          <reference field="1" count="1" selected="0">
            <x v="1"/>
          </reference>
          <reference field="2" count="1" selected="0">
            <x v="0"/>
          </reference>
          <reference field="3" count="3">
            <x v="4"/>
            <x v="7"/>
            <x v="8"/>
          </reference>
        </references>
      </pivotArea>
    </format>
    <format dxfId="974">
      <pivotArea collapsedLevelsAreSubtotals="1" fieldPosition="0">
        <references count="2">
          <reference field="1" count="1" selected="0">
            <x v="1"/>
          </reference>
          <reference field="2" count="1" defaultSubtotal="1">
            <x v="0"/>
          </reference>
        </references>
      </pivotArea>
    </format>
    <format dxfId="973">
      <pivotArea collapsedLevelsAreSubtotals="1" fieldPosition="0">
        <references count="2">
          <reference field="1" count="1" selected="0">
            <x v="1"/>
          </reference>
          <reference field="2" count="1">
            <x v="3"/>
          </reference>
        </references>
      </pivotArea>
    </format>
    <format dxfId="972">
      <pivotArea collapsedLevelsAreSubtotals="1" fieldPosition="0">
        <references count="3">
          <reference field="1" count="1" selected="0">
            <x v="1"/>
          </reference>
          <reference field="2" count="1" selected="0">
            <x v="3"/>
          </reference>
          <reference field="3" count="2">
            <x v="0"/>
            <x v="3"/>
          </reference>
        </references>
      </pivotArea>
    </format>
    <format dxfId="971">
      <pivotArea collapsedLevelsAreSubtotals="1" fieldPosition="0">
        <references count="2">
          <reference field="1" count="1" selected="0">
            <x v="1"/>
          </reference>
          <reference field="2" count="1" defaultSubtotal="1">
            <x v="3"/>
          </reference>
        </references>
      </pivotArea>
    </format>
    <format dxfId="970">
      <pivotArea collapsedLevelsAreSubtotals="1" fieldPosition="0">
        <references count="1">
          <reference field="1" count="1" defaultSubtotal="1">
            <x v="1"/>
          </reference>
        </references>
      </pivotArea>
    </format>
    <format dxfId="969">
      <pivotArea dataOnly="0" fieldPosition="0">
        <references count="2">
          <reference field="0" count="1" selected="0">
            <x v="2"/>
          </reference>
          <reference field="2" count="0" defaultSubtotal="1"/>
        </references>
      </pivotArea>
    </format>
    <format dxfId="968">
      <pivotArea dataOnly="0" labelOnly="1" outline="0" fieldPosition="0">
        <references count="1">
          <reference field="0" count="1">
            <x v="1"/>
          </reference>
        </references>
      </pivotArea>
    </format>
    <format dxfId="967">
      <pivotArea dataOnly="0" labelOnly="1" outline="0" fieldPosition="0">
        <references count="1">
          <reference field="0" count="1">
            <x v="1"/>
          </reference>
        </references>
      </pivotArea>
    </format>
    <format dxfId="966">
      <pivotArea type="all" dataOnly="0" outline="0" fieldPosition="0"/>
    </format>
    <format dxfId="965">
      <pivotArea outline="0" collapsedLevelsAreSubtotals="1" fieldPosition="0"/>
    </format>
    <format dxfId="964">
      <pivotArea field="1" type="button" dataOnly="0" labelOnly="1" outline="0" axis="axisRow" fieldPosition="0"/>
    </format>
    <format dxfId="963">
      <pivotArea dataOnly="0" labelOnly="1" outline="0" axis="axisValues" fieldPosition="0"/>
    </format>
    <format dxfId="962">
      <pivotArea dataOnly="0" labelOnly="1" fieldPosition="0">
        <references count="1">
          <reference field="1" count="2">
            <x v="0"/>
            <x v="1"/>
          </reference>
        </references>
      </pivotArea>
    </format>
    <format dxfId="961">
      <pivotArea dataOnly="0" labelOnly="1" fieldPosition="0">
        <references count="1">
          <reference field="1" count="2" defaultSubtotal="1">
            <x v="0"/>
            <x v="1"/>
          </reference>
        </references>
      </pivotArea>
    </format>
    <format dxfId="960">
      <pivotArea dataOnly="0" labelOnly="1" fieldPosition="0">
        <references count="2">
          <reference field="1" count="1" selected="0">
            <x v="0"/>
          </reference>
          <reference field="2" count="2">
            <x v="1"/>
            <x v="2"/>
          </reference>
        </references>
      </pivotArea>
    </format>
    <format dxfId="959">
      <pivotArea dataOnly="0" labelOnly="1" fieldPosition="0">
        <references count="2">
          <reference field="1" count="1" selected="0">
            <x v="0"/>
          </reference>
          <reference field="2" count="2" defaultSubtotal="1">
            <x v="1"/>
            <x v="2"/>
          </reference>
        </references>
      </pivotArea>
    </format>
    <format dxfId="958">
      <pivotArea dataOnly="0" labelOnly="1" fieldPosition="0">
        <references count="2">
          <reference field="1" count="1" selected="0">
            <x v="1"/>
          </reference>
          <reference field="2" count="2">
            <x v="0"/>
            <x v="3"/>
          </reference>
        </references>
      </pivotArea>
    </format>
    <format dxfId="957">
      <pivotArea dataOnly="0" labelOnly="1" fieldPosition="0">
        <references count="2">
          <reference field="1" count="1" selected="0">
            <x v="1"/>
          </reference>
          <reference field="2" count="2" defaultSubtotal="1">
            <x v="0"/>
            <x v="3"/>
          </reference>
        </references>
      </pivotArea>
    </format>
    <format dxfId="956">
      <pivotArea dataOnly="0" labelOnly="1" fieldPosition="0">
        <references count="3">
          <reference field="1" count="1" selected="0">
            <x v="0"/>
          </reference>
          <reference field="2" count="1" selected="0">
            <x v="1"/>
          </reference>
          <reference field="3" count="1">
            <x v="5"/>
          </reference>
        </references>
      </pivotArea>
    </format>
    <format dxfId="955">
      <pivotArea dataOnly="0" labelOnly="1" fieldPosition="0">
        <references count="3">
          <reference field="1" count="1" selected="0">
            <x v="0"/>
          </reference>
          <reference field="2" count="1" selected="0">
            <x v="2"/>
          </reference>
          <reference field="3" count="4">
            <x v="1"/>
            <x v="2"/>
            <x v="6"/>
            <x v="9"/>
          </reference>
        </references>
      </pivotArea>
    </format>
    <format dxfId="954">
      <pivotArea dataOnly="0" labelOnly="1" fieldPosition="0">
        <references count="3">
          <reference field="1" count="1" selected="0">
            <x v="1"/>
          </reference>
          <reference field="2" count="1" selected="0">
            <x v="0"/>
          </reference>
          <reference field="3" count="3">
            <x v="4"/>
            <x v="7"/>
            <x v="8"/>
          </reference>
        </references>
      </pivotArea>
    </format>
    <format dxfId="953">
      <pivotArea dataOnly="0" labelOnly="1" fieldPosition="0">
        <references count="3">
          <reference field="1" count="1" selected="0">
            <x v="1"/>
          </reference>
          <reference field="2" count="1" selected="0">
            <x v="3"/>
          </reference>
          <reference field="3" count="2">
            <x v="0"/>
            <x v="3"/>
          </reference>
        </references>
      </pivotArea>
    </format>
    <format dxfId="952">
      <pivotArea dataOnly="0" labelOnly="1" outline="0" axis="axisValues" fieldPosition="0"/>
    </format>
    <format dxfId="951">
      <pivotArea type="all" dataOnly="0" outline="0" fieldPosition="0"/>
    </format>
    <format dxfId="950">
      <pivotArea outline="0" collapsedLevelsAreSubtotals="1" fieldPosition="0"/>
    </format>
    <format dxfId="949">
      <pivotArea field="1" type="button" dataOnly="0" labelOnly="1" outline="0" axis="axisRow" fieldPosition="0"/>
    </format>
    <format dxfId="948">
      <pivotArea dataOnly="0" labelOnly="1" outline="0" axis="axisValues" fieldPosition="0"/>
    </format>
    <format dxfId="947">
      <pivotArea dataOnly="0" labelOnly="1" fieldPosition="0">
        <references count="1">
          <reference field="1" count="2">
            <x v="0"/>
            <x v="1"/>
          </reference>
        </references>
      </pivotArea>
    </format>
    <format dxfId="946">
      <pivotArea dataOnly="0" labelOnly="1" fieldPosition="0">
        <references count="1">
          <reference field="1" count="2" defaultSubtotal="1">
            <x v="0"/>
            <x v="1"/>
          </reference>
        </references>
      </pivotArea>
    </format>
    <format dxfId="945">
      <pivotArea dataOnly="0" labelOnly="1" fieldPosition="0">
        <references count="2">
          <reference field="1" count="1" selected="0">
            <x v="0"/>
          </reference>
          <reference field="2" count="2">
            <x v="1"/>
            <x v="2"/>
          </reference>
        </references>
      </pivotArea>
    </format>
    <format dxfId="944">
      <pivotArea dataOnly="0" labelOnly="1" fieldPosition="0">
        <references count="2">
          <reference field="1" count="1" selected="0">
            <x v="0"/>
          </reference>
          <reference field="2" count="2" defaultSubtotal="1">
            <x v="1"/>
            <x v="2"/>
          </reference>
        </references>
      </pivotArea>
    </format>
    <format dxfId="943">
      <pivotArea dataOnly="0" labelOnly="1" fieldPosition="0">
        <references count="2">
          <reference field="1" count="1" selected="0">
            <x v="1"/>
          </reference>
          <reference field="2" count="2">
            <x v="0"/>
            <x v="3"/>
          </reference>
        </references>
      </pivotArea>
    </format>
    <format dxfId="942">
      <pivotArea dataOnly="0" labelOnly="1" fieldPosition="0">
        <references count="2">
          <reference field="1" count="1" selected="0">
            <x v="1"/>
          </reference>
          <reference field="2" count="2" defaultSubtotal="1">
            <x v="0"/>
            <x v="3"/>
          </reference>
        </references>
      </pivotArea>
    </format>
    <format dxfId="941">
      <pivotArea dataOnly="0" labelOnly="1" fieldPosition="0">
        <references count="3">
          <reference field="1" count="1" selected="0">
            <x v="0"/>
          </reference>
          <reference field="2" count="1" selected="0">
            <x v="1"/>
          </reference>
          <reference field="3" count="1">
            <x v="5"/>
          </reference>
        </references>
      </pivotArea>
    </format>
    <format dxfId="940">
      <pivotArea dataOnly="0" labelOnly="1" fieldPosition="0">
        <references count="3">
          <reference field="1" count="1" selected="0">
            <x v="0"/>
          </reference>
          <reference field="2" count="1" selected="0">
            <x v="2"/>
          </reference>
          <reference field="3" count="4">
            <x v="1"/>
            <x v="2"/>
            <x v="6"/>
            <x v="9"/>
          </reference>
        </references>
      </pivotArea>
    </format>
    <format dxfId="939">
      <pivotArea dataOnly="0" labelOnly="1" fieldPosition="0">
        <references count="3">
          <reference field="1" count="1" selected="0">
            <x v="1"/>
          </reference>
          <reference field="2" count="1" selected="0">
            <x v="0"/>
          </reference>
          <reference field="3" count="3">
            <x v="4"/>
            <x v="7"/>
            <x v="8"/>
          </reference>
        </references>
      </pivotArea>
    </format>
    <format dxfId="938">
      <pivotArea dataOnly="0" labelOnly="1" fieldPosition="0">
        <references count="3">
          <reference field="1" count="1" selected="0">
            <x v="1"/>
          </reference>
          <reference field="2" count="1" selected="0">
            <x v="3"/>
          </reference>
          <reference field="3" count="2">
            <x v="0"/>
            <x v="3"/>
          </reference>
        </references>
      </pivotArea>
    </format>
    <format dxfId="937">
      <pivotArea dataOnly="0" labelOnly="1" outline="0" axis="axisValues" fieldPosition="0"/>
    </format>
    <format dxfId="936">
      <pivotArea field="0" type="button" dataOnly="0" labelOnly="1" outline="0" axis="axisPage" fieldPosition="0"/>
    </format>
    <format dxfId="935">
      <pivotArea field="0" type="button" dataOnly="0" labelOnly="1" outline="0" axis="axisPage" fieldPosition="0"/>
    </format>
    <format dxfId="934">
      <pivotArea field="0" type="button" dataOnly="0" labelOnly="1" outline="0" axis="axisPage" fieldPosition="0"/>
    </format>
    <format dxfId="933">
      <pivotArea field="0" type="button" dataOnly="0" labelOnly="1" outline="0" axis="axisPage" fieldPosition="0"/>
    </format>
    <format dxfId="932">
      <pivotArea field="0" type="button" dataOnly="0" labelOnly="1" outline="0" axis="axisPage" fieldPosition="0"/>
    </format>
    <format dxfId="931">
      <pivotArea field="0" type="button" dataOnly="0" labelOnly="1" outline="0" axis="axisPage" fieldPosition="0"/>
    </format>
    <format dxfId="930">
      <pivotArea type="all" dataOnly="0" outline="0" fieldPosition="0"/>
    </format>
    <format dxfId="929">
      <pivotArea outline="0" collapsedLevelsAreSubtotals="1" fieldPosition="0"/>
    </format>
    <format dxfId="928">
      <pivotArea field="1" type="button" dataOnly="0" labelOnly="1" outline="0" axis="axisRow" fieldPosition="0"/>
    </format>
    <format dxfId="927">
      <pivotArea dataOnly="0" labelOnly="1" outline="0" axis="axisValues" fieldPosition="0"/>
    </format>
    <format dxfId="926">
      <pivotArea dataOnly="0" labelOnly="1" fieldPosition="0">
        <references count="1">
          <reference field="1" count="2">
            <x v="0"/>
            <x v="1"/>
          </reference>
        </references>
      </pivotArea>
    </format>
    <format dxfId="925">
      <pivotArea dataOnly="0" labelOnly="1" fieldPosition="0">
        <references count="1">
          <reference field="1" count="2" defaultSubtotal="1">
            <x v="0"/>
            <x v="1"/>
          </reference>
        </references>
      </pivotArea>
    </format>
    <format dxfId="924">
      <pivotArea dataOnly="0" labelOnly="1" fieldPosition="0">
        <references count="2">
          <reference field="1" count="1" selected="0">
            <x v="0"/>
          </reference>
          <reference field="2" count="2">
            <x v="1"/>
            <x v="2"/>
          </reference>
        </references>
      </pivotArea>
    </format>
    <format dxfId="923">
      <pivotArea dataOnly="0" labelOnly="1" fieldPosition="0">
        <references count="2">
          <reference field="1" count="1" selected="0">
            <x v="0"/>
          </reference>
          <reference field="2" count="2" defaultSubtotal="1">
            <x v="1"/>
            <x v="2"/>
          </reference>
        </references>
      </pivotArea>
    </format>
    <format dxfId="922">
      <pivotArea dataOnly="0" labelOnly="1" fieldPosition="0">
        <references count="2">
          <reference field="1" count="1" selected="0">
            <x v="1"/>
          </reference>
          <reference field="2" count="2">
            <x v="0"/>
            <x v="3"/>
          </reference>
        </references>
      </pivotArea>
    </format>
    <format dxfId="921">
      <pivotArea dataOnly="0" labelOnly="1" fieldPosition="0">
        <references count="2">
          <reference field="1" count="1" selected="0">
            <x v="1"/>
          </reference>
          <reference field="2" count="2" defaultSubtotal="1">
            <x v="0"/>
            <x v="3"/>
          </reference>
        </references>
      </pivotArea>
    </format>
    <format dxfId="920">
      <pivotArea dataOnly="0" labelOnly="1" fieldPosition="0">
        <references count="3">
          <reference field="1" count="1" selected="0">
            <x v="0"/>
          </reference>
          <reference field="2" count="1" selected="0">
            <x v="1"/>
          </reference>
          <reference field="3" count="1">
            <x v="5"/>
          </reference>
        </references>
      </pivotArea>
    </format>
    <format dxfId="919">
      <pivotArea dataOnly="0" labelOnly="1" fieldPosition="0">
        <references count="3">
          <reference field="1" count="1" selected="0">
            <x v="0"/>
          </reference>
          <reference field="2" count="1" selected="0">
            <x v="2"/>
          </reference>
          <reference field="3" count="4">
            <x v="1"/>
            <x v="2"/>
            <x v="6"/>
            <x v="9"/>
          </reference>
        </references>
      </pivotArea>
    </format>
    <format dxfId="918">
      <pivotArea dataOnly="0" labelOnly="1" fieldPosition="0">
        <references count="3">
          <reference field="1" count="1" selected="0">
            <x v="1"/>
          </reference>
          <reference field="2" count="1" selected="0">
            <x v="0"/>
          </reference>
          <reference field="3" count="3">
            <x v="4"/>
            <x v="7"/>
            <x v="8"/>
          </reference>
        </references>
      </pivotArea>
    </format>
    <format dxfId="917">
      <pivotArea dataOnly="0" labelOnly="1" fieldPosition="0">
        <references count="3">
          <reference field="1" count="1" selected="0">
            <x v="1"/>
          </reference>
          <reference field="2" count="1" selected="0">
            <x v="3"/>
          </reference>
          <reference field="3" count="2">
            <x v="0"/>
            <x v="3"/>
          </reference>
        </references>
      </pivotArea>
    </format>
    <format dxfId="916">
      <pivotArea dataOnly="0" labelOnly="1" outline="0" axis="axisValues" fieldPosition="0"/>
    </format>
    <format dxfId="915">
      <pivotArea dataOnly="0" labelOnly="1" outline="0" fieldPosition="0">
        <references count="1">
          <reference field="0" count="1">
            <x v="2"/>
          </reference>
        </references>
      </pivotArea>
    </format>
    <format dxfId="914">
      <pivotArea dataOnly="0" labelOnly="1" outline="0" fieldPosition="0">
        <references count="1">
          <reference field="0" count="1">
            <x v="2"/>
          </reference>
        </references>
      </pivotArea>
    </format>
    <format dxfId="913">
      <pivotArea dataOnly="0" labelOnly="1" outline="0" fieldPosition="0">
        <references count="1">
          <reference field="0" count="1">
            <x v="2"/>
          </reference>
        </references>
      </pivotArea>
    </format>
    <format dxfId="912">
      <pivotArea dataOnly="0" labelOnly="1" outline="0" fieldPosition="0">
        <references count="1">
          <reference field="0" count="1">
            <x v="1"/>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TABLE" displayName="PLTABLE" ref="E3:I2001" totalsRowShown="0" headerRowDxfId="1787" dataDxfId="1785" headerRowBorderDxfId="1786">
  <autoFilter ref="E3:I2001" xr:uid="{00000000-0009-0000-0100-000001000000}"/>
  <sortState xmlns:xlrd2="http://schemas.microsoft.com/office/spreadsheetml/2017/richdata2" ref="E4:J400">
    <sortCondition ref="F4"/>
  </sortState>
  <tableColumns count="5">
    <tableColumn id="1" xr3:uid="{00000000-0010-0000-0000-000001000000}" name="Year" dataDxfId="1784"/>
    <tableColumn id="6" xr3:uid="{00000000-0010-0000-0000-000006000000}" name="Main Accounts" dataDxfId="1783"/>
    <tableColumn id="2" xr3:uid="{00000000-0010-0000-0000-000002000000}" name="Sub Group" dataDxfId="1782"/>
    <tableColumn id="3" xr3:uid="{00000000-0010-0000-0000-000003000000}" name="Account Name" dataDxfId="1781"/>
    <tableColumn id="4" xr3:uid="{00000000-0010-0000-0000-000004000000}" name="KSH000" dataDxfId="1780" dataCellStyle="Comma"/>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9000000}" name="Table447" displayName="Table447" ref="B8:E201" totalsRowCount="1" headerRowDxfId="1673" dataDxfId="1672" totalsRowDxfId="1670" tableBorderDxfId="1671">
  <tableColumns count="4">
    <tableColumn id="1" xr3:uid="{00000000-0010-0000-0900-000001000000}" name="00-00-00" totalsRowLabel="Total" dataDxfId="1669" totalsRowDxfId="1668" dataCellStyle="Comma"/>
    <tableColumn id="2" xr3:uid="{00000000-0010-0000-0900-000002000000}" name="," dataDxfId="1667" totalsRowDxfId="1666"/>
    <tableColumn id="3" xr3:uid="{00000000-0010-0000-0900-000003000000}" name=",3" totalsRowFunction="sum" dataDxfId="1665" totalsRowDxfId="1664" dataCellStyle="Comma"/>
    <tableColumn id="4" xr3:uid="{00000000-0010-0000-0900-000004000000}" name=",2" totalsRowFunction="sum" dataDxfId="1663" totalsRowDxfId="1662"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A000000}" name="Table548" displayName="Table548" ref="G8:J206" totalsRowShown="0" headerRowDxfId="1661" dataDxfId="1659" headerRowBorderDxfId="1660" tableBorderDxfId="1658" totalsRowBorderDxfId="1657">
  <tableColumns count="4">
    <tableColumn id="1" xr3:uid="{00000000-0010-0000-0A00-000001000000}" name="J.ENTRIES" dataDxfId="1656" dataCellStyle="Comma"/>
    <tableColumn id="2" xr3:uid="{00000000-0010-0000-0A00-000002000000}" name=",4" dataDxfId="1655"/>
    <tableColumn id="3" xr3:uid="{00000000-0010-0000-0A00-000003000000}" name=",3" dataDxfId="1654" dataCellStyle="Comma"/>
    <tableColumn id="4" xr3:uid="{00000000-0010-0000-0A00-000004000000}" name=",2" dataDxfId="1653"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B000000}" name="Table649" displayName="Table649" ref="L7:P201" totalsRowCount="1" headerRowDxfId="1652" dataDxfId="1650" totalsRowDxfId="1648" headerRowBorderDxfId="1651" tableBorderDxfId="1649">
  <tableColumns count="5">
    <tableColumn id="1" xr3:uid="{00000000-0010-0000-0B00-000001000000}" name="0" totalsRowLabel="Total" dataDxfId="1647" totalsRowDxfId="1646" dataCellStyle="Comma"/>
    <tableColumn id="2" xr3:uid="{00000000-0010-0000-0B00-000002000000}" name="Sub-Accounts" dataDxfId="1645" totalsRowDxfId="1644"/>
    <tableColumn id="3" xr3:uid="{00000000-0010-0000-0B00-000003000000}" name="Accounts Name" dataDxfId="1643" totalsRowDxfId="1642"/>
    <tableColumn id="4" xr3:uid="{00000000-0010-0000-0B00-000004000000}" name="Debit" totalsRowFunction="sum" dataDxfId="1641" totalsRowDxfId="1640" dataCellStyle="Comma">
      <calculatedColumnFormula>IFERROR(SUMIF(Table447[,],Table649[[#This Row],[Accounts Name]],Table447[,3]),"")</calculatedColumnFormula>
    </tableColumn>
    <tableColumn id="5" xr3:uid="{00000000-0010-0000-0B00-000005000000}" name="Credit" totalsRowFunction="sum" dataDxfId="1639" totalsRowDxfId="1638" dataCellStyle="Comma">
      <calculatedColumnFormula>IFERROR(SUMIF(Table447[,],Table649[[#This Row],[Accounts Name]],Table447[,2]),"")</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C000000}" name="Table850" displayName="Table850" ref="S7:AH201" totalsRowCount="1" headerRowDxfId="1637" dataDxfId="1635" totalsRowDxfId="1633" headerRowBorderDxfId="1636" tableBorderDxfId="1634">
  <autoFilter ref="S7:AH200" xr:uid="{00000000-0009-0000-0100-000031000000}"/>
  <tableColumns count="16">
    <tableColumn id="1" xr3:uid="{00000000-0010-0000-0C00-000001000000}" name="." totalsRowLabel="Total" dataDxfId="1632" totalsRowDxfId="1631" dataCellStyle="Comma">
      <calculatedColumnFormula>S7+1</calculatedColumnFormula>
    </tableColumn>
    <tableColumn id="2" xr3:uid="{00000000-0010-0000-0C00-000002000000}" name="Classification" dataDxfId="1630" totalsRowDxfId="1629" dataCellStyle="Comma"/>
    <tableColumn id="3" xr3:uid="{00000000-0010-0000-0C00-000003000000}" name="Update your chart of accounts here" dataDxfId="1628" totalsRowDxfId="1627"/>
    <tableColumn id="4" xr3:uid="{00000000-0010-0000-0C00-000004000000}" name="Debit" totalsRowFunction="sum" dataDxfId="1626" totalsRowDxfId="1625" dataCellStyle="Comma">
      <calculatedColumnFormula>IFERROR(SUMIF(Table649[Sub-Accounts],Table850[[#This Row],[Update your chart of accounts here]],Table649[Debit]),"")</calculatedColumnFormula>
    </tableColumn>
    <tableColumn id="5" xr3:uid="{00000000-0010-0000-0C00-000005000000}" name="Credit" totalsRowFunction="sum" dataDxfId="1624" totalsRowDxfId="1623" dataCellStyle="Comma">
      <calculatedColumnFormula>IFERROR(SUMIF(Table649[Sub-Accounts],Table850[[#This Row],[Update your chart of accounts here]],Table649[Credit]),"")</calculatedColumnFormula>
    </tableColumn>
    <tableColumn id="16" xr3:uid="{00000000-0010-0000-0C00-000010000000}" name="Column2" dataDxfId="1622" totalsRowDxfId="1621" dataCellStyle="Comma"/>
    <tableColumn id="17" xr3:uid="{00000000-0010-0000-0C00-000011000000}" name="JE" dataDxfId="1620" totalsRowDxfId="1619" dataCellStyle="Comma"/>
    <tableColumn id="10" xr3:uid="{00000000-0010-0000-0C00-00000A000000}" name="Debit -" dataDxfId="1618" totalsRowDxfId="1617" dataCellStyle="Comma">
      <calculatedColumnFormula>SUM(Table850[[Debit ]])-SUM(Table850[Credit,])</calculatedColumnFormula>
    </tableColumn>
    <tableColumn id="11" xr3:uid="{00000000-0010-0000-0C00-00000B000000}" name="Credit +" dataDxfId="1616" totalsRowDxfId="1615" dataCellStyle="Comma"/>
    <tableColumn id="12" xr3:uid="{00000000-0010-0000-0C00-00000C000000}" name="Debit\" totalsRowFunction="sum" dataDxfId="1614" totalsRowDxfId="1613" dataCellStyle="Comma">
      <calculatedColumnFormula>MAX(Table850[[#This Row],[Debit]]+Table850[[#This Row],[Debit -]]-Table850[[#This Row],[Credit]]-Table850[[#This Row],[Credit +]],0)</calculatedColumnFormula>
    </tableColumn>
    <tableColumn id="13" xr3:uid="{00000000-0010-0000-0C00-00000D000000}" name="Credit." totalsRowFunction="sum" dataDxfId="1612" totalsRowDxfId="1611" dataCellStyle="Comma">
      <calculatedColumnFormula>MAX(Table850[[#This Row],[Credit]]-Table850[[#This Row],[Debit]]+Table850[[#This Row],[Credit +]]-Table850[[#This Row],[Debit -]],0)</calculatedColumnFormula>
    </tableColumn>
    <tableColumn id="6" xr3:uid="{00000000-0010-0000-0C00-000006000000}" name="Debit " totalsRowFunction="sum" dataDxfId="1610" totalsRowDxfId="1609" dataCellStyle="Comma">
      <calculatedColumnFormula>IFERROR(IF(AND(OR(Table850[[#This Row],[Classification]]="Expense",Table850[[#This Row],[Classification]]="Cost of Goods Sold"),Table850[[#This Row],[Debit\]]&gt;Table850[[#This Row],[Credit.]]),Table850[[#This Row],[Debit\]]-Table850[[#This Row],[Credit.]],""),"")</calculatedColumnFormula>
    </tableColumn>
    <tableColumn id="7" xr3:uid="{00000000-0010-0000-0C00-000007000000}" name="Credit," totalsRowFunction="sum" dataDxfId="1608" totalsRowDxfId="1607" dataCellStyle="Comma">
      <calculatedColumnFormula>IFERROR(IF(AND(OR(Table850[[#This Row],[Classification]]="Income",Table850[[#This Row],[Classification]]="Cost of Goods Sold"),Table850[[#This Row],[Credit.]]&gt;Table850[[#This Row],[Debit\]]),Table850[[#This Row],[Credit.]]-Table850[[#This Row],[Debit\]],""),"")</calculatedColumnFormula>
    </tableColumn>
    <tableColumn id="14" xr3:uid="{00000000-0010-0000-0C00-00000E000000}" name="Column1" dataDxfId="1606" totalsRowDxfId="1605" dataCellStyle="Comma"/>
    <tableColumn id="8" xr3:uid="{00000000-0010-0000-0C00-000008000000}" name="Debit ." totalsRowFunction="sum" dataDxfId="1604" totalsRowDxfId="1603" dataCellStyle="Comma">
      <calculatedColumnFormula>IFERROR(IF(AND(Table850[[#This Row],[Classification]]="Assets",Table850[[#This Row],[Debit\]]-Table850[[#This Row],[Credit.]]),Table850[[#This Row],[Debit\]]-Table850[[#This Row],[Credit.]],""),"")</calculatedColumnFormula>
    </tableColumn>
    <tableColumn id="9" xr3:uid="{00000000-0010-0000-0C00-000009000000}" name="Credit'" totalsRowFunction="sum" dataDxfId="1602" totalsRowDxfId="1601" dataCellStyle="Comma">
      <calculatedColumnFormula>IFERROR(IF(AND(OR(Table850[[#This Row],[Classification]]="Liabilities",Table850[[#This Row],[Classification]]="Owner´s Equity"),Table850[[#This Row],[Credit.]]&gt;Table850[[#This Row],[Debit\]]),Table850[[#This Row],[Credit.]]-Table850[[#This Row],[Debit\]],""),"")</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415" displayName="Table415" ref="B8:E201" totalsRowCount="1" headerRowDxfId="1600" dataDxfId="1599" totalsRowDxfId="1597" tableBorderDxfId="1598">
  <tableColumns count="4">
    <tableColumn id="1" xr3:uid="{00000000-0010-0000-0D00-000001000000}" name="00-00-00" totalsRowLabel="Total" dataDxfId="1596" totalsRowDxfId="1595" dataCellStyle="Comma"/>
    <tableColumn id="2" xr3:uid="{00000000-0010-0000-0D00-000002000000}" name="," dataDxfId="1594" totalsRowDxfId="1593"/>
    <tableColumn id="3" xr3:uid="{00000000-0010-0000-0D00-000003000000}" name=",3" totalsRowFunction="sum" dataDxfId="1592" totalsRowDxfId="1591" dataCellStyle="Comma"/>
    <tableColumn id="4" xr3:uid="{00000000-0010-0000-0D00-000004000000}" name=",2" totalsRowFunction="sum" dataDxfId="1590" totalsRowDxfId="1589"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516" displayName="Table516" ref="G8:J206" totalsRowShown="0" headerRowDxfId="1588" dataDxfId="1586" headerRowBorderDxfId="1587" tableBorderDxfId="1585" totalsRowBorderDxfId="1584">
  <tableColumns count="4">
    <tableColumn id="1" xr3:uid="{00000000-0010-0000-0E00-000001000000}" name="J.ENTRIES" dataDxfId="1583" dataCellStyle="Comma"/>
    <tableColumn id="2" xr3:uid="{00000000-0010-0000-0E00-000002000000}" name=",4" dataDxfId="1582"/>
    <tableColumn id="3" xr3:uid="{00000000-0010-0000-0E00-000003000000}" name=",3" dataDxfId="1581" dataCellStyle="Comma"/>
    <tableColumn id="4" xr3:uid="{00000000-0010-0000-0E00-000004000000}" name=",2" dataDxfId="1580"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617" displayName="Table617" ref="L7:P201" totalsRowCount="1" headerRowDxfId="1579" dataDxfId="1577" totalsRowDxfId="1575" headerRowBorderDxfId="1578" tableBorderDxfId="1576">
  <tableColumns count="5">
    <tableColumn id="1" xr3:uid="{00000000-0010-0000-0F00-000001000000}" name="0" totalsRowLabel="Total" dataDxfId="1574" totalsRowDxfId="1573" dataCellStyle="Comma"/>
    <tableColumn id="2" xr3:uid="{00000000-0010-0000-0F00-000002000000}" name="Sub-Accounts" dataDxfId="1572" totalsRowDxfId="1571"/>
    <tableColumn id="3" xr3:uid="{00000000-0010-0000-0F00-000003000000}" name="Accounts Name" dataDxfId="1570" totalsRowDxfId="1569"/>
    <tableColumn id="4" xr3:uid="{00000000-0010-0000-0F00-000004000000}" name="Debit" totalsRowFunction="sum" dataDxfId="1568" totalsRowDxfId="1567" dataCellStyle="Comma">
      <calculatedColumnFormula>IFERROR(SUMIF(Table415[,],Table617[[#This Row],[Accounts Name]],Table415[,3]),"")</calculatedColumnFormula>
    </tableColumn>
    <tableColumn id="5" xr3:uid="{00000000-0010-0000-0F00-000005000000}" name="Credit" totalsRowFunction="sum" dataDxfId="1566" totalsRowDxfId="1565" dataCellStyle="Comma">
      <calculatedColumnFormula>IFERROR(SUMIF(Table415[,],Table617[[#This Row],[Accounts Name]],Table415[,2]),"")</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818" displayName="Table818" ref="S7:AH201" totalsRowCount="1" headerRowDxfId="1564" dataDxfId="1562" totalsRowDxfId="1560" headerRowBorderDxfId="1563" tableBorderDxfId="1561">
  <autoFilter ref="S7:AH200" xr:uid="{00000000-0009-0000-0100-000011000000}"/>
  <tableColumns count="16">
    <tableColumn id="1" xr3:uid="{00000000-0010-0000-1000-000001000000}" name="." totalsRowLabel="Total" dataDxfId="1559" totalsRowDxfId="1558" dataCellStyle="Comma">
      <calculatedColumnFormula>S7+1</calculatedColumnFormula>
    </tableColumn>
    <tableColumn id="2" xr3:uid="{00000000-0010-0000-1000-000002000000}" name="Classification" dataDxfId="1557" totalsRowDxfId="1556" dataCellStyle="Comma"/>
    <tableColumn id="3" xr3:uid="{00000000-0010-0000-1000-000003000000}" name="Update your chart of accounts here" dataDxfId="1555" totalsRowDxfId="1554"/>
    <tableColumn id="4" xr3:uid="{00000000-0010-0000-1000-000004000000}" name="Debit" totalsRowFunction="sum" dataDxfId="1553" totalsRowDxfId="1552" dataCellStyle="Comma">
      <calculatedColumnFormula>IFERROR(SUMIF(Table617[Sub-Accounts],Table818[[#This Row],[Update your chart of accounts here]],Table617[Debit]),"")</calculatedColumnFormula>
    </tableColumn>
    <tableColumn id="5" xr3:uid="{00000000-0010-0000-1000-000005000000}" name="Credit" totalsRowFunction="sum" dataDxfId="1551" totalsRowDxfId="1550" dataCellStyle="Comma">
      <calculatedColumnFormula>IFERROR(SUMIF(Table617[Sub-Accounts],Table818[[#This Row],[Update your chart of accounts here]],Table617[Credit]),"")</calculatedColumnFormula>
    </tableColumn>
    <tableColumn id="16" xr3:uid="{00000000-0010-0000-1000-000010000000}" name="Column2" dataDxfId="1549" totalsRowDxfId="1548" dataCellStyle="Comma"/>
    <tableColumn id="17" xr3:uid="{00000000-0010-0000-1000-000011000000}" name="JE" dataDxfId="1547" totalsRowDxfId="1546" dataCellStyle="Comma"/>
    <tableColumn id="10" xr3:uid="{00000000-0010-0000-1000-00000A000000}" name="Debit -" dataDxfId="1545" totalsRowDxfId="1544" dataCellStyle="Comma">
      <calculatedColumnFormula>SUM(Table818[[Debit ]])-SUM(Table818[Credit,])</calculatedColumnFormula>
    </tableColumn>
    <tableColumn id="11" xr3:uid="{00000000-0010-0000-1000-00000B000000}" name="Credit +" dataDxfId="1543" totalsRowDxfId="1542" dataCellStyle="Comma"/>
    <tableColumn id="12" xr3:uid="{00000000-0010-0000-1000-00000C000000}" name="Debit\" totalsRowFunction="sum" dataDxfId="1541" totalsRowDxfId="1540" dataCellStyle="Comma">
      <calculatedColumnFormula>MAX(Table818[[#This Row],[Debit]]+Table818[[#This Row],[Debit -]]-Table818[[#This Row],[Credit]]-Table818[[#This Row],[Credit +]],0)</calculatedColumnFormula>
    </tableColumn>
    <tableColumn id="13" xr3:uid="{00000000-0010-0000-1000-00000D000000}" name="Credit." totalsRowFunction="sum" dataDxfId="1539" totalsRowDxfId="1538" dataCellStyle="Comma">
      <calculatedColumnFormula>MAX(Table818[[#This Row],[Credit]]-Table818[[#This Row],[Debit]]+Table818[[#This Row],[Credit +]]-Table818[[#This Row],[Debit -]],0)</calculatedColumnFormula>
    </tableColumn>
    <tableColumn id="6" xr3:uid="{00000000-0010-0000-1000-000006000000}" name="Debit " totalsRowFunction="sum" dataDxfId="1537" totalsRowDxfId="1536" dataCellStyle="Comma">
      <calculatedColumnFormula>IFERROR(IF(AND(OR(Table818[[#This Row],[Classification]]="Expense",Table818[[#This Row],[Classification]]="Cost of Goods Sold"),Table818[[#This Row],[Debit\]]&gt;Table818[[#This Row],[Credit.]]),Table818[[#This Row],[Debit\]]-Table818[[#This Row],[Credit.]],""),"")</calculatedColumnFormula>
    </tableColumn>
    <tableColumn id="7" xr3:uid="{00000000-0010-0000-1000-000007000000}" name="Credit," totalsRowFunction="sum" dataDxfId="1535" totalsRowDxfId="1534" dataCellStyle="Comma">
      <calculatedColumnFormula>IFERROR(IF(AND(OR(Table818[[#This Row],[Classification]]="Income",Table818[[#This Row],[Classification]]="Cost of Goods Sold"),Table818[[#This Row],[Credit.]]&gt;Table818[[#This Row],[Debit\]]),Table818[[#This Row],[Credit.]]-Table818[[#This Row],[Debit\]],""),"")</calculatedColumnFormula>
    </tableColumn>
    <tableColumn id="14" xr3:uid="{00000000-0010-0000-1000-00000E000000}" name="Column1" dataDxfId="1533" totalsRowDxfId="1532" dataCellStyle="Comma"/>
    <tableColumn id="8" xr3:uid="{00000000-0010-0000-1000-000008000000}" name="Debit ." totalsRowFunction="sum" dataDxfId="1531" totalsRowDxfId="1530" dataCellStyle="Comma">
      <calculatedColumnFormula>IFERROR(IF(AND(Table818[[#This Row],[Classification]]="Assets",Table818[[#This Row],[Debit\]]-Table818[[#This Row],[Credit.]]),Table818[[#This Row],[Debit\]]-Table818[[#This Row],[Credit.]],""),"")</calculatedColumnFormula>
    </tableColumn>
    <tableColumn id="9" xr3:uid="{00000000-0010-0000-1000-000009000000}" name="Credit'" totalsRowFunction="sum" dataDxfId="1529" totalsRowDxfId="1528" dataCellStyle="Comma">
      <calculatedColumnFormula>IFERROR(IF(AND(OR(Table818[[#This Row],[Classification]]="Liabilities",Table818[[#This Row],[Classification]]="Owner´s Equity"),Table818[[#This Row],[Credit.]]&gt;Table818[[#This Row],[Debit\]]),Table818[[#This Row],[Credit.]]-Table818[[#This Row],[Debit\]],""),"")</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419" displayName="Table419" ref="B8:E201" totalsRowCount="1" headerRowDxfId="1527" dataDxfId="1526" totalsRowDxfId="1524" tableBorderDxfId="1525">
  <tableColumns count="4">
    <tableColumn id="1" xr3:uid="{00000000-0010-0000-1100-000001000000}" name="00-00-00" totalsRowLabel="Total" dataDxfId="1523" totalsRowDxfId="1522" dataCellStyle="Comma"/>
    <tableColumn id="2" xr3:uid="{00000000-0010-0000-1100-000002000000}" name="," dataDxfId="1521" totalsRowDxfId="1520"/>
    <tableColumn id="3" xr3:uid="{00000000-0010-0000-1100-000003000000}" name=",3" totalsRowFunction="sum" dataDxfId="1519" totalsRowDxfId="1518" dataCellStyle="Comma"/>
    <tableColumn id="4" xr3:uid="{00000000-0010-0000-1100-000004000000}" name=",2" totalsRowFunction="sum" dataDxfId="1517" totalsRowDxfId="1516"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520" displayName="Table520" ref="G8:J206" totalsRowShown="0" headerRowDxfId="1515" dataDxfId="1513" headerRowBorderDxfId="1514" tableBorderDxfId="1512" totalsRowBorderDxfId="1511">
  <tableColumns count="4">
    <tableColumn id="1" xr3:uid="{00000000-0010-0000-1200-000001000000}" name="J.ENTRIES" dataDxfId="1510" dataCellStyle="Comma"/>
    <tableColumn id="2" xr3:uid="{00000000-0010-0000-1200-000002000000}" name=",4" dataDxfId="1509"/>
    <tableColumn id="3" xr3:uid="{00000000-0010-0000-1200-000003000000}" name=",3" dataDxfId="1508" dataCellStyle="Comma"/>
    <tableColumn id="4" xr3:uid="{00000000-0010-0000-1200-000004000000}" name=",2" dataDxfId="1507"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TTABLE" displayName="BTTABLE" ref="B3:F2000" totalsRowShown="0" headerRowDxfId="1779" dataDxfId="1777" headerRowBorderDxfId="1778" tableBorderDxfId="1776">
  <tableColumns count="5">
    <tableColumn id="1" xr3:uid="{00000000-0010-0000-0100-000001000000}" name="Year" dataDxfId="1775"/>
    <tableColumn id="6" xr3:uid="{00000000-0010-0000-0100-000006000000}" name="Main Accounts" dataDxfId="1774"/>
    <tableColumn id="2" xr3:uid="{00000000-0010-0000-0100-000002000000}" name="Sub Group" dataDxfId="1773"/>
    <tableColumn id="3" xr3:uid="{00000000-0010-0000-0100-000003000000}" name="Account Name" dataDxfId="1772"/>
    <tableColumn id="4" xr3:uid="{00000000-0010-0000-0100-000004000000}" name="KSH000" dataDxfId="1771"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621" displayName="Table621" ref="L7:P201" totalsRowCount="1" headerRowDxfId="1506" dataDxfId="1504" totalsRowDxfId="1502" headerRowBorderDxfId="1505" tableBorderDxfId="1503">
  <tableColumns count="5">
    <tableColumn id="1" xr3:uid="{00000000-0010-0000-1300-000001000000}" name="0" totalsRowLabel="Total" dataDxfId="1501" totalsRowDxfId="1500" dataCellStyle="Comma"/>
    <tableColumn id="2" xr3:uid="{00000000-0010-0000-1300-000002000000}" name="Sub-Accounts" dataDxfId="1499" totalsRowDxfId="1498"/>
    <tableColumn id="3" xr3:uid="{00000000-0010-0000-1300-000003000000}" name="Accounts Name" dataDxfId="1497" totalsRowDxfId="1496"/>
    <tableColumn id="4" xr3:uid="{00000000-0010-0000-1300-000004000000}" name="Debit" totalsRowFunction="sum" dataDxfId="1495" totalsRowDxfId="1494" dataCellStyle="Comma">
      <calculatedColumnFormula>IFERROR(SUMIF(Table419[,],Table621[[#This Row],[Accounts Name]],Table419[,3]),"")</calculatedColumnFormula>
    </tableColumn>
    <tableColumn id="5" xr3:uid="{00000000-0010-0000-1300-000005000000}" name="Credit" totalsRowFunction="sum" dataDxfId="1493" totalsRowDxfId="1492" dataCellStyle="Comma">
      <calculatedColumnFormula>IFERROR(SUMIF(Table419[,],Table621[[#This Row],[Accounts Name]],Table419[,2]),"")</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822" displayName="Table822" ref="S7:AH201" totalsRowCount="1" headerRowDxfId="1491" dataDxfId="1489" totalsRowDxfId="1487" headerRowBorderDxfId="1490" tableBorderDxfId="1488">
  <autoFilter ref="S7:AH200" xr:uid="{00000000-0009-0000-0100-000015000000}"/>
  <tableColumns count="16">
    <tableColumn id="1" xr3:uid="{00000000-0010-0000-1400-000001000000}" name="." totalsRowLabel="Total" dataDxfId="1486" totalsRowDxfId="1485" dataCellStyle="Comma">
      <calculatedColumnFormula>S7+1</calculatedColumnFormula>
    </tableColumn>
    <tableColumn id="2" xr3:uid="{00000000-0010-0000-1400-000002000000}" name="Classification" dataDxfId="1484" totalsRowDxfId="1483" dataCellStyle="Comma"/>
    <tableColumn id="3" xr3:uid="{00000000-0010-0000-1400-000003000000}" name="Update your chart of accounts here" dataDxfId="1482" totalsRowDxfId="1481"/>
    <tableColumn id="4" xr3:uid="{00000000-0010-0000-1400-000004000000}" name="Debit" totalsRowFunction="sum" dataDxfId="1480" totalsRowDxfId="1479" dataCellStyle="Comma">
      <calculatedColumnFormula>IFERROR(SUMIF(Table621[Sub-Accounts],Table822[[#This Row],[Update your chart of accounts here]],Table621[Debit]),"")</calculatedColumnFormula>
    </tableColumn>
    <tableColumn id="5" xr3:uid="{00000000-0010-0000-1400-000005000000}" name="Credit" totalsRowFunction="sum" dataDxfId="1478" totalsRowDxfId="1477" dataCellStyle="Comma">
      <calculatedColumnFormula>IFERROR(SUMIF(Table621[Sub-Accounts],Table822[[#This Row],[Update your chart of accounts here]],Table621[Credit]),"")</calculatedColumnFormula>
    </tableColumn>
    <tableColumn id="16" xr3:uid="{00000000-0010-0000-1400-000010000000}" name="Column2" dataDxfId="1476" totalsRowDxfId="1475" dataCellStyle="Comma"/>
    <tableColumn id="17" xr3:uid="{00000000-0010-0000-1400-000011000000}" name="JE" dataDxfId="1474" totalsRowDxfId="1473" dataCellStyle="Comma"/>
    <tableColumn id="10" xr3:uid="{00000000-0010-0000-1400-00000A000000}" name="Debit -" dataDxfId="1472" totalsRowDxfId="1471" dataCellStyle="Comma">
      <calculatedColumnFormula>SUM(Table822[[Debit ]])-SUM(Table822[Credit,])</calculatedColumnFormula>
    </tableColumn>
    <tableColumn id="11" xr3:uid="{00000000-0010-0000-1400-00000B000000}" name="Credit +" dataDxfId="1470" totalsRowDxfId="1469" dataCellStyle="Comma"/>
    <tableColumn id="12" xr3:uid="{00000000-0010-0000-1400-00000C000000}" name="Debit\" totalsRowFunction="sum" dataDxfId="1468" totalsRowDxfId="1467" dataCellStyle="Comma">
      <calculatedColumnFormula>MAX(Table822[[#This Row],[Debit]]+Table822[[#This Row],[Debit -]]-Table822[[#This Row],[Credit]]-Table822[[#This Row],[Credit +]],0)</calculatedColumnFormula>
    </tableColumn>
    <tableColumn id="13" xr3:uid="{00000000-0010-0000-1400-00000D000000}" name="Credit." totalsRowFunction="sum" dataDxfId="1466" totalsRowDxfId="1465" dataCellStyle="Comma">
      <calculatedColumnFormula>MAX(Table822[[#This Row],[Credit]]-Table822[[#This Row],[Debit]]+Table822[[#This Row],[Credit +]]-Table822[[#This Row],[Debit -]],0)</calculatedColumnFormula>
    </tableColumn>
    <tableColumn id="6" xr3:uid="{00000000-0010-0000-1400-000006000000}" name="Debit " totalsRowFunction="sum" dataDxfId="1464" totalsRowDxfId="1463" dataCellStyle="Comma">
      <calculatedColumnFormula>IFERROR(IF(AND(OR(Table822[[#This Row],[Classification]]="Expense",Table822[[#This Row],[Classification]]="Cost of Goods Sold"),Table822[[#This Row],[Debit\]]&gt;Table822[[#This Row],[Credit.]]),Table822[[#This Row],[Debit\]]-Table822[[#This Row],[Credit.]],""),"")</calculatedColumnFormula>
    </tableColumn>
    <tableColumn id="7" xr3:uid="{00000000-0010-0000-1400-000007000000}" name="Credit," totalsRowFunction="sum" dataDxfId="1462" totalsRowDxfId="1461" dataCellStyle="Comma">
      <calculatedColumnFormula>IFERROR(IF(AND(OR(Table822[[#This Row],[Classification]]="Income",Table822[[#This Row],[Classification]]="Cost of Goods Sold"),Table822[[#This Row],[Credit.]]&gt;Table822[[#This Row],[Debit\]]),Table822[[#This Row],[Credit.]]-Table822[[#This Row],[Debit\]],""),"")</calculatedColumnFormula>
    </tableColumn>
    <tableColumn id="14" xr3:uid="{00000000-0010-0000-1400-00000E000000}" name="Column1" dataDxfId="1460" totalsRowDxfId="1459" dataCellStyle="Comma"/>
    <tableColumn id="8" xr3:uid="{00000000-0010-0000-1400-000008000000}" name="Debit ." totalsRowFunction="sum" dataDxfId="1458" totalsRowDxfId="1457" dataCellStyle="Comma">
      <calculatedColumnFormula>IFERROR(IF(AND(Table822[[#This Row],[Classification]]="Assets",Table822[[#This Row],[Debit\]]-Table822[[#This Row],[Credit.]]),Table822[[#This Row],[Debit\]]-Table822[[#This Row],[Credit.]],""),"")</calculatedColumnFormula>
    </tableColumn>
    <tableColumn id="9" xr3:uid="{00000000-0010-0000-1400-000009000000}" name="Credit'" totalsRowFunction="sum" dataDxfId="1456" totalsRowDxfId="1455" dataCellStyle="Comma">
      <calculatedColumnFormula>IFERROR(IF(AND(OR(Table822[[#This Row],[Classification]]="Liabilities",Table822[[#This Row],[Classification]]="Owner´s Equity"),Table822[[#This Row],[Credit.]]&gt;Table822[[#This Row],[Debit\]]),Table822[[#This Row],[Credit.]]-Table822[[#This Row],[Debit\]],""),"")</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423" displayName="Table423" ref="B8:E201" totalsRowCount="1" headerRowDxfId="1454" dataDxfId="1453" totalsRowDxfId="1451" tableBorderDxfId="1452">
  <tableColumns count="4">
    <tableColumn id="1" xr3:uid="{00000000-0010-0000-1500-000001000000}" name="00-00-00" totalsRowLabel="Total" dataDxfId="1450" totalsRowDxfId="1449" dataCellStyle="Comma"/>
    <tableColumn id="2" xr3:uid="{00000000-0010-0000-1500-000002000000}" name="," dataDxfId="1448" totalsRowDxfId="1447"/>
    <tableColumn id="3" xr3:uid="{00000000-0010-0000-1500-000003000000}" name=",3" totalsRowFunction="sum" dataDxfId="1446" totalsRowDxfId="1445" dataCellStyle="Comma"/>
    <tableColumn id="4" xr3:uid="{00000000-0010-0000-1500-000004000000}" name=",2" totalsRowFunction="sum" dataDxfId="1444" totalsRowDxfId="1443" dataCellStyle="Comma"/>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524" displayName="Table524" ref="G8:J206" totalsRowShown="0" headerRowDxfId="1442" dataDxfId="1440" headerRowBorderDxfId="1441" tableBorderDxfId="1439" totalsRowBorderDxfId="1438">
  <tableColumns count="4">
    <tableColumn id="1" xr3:uid="{00000000-0010-0000-1600-000001000000}" name="J.ENTRIES" dataDxfId="1437" dataCellStyle="Comma"/>
    <tableColumn id="2" xr3:uid="{00000000-0010-0000-1600-000002000000}" name=",4" dataDxfId="1436"/>
    <tableColumn id="3" xr3:uid="{00000000-0010-0000-1600-000003000000}" name=",3" dataDxfId="1435" dataCellStyle="Comma"/>
    <tableColumn id="4" xr3:uid="{00000000-0010-0000-1600-000004000000}" name=",2" dataDxfId="1434" dataCellStyle="Comma"/>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625" displayName="Table625" ref="L7:P201" totalsRowCount="1" headerRowDxfId="1433" dataDxfId="1431" totalsRowDxfId="1429" headerRowBorderDxfId="1432" tableBorderDxfId="1430">
  <tableColumns count="5">
    <tableColumn id="1" xr3:uid="{00000000-0010-0000-1700-000001000000}" name="0" totalsRowLabel="Total" dataDxfId="1428" totalsRowDxfId="1427" dataCellStyle="Comma"/>
    <tableColumn id="2" xr3:uid="{00000000-0010-0000-1700-000002000000}" name="Sub-Accounts" dataDxfId="1426" totalsRowDxfId="1425"/>
    <tableColumn id="3" xr3:uid="{00000000-0010-0000-1700-000003000000}" name="Accounts Name" dataDxfId="1424" totalsRowDxfId="1423"/>
    <tableColumn id="4" xr3:uid="{00000000-0010-0000-1700-000004000000}" name="Debit" totalsRowFunction="sum" dataDxfId="1422" totalsRowDxfId="1421" dataCellStyle="Comma">
      <calculatedColumnFormula>IFERROR(SUMIF(Table423[,],Table625[[#This Row],[Accounts Name]],Table423[,3]),"")</calculatedColumnFormula>
    </tableColumn>
    <tableColumn id="5" xr3:uid="{00000000-0010-0000-1700-000005000000}" name="Credit" totalsRowFunction="sum" dataDxfId="1420" totalsRowDxfId="1419" dataCellStyle="Comma">
      <calculatedColumnFormula>IFERROR(SUMIF(Table423[,],Table625[[#This Row],[Accounts Name]],Table423[,2]),"")</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826" displayName="Table826" ref="S7:AH201" totalsRowCount="1" headerRowDxfId="1418" dataDxfId="1416" totalsRowDxfId="1414" headerRowBorderDxfId="1417" tableBorderDxfId="1415">
  <autoFilter ref="S7:AH200" xr:uid="{00000000-0009-0000-0100-000019000000}"/>
  <tableColumns count="16">
    <tableColumn id="1" xr3:uid="{00000000-0010-0000-1800-000001000000}" name="." totalsRowLabel="Total" dataDxfId="1413" totalsRowDxfId="1412" dataCellStyle="Comma">
      <calculatedColumnFormula>S7+1</calculatedColumnFormula>
    </tableColumn>
    <tableColumn id="2" xr3:uid="{00000000-0010-0000-1800-000002000000}" name="Classification" dataDxfId="1411" totalsRowDxfId="1410" dataCellStyle="Comma"/>
    <tableColumn id="3" xr3:uid="{00000000-0010-0000-1800-000003000000}" name="Update your chart of accounts here" dataDxfId="1409" totalsRowDxfId="1408"/>
    <tableColumn id="4" xr3:uid="{00000000-0010-0000-1800-000004000000}" name="Debit" totalsRowFunction="sum" dataDxfId="1407" totalsRowDxfId="1406" dataCellStyle="Comma">
      <calculatedColumnFormula>IFERROR(SUMIF(Table625[Sub-Accounts],Table826[[#This Row],[Update your chart of accounts here]],Table625[Debit]),"")</calculatedColumnFormula>
    </tableColumn>
    <tableColumn id="5" xr3:uid="{00000000-0010-0000-1800-000005000000}" name="Credit" totalsRowFunction="sum" dataDxfId="1405" totalsRowDxfId="1404" dataCellStyle="Comma">
      <calculatedColumnFormula>IFERROR(SUMIF(Table625[Sub-Accounts],Table826[[#This Row],[Update your chart of accounts here]],Table625[Credit]),"")</calculatedColumnFormula>
    </tableColumn>
    <tableColumn id="16" xr3:uid="{00000000-0010-0000-1800-000010000000}" name="Column2" dataDxfId="1403" totalsRowDxfId="1402" dataCellStyle="Comma"/>
    <tableColumn id="17" xr3:uid="{00000000-0010-0000-1800-000011000000}" name="JE" dataDxfId="1401" totalsRowDxfId="1400" dataCellStyle="Comma"/>
    <tableColumn id="10" xr3:uid="{00000000-0010-0000-1800-00000A000000}" name="Debit -" dataDxfId="1399" totalsRowDxfId="1398" dataCellStyle="Comma">
      <calculatedColumnFormula>SUM(Table826[[Debit ]])-SUM(Table826[Credit,])</calculatedColumnFormula>
    </tableColumn>
    <tableColumn id="11" xr3:uid="{00000000-0010-0000-1800-00000B000000}" name="Credit +" dataDxfId="1397" totalsRowDxfId="1396" dataCellStyle="Comma"/>
    <tableColumn id="12" xr3:uid="{00000000-0010-0000-1800-00000C000000}" name="Debit\" totalsRowFunction="sum" dataDxfId="1395" totalsRowDxfId="1394" dataCellStyle="Comma">
      <calculatedColumnFormula>MAX(Table826[[#This Row],[Debit]]+Table826[[#This Row],[Debit -]]-Table826[[#This Row],[Credit]]-Table826[[#This Row],[Credit +]],0)</calculatedColumnFormula>
    </tableColumn>
    <tableColumn id="13" xr3:uid="{00000000-0010-0000-1800-00000D000000}" name="Credit." totalsRowFunction="sum" dataDxfId="1393" totalsRowDxfId="1392" dataCellStyle="Comma">
      <calculatedColumnFormula>MAX(Table826[[#This Row],[Credit]]-Table826[[#This Row],[Debit]]+Table826[[#This Row],[Credit +]]-Table826[[#This Row],[Debit -]],0)</calculatedColumnFormula>
    </tableColumn>
    <tableColumn id="6" xr3:uid="{00000000-0010-0000-1800-000006000000}" name="Debit " totalsRowFunction="sum" dataDxfId="1391" totalsRowDxfId="1390" dataCellStyle="Comma">
      <calculatedColumnFormula>IFERROR(IF(AND(OR(Table826[[#This Row],[Classification]]="Expense",Table826[[#This Row],[Classification]]="Cost of Goods Sold"),Table826[[#This Row],[Debit\]]&gt;Table826[[#This Row],[Credit.]]),Table826[[#This Row],[Debit\]]-Table826[[#This Row],[Credit.]],""),"")</calculatedColumnFormula>
    </tableColumn>
    <tableColumn id="7" xr3:uid="{00000000-0010-0000-1800-000007000000}" name="Credit," totalsRowFunction="sum" dataDxfId="1389" totalsRowDxfId="1388" dataCellStyle="Comma">
      <calculatedColumnFormula>IFERROR(IF(AND(OR(Table826[[#This Row],[Classification]]="Income",Table826[[#This Row],[Classification]]="Cost of Goods Sold"),Table826[[#This Row],[Credit.]]&gt;Table826[[#This Row],[Debit\]]),Table826[[#This Row],[Credit.]]-Table826[[#This Row],[Debit\]],""),"")</calculatedColumnFormula>
    </tableColumn>
    <tableColumn id="14" xr3:uid="{00000000-0010-0000-1800-00000E000000}" name="Column1" dataDxfId="1387" totalsRowDxfId="1386" dataCellStyle="Comma"/>
    <tableColumn id="8" xr3:uid="{00000000-0010-0000-1800-000008000000}" name="Debit ." totalsRowFunction="sum" dataDxfId="1385" totalsRowDxfId="1384" dataCellStyle="Comma">
      <calculatedColumnFormula>IFERROR(IF(AND(Table826[[#This Row],[Classification]]="Assets",Table826[[#This Row],[Debit\]]-Table826[[#This Row],[Credit.]]),Table826[[#This Row],[Debit\]]-Table826[[#This Row],[Credit.]],""),"")</calculatedColumnFormula>
    </tableColumn>
    <tableColumn id="9" xr3:uid="{00000000-0010-0000-1800-000009000000}" name="Credit'" totalsRowFunction="sum" dataDxfId="1383" totalsRowDxfId="1382" dataCellStyle="Comma">
      <calculatedColumnFormula>IFERROR(IF(AND(OR(Table826[[#This Row],[Classification]]="Liabilities",Table826[[#This Row],[Classification]]="Owner´s Equity"),Table826[[#This Row],[Credit.]]&gt;Table826[[#This Row],[Debit\]]),Table826[[#This Row],[Credit.]]-Table826[[#This Row],[Debit\]],""),"")</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427" displayName="Table427" ref="B8:E201" totalsRowCount="1" headerRowDxfId="1381" dataDxfId="1380" totalsRowDxfId="1378" tableBorderDxfId="1379">
  <tableColumns count="4">
    <tableColumn id="1" xr3:uid="{00000000-0010-0000-1900-000001000000}" name="00-00-00" totalsRowLabel="Total" dataDxfId="1377" totalsRowDxfId="1376" dataCellStyle="Comma"/>
    <tableColumn id="2" xr3:uid="{00000000-0010-0000-1900-000002000000}" name="," dataDxfId="1375" totalsRowDxfId="1374"/>
    <tableColumn id="3" xr3:uid="{00000000-0010-0000-1900-000003000000}" name=",3" totalsRowFunction="sum" dataDxfId="1373" totalsRowDxfId="1372" dataCellStyle="Comma"/>
    <tableColumn id="4" xr3:uid="{00000000-0010-0000-1900-000004000000}" name=",2" totalsRowFunction="sum" dataDxfId="1371" totalsRowDxfId="1370" dataCellStyle="Comma"/>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528" displayName="Table528" ref="G8:J206" totalsRowShown="0" headerRowDxfId="1369" dataDxfId="1367" headerRowBorderDxfId="1368" tableBorderDxfId="1366" totalsRowBorderDxfId="1365">
  <tableColumns count="4">
    <tableColumn id="1" xr3:uid="{00000000-0010-0000-1A00-000001000000}" name="J.ENTRIES" dataDxfId="1364" dataCellStyle="Comma"/>
    <tableColumn id="2" xr3:uid="{00000000-0010-0000-1A00-000002000000}" name=",4" dataDxfId="1363"/>
    <tableColumn id="3" xr3:uid="{00000000-0010-0000-1A00-000003000000}" name=",3" dataDxfId="1362" dataCellStyle="Comma"/>
    <tableColumn id="4" xr3:uid="{00000000-0010-0000-1A00-000004000000}" name=",2" dataDxfId="1361" dataCellStyle="Comma"/>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629" displayName="Table629" ref="L7:P201" totalsRowCount="1" headerRowDxfId="1360" dataDxfId="1358" totalsRowDxfId="1356" headerRowBorderDxfId="1359" tableBorderDxfId="1357">
  <tableColumns count="5">
    <tableColumn id="1" xr3:uid="{00000000-0010-0000-1B00-000001000000}" name="0" totalsRowLabel="Total" dataDxfId="1355" totalsRowDxfId="1354" dataCellStyle="Comma"/>
    <tableColumn id="2" xr3:uid="{00000000-0010-0000-1B00-000002000000}" name="Sub-Accounts" dataDxfId="1353" totalsRowDxfId="1352"/>
    <tableColumn id="3" xr3:uid="{00000000-0010-0000-1B00-000003000000}" name="Accounts Name" dataDxfId="1351" totalsRowDxfId="1350"/>
    <tableColumn id="4" xr3:uid="{00000000-0010-0000-1B00-000004000000}" name="Debit" totalsRowFunction="sum" dataDxfId="1349" totalsRowDxfId="1348" dataCellStyle="Comma">
      <calculatedColumnFormula>IFERROR(SUMIF(Table427[,],Table629[[#This Row],[Accounts Name]],Table427[,3]),"")</calculatedColumnFormula>
    </tableColumn>
    <tableColumn id="5" xr3:uid="{00000000-0010-0000-1B00-000005000000}" name="Credit" totalsRowFunction="sum" dataDxfId="1347" totalsRowDxfId="1346" dataCellStyle="Comma">
      <calculatedColumnFormula>IFERROR(SUMIF(Table427[,],Table629[[#This Row],[Accounts Name]],Table427[,2]),"")</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830" displayName="Table830" ref="S7:AH201" totalsRowCount="1" headerRowDxfId="1345" dataDxfId="1343" totalsRowDxfId="1341" headerRowBorderDxfId="1344" tableBorderDxfId="1342">
  <autoFilter ref="S7:AH200" xr:uid="{00000000-0009-0000-0100-00001D000000}"/>
  <tableColumns count="16">
    <tableColumn id="1" xr3:uid="{00000000-0010-0000-1C00-000001000000}" name="." totalsRowLabel="Total" dataDxfId="1340" totalsRowDxfId="1339" dataCellStyle="Comma">
      <calculatedColumnFormula>S7+1</calculatedColumnFormula>
    </tableColumn>
    <tableColumn id="2" xr3:uid="{00000000-0010-0000-1C00-000002000000}" name="Classification" dataDxfId="1338" totalsRowDxfId="1337" dataCellStyle="Comma"/>
    <tableColumn id="3" xr3:uid="{00000000-0010-0000-1C00-000003000000}" name="Update your chart of accounts here" dataDxfId="1336" totalsRowDxfId="1335"/>
    <tableColumn id="4" xr3:uid="{00000000-0010-0000-1C00-000004000000}" name="Debit" totalsRowFunction="sum" dataDxfId="1334" totalsRowDxfId="1333" dataCellStyle="Comma">
      <calculatedColumnFormula>IFERROR(SUMIF(Table629[Sub-Accounts],Table830[[#This Row],[Update your chart of accounts here]],Table629[Debit]),"")</calculatedColumnFormula>
    </tableColumn>
    <tableColumn id="5" xr3:uid="{00000000-0010-0000-1C00-000005000000}" name="Credit" totalsRowFunction="sum" dataDxfId="1332" totalsRowDxfId="1331" dataCellStyle="Comma">
      <calculatedColumnFormula>IFERROR(SUMIF(Table629[Sub-Accounts],Table830[[#This Row],[Update your chart of accounts here]],Table629[Credit]),"")</calculatedColumnFormula>
    </tableColumn>
    <tableColumn id="16" xr3:uid="{00000000-0010-0000-1C00-000010000000}" name="Column2" dataDxfId="1330" totalsRowDxfId="1329" dataCellStyle="Comma"/>
    <tableColumn id="17" xr3:uid="{00000000-0010-0000-1C00-000011000000}" name="JE" dataDxfId="1328" totalsRowDxfId="1327" dataCellStyle="Comma"/>
    <tableColumn id="10" xr3:uid="{00000000-0010-0000-1C00-00000A000000}" name="Debit -" dataDxfId="1326" totalsRowDxfId="1325" dataCellStyle="Comma">
      <calculatedColumnFormula>SUM(Table830[[Debit ]])-SUM(Table830[Credit,])</calculatedColumnFormula>
    </tableColumn>
    <tableColumn id="11" xr3:uid="{00000000-0010-0000-1C00-00000B000000}" name="Credit +" dataDxfId="1324" totalsRowDxfId="1323" dataCellStyle="Comma"/>
    <tableColumn id="12" xr3:uid="{00000000-0010-0000-1C00-00000C000000}" name="Debit\" totalsRowFunction="sum" dataDxfId="1322" totalsRowDxfId="1321" dataCellStyle="Comma">
      <calculatedColumnFormula>MAX(Table830[[#This Row],[Debit]]+Table830[[#This Row],[Debit -]]-Table830[[#This Row],[Credit]]-Table830[[#This Row],[Credit +]],0)</calculatedColumnFormula>
    </tableColumn>
    <tableColumn id="13" xr3:uid="{00000000-0010-0000-1C00-00000D000000}" name="Credit." totalsRowFunction="sum" dataDxfId="1320" totalsRowDxfId="1319" dataCellStyle="Comma">
      <calculatedColumnFormula>MAX(Table830[[#This Row],[Credit]]-Table830[[#This Row],[Debit]]+Table830[[#This Row],[Credit +]]-Table830[[#This Row],[Debit -]],0)</calculatedColumnFormula>
    </tableColumn>
    <tableColumn id="6" xr3:uid="{00000000-0010-0000-1C00-000006000000}" name="Debit " totalsRowFunction="sum" dataDxfId="1318" totalsRowDxfId="1317" dataCellStyle="Comma">
      <calculatedColumnFormula>IFERROR(IF(AND(OR(Table830[[#This Row],[Classification]]="Expense",Table830[[#This Row],[Classification]]="Cost of Goods Sold"),Table830[[#This Row],[Debit\]]&gt;Table830[[#This Row],[Credit.]]),Table830[[#This Row],[Debit\]]-Table830[[#This Row],[Credit.]],""),"")</calculatedColumnFormula>
    </tableColumn>
    <tableColumn id="7" xr3:uid="{00000000-0010-0000-1C00-000007000000}" name="Credit," totalsRowFunction="sum" dataDxfId="1316" totalsRowDxfId="1315" dataCellStyle="Comma">
      <calculatedColumnFormula>IFERROR(IF(AND(OR(Table830[[#This Row],[Classification]]="Income",Table830[[#This Row],[Classification]]="Cost of Goods Sold"),Table830[[#This Row],[Credit.]]&gt;Table830[[#This Row],[Debit\]]),Table830[[#This Row],[Credit.]]-Table830[[#This Row],[Debit\]],""),"")</calculatedColumnFormula>
    </tableColumn>
    <tableColumn id="14" xr3:uid="{00000000-0010-0000-1C00-00000E000000}" name="Column1" dataDxfId="1314" totalsRowDxfId="1313" dataCellStyle="Comma"/>
    <tableColumn id="8" xr3:uid="{00000000-0010-0000-1C00-000008000000}" name="Debit ." totalsRowFunction="sum" dataDxfId="1312" totalsRowDxfId="1311" dataCellStyle="Comma">
      <calculatedColumnFormula>IFERROR(IF(AND(Table830[[#This Row],[Classification]]="Assets",Table830[[#This Row],[Debit\]]-Table830[[#This Row],[Credit.]]),Table830[[#This Row],[Debit\]]-Table830[[#This Row],[Credit.]],""),"")</calculatedColumnFormula>
    </tableColumn>
    <tableColumn id="9" xr3:uid="{00000000-0010-0000-1C00-000009000000}" name="Credit'" totalsRowFunction="sum" dataDxfId="1310" totalsRowDxfId="1309" dataCellStyle="Comma">
      <calculatedColumnFormula>IFERROR(IF(AND(OR(Table830[[#This Row],[Classification]]="Liabilities",Table830[[#This Row],[Classification]]="Owner´s Equity"),Table830[[#This Row],[Credit.]]&gt;Table830[[#This Row],[Debit\]]),Table830[[#This Row],[Credit.]]-Table830[[#This Row],[Debit\]],""),"")</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FSTM" displayName="CFSTM" ref="B3:F2000" totalsRowShown="0" headerRowDxfId="1770" dataDxfId="1768" headerRowBorderDxfId="1769" tableBorderDxfId="1767">
  <tableColumns count="5">
    <tableColumn id="1" xr3:uid="{00000000-0010-0000-0200-000001000000}" name="Year" dataDxfId="1766"/>
    <tableColumn id="2" xr3:uid="{00000000-0010-0000-0200-000002000000}" name="Main Accounts" dataDxfId="1765"/>
    <tableColumn id="3" xr3:uid="{00000000-0010-0000-0200-000003000000}" name="Sub Group" dataDxfId="1764"/>
    <tableColumn id="4" xr3:uid="{00000000-0010-0000-0200-000004000000}" name="Account Name" dataDxfId="1763"/>
    <tableColumn id="5" xr3:uid="{00000000-0010-0000-0200-000005000000}" name="Debit " dataDxfId="1762" dataCellStyle="Comma"/>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431" displayName="Table431" ref="B8:E201" totalsRowCount="1" headerRowDxfId="1308" dataDxfId="1307" totalsRowDxfId="1305" tableBorderDxfId="1306">
  <tableColumns count="4">
    <tableColumn id="1" xr3:uid="{00000000-0010-0000-1D00-000001000000}" name="00-00-00" totalsRowLabel="Total" dataDxfId="1304" totalsRowDxfId="1303" dataCellStyle="Comma"/>
    <tableColumn id="2" xr3:uid="{00000000-0010-0000-1D00-000002000000}" name="," dataDxfId="1302" totalsRowDxfId="1301"/>
    <tableColumn id="3" xr3:uid="{00000000-0010-0000-1D00-000003000000}" name=",3" totalsRowFunction="sum" dataDxfId="1300" totalsRowDxfId="1299" dataCellStyle="Comma"/>
    <tableColumn id="4" xr3:uid="{00000000-0010-0000-1D00-000004000000}" name=",2" totalsRowFunction="sum" dataDxfId="1298" totalsRowDxfId="1297" dataCellStyle="Comma"/>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532" displayName="Table532" ref="G8:J206" totalsRowShown="0" headerRowDxfId="1296" dataDxfId="1294" headerRowBorderDxfId="1295" tableBorderDxfId="1293" totalsRowBorderDxfId="1292">
  <tableColumns count="4">
    <tableColumn id="1" xr3:uid="{00000000-0010-0000-1E00-000001000000}" name="J.ENTRIES" dataDxfId="1291" dataCellStyle="Comma"/>
    <tableColumn id="2" xr3:uid="{00000000-0010-0000-1E00-000002000000}" name=",4" dataDxfId="1290"/>
    <tableColumn id="3" xr3:uid="{00000000-0010-0000-1E00-000003000000}" name=",3" dataDxfId="1289" dataCellStyle="Comma"/>
    <tableColumn id="4" xr3:uid="{00000000-0010-0000-1E00-000004000000}" name=",2" dataDxfId="1288"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633" displayName="Table633" ref="L7:P201" totalsRowCount="1" headerRowDxfId="1287" dataDxfId="1285" totalsRowDxfId="1283" headerRowBorderDxfId="1286" tableBorderDxfId="1284">
  <tableColumns count="5">
    <tableColumn id="1" xr3:uid="{00000000-0010-0000-1F00-000001000000}" name="0" totalsRowLabel="Total" dataDxfId="1282" totalsRowDxfId="1281" dataCellStyle="Comma"/>
    <tableColumn id="2" xr3:uid="{00000000-0010-0000-1F00-000002000000}" name="Sub-Accounts" dataDxfId="1280" totalsRowDxfId="1279"/>
    <tableColumn id="3" xr3:uid="{00000000-0010-0000-1F00-000003000000}" name="Accounts Name" dataDxfId="1278" totalsRowDxfId="1277"/>
    <tableColumn id="4" xr3:uid="{00000000-0010-0000-1F00-000004000000}" name="Debit" totalsRowFunction="sum" dataDxfId="1276" totalsRowDxfId="1275" dataCellStyle="Comma">
      <calculatedColumnFormula>IFERROR(SUMIF(Table431[,],Table633[[#This Row],[Accounts Name]],Table431[,3]),"")</calculatedColumnFormula>
    </tableColumn>
    <tableColumn id="5" xr3:uid="{00000000-0010-0000-1F00-000005000000}" name="Credit" totalsRowFunction="sum" dataDxfId="1274" totalsRowDxfId="1273" dataCellStyle="Comma">
      <calculatedColumnFormula>IFERROR(SUMIF(Table431[,],Table633[[#This Row],[Accounts Name]],Table431[,2]),"")</calculatedColumnFormula>
    </tableColumn>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834" displayName="Table834" ref="S7:AH201" totalsRowCount="1" headerRowDxfId="1272" dataDxfId="1270" totalsRowDxfId="1268" headerRowBorderDxfId="1271" tableBorderDxfId="1269">
  <autoFilter ref="S7:AH200" xr:uid="{00000000-0009-0000-0100-000021000000}"/>
  <tableColumns count="16">
    <tableColumn id="1" xr3:uid="{00000000-0010-0000-2000-000001000000}" name="." totalsRowLabel="Total" dataDxfId="1267" totalsRowDxfId="1266" dataCellStyle="Comma">
      <calculatedColumnFormula>S7+1</calculatedColumnFormula>
    </tableColumn>
    <tableColumn id="2" xr3:uid="{00000000-0010-0000-2000-000002000000}" name="Classification" dataDxfId="1265" totalsRowDxfId="1264" dataCellStyle="Comma"/>
    <tableColumn id="3" xr3:uid="{00000000-0010-0000-2000-000003000000}" name="Update your chart of accounts here" dataDxfId="1263" totalsRowDxfId="1262"/>
    <tableColumn id="4" xr3:uid="{00000000-0010-0000-2000-000004000000}" name="Debit" totalsRowFunction="sum" dataDxfId="1261" totalsRowDxfId="1260" dataCellStyle="Comma">
      <calculatedColumnFormula>IFERROR(SUMIF(Table633[Sub-Accounts],Table834[[#This Row],[Update your chart of accounts here]],Table633[Debit]),"")</calculatedColumnFormula>
    </tableColumn>
    <tableColumn id="5" xr3:uid="{00000000-0010-0000-2000-000005000000}" name="Credit" totalsRowFunction="sum" dataDxfId="1259" totalsRowDxfId="1258" dataCellStyle="Comma">
      <calculatedColumnFormula>IFERROR(SUMIF(Table633[Sub-Accounts],Table834[[#This Row],[Update your chart of accounts here]],Table633[Credit]),"")</calculatedColumnFormula>
    </tableColumn>
    <tableColumn id="16" xr3:uid="{00000000-0010-0000-2000-000010000000}" name="Column2" dataDxfId="1257" totalsRowDxfId="1256" dataCellStyle="Comma"/>
    <tableColumn id="17" xr3:uid="{00000000-0010-0000-2000-000011000000}" name="JE" dataDxfId="1255" totalsRowDxfId="1254" dataCellStyle="Comma"/>
    <tableColumn id="10" xr3:uid="{00000000-0010-0000-2000-00000A000000}" name="Debit -" dataDxfId="1253" totalsRowDxfId="1252" dataCellStyle="Comma">
      <calculatedColumnFormula>SUM(Table834[[Debit ]])-SUM(Table834[Credit,])</calculatedColumnFormula>
    </tableColumn>
    <tableColumn id="11" xr3:uid="{00000000-0010-0000-2000-00000B000000}" name="Credit +" dataDxfId="1251" totalsRowDxfId="1250" dataCellStyle="Comma"/>
    <tableColumn id="12" xr3:uid="{00000000-0010-0000-2000-00000C000000}" name="Debit\" totalsRowFunction="sum" dataDxfId="1249" totalsRowDxfId="1248" dataCellStyle="Comma">
      <calculatedColumnFormula>MAX(Table834[[#This Row],[Debit]]+Table834[[#This Row],[Debit -]]-Table834[[#This Row],[Credit]]-Table834[[#This Row],[Credit +]],0)</calculatedColumnFormula>
    </tableColumn>
    <tableColumn id="13" xr3:uid="{00000000-0010-0000-2000-00000D000000}" name="Credit." totalsRowFunction="sum" dataDxfId="1247" totalsRowDxfId="1246" dataCellStyle="Comma">
      <calculatedColumnFormula>MAX(Table834[[#This Row],[Credit]]-Table834[[#This Row],[Debit]]+Table834[[#This Row],[Credit +]]-Table834[[#This Row],[Debit -]],0)</calculatedColumnFormula>
    </tableColumn>
    <tableColumn id="6" xr3:uid="{00000000-0010-0000-2000-000006000000}" name="Debit " totalsRowFunction="sum" dataDxfId="1245" totalsRowDxfId="1244" dataCellStyle="Comma">
      <calculatedColumnFormula>IFERROR(IF(AND(OR(Table834[[#This Row],[Classification]]="Expense",Table834[[#This Row],[Classification]]="Cost of Goods Sold"),Table834[[#This Row],[Debit\]]&gt;Table834[[#This Row],[Credit.]]),Table834[[#This Row],[Debit\]]-Table834[[#This Row],[Credit.]],""),"")</calculatedColumnFormula>
    </tableColumn>
    <tableColumn id="7" xr3:uid="{00000000-0010-0000-2000-000007000000}" name="Credit," totalsRowFunction="sum" dataDxfId="1243" totalsRowDxfId="1242" dataCellStyle="Comma">
      <calculatedColumnFormula>IFERROR(IF(AND(OR(Table834[[#This Row],[Classification]]="Income",Table834[[#This Row],[Classification]]="Cost of Goods Sold"),Table834[[#This Row],[Credit.]]&gt;Table834[[#This Row],[Debit\]]),Table834[[#This Row],[Credit.]]-Table834[[#This Row],[Debit\]],""),"")</calculatedColumnFormula>
    </tableColumn>
    <tableColumn id="14" xr3:uid="{00000000-0010-0000-2000-00000E000000}" name="Column1" dataDxfId="1241" totalsRowDxfId="1240" dataCellStyle="Comma"/>
    <tableColumn id="8" xr3:uid="{00000000-0010-0000-2000-000008000000}" name="Debit ." totalsRowFunction="sum" dataDxfId="1239" totalsRowDxfId="1238" dataCellStyle="Comma">
      <calculatedColumnFormula>IFERROR(IF(AND(Table834[[#This Row],[Classification]]="Assets",Table834[[#This Row],[Debit\]]-Table834[[#This Row],[Credit.]]),Table834[[#This Row],[Debit\]]-Table834[[#This Row],[Credit.]],""),"")</calculatedColumnFormula>
    </tableColumn>
    <tableColumn id="9" xr3:uid="{00000000-0010-0000-2000-000009000000}" name="Credit'" totalsRowFunction="sum" dataDxfId="1237" totalsRowDxfId="1236" dataCellStyle="Comma">
      <calculatedColumnFormula>IFERROR(IF(AND(OR(Table834[[#This Row],[Classification]]="Liabilities",Table834[[#This Row],[Classification]]="Owner´s Equity"),Table834[[#This Row],[Credit.]]&gt;Table834[[#This Row],[Debit\]]),Table834[[#This Row],[Credit.]]-Table834[[#This Row],[Debit\]],""),"")</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435" displayName="Table435" ref="B8:E201" totalsRowCount="1" headerRowDxfId="1235" dataDxfId="1234" totalsRowDxfId="1232" tableBorderDxfId="1233">
  <tableColumns count="4">
    <tableColumn id="1" xr3:uid="{00000000-0010-0000-2100-000001000000}" name="00-00-00" totalsRowLabel="Total" dataDxfId="1231" totalsRowDxfId="1230" dataCellStyle="Comma"/>
    <tableColumn id="2" xr3:uid="{00000000-0010-0000-2100-000002000000}" name="," dataDxfId="1229" totalsRowDxfId="1228"/>
    <tableColumn id="3" xr3:uid="{00000000-0010-0000-2100-000003000000}" name=",3" totalsRowFunction="sum" dataDxfId="1227" totalsRowDxfId="1226" dataCellStyle="Comma"/>
    <tableColumn id="4" xr3:uid="{00000000-0010-0000-2100-000004000000}" name=",2" totalsRowFunction="sum" dataDxfId="1225" totalsRowDxfId="1224" dataCellStyle="Comma"/>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536" displayName="Table536" ref="G8:J206" totalsRowShown="0" headerRowDxfId="1223" dataDxfId="1221" headerRowBorderDxfId="1222" tableBorderDxfId="1220" totalsRowBorderDxfId="1219">
  <tableColumns count="4">
    <tableColumn id="1" xr3:uid="{00000000-0010-0000-2200-000001000000}" name="J.ENTRIES" dataDxfId="1218" dataCellStyle="Comma"/>
    <tableColumn id="2" xr3:uid="{00000000-0010-0000-2200-000002000000}" name=",4" dataDxfId="1217"/>
    <tableColumn id="3" xr3:uid="{00000000-0010-0000-2200-000003000000}" name=",3" dataDxfId="1216" dataCellStyle="Comma"/>
    <tableColumn id="4" xr3:uid="{00000000-0010-0000-2200-000004000000}" name=",2" dataDxfId="1215" dataCellStyle="Comma"/>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637" displayName="Table637" ref="L7:P201" totalsRowCount="1" headerRowDxfId="1214" dataDxfId="1212" totalsRowDxfId="1210" headerRowBorderDxfId="1213" tableBorderDxfId="1211">
  <tableColumns count="5">
    <tableColumn id="1" xr3:uid="{00000000-0010-0000-2300-000001000000}" name="0" totalsRowLabel="Total" dataDxfId="1209" totalsRowDxfId="1208" dataCellStyle="Comma"/>
    <tableColumn id="2" xr3:uid="{00000000-0010-0000-2300-000002000000}" name="Sub-Accounts" dataDxfId="1207" totalsRowDxfId="1206"/>
    <tableColumn id="3" xr3:uid="{00000000-0010-0000-2300-000003000000}" name="Accounts Name" dataDxfId="1205" totalsRowDxfId="1204"/>
    <tableColumn id="4" xr3:uid="{00000000-0010-0000-2300-000004000000}" name="Debit" totalsRowFunction="sum" dataDxfId="1203" totalsRowDxfId="1202" dataCellStyle="Comma">
      <calculatedColumnFormula>IFERROR(SUMIF(Table435[,],Table637[[#This Row],[Accounts Name]],Table435[,3]),"")</calculatedColumnFormula>
    </tableColumn>
    <tableColumn id="5" xr3:uid="{00000000-0010-0000-2300-000005000000}" name="Credit" totalsRowFunction="sum" dataDxfId="1201" totalsRowDxfId="1200" dataCellStyle="Comma">
      <calculatedColumnFormula>IFERROR(SUMIF(Table435[,],Table637[[#This Row],[Accounts Name]],Table435[,2]),"")</calculatedColumnFormula>
    </tableColumn>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838" displayName="Table838" ref="S7:AH201" totalsRowCount="1" headerRowDxfId="1199" dataDxfId="1197" totalsRowDxfId="1195" headerRowBorderDxfId="1198" tableBorderDxfId="1196">
  <autoFilter ref="S7:AH200" xr:uid="{00000000-0009-0000-0100-000025000000}"/>
  <tableColumns count="16">
    <tableColumn id="1" xr3:uid="{00000000-0010-0000-2400-000001000000}" name="." totalsRowLabel="Total" dataDxfId="1194" totalsRowDxfId="1193" dataCellStyle="Comma">
      <calculatedColumnFormula>S7+1</calculatedColumnFormula>
    </tableColumn>
    <tableColumn id="2" xr3:uid="{00000000-0010-0000-2400-000002000000}" name="Classification" dataDxfId="1192" totalsRowDxfId="1191" dataCellStyle="Comma"/>
    <tableColumn id="3" xr3:uid="{00000000-0010-0000-2400-000003000000}" name="Update your chart of accounts here" dataDxfId="1190" totalsRowDxfId="1189"/>
    <tableColumn id="4" xr3:uid="{00000000-0010-0000-2400-000004000000}" name="Debit" totalsRowFunction="sum" dataDxfId="1188" totalsRowDxfId="1187" dataCellStyle="Comma">
      <calculatedColumnFormula>IFERROR(SUMIF(Table637[Sub-Accounts],Table838[[#This Row],[Update your chart of accounts here]],Table637[Debit]),"")</calculatedColumnFormula>
    </tableColumn>
    <tableColumn id="5" xr3:uid="{00000000-0010-0000-2400-000005000000}" name="Credit" totalsRowFunction="sum" dataDxfId="1186" totalsRowDxfId="1185" dataCellStyle="Comma">
      <calculatedColumnFormula>IFERROR(SUMIF(Table637[Sub-Accounts],Table838[[#This Row],[Update your chart of accounts here]],Table637[Credit]),"")</calculatedColumnFormula>
    </tableColumn>
    <tableColumn id="16" xr3:uid="{00000000-0010-0000-2400-000010000000}" name="Column2" dataDxfId="1184" totalsRowDxfId="1183" dataCellStyle="Comma"/>
    <tableColumn id="17" xr3:uid="{00000000-0010-0000-2400-000011000000}" name="JE" dataDxfId="1182" totalsRowDxfId="1181" dataCellStyle="Comma"/>
    <tableColumn id="10" xr3:uid="{00000000-0010-0000-2400-00000A000000}" name="Debit -" dataDxfId="1180" totalsRowDxfId="1179" dataCellStyle="Comma">
      <calculatedColumnFormula>SUM(Table838[[Debit ]])-SUM(Table838[Credit,])</calculatedColumnFormula>
    </tableColumn>
    <tableColumn id="11" xr3:uid="{00000000-0010-0000-2400-00000B000000}" name="Credit +" dataDxfId="1178" totalsRowDxfId="1177" dataCellStyle="Comma"/>
    <tableColumn id="12" xr3:uid="{00000000-0010-0000-2400-00000C000000}" name="Debit\" totalsRowFunction="sum" dataDxfId="1176" totalsRowDxfId="1175" dataCellStyle="Comma">
      <calculatedColumnFormula>MAX(Table838[[#This Row],[Debit]]+Table838[[#This Row],[Debit -]]-Table838[[#This Row],[Credit]]-Table838[[#This Row],[Credit +]],0)</calculatedColumnFormula>
    </tableColumn>
    <tableColumn id="13" xr3:uid="{00000000-0010-0000-2400-00000D000000}" name="Credit." totalsRowFunction="sum" dataDxfId="1174" totalsRowDxfId="1173" dataCellStyle="Comma">
      <calculatedColumnFormula>MAX(Table838[[#This Row],[Credit]]-Table838[[#This Row],[Debit]]+Table838[[#This Row],[Credit +]]-Table838[[#This Row],[Debit -]],0)</calculatedColumnFormula>
    </tableColumn>
    <tableColumn id="6" xr3:uid="{00000000-0010-0000-2400-000006000000}" name="Debit " totalsRowFunction="sum" dataDxfId="1172" totalsRowDxfId="1171" dataCellStyle="Comma">
      <calculatedColumnFormula>IFERROR(IF(AND(OR(Table838[[#This Row],[Classification]]="Expense",Table838[[#This Row],[Classification]]="Cost of Goods Sold"),Table838[[#This Row],[Debit\]]&gt;Table838[[#This Row],[Credit.]]),Table838[[#This Row],[Debit\]]-Table838[[#This Row],[Credit.]],""),"")</calculatedColumnFormula>
    </tableColumn>
    <tableColumn id="7" xr3:uid="{00000000-0010-0000-2400-000007000000}" name="Credit," totalsRowFunction="sum" dataDxfId="1170" totalsRowDxfId="1169" dataCellStyle="Comma">
      <calculatedColumnFormula>IFERROR(IF(AND(OR(Table838[[#This Row],[Classification]]="Income",Table838[[#This Row],[Classification]]="Cost of Goods Sold"),Table838[[#This Row],[Credit.]]&gt;Table838[[#This Row],[Debit\]]),Table838[[#This Row],[Credit.]]-Table838[[#This Row],[Debit\]],""),"")</calculatedColumnFormula>
    </tableColumn>
    <tableColumn id="14" xr3:uid="{00000000-0010-0000-2400-00000E000000}" name="Column1" dataDxfId="1168" totalsRowDxfId="1167" dataCellStyle="Comma"/>
    <tableColumn id="8" xr3:uid="{00000000-0010-0000-2400-000008000000}" name="Debit ." totalsRowFunction="sum" dataDxfId="1166" totalsRowDxfId="1165" dataCellStyle="Comma">
      <calculatedColumnFormula>IFERROR(IF(AND(Table838[[#This Row],[Classification]]="Assets",Table838[[#This Row],[Debit\]]-Table838[[#This Row],[Credit.]]),Table838[[#This Row],[Debit\]]-Table838[[#This Row],[Credit.]],""),"")</calculatedColumnFormula>
    </tableColumn>
    <tableColumn id="9" xr3:uid="{00000000-0010-0000-2400-000009000000}" name="Credit'" totalsRowFunction="sum" dataDxfId="1164" totalsRowDxfId="1163" dataCellStyle="Comma">
      <calculatedColumnFormula>IFERROR(IF(AND(OR(Table838[[#This Row],[Classification]]="Liabilities",Table838[[#This Row],[Classification]]="Owner´s Equity"),Table838[[#This Row],[Credit.]]&gt;Table838[[#This Row],[Debit\]]),Table838[[#This Row],[Credit.]]-Table838[[#This Row],[Debit\]],""),"")</calculatedColumnFormula>
    </tableColumn>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439" displayName="Table439" ref="B8:E201" totalsRowCount="1" headerRowDxfId="1162" dataDxfId="1161" totalsRowDxfId="1159" tableBorderDxfId="1160">
  <tableColumns count="4">
    <tableColumn id="1" xr3:uid="{00000000-0010-0000-2500-000001000000}" name="00-00-00" totalsRowLabel="Total" dataDxfId="1158" totalsRowDxfId="1157" dataCellStyle="Comma"/>
    <tableColumn id="2" xr3:uid="{00000000-0010-0000-2500-000002000000}" name="," dataDxfId="1156" totalsRowDxfId="1155"/>
    <tableColumn id="3" xr3:uid="{00000000-0010-0000-2500-000003000000}" name=",3" totalsRowFunction="sum" dataDxfId="1154" totalsRowDxfId="1153" dataCellStyle="Comma"/>
    <tableColumn id="4" xr3:uid="{00000000-0010-0000-2500-000004000000}" name=",2" totalsRowFunction="sum" dataDxfId="1152" totalsRowDxfId="1151" dataCellStyle="Comma"/>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540" displayName="Table540" ref="G8:J206" totalsRowShown="0" headerRowDxfId="1150" dataDxfId="1148" headerRowBorderDxfId="1149" tableBorderDxfId="1147" totalsRowBorderDxfId="1146">
  <tableColumns count="4">
    <tableColumn id="1" xr3:uid="{00000000-0010-0000-2600-000001000000}" name="J.ENTRIES" dataDxfId="1145" dataCellStyle="Comma"/>
    <tableColumn id="2" xr3:uid="{00000000-0010-0000-2600-000002000000}" name=",4" dataDxfId="1144"/>
    <tableColumn id="3" xr3:uid="{00000000-0010-0000-2600-000003000000}" name=",3" dataDxfId="1143" dataCellStyle="Comma"/>
    <tableColumn id="4" xr3:uid="{00000000-0010-0000-2600-000004000000}" name=",2" dataDxfId="1142"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710" displayName="Table710" ref="B5:F2000" totalsRowShown="0" headerRowDxfId="1761" headerRowBorderDxfId="1760" totalsRowBorderDxfId="1759">
  <tableColumns count="5">
    <tableColumn id="1" xr3:uid="{00000000-0010-0000-0300-000001000000}" name="Year" dataDxfId="1758"/>
    <tableColumn id="2" xr3:uid="{00000000-0010-0000-0300-000002000000}" name="Accounts" dataDxfId="1757"/>
    <tableColumn id="3" xr3:uid="{00000000-0010-0000-0300-000003000000}" name="Sub-Accounts" dataDxfId="1756"/>
    <tableColumn id="4" xr3:uid="{00000000-0010-0000-0300-000004000000}" name="Description" dataDxfId="1755"/>
    <tableColumn id="5" xr3:uid="{00000000-0010-0000-0300-000005000000}" name="Amount" dataDxfId="1754" dataCellStyle="Comma"/>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641" displayName="Table641" ref="L7:P201" totalsRowCount="1" headerRowDxfId="1141" dataDxfId="1139" totalsRowDxfId="1137" headerRowBorderDxfId="1140" tableBorderDxfId="1138">
  <tableColumns count="5">
    <tableColumn id="1" xr3:uid="{00000000-0010-0000-2700-000001000000}" name="0" totalsRowLabel="Total" dataDxfId="1136" totalsRowDxfId="1135" dataCellStyle="Comma"/>
    <tableColumn id="2" xr3:uid="{00000000-0010-0000-2700-000002000000}" name="Sub-Accounts" dataDxfId="1134" totalsRowDxfId="1133"/>
    <tableColumn id="3" xr3:uid="{00000000-0010-0000-2700-000003000000}" name="Accounts Name" dataDxfId="1132" totalsRowDxfId="1131"/>
    <tableColumn id="4" xr3:uid="{00000000-0010-0000-2700-000004000000}" name="Debit" totalsRowFunction="sum" dataDxfId="1130" totalsRowDxfId="1129" dataCellStyle="Comma">
      <calculatedColumnFormula>IFERROR(SUMIF(Table439[,],Table641[[#This Row],[Accounts Name]],Table439[,3]),"")</calculatedColumnFormula>
    </tableColumn>
    <tableColumn id="5" xr3:uid="{00000000-0010-0000-2700-000005000000}" name="Credit" totalsRowFunction="sum" dataDxfId="1128" totalsRowDxfId="1127" dataCellStyle="Comma">
      <calculatedColumnFormula>IFERROR(SUMIF(Table439[,],Table641[[#This Row],[Accounts Name]],Table439[,2]),"")</calculatedColumnFormula>
    </tableColumn>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842" displayName="Table842" ref="S7:AH201" totalsRowCount="1" headerRowDxfId="1126" dataDxfId="1124" totalsRowDxfId="1122" headerRowBorderDxfId="1125" tableBorderDxfId="1123">
  <autoFilter ref="S7:AH200" xr:uid="{00000000-0009-0000-0100-000029000000}"/>
  <tableColumns count="16">
    <tableColumn id="1" xr3:uid="{00000000-0010-0000-2800-000001000000}" name="." totalsRowLabel="Total" dataDxfId="1121" totalsRowDxfId="1120" dataCellStyle="Comma">
      <calculatedColumnFormula>S7+1</calculatedColumnFormula>
    </tableColumn>
    <tableColumn id="2" xr3:uid="{00000000-0010-0000-2800-000002000000}" name="Classification" dataDxfId="1119" totalsRowDxfId="1118" dataCellStyle="Comma"/>
    <tableColumn id="3" xr3:uid="{00000000-0010-0000-2800-000003000000}" name="Update your chart of accounts here" dataDxfId="1117" totalsRowDxfId="1116"/>
    <tableColumn id="4" xr3:uid="{00000000-0010-0000-2800-000004000000}" name="Debit" totalsRowFunction="sum" dataDxfId="1115" totalsRowDxfId="1114" dataCellStyle="Comma">
      <calculatedColumnFormula>IFERROR(SUMIF(Table641[Sub-Accounts],Table842[[#This Row],[Update your chart of accounts here]],Table641[Debit]),"")</calculatedColumnFormula>
    </tableColumn>
    <tableColumn id="5" xr3:uid="{00000000-0010-0000-2800-000005000000}" name="Credit" totalsRowFunction="sum" dataDxfId="1113" totalsRowDxfId="1112" dataCellStyle="Comma">
      <calculatedColumnFormula>IFERROR(SUMIF(Table641[Sub-Accounts],Table842[[#This Row],[Update your chart of accounts here]],Table641[Credit]),"")</calculatedColumnFormula>
    </tableColumn>
    <tableColumn id="16" xr3:uid="{00000000-0010-0000-2800-000010000000}" name="Column2" dataDxfId="1111" totalsRowDxfId="1110" dataCellStyle="Comma"/>
    <tableColumn id="17" xr3:uid="{00000000-0010-0000-2800-000011000000}" name="JE" dataDxfId="1109" totalsRowDxfId="1108" dataCellStyle="Comma"/>
    <tableColumn id="10" xr3:uid="{00000000-0010-0000-2800-00000A000000}" name="Debit -" dataDxfId="1107" totalsRowDxfId="1106" dataCellStyle="Comma">
      <calculatedColumnFormula>SUM(Table842[[Debit ]])-SUM(Table842[Credit,])</calculatedColumnFormula>
    </tableColumn>
    <tableColumn id="11" xr3:uid="{00000000-0010-0000-2800-00000B000000}" name="Credit +" dataDxfId="1105" totalsRowDxfId="1104" dataCellStyle="Comma"/>
    <tableColumn id="12" xr3:uid="{00000000-0010-0000-2800-00000C000000}" name="Debit\" totalsRowFunction="sum" dataDxfId="1103" totalsRowDxfId="1102" dataCellStyle="Comma">
      <calculatedColumnFormula>MAX(Table842[[#This Row],[Debit]]+Table842[[#This Row],[Debit -]]-Table842[[#This Row],[Credit]]-Table842[[#This Row],[Credit +]],0)</calculatedColumnFormula>
    </tableColumn>
    <tableColumn id="13" xr3:uid="{00000000-0010-0000-2800-00000D000000}" name="Credit." totalsRowFunction="sum" dataDxfId="1101" totalsRowDxfId="1100" dataCellStyle="Comma">
      <calculatedColumnFormula>MAX(Table842[[#This Row],[Credit]]-Table842[[#This Row],[Debit]]+Table842[[#This Row],[Credit +]]-Table842[[#This Row],[Debit -]],0)</calculatedColumnFormula>
    </tableColumn>
    <tableColumn id="6" xr3:uid="{00000000-0010-0000-2800-000006000000}" name="Debit " totalsRowFunction="sum" dataDxfId="1099" totalsRowDxfId="1098" dataCellStyle="Comma">
      <calculatedColumnFormula>IFERROR(IF(AND(OR(Table842[[#This Row],[Classification]]="Expense",Table842[[#This Row],[Classification]]="Cost of Goods Sold"),Table842[[#This Row],[Debit\]]&gt;Table842[[#This Row],[Credit.]]),Table842[[#This Row],[Debit\]]-Table842[[#This Row],[Credit.]],""),"")</calculatedColumnFormula>
    </tableColumn>
    <tableColumn id="7" xr3:uid="{00000000-0010-0000-2800-000007000000}" name="Credit," totalsRowFunction="sum" dataDxfId="1097" totalsRowDxfId="1096" dataCellStyle="Comma">
      <calculatedColumnFormula>IFERROR(IF(AND(OR(Table842[[#This Row],[Classification]]="Income",Table842[[#This Row],[Classification]]="Cost of Goods Sold"),Table842[[#This Row],[Credit.]]&gt;Table842[[#This Row],[Debit\]]),Table842[[#This Row],[Credit.]]-Table842[[#This Row],[Debit\]],""),"")</calculatedColumnFormula>
    </tableColumn>
    <tableColumn id="14" xr3:uid="{00000000-0010-0000-2800-00000E000000}" name="Column1" dataDxfId="1095" totalsRowDxfId="1094" dataCellStyle="Comma"/>
    <tableColumn id="8" xr3:uid="{00000000-0010-0000-2800-000008000000}" name="Debit ." totalsRowFunction="sum" dataDxfId="1093" totalsRowDxfId="1092" dataCellStyle="Comma">
      <calculatedColumnFormula>IFERROR(IF(AND(Table842[[#This Row],[Classification]]="Assets",Table842[[#This Row],[Debit\]]-Table842[[#This Row],[Credit.]]),Table842[[#This Row],[Debit\]]-Table842[[#This Row],[Credit.]],""),"")</calculatedColumnFormula>
    </tableColumn>
    <tableColumn id="9" xr3:uid="{00000000-0010-0000-2800-000009000000}" name="Credit'" totalsRowFunction="sum" dataDxfId="1091" totalsRowDxfId="1090" dataCellStyle="Comma">
      <calculatedColumnFormula>IFERROR(IF(AND(OR(Table842[[#This Row],[Classification]]="Liabilities",Table842[[#This Row],[Classification]]="Owner´s Equity"),Table842[[#This Row],[Credit.]]&gt;Table842[[#This Row],[Debit\]]),Table842[[#This Row],[Credit.]]-Table842[[#This Row],[Debit\]],""),"")</calculatedColumnFormula>
    </tableColumn>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443" displayName="Table443" ref="B8:E201" totalsRowCount="1" headerRowDxfId="1089" dataDxfId="1088" totalsRowDxfId="1086" tableBorderDxfId="1087">
  <tableColumns count="4">
    <tableColumn id="1" xr3:uid="{00000000-0010-0000-2900-000001000000}" name="00-00-00" totalsRowLabel="Total" dataDxfId="1085" totalsRowDxfId="1084" dataCellStyle="Comma"/>
    <tableColumn id="2" xr3:uid="{00000000-0010-0000-2900-000002000000}" name="," dataDxfId="1083" totalsRowDxfId="1082"/>
    <tableColumn id="3" xr3:uid="{00000000-0010-0000-2900-000003000000}" name=",3" totalsRowFunction="sum" dataDxfId="1081" totalsRowDxfId="1080" dataCellStyle="Comma"/>
    <tableColumn id="4" xr3:uid="{00000000-0010-0000-2900-000004000000}" name=",2" totalsRowFunction="sum" dataDxfId="1079" totalsRowDxfId="1078" dataCellStyle="Comma"/>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544" displayName="Table544" ref="G8:J206" totalsRowShown="0" headerRowDxfId="1077" dataDxfId="1075" headerRowBorderDxfId="1076" tableBorderDxfId="1074" totalsRowBorderDxfId="1073">
  <tableColumns count="4">
    <tableColumn id="1" xr3:uid="{00000000-0010-0000-2A00-000001000000}" name="J.ENTRIES" dataDxfId="1072" dataCellStyle="Comma"/>
    <tableColumn id="2" xr3:uid="{00000000-0010-0000-2A00-000002000000}" name=",4" dataDxfId="1071"/>
    <tableColumn id="3" xr3:uid="{00000000-0010-0000-2A00-000003000000}" name=",3" dataDxfId="1070" dataCellStyle="Comma"/>
    <tableColumn id="4" xr3:uid="{00000000-0010-0000-2A00-000004000000}" name=",2" dataDxfId="1069" dataCellStyle="Comma"/>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645" displayName="Table645" ref="L7:P201" totalsRowCount="1" headerRowDxfId="1068" dataDxfId="1066" totalsRowDxfId="1064" headerRowBorderDxfId="1067" tableBorderDxfId="1065">
  <tableColumns count="5">
    <tableColumn id="1" xr3:uid="{00000000-0010-0000-2B00-000001000000}" name="0" totalsRowLabel="Total" dataDxfId="1063" totalsRowDxfId="1062" dataCellStyle="Comma"/>
    <tableColumn id="2" xr3:uid="{00000000-0010-0000-2B00-000002000000}" name="Sub-Accounts" dataDxfId="1061" totalsRowDxfId="1060"/>
    <tableColumn id="3" xr3:uid="{00000000-0010-0000-2B00-000003000000}" name="Accounts Name" dataDxfId="1059" totalsRowDxfId="1058"/>
    <tableColumn id="4" xr3:uid="{00000000-0010-0000-2B00-000004000000}" name="Debit" totalsRowFunction="sum" dataDxfId="1057" totalsRowDxfId="1056" dataCellStyle="Comma">
      <calculatedColumnFormula>IFERROR(SUMIF(Table443[,],Table645[[#This Row],[Accounts Name]],Table443[,3]),"")</calculatedColumnFormula>
    </tableColumn>
    <tableColumn id="5" xr3:uid="{00000000-0010-0000-2B00-000005000000}" name="Credit" totalsRowFunction="sum" dataDxfId="1055" totalsRowDxfId="1054" dataCellStyle="Comma">
      <calculatedColumnFormula>IFERROR(SUMIF(Table443[,],Table645[[#This Row],[Accounts Name]],Table443[,2]),"")</calculatedColumnFormula>
    </tableColumn>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846" displayName="Table846" ref="S7:AH201" totalsRowCount="1" headerRowDxfId="1053" dataDxfId="1051" totalsRowDxfId="1049" headerRowBorderDxfId="1052" tableBorderDxfId="1050">
  <autoFilter ref="S7:AH200" xr:uid="{00000000-0009-0000-0100-00002D000000}"/>
  <tableColumns count="16">
    <tableColumn id="1" xr3:uid="{00000000-0010-0000-2C00-000001000000}" name="." totalsRowLabel="Total" dataDxfId="1048" totalsRowDxfId="1047" dataCellStyle="Comma">
      <calculatedColumnFormula>S7+1</calculatedColumnFormula>
    </tableColumn>
    <tableColumn id="2" xr3:uid="{00000000-0010-0000-2C00-000002000000}" name="Classification" dataDxfId="1046" totalsRowDxfId="1045" dataCellStyle="Comma"/>
    <tableColumn id="3" xr3:uid="{00000000-0010-0000-2C00-000003000000}" name="Update your chart of accounts here" dataDxfId="1044" totalsRowDxfId="1043"/>
    <tableColumn id="4" xr3:uid="{00000000-0010-0000-2C00-000004000000}" name="Debit" totalsRowFunction="sum" dataDxfId="1042" totalsRowDxfId="1041" dataCellStyle="Comma">
      <calculatedColumnFormula>IFERROR(SUMIF(Table645[Sub-Accounts],Table846[[#This Row],[Update your chart of accounts here]],Table645[Debit]),"")</calculatedColumnFormula>
    </tableColumn>
    <tableColumn id="5" xr3:uid="{00000000-0010-0000-2C00-000005000000}" name="Credit" totalsRowFunction="sum" dataDxfId="1040" totalsRowDxfId="1039" dataCellStyle="Comma">
      <calculatedColumnFormula>IFERROR(SUMIF(Table645[Sub-Accounts],Table846[[#This Row],[Update your chart of accounts here]],Table645[Credit]),"")</calculatedColumnFormula>
    </tableColumn>
    <tableColumn id="16" xr3:uid="{00000000-0010-0000-2C00-000010000000}" name="Column2" dataDxfId="1038" totalsRowDxfId="1037" dataCellStyle="Comma"/>
    <tableColumn id="17" xr3:uid="{00000000-0010-0000-2C00-000011000000}" name="JE" dataDxfId="1036" totalsRowDxfId="1035" dataCellStyle="Comma"/>
    <tableColumn id="10" xr3:uid="{00000000-0010-0000-2C00-00000A000000}" name="Debit -" dataDxfId="1034" totalsRowDxfId="1033" dataCellStyle="Comma">
      <calculatedColumnFormula>SUM(Table846[[Debit ]])-SUM(Table846[Credit,])</calculatedColumnFormula>
    </tableColumn>
    <tableColumn id="11" xr3:uid="{00000000-0010-0000-2C00-00000B000000}" name="Credit +" dataDxfId="1032" totalsRowDxfId="1031" dataCellStyle="Comma"/>
    <tableColumn id="12" xr3:uid="{00000000-0010-0000-2C00-00000C000000}" name="Debit\" totalsRowFunction="sum" dataDxfId="1030" totalsRowDxfId="1029" dataCellStyle="Comma">
      <calculatedColumnFormula>MAX(Table846[[#This Row],[Debit]]+Table846[[#This Row],[Debit -]]-Table846[[#This Row],[Credit]]-Table846[[#This Row],[Credit +]],0)</calculatedColumnFormula>
    </tableColumn>
    <tableColumn id="13" xr3:uid="{00000000-0010-0000-2C00-00000D000000}" name="Credit." totalsRowFunction="sum" dataDxfId="1028" totalsRowDxfId="1027" dataCellStyle="Comma">
      <calculatedColumnFormula>MAX(Table846[[#This Row],[Credit]]-Table846[[#This Row],[Debit]]+Table846[[#This Row],[Credit +]]-Table846[[#This Row],[Debit -]],0)</calculatedColumnFormula>
    </tableColumn>
    <tableColumn id="6" xr3:uid="{00000000-0010-0000-2C00-000006000000}" name="Debit " totalsRowFunction="sum" dataDxfId="1026" totalsRowDxfId="1025" dataCellStyle="Comma">
      <calculatedColumnFormula>IFERROR(IF(AND(OR(Table846[[#This Row],[Classification]]="Expense",Table846[[#This Row],[Classification]]="Cost of Goods Sold"),Table846[[#This Row],[Debit\]]&gt;Table846[[#This Row],[Credit.]]),Table846[[#This Row],[Debit\]]-Table846[[#This Row],[Credit.]],""),"")</calculatedColumnFormula>
    </tableColumn>
    <tableColumn id="7" xr3:uid="{00000000-0010-0000-2C00-000007000000}" name="Credit," totalsRowFunction="sum" dataDxfId="1024" totalsRowDxfId="1023" dataCellStyle="Comma">
      <calculatedColumnFormula>IFERROR(IF(AND(OR(Table846[[#This Row],[Classification]]="Income",Table846[[#This Row],[Classification]]="Cost of Goods Sold"),Table846[[#This Row],[Credit.]]&gt;Table846[[#This Row],[Debit\]]),Table846[[#This Row],[Credit.]]-Table846[[#This Row],[Debit\]],""),"")</calculatedColumnFormula>
    </tableColumn>
    <tableColumn id="14" xr3:uid="{00000000-0010-0000-2C00-00000E000000}" name="Column1" dataDxfId="1022" totalsRowDxfId="1021" dataCellStyle="Comma"/>
    <tableColumn id="8" xr3:uid="{00000000-0010-0000-2C00-000008000000}" name="Debit ." totalsRowFunction="sum" dataDxfId="1020" totalsRowDxfId="1019" dataCellStyle="Comma">
      <calculatedColumnFormula>IFERROR(IF(AND(Table846[[#This Row],[Classification]]="Assets",Table846[[#This Row],[Debit\]]-Table846[[#This Row],[Credit.]]),Table846[[#This Row],[Debit\]]-Table846[[#This Row],[Credit.]],""),"")</calculatedColumnFormula>
    </tableColumn>
    <tableColumn id="9" xr3:uid="{00000000-0010-0000-2C00-000009000000}" name="Credit'" totalsRowFunction="sum" dataDxfId="1018" totalsRowDxfId="1017" dataCellStyle="Comma">
      <calculatedColumnFormula>IFERROR(IF(AND(OR(Table846[[#This Row],[Classification]]="Liabilities",Table846[[#This Row],[Classification]]="Owner´s Equity"),Table846[[#This Row],[Credit.]]&gt;Table846[[#This Row],[Debit\]]),Table846[[#This Row],[Credit.]]-Table846[[#This Row],[Debit\]],""),"")</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PPE" displayName="PPE" ref="A5:D3810" totalsRowShown="0" headerRowDxfId="1753" headerRowBorderDxfId="1752" totalsRowBorderDxfId="1751">
  <tableColumns count="4">
    <tableColumn id="1" xr3:uid="{00000000-0010-0000-0400-000001000000}" name="Year" dataDxfId="1750"/>
    <tableColumn id="3" xr3:uid="{00000000-0010-0000-0400-000003000000}" name="Sub-Accounts" dataDxfId="1749"/>
    <tableColumn id="4" xr3:uid="{00000000-0010-0000-0400-000004000000}" name="Description" dataDxfId="1748"/>
    <tableColumn id="5" xr3:uid="{00000000-0010-0000-0400-000005000000}" name="Amount" dataDxfId="1747"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B8:E201" totalsRowCount="1" headerRowDxfId="1746" dataDxfId="1745" totalsRowDxfId="1743" tableBorderDxfId="1744">
  <tableColumns count="4">
    <tableColumn id="1" xr3:uid="{00000000-0010-0000-0500-000001000000}" name="00-00-00" totalsRowLabel="Total" dataDxfId="1742" totalsRowDxfId="1741" dataCellStyle="Comma"/>
    <tableColumn id="2" xr3:uid="{00000000-0010-0000-0500-000002000000}" name="," dataDxfId="1740" totalsRowDxfId="1739"/>
    <tableColumn id="3" xr3:uid="{00000000-0010-0000-0500-000003000000}" name=",3" totalsRowFunction="sum" dataDxfId="1738" totalsRowDxfId="1737" dataCellStyle="Comma"/>
    <tableColumn id="4" xr3:uid="{00000000-0010-0000-0500-000004000000}" name=",2" totalsRowFunction="sum" dataDxfId="1736" totalsRowDxfId="1735"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5" displayName="Table5" ref="G8:J206" totalsRowShown="0" headerRowDxfId="1734" dataDxfId="1732" headerRowBorderDxfId="1733" tableBorderDxfId="1731" totalsRowBorderDxfId="1730">
  <tableColumns count="4">
    <tableColumn id="1" xr3:uid="{00000000-0010-0000-0600-000001000000}" name="J.ENTRIES" dataDxfId="1729" dataCellStyle="Comma"/>
    <tableColumn id="2" xr3:uid="{00000000-0010-0000-0600-000002000000}" name=",4" dataDxfId="1728"/>
    <tableColumn id="3" xr3:uid="{00000000-0010-0000-0600-000003000000}" name=",3" dataDxfId="1727" dataCellStyle="Comma"/>
    <tableColumn id="4" xr3:uid="{00000000-0010-0000-0600-000004000000}" name=",2" dataDxfId="1726"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6" displayName="Table6" ref="L7:P201" totalsRowCount="1" headerRowDxfId="1725" dataDxfId="1723" totalsRowDxfId="1721" headerRowBorderDxfId="1724" tableBorderDxfId="1722">
  <tableColumns count="5">
    <tableColumn id="1" xr3:uid="{00000000-0010-0000-0700-000001000000}" name="0" totalsRowLabel="Total" dataDxfId="1720" totalsRowDxfId="1719" dataCellStyle="Comma"/>
    <tableColumn id="2" xr3:uid="{00000000-0010-0000-0700-000002000000}" name="Sub-Accounts" dataDxfId="1718" totalsRowDxfId="1717"/>
    <tableColumn id="3" xr3:uid="{00000000-0010-0000-0700-000003000000}" name="Accounts Name" dataDxfId="1716" totalsRowDxfId="1715"/>
    <tableColumn id="4" xr3:uid="{00000000-0010-0000-0700-000004000000}" name="Debit" totalsRowFunction="sum" dataDxfId="1714" totalsRowDxfId="1713" dataCellStyle="Comma">
      <calculatedColumnFormula>IFERROR(SUMIF(Table4[,],Table6[[#This Row],[Accounts Name]],Table4[,3]),"")</calculatedColumnFormula>
    </tableColumn>
    <tableColumn id="5" xr3:uid="{00000000-0010-0000-0700-000005000000}" name="Credit" totalsRowFunction="sum" dataDxfId="1712" totalsRowDxfId="1711" dataCellStyle="Comma">
      <calculatedColumnFormula>IFERROR(SUMIF(Table4[,],Table6[[#This Row],[Accounts Name]],Table4[,2]),"")</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8" displayName="Table8" ref="S7:AH201" totalsRowCount="1" headerRowDxfId="1710" dataDxfId="1708" totalsRowDxfId="1706" headerRowBorderDxfId="1709" tableBorderDxfId="1707">
  <autoFilter ref="S7:AH200" xr:uid="{00000000-0009-0000-0100-000008000000}"/>
  <tableColumns count="16">
    <tableColumn id="1" xr3:uid="{00000000-0010-0000-0800-000001000000}" name="." totalsRowLabel="Total" dataDxfId="1705" totalsRowDxfId="1704" dataCellStyle="Comma">
      <calculatedColumnFormula>S7+1</calculatedColumnFormula>
    </tableColumn>
    <tableColumn id="2" xr3:uid="{00000000-0010-0000-0800-000002000000}" name="Classification" dataDxfId="1703" totalsRowDxfId="1702" dataCellStyle="Comma"/>
    <tableColumn id="3" xr3:uid="{00000000-0010-0000-0800-000003000000}" name="Update your chart of accounts here" dataDxfId="1701" totalsRowDxfId="1700"/>
    <tableColumn id="4" xr3:uid="{00000000-0010-0000-0800-000004000000}" name="Debit" totalsRowFunction="sum" dataDxfId="1699" totalsRowDxfId="1698" dataCellStyle="Comma">
      <calculatedColumnFormula>IFERROR(SUMIF(Table6[Sub-Accounts],Table8[[#This Row],[Update your chart of accounts here]],Table6[Debit]),"")</calculatedColumnFormula>
    </tableColumn>
    <tableColumn id="5" xr3:uid="{00000000-0010-0000-0800-000005000000}" name="Credit" totalsRowFunction="sum" dataDxfId="1697" totalsRowDxfId="1696" dataCellStyle="Comma">
      <calculatedColumnFormula>IFERROR(SUMIF(Table6[Sub-Accounts],Table8[[#This Row],[Update your chart of accounts here]],Table6[Credit]),"")</calculatedColumnFormula>
    </tableColumn>
    <tableColumn id="16" xr3:uid="{00000000-0010-0000-0800-000010000000}" name="Column2" dataDxfId="1695" totalsRowDxfId="1694" dataCellStyle="Comma"/>
    <tableColumn id="17" xr3:uid="{00000000-0010-0000-0800-000011000000}" name="JE" dataDxfId="1693" totalsRowDxfId="1692" dataCellStyle="Comma"/>
    <tableColumn id="10" xr3:uid="{00000000-0010-0000-0800-00000A000000}" name="Debit -" dataDxfId="1691" totalsRowDxfId="1690" dataCellStyle="Comma">
      <calculatedColumnFormula>SUM(Table8[[Debit ]])-SUM(Table8[Credit,])</calculatedColumnFormula>
    </tableColumn>
    <tableColumn id="11" xr3:uid="{00000000-0010-0000-0800-00000B000000}" name="Credit +" dataDxfId="1689" totalsRowDxfId="1688" dataCellStyle="Comma"/>
    <tableColumn id="12" xr3:uid="{00000000-0010-0000-0800-00000C000000}" name="Debit\" totalsRowFunction="sum" dataDxfId="1687" totalsRowDxfId="1686" dataCellStyle="Comma">
      <calculatedColumnFormula>MAX(Table8[[#This Row],[Debit]]+Table8[[#This Row],[Debit -]]-Table8[[#This Row],[Credit]]-Table8[[#This Row],[Credit +]],0)</calculatedColumnFormula>
    </tableColumn>
    <tableColumn id="13" xr3:uid="{00000000-0010-0000-0800-00000D000000}" name="Credit." totalsRowFunction="sum" dataDxfId="1685" totalsRowDxfId="1684" dataCellStyle="Comma">
      <calculatedColumnFormula>MAX(Table8[[#This Row],[Credit]]-Table8[[#This Row],[Debit]]+Table8[[#This Row],[Credit +]]-Table8[[#This Row],[Debit -]],0)</calculatedColumnFormula>
    </tableColumn>
    <tableColumn id="6" xr3:uid="{00000000-0010-0000-0800-000006000000}" name="Debit " totalsRowFunction="sum" dataDxfId="1683" totalsRowDxfId="1682" dataCellStyle="Comma">
      <calculatedColumnFormula>IFERROR(IF(AND(OR(Table8[[#This Row],[Classification]]="Expense",Table8[[#This Row],[Classification]]="Cost of Goods Sold"),Table8[[#This Row],[Debit\]]&gt;Table8[[#This Row],[Credit.]]),Table8[[#This Row],[Debit\]]-Table8[[#This Row],[Credit.]],""),"")</calculatedColumnFormula>
    </tableColumn>
    <tableColumn id="7" xr3:uid="{00000000-0010-0000-0800-000007000000}" name="Credit," totalsRowFunction="sum" dataDxfId="1681" totalsRowDxfId="1680" dataCellStyle="Comma">
      <calculatedColumnFormula>IFERROR(IF(AND(OR(Table8[[#This Row],[Classification]]="Income",Table8[[#This Row],[Classification]]="Cost of Goods Sold"),Table8[[#This Row],[Credit.]]&gt;Table8[[#This Row],[Debit\]]),Table8[[#This Row],[Credit.]]-Table8[[#This Row],[Debit\]],""),"")</calculatedColumnFormula>
    </tableColumn>
    <tableColumn id="14" xr3:uid="{00000000-0010-0000-0800-00000E000000}" name="Column1" dataDxfId="1679" totalsRowDxfId="1678" dataCellStyle="Comma"/>
    <tableColumn id="8" xr3:uid="{00000000-0010-0000-0800-000008000000}" name="Debit ." totalsRowFunction="sum" dataDxfId="1677" totalsRowDxfId="1676" dataCellStyle="Comma">
      <calculatedColumnFormula>IFERROR(IF(AND(Table8[[#This Row],[Classification]]="Assets",Table8[[#This Row],[Debit\]]-Table8[[#This Row],[Credit.]]),Table8[[#This Row],[Debit\]]-Table8[[#This Row],[Credit.]],""),"")</calculatedColumnFormula>
    </tableColumn>
    <tableColumn id="9" xr3:uid="{00000000-0010-0000-0800-000009000000}" name="Credit'" totalsRowFunction="sum" dataDxfId="1675" totalsRowDxfId="1674" dataCellStyle="Comma">
      <calculatedColumnFormula>IFERROR(IF(AND(OR(Table8[[#This Row],[Classification]]="Liabilities",Table8[[#This Row],[Classification]]="Owner´s Equity"),Table8[[#This Row],[Credit.]]&gt;Table8[[#This Row],[Debit\]]),Table8[[#This Row],[Credit.]]-Table8[[#This Row],[Debit\]],""),"")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7" Type="http://schemas.openxmlformats.org/officeDocument/2006/relationships/comments" Target="../comments4.xml"/><Relationship Id="rId2" Type="http://schemas.openxmlformats.org/officeDocument/2006/relationships/image" Target="../media/image3.jpeg"/><Relationship Id="rId1" Type="http://schemas.openxmlformats.org/officeDocument/2006/relationships/vmlDrawing" Target="../drawings/vmlDrawing4.vml"/><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7" Type="http://schemas.openxmlformats.org/officeDocument/2006/relationships/comments" Target="../comments5.xml"/><Relationship Id="rId2" Type="http://schemas.openxmlformats.org/officeDocument/2006/relationships/image" Target="../media/image3.jpeg"/><Relationship Id="rId1" Type="http://schemas.openxmlformats.org/officeDocument/2006/relationships/vmlDrawing" Target="../drawings/vmlDrawing5.vml"/><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7" Type="http://schemas.openxmlformats.org/officeDocument/2006/relationships/comments" Target="../comments6.xml"/><Relationship Id="rId2" Type="http://schemas.openxmlformats.org/officeDocument/2006/relationships/image" Target="../media/image3.jpeg"/><Relationship Id="rId1" Type="http://schemas.openxmlformats.org/officeDocument/2006/relationships/vmlDrawing" Target="../drawings/vmlDrawing6.vml"/><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7" Type="http://schemas.openxmlformats.org/officeDocument/2006/relationships/comments" Target="../comments7.xml"/><Relationship Id="rId2" Type="http://schemas.openxmlformats.org/officeDocument/2006/relationships/image" Target="../media/image3.jpeg"/><Relationship Id="rId1" Type="http://schemas.openxmlformats.org/officeDocument/2006/relationships/vmlDrawing" Target="../drawings/vmlDrawing7.vml"/><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4.xml"/><Relationship Id="rId7" Type="http://schemas.openxmlformats.org/officeDocument/2006/relationships/comments" Target="../comments8.xml"/><Relationship Id="rId2" Type="http://schemas.openxmlformats.org/officeDocument/2006/relationships/image" Target="../media/image3.jpeg"/><Relationship Id="rId1" Type="http://schemas.openxmlformats.org/officeDocument/2006/relationships/vmlDrawing" Target="../drawings/vmlDrawing8.vml"/><Relationship Id="rId6" Type="http://schemas.openxmlformats.org/officeDocument/2006/relationships/table" Target="../tables/table37.xml"/><Relationship Id="rId5" Type="http://schemas.openxmlformats.org/officeDocument/2006/relationships/table" Target="../tables/table36.xml"/><Relationship Id="rId4" Type="http://schemas.openxmlformats.org/officeDocument/2006/relationships/table" Target="../tables/table35.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8.xml"/><Relationship Id="rId7" Type="http://schemas.openxmlformats.org/officeDocument/2006/relationships/comments" Target="../comments9.xml"/><Relationship Id="rId2" Type="http://schemas.openxmlformats.org/officeDocument/2006/relationships/image" Target="../media/image3.jpeg"/><Relationship Id="rId1" Type="http://schemas.openxmlformats.org/officeDocument/2006/relationships/vmlDrawing" Target="../drawings/vmlDrawing9.vml"/><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42.xml"/><Relationship Id="rId7" Type="http://schemas.openxmlformats.org/officeDocument/2006/relationships/comments" Target="../comments10.xml"/><Relationship Id="rId2" Type="http://schemas.openxmlformats.org/officeDocument/2006/relationships/image" Target="../media/image3.jpeg"/><Relationship Id="rId1" Type="http://schemas.openxmlformats.org/officeDocument/2006/relationships/vmlDrawing" Target="../drawings/vmlDrawing10.vml"/><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8.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image" Target="../media/image2.jpeg"/><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image" Target="../media/image2.jpeg"/></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image" Target="../media/image2.jpeg"/><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image" Target="../media/image2.jpeg"/></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image" Target="../media/image2.jpeg"/><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image" Target="../media/image3.jpeg"/><Relationship Id="rId7"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7" Type="http://schemas.openxmlformats.org/officeDocument/2006/relationships/comments" Target="../comments2.xml"/><Relationship Id="rId2" Type="http://schemas.openxmlformats.org/officeDocument/2006/relationships/image" Target="../media/image3.jpeg"/><Relationship Id="rId1" Type="http://schemas.openxmlformats.org/officeDocument/2006/relationships/vmlDrawing" Target="../drawings/vmlDrawing2.vml"/><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comments" Target="../comments3.xml"/><Relationship Id="rId2" Type="http://schemas.openxmlformats.org/officeDocument/2006/relationships/image" Target="../media/image3.jpeg"/><Relationship Id="rId1" Type="http://schemas.openxmlformats.org/officeDocument/2006/relationships/vmlDrawing" Target="../drawings/vmlDrawing3.vm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A1"/>
  <sheetViews>
    <sheetView showGridLines="0" showRowColHeaders="0" topLeftCell="A14" workbookViewId="0">
      <selection activeCell="J35" sqref="J35"/>
    </sheetView>
  </sheetViews>
  <sheetFormatPr defaultRowHeight="15" x14ac:dyDescent="0.25"/>
  <cols>
    <col min="1" max="16384" width="9.140625" style="416"/>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B1:AN407"/>
  <sheetViews>
    <sheetView showGridLines="0" workbookViewId="0">
      <selection activeCell="U17" sqref="U17"/>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IFERROR(SUMIF(Table419[,],Table621[[#This Row],[Accounts Name]],Table419[,3]),"")</f>
        <v>3977142.74</v>
      </c>
      <c r="P8" s="34">
        <f>IFERROR(SUMIF(Table419[,],Table621[[#This Row],[Accounts Name]],Table419[,2]),"")</f>
        <v>0</v>
      </c>
      <c r="S8" s="36">
        <v>1</v>
      </c>
      <c r="T8" s="34" t="s">
        <v>11</v>
      </c>
      <c r="U8" s="37" t="s">
        <v>138</v>
      </c>
      <c r="V8" s="34">
        <f>IFERROR(SUMIF(Table621[Sub-Accounts],Table822[[#This Row],[Update your chart of accounts here]],Table621[Debit]),"")</f>
        <v>5942202.0100000007</v>
      </c>
      <c r="W8" s="34">
        <f>IFERROR(SUMIF(Table621[Sub-Accounts],Table822[[#This Row],[Update your chart of accounts here]],Table621[Credit]),"")</f>
        <v>0</v>
      </c>
      <c r="X8" s="34"/>
      <c r="Y8" s="34" t="s">
        <v>228</v>
      </c>
      <c r="Z8" s="34"/>
      <c r="AA8" s="34">
        <f>J25</f>
        <v>21</v>
      </c>
      <c r="AB8" s="34">
        <f>MAX(Table822[[#This Row],[Debit]]+Table822[[#This Row],[Debit -]]-Table822[[#This Row],[Credit]]-Table822[[#This Row],[Credit +]],0)</f>
        <v>5942181.0100000007</v>
      </c>
      <c r="AC8" s="34">
        <f>MAX(Table822[[#This Row],[Credit]]-Table822[[#This Row],[Debit]]+Table822[[#This Row],[Credit +]]-Table822[[#This Row],[Debit -]],0)</f>
        <v>0</v>
      </c>
      <c r="AD8" s="34" t="str">
        <f>IFERROR(IF(AND(OR(Table822[[#This Row],[Classification]]="Expense",Table822[[#This Row],[Classification]]="Cost of Goods Sold"),Table822[[#This Row],[Debit\]]&gt;Table822[[#This Row],[Credit.]]),Table822[[#This Row],[Debit\]]-Table822[[#This Row],[Credit.]],""),"")</f>
        <v/>
      </c>
      <c r="AE8" s="34" t="str">
        <f>IFERROR(IF(AND(OR(Table822[[#This Row],[Classification]]="Income",Table822[[#This Row],[Classification]]="Cost of Goods Sold"),Table822[[#This Row],[Credit.]]&gt;Table822[[#This Row],[Debit\]]),Table822[[#This Row],[Credit.]]-Table822[[#This Row],[Debit\]],""),"")</f>
        <v/>
      </c>
      <c r="AF8" s="34"/>
      <c r="AG8" s="34">
        <f>IFERROR(IF(AND(Table822[[#This Row],[Classification]]="Assets",Table822[[#This Row],[Debit\]]-Table822[[#This Row],[Credit.]]),Table822[[#This Row],[Debit\]]-Table822[[#This Row],[Credit.]],""),"")</f>
        <v>5942181.0100000007</v>
      </c>
      <c r="AH8" s="34" t="str">
        <f>IFERROR(IF(AND(OR(Table822[[#This Row],[Classification]]="Liabilities",Table822[[#This Row],[Classification]]="Owner´s Equity"),Table822[[#This Row],[Credit.]]&gt;Table822[[#This Row],[Debit\]]),Table822[[#This Row],[Credit.]]-Table822[[#This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IFERROR(SUMIF(Table419[,],Table621[[#This Row],[Accounts Name]],Table419[,3]),"")</f>
        <v>0</v>
      </c>
      <c r="P9" s="34">
        <f>IFERROR(SUMIF(Table419[,],Table621[[#This Row],[Accounts Name]],Table419[,2]),"")</f>
        <v>1699952.7</v>
      </c>
      <c r="S9" s="36">
        <f>S8+1</f>
        <v>2</v>
      </c>
      <c r="T9" s="34" t="s">
        <v>12</v>
      </c>
      <c r="U9" s="37" t="s">
        <v>139</v>
      </c>
      <c r="V9" s="34">
        <f>IFERROR(SUMIF(Table621[Sub-Accounts],Table822[[#This Row],[Update your chart of accounts here]],Table621[Debit]),"")</f>
        <v>0</v>
      </c>
      <c r="W9" s="34">
        <f>IFERROR(SUMIF(Table621[Sub-Accounts],Table822[[#This Row],[Update your chart of accounts here]],Table621[Credit]),"")</f>
        <v>3699952.7</v>
      </c>
      <c r="X9" s="34"/>
      <c r="Y9" s="34"/>
      <c r="Z9" s="34"/>
      <c r="AA9" s="34"/>
      <c r="AB9" s="34">
        <f>MAX(Table822[[#This Row],[Debit]]+Table822[[#This Row],[Debit -]]-Table822[[#This Row],[Credit]]-Table822[[#This Row],[Credit +]],0)</f>
        <v>0</v>
      </c>
      <c r="AC9" s="34">
        <f>MAX(Table822[[#This Row],[Credit]]-Table822[[#This Row],[Debit]]+Table822[[#This Row],[Credit +]]-Table822[[#This Row],[Debit -]],0)</f>
        <v>3699952.7</v>
      </c>
      <c r="AD9" s="34" t="str">
        <f>IFERROR(IF(AND(OR(Table822[[#This Row],[Classification]]="Expense",Table822[[#This Row],[Classification]]="Cost of Goods Sold"),Table822[[#This Row],[Debit\]]&gt;Table822[[#This Row],[Credit.]]),Table822[[#This Row],[Debit\]]-Table822[[#This Row],[Credit.]],""),"")</f>
        <v/>
      </c>
      <c r="AE9" s="34" t="str">
        <f>IFERROR(IF(AND(OR(Table822[[#This Row],[Classification]]="Income",Table822[[#This Row],[Classification]]="Cost of Goods Sold"),Table822[[#This Row],[Credit.]]&gt;Table822[[#This Row],[Debit\]]),Table822[[#This Row],[Credit.]]-Table822[[#This Row],[Debit\]],""),"")</f>
        <v/>
      </c>
      <c r="AF9" s="34"/>
      <c r="AG9" s="34" t="str">
        <f>IFERROR(IF(AND(Table822[[#This Row],[Classification]]="Assets",Table822[[#This Row],[Debit\]]-Table822[[#This Row],[Credit.]]),Table822[[#This Row],[Debit\]]-Table822[[#This Row],[Credit.]],""),"")</f>
        <v/>
      </c>
      <c r="AH9" s="34">
        <f>IFERROR(IF(AND(OR(Table822[[#This Row],[Classification]]="Liabilities",Table822[[#This Row],[Classification]]="Owner´s Equity"),Table822[[#This Row],[Credit.]]&gt;Table822[[#This Row],[Debit\]]),Table822[[#This Row],[Credit.]]-Table822[[#This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IFERROR(SUMIF(Table419[,],Table621[[#This Row],[Accounts Name]],Table419[,3]),"")</f>
        <v>0</v>
      </c>
      <c r="P10" s="34">
        <f>IFERROR(SUMIF(Table419[,],Table621[[#This Row],[Accounts Name]],Table419[,2]),"")</f>
        <v>2000000</v>
      </c>
      <c r="S10" s="36">
        <f t="shared" ref="S10:S73" si="0">S9+1</f>
        <v>3</v>
      </c>
      <c r="T10" s="34" t="s">
        <v>11</v>
      </c>
      <c r="U10" s="37" t="s">
        <v>172</v>
      </c>
      <c r="V10" s="34">
        <f>IFERROR(SUMIF(Table621[Sub-Accounts],Table822[[#This Row],[Update your chart of accounts here]],Table621[Debit]),"")</f>
        <v>4355552.28</v>
      </c>
      <c r="W10" s="34">
        <f>IFERROR(SUMIF(Table621[Sub-Accounts],Table822[[#This Row],[Update your chart of accounts here]],Table621[Credit]),"")</f>
        <v>2517904</v>
      </c>
      <c r="X10" s="34"/>
      <c r="Y10" s="34" t="s">
        <v>224</v>
      </c>
      <c r="Z10" s="34">
        <f>I12</f>
        <v>251563</v>
      </c>
      <c r="AA10" s="34">
        <f>Table520[[#This Row],[,2]]</f>
        <v>409278.51677448238</v>
      </c>
      <c r="AB10" s="34">
        <f>MAX(Table822[[#This Row],[Debit]]+Table822[[#This Row],[Debit -]]-Table822[[#This Row],[Credit]]-Table822[[#This Row],[Credit +]],0)</f>
        <v>1679932.7632255179</v>
      </c>
      <c r="AC10" s="34">
        <f>MAX(Table822[[#This Row],[Credit]]-Table822[[#This Row],[Debit]]+Table822[[#This Row],[Credit +]]-Table822[[#This Row],[Debit -]],0)</f>
        <v>0</v>
      </c>
      <c r="AD10" s="34" t="str">
        <f>IFERROR(IF(AND(OR(Table822[[#This Row],[Classification]]="Expense",Table822[[#This Row],[Classification]]="Cost of Goods Sold"),Table822[[#This Row],[Debit\]]&gt;Table822[[#This Row],[Credit.]]),Table822[[#This Row],[Debit\]]-Table822[[#This Row],[Credit.]],""),"")</f>
        <v/>
      </c>
      <c r="AE10" s="34" t="str">
        <f>IFERROR(IF(AND(OR(Table822[[#This Row],[Classification]]="Income",Table822[[#This Row],[Classification]]="Cost of Goods Sold"),Table822[[#This Row],[Credit.]]&gt;Table822[[#This Row],[Debit\]]),Table822[[#This Row],[Credit.]]-Table822[[#This Row],[Debit\]],""),"")</f>
        <v/>
      </c>
      <c r="AF10" s="34"/>
      <c r="AG10" s="34">
        <f>IFERROR(IF(AND(Table822[[#This Row],[Classification]]="Assets",Table822[[#This Row],[Debit\]]-Table822[[#This Row],[Credit.]]),Table822[[#This Row],[Debit\]]-Table822[[#This Row],[Credit.]],""),"")</f>
        <v>1679932.7632255179</v>
      </c>
      <c r="AH10" s="34" t="str">
        <f>IFERROR(IF(AND(OR(Table822[[#This Row],[Classification]]="Liabilities",Table822[[#This Row],[Classification]]="Owner´s Equity"),Table822[[#This Row],[Credit.]]&gt;Table822[[#This Row],[Debit\]]),Table822[[#This Row],[Credit.]]-Table822[[#This Row],[Debit\]],""),"")</f>
        <v/>
      </c>
    </row>
    <row r="11" spans="2:40" x14ac:dyDescent="0.25">
      <c r="B11" s="34"/>
      <c r="C11" s="42" t="s">
        <v>65</v>
      </c>
      <c r="D11" s="34"/>
      <c r="E11" s="34">
        <v>2000000</v>
      </c>
      <c r="G11" s="39"/>
      <c r="H11" s="43" t="s">
        <v>180</v>
      </c>
      <c r="I11" s="41"/>
      <c r="J11" s="41"/>
      <c r="L11" s="34">
        <v>4</v>
      </c>
      <c r="M11" s="35" t="s">
        <v>138</v>
      </c>
      <c r="N11" s="35" t="s">
        <v>66</v>
      </c>
      <c r="O11" s="34">
        <f>IFERROR(SUMIF(Table419[,],Table621[[#This Row],[Accounts Name]],Table419[,3]),"")</f>
        <v>219779.97</v>
      </c>
      <c r="P11" s="34">
        <f>IFERROR(SUMIF(Table419[,],Table621[[#This Row],[Accounts Name]],Table419[,2]),"")</f>
        <v>0</v>
      </c>
      <c r="S11" s="36">
        <f t="shared" si="0"/>
        <v>4</v>
      </c>
      <c r="T11" s="34" t="s">
        <v>11</v>
      </c>
      <c r="U11" s="37" t="s">
        <v>140</v>
      </c>
      <c r="V11" s="34">
        <f>IFERROR(SUMIF(Table621[Sub-Accounts],Table822[[#This Row],[Update your chart of accounts here]],Table621[Debit]),"")</f>
        <v>21108825.949999999</v>
      </c>
      <c r="W11" s="34">
        <f>IFERROR(SUMIF(Table621[Sub-Accounts],Table822[[#This Row],[Update your chart of accounts here]],Table621[Credit]),"")</f>
        <v>0</v>
      </c>
      <c r="X11" s="34"/>
      <c r="Y11" s="34" t="s">
        <v>231</v>
      </c>
      <c r="Z11" s="34"/>
      <c r="AA11" s="34">
        <f>J31</f>
        <v>2551250</v>
      </c>
      <c r="AB11" s="34">
        <f>MAX(Table822[[#This Row],[Debit]]+Table822[[#This Row],[Debit -]]-Table822[[#This Row],[Credit]]-Table822[[#This Row],[Credit +]],0)</f>
        <v>18557575.949999999</v>
      </c>
      <c r="AC11" s="34">
        <f>MAX(Table822[[#This Row],[Credit]]-Table822[[#This Row],[Debit]]+Table822[[#This Row],[Credit +]]-Table822[[#This Row],[Debit -]],0)</f>
        <v>0</v>
      </c>
      <c r="AD11" s="34" t="str">
        <f>IFERROR(IF(AND(OR(Table822[[#This Row],[Classification]]="Expense",Table822[[#This Row],[Classification]]="Cost of Goods Sold"),Table822[[#This Row],[Debit\]]&gt;Table822[[#This Row],[Credit.]]),Table822[[#This Row],[Debit\]]-Table822[[#This Row],[Credit.]],""),"")</f>
        <v/>
      </c>
      <c r="AE11" s="34" t="str">
        <f>IFERROR(IF(AND(OR(Table822[[#This Row],[Classification]]="Income",Table822[[#This Row],[Classification]]="Cost of Goods Sold"),Table822[[#This Row],[Credit.]]&gt;Table822[[#This Row],[Debit\]]),Table822[[#This Row],[Credit.]]-Table822[[#This Row],[Debit\]],""),"")</f>
        <v/>
      </c>
      <c r="AF11" s="34"/>
      <c r="AG11" s="34">
        <f>IFERROR(IF(AND(Table822[[#This Row],[Classification]]="Assets",Table822[[#This Row],[Debit\]]-Table822[[#This Row],[Credit.]]),Table822[[#This Row],[Debit\]]-Table822[[#This Row],[Credit.]],""),"")</f>
        <v>18557575.949999999</v>
      </c>
      <c r="AH11" s="34" t="str">
        <f>IFERROR(IF(AND(OR(Table822[[#This Row],[Classification]]="Liabilities",Table822[[#This Row],[Classification]]="Owner´s Equity"),Table822[[#This Row],[Credit.]]&gt;Table822[[#This Row],[Debit\]]),Table822[[#This Row],[Credit.]]-Table822[[#This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IFERROR(SUMIF(Table419[,],Table621[[#This Row],[Accounts Name]],Table419[,3]),"")</f>
        <v>1054457.3500000001</v>
      </c>
      <c r="P12" s="34">
        <f>IFERROR(SUMIF(Table419[,],Table621[[#This Row],[Accounts Name]],Table419[,2]),"")</f>
        <v>0</v>
      </c>
      <c r="S12" s="36">
        <f t="shared" si="0"/>
        <v>5</v>
      </c>
      <c r="T12" s="34" t="s">
        <v>61</v>
      </c>
      <c r="U12" s="37" t="s">
        <v>207</v>
      </c>
      <c r="V12" s="34">
        <f>IFERROR(SUMIF(Table621[Sub-Accounts],Table822[[#This Row],[Update your chart of accounts here]],Table621[Debit]),"")</f>
        <v>0</v>
      </c>
      <c r="W12" s="34">
        <f>IFERROR(SUMIF(Table621[Sub-Accounts],Table822[[#This Row],[Update your chart of accounts here]],Table621[Credit]),"")</f>
        <v>0</v>
      </c>
      <c r="X12" s="34"/>
      <c r="Y12" s="34"/>
      <c r="Z12" s="34">
        <f>AN7</f>
        <v>8341041.1232255697</v>
      </c>
      <c r="AA12" s="34">
        <f>AU6</f>
        <v>0</v>
      </c>
      <c r="AB12" s="34">
        <f>MAX(Table822[[#This Row],[Debit]]+Table822[[#This Row],[Debit -]]-Table822[[#This Row],[Credit]]-Table822[[#This Row],[Credit +]],0)</f>
        <v>8341041.1232255697</v>
      </c>
      <c r="AC12" s="34">
        <f>MAX(Table822[[#This Row],[Credit]]-Table822[[#This Row],[Debit]]+Table822[[#This Row],[Credit +]]-Table822[[#This Row],[Debit -]],0)</f>
        <v>0</v>
      </c>
      <c r="AD12" s="34">
        <f>IFERROR(IF(AND(OR(Table822[[#This Row],[Classification]]="Expense",Table822[[#This Row],[Classification]]="Cost of Goods Sold"),Table822[[#This Row],[Debit\]]&gt;Table822[[#This Row],[Credit.]]),Table822[[#This Row],[Debit\]]-Table822[[#This Row],[Credit.]],""),"")</f>
        <v>8341041.1232255697</v>
      </c>
      <c r="AE12" s="34" t="str">
        <f>IFERROR(IF(AND(OR(Table822[[#This Row],[Classification]]="Income",Table822[[#This Row],[Classification]]="Cost of Goods Sold"),Table822[[#This Row],[Credit.]]&gt;Table822[[#This Row],[Debit\]]),Table822[[#This Row],[Credit.]]-Table822[[#This Row],[Debit\]],""),"")</f>
        <v/>
      </c>
      <c r="AF12" s="34"/>
      <c r="AG12" s="34" t="str">
        <f>IFERROR(IF(AND(Table822[[#This Row],[Classification]]="Assets",Table822[[#This Row],[Debit\]]-Table822[[#This Row],[Credit.]]),Table822[[#This Row],[Debit\]]-Table822[[#This Row],[Credit.]],""),"")</f>
        <v/>
      </c>
      <c r="AH12" s="34" t="str">
        <f>IFERROR(IF(AND(OR(Table822[[#This Row],[Classification]]="Liabilities",Table822[[#This Row],[Classification]]="Owner´s Equity"),Table822[[#This Row],[Credit.]]&gt;Table822[[#This Row],[Debit\]]),Table822[[#This Row],[Credit.]]-Table822[[#This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IFERROR(SUMIF(Table419[,],Table621[[#This Row],[Accounts Name]],Table419[,3]),"")</f>
        <v>230653</v>
      </c>
      <c r="P13" s="34">
        <f>IFERROR(SUMIF(Table419[,],Table621[[#This Row],[Accounts Name]],Table419[,2]),"")</f>
        <v>0</v>
      </c>
      <c r="S13" s="36">
        <f t="shared" si="0"/>
        <v>6</v>
      </c>
      <c r="T13" s="34" t="s">
        <v>6</v>
      </c>
      <c r="U13" s="37" t="s">
        <v>142</v>
      </c>
      <c r="V13" s="34">
        <f>IFERROR(SUMIF(Table621[Sub-Accounts],Table822[[#This Row],[Update your chart of accounts here]],Table621[Debit]),"")</f>
        <v>3296400</v>
      </c>
      <c r="W13" s="34">
        <f>IFERROR(SUMIF(Table621[Sub-Accounts],Table822[[#This Row],[Update your chart of accounts here]],Table621[Credit]),"")</f>
        <v>0</v>
      </c>
      <c r="X13" s="34"/>
      <c r="Y13" s="34" t="s">
        <v>227</v>
      </c>
      <c r="Z13" s="65"/>
      <c r="AA13" s="34"/>
      <c r="AB13" s="34">
        <f>MAX(Table822[[#This Row],[Debit]]+Table822[[#This Row],[Debit -]]-Table822[[#This Row],[Credit]]-Table822[[#This Row],[Credit +]],0)</f>
        <v>3296400</v>
      </c>
      <c r="AC13" s="34">
        <f>MAX(Table822[[#This Row],[Credit]]-Table822[[#This Row],[Debit]]+Table822[[#This Row],[Credit +]]-Table822[[#This Row],[Debit -]],0)</f>
        <v>0</v>
      </c>
      <c r="AD13" s="34">
        <f>IFERROR(IF(AND(OR(Table822[[#This Row],[Classification]]="Expense",Table822[[#This Row],[Classification]]="Cost of Goods Sold"),Table822[[#This Row],[Debit\]]&gt;Table822[[#This Row],[Credit.]]),Table822[[#This Row],[Debit\]]-Table822[[#This Row],[Credit.]],""),"")</f>
        <v>3296400</v>
      </c>
      <c r="AE13" s="34" t="str">
        <f>IFERROR(IF(AND(OR(Table822[[#This Row],[Classification]]="Income",Table822[[#This Row],[Classification]]="Cost of Goods Sold"),Table822[[#This Row],[Credit.]]&gt;Table822[[#This Row],[Debit\]]),Table822[[#This Row],[Credit.]]-Table822[[#This Row],[Debit\]],""),"")</f>
        <v/>
      </c>
      <c r="AF13" s="34"/>
      <c r="AG13" s="34" t="str">
        <f>IFERROR(IF(AND(Table822[[#This Row],[Classification]]="Assets",Table822[[#This Row],[Debit\]]-Table822[[#This Row],[Credit.]]),Table822[[#This Row],[Debit\]]-Table822[[#This Row],[Credit.]],""),"")</f>
        <v/>
      </c>
      <c r="AH13" s="34" t="str">
        <f>IFERROR(IF(AND(OR(Table822[[#This Row],[Classification]]="Liabilities",Table822[[#This Row],[Classification]]="Owner´s Equity"),Table822[[#This Row],[Credit.]]&gt;Table822[[#This Row],[Debit\]]),Table822[[#This Row],[Credit.]]-Table822[[#This Row],[Debit\]],""),"")</f>
        <v/>
      </c>
    </row>
    <row r="14" spans="2:40" x14ac:dyDescent="0.25">
      <c r="B14" s="34"/>
      <c r="C14" s="38" t="s">
        <v>68</v>
      </c>
      <c r="D14" s="34">
        <v>230653</v>
      </c>
      <c r="E14" s="34"/>
      <c r="G14" s="39"/>
      <c r="H14" s="43" t="s">
        <v>184</v>
      </c>
      <c r="I14" s="41"/>
      <c r="J14" s="41"/>
      <c r="L14" s="34">
        <v>7</v>
      </c>
      <c r="M14" s="35" t="s">
        <v>138</v>
      </c>
      <c r="N14" s="35" t="s">
        <v>69</v>
      </c>
      <c r="O14" s="34">
        <f>IFERROR(SUMIF(Table419[,],Table621[[#This Row],[Accounts Name]],Table419[,3]),"")</f>
        <v>460168.95</v>
      </c>
      <c r="P14" s="34">
        <f>IFERROR(SUMIF(Table419[,],Table621[[#This Row],[Accounts Name]],Table419[,2]),"")</f>
        <v>0</v>
      </c>
      <c r="S14" s="36">
        <f t="shared" si="0"/>
        <v>7</v>
      </c>
      <c r="T14" s="34" t="s">
        <v>12</v>
      </c>
      <c r="U14" s="37" t="s">
        <v>141</v>
      </c>
      <c r="V14" s="34">
        <f>IFERROR(SUMIF(Table621[Sub-Accounts],Table822[[#This Row],[Update your chart of accounts here]],Table621[Debit]),"")</f>
        <v>0</v>
      </c>
      <c r="W14" s="34">
        <f>IFERROR(SUMIF(Table621[Sub-Accounts],Table822[[#This Row],[Update your chart of accounts here]],Table621[Credit]),"")</f>
        <v>15517383.640000001</v>
      </c>
      <c r="X14" s="34"/>
      <c r="Y14" s="34" t="s">
        <v>233</v>
      </c>
      <c r="Z14" s="34">
        <f>I18</f>
        <v>50000</v>
      </c>
      <c r="AA14" s="34">
        <f>J22</f>
        <v>115200</v>
      </c>
      <c r="AB14" s="34">
        <f>MAX(Table822[[#This Row],[Debit]]+Table822[[#This Row],[Debit -]]-Table822[[#This Row],[Credit]]-Table822[[#This Row],[Credit +]],0)</f>
        <v>0</v>
      </c>
      <c r="AC14" s="34">
        <f>MAX(Table822[[#This Row],[Credit]]-Table822[[#This Row],[Debit]]+Table822[[#This Row],[Credit +]]-Table822[[#This Row],[Debit -]],0)</f>
        <v>15582583.640000001</v>
      </c>
      <c r="AD14" s="34" t="str">
        <f>IFERROR(IF(AND(OR(Table822[[#This Row],[Classification]]="Expense",Table822[[#This Row],[Classification]]="Cost of Goods Sold"),Table822[[#This Row],[Debit\]]&gt;Table822[[#This Row],[Credit.]]),Table822[[#This Row],[Debit\]]-Table822[[#This Row],[Credit.]],""),"")</f>
        <v/>
      </c>
      <c r="AE14" s="34" t="str">
        <f>IFERROR(IF(AND(OR(Table822[[#This Row],[Classification]]="Income",Table822[[#This Row],[Classification]]="Cost of Goods Sold"),Table822[[#This Row],[Credit.]]&gt;Table822[[#This Row],[Debit\]]),Table822[[#This Row],[Credit.]]-Table822[[#This Row],[Debit\]],""),"")</f>
        <v/>
      </c>
      <c r="AF14" s="34"/>
      <c r="AG14" s="34" t="str">
        <f>IFERROR(IF(AND(Table822[[#This Row],[Classification]]="Assets",Table822[[#This Row],[Debit\]]-Table822[[#This Row],[Credit.]]),Table822[[#This Row],[Debit\]]-Table822[[#This Row],[Credit.]],""),"")</f>
        <v/>
      </c>
      <c r="AH14" s="34">
        <f>IFERROR(IF(AND(OR(Table822[[#This Row],[Classification]]="Liabilities",Table822[[#This Row],[Classification]]="Owner´s Equity"),Table822[[#This Row],[Credit.]]&gt;Table822[[#This Row],[Debit\]]),Table822[[#This Row],[Credit.]]-Table822[[#This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IFERROR(SUMIF(Table419[,],Table621[[#This Row],[Accounts Name]],Table419[,3]),"")</f>
        <v>17870623.949999999</v>
      </c>
      <c r="P15" s="34">
        <f>IFERROR(SUMIF(Table419[,],Table621[[#This Row],[Accounts Name]],Table419[,2]),"")</f>
        <v>0</v>
      </c>
      <c r="S15" s="36">
        <f t="shared" si="0"/>
        <v>8</v>
      </c>
      <c r="T15" s="34"/>
      <c r="U15" s="37" t="s">
        <v>208</v>
      </c>
      <c r="V15" s="34">
        <f>IFERROR(SUMIF(Table621[Sub-Accounts],Table822[[#This Row],[Update your chart of accounts here]],Table621[Debit]),"")</f>
        <v>0</v>
      </c>
      <c r="W15" s="34">
        <f>IFERROR(SUMIF(Table621[Sub-Accounts],Table822[[#This Row],[Update your chart of accounts here]],Table621[Credit]),"")</f>
        <v>0</v>
      </c>
      <c r="X15" s="34"/>
      <c r="Y15" s="34"/>
      <c r="Z15" s="34"/>
      <c r="AA15" s="34"/>
      <c r="AB15" s="34">
        <f>MAX(Table822[[#This Row],[Debit]]+Table822[[#This Row],[Debit -]]-Table822[[#This Row],[Credit]]-Table822[[#This Row],[Credit +]],0)</f>
        <v>0</v>
      </c>
      <c r="AC15" s="34">
        <f>MAX(Table822[[#This Row],[Credit]]-Table822[[#This Row],[Debit]]+Table822[[#This Row],[Credit +]]-Table822[[#This Row],[Debit -]],0)</f>
        <v>0</v>
      </c>
      <c r="AD15" s="34" t="str">
        <f>IFERROR(IF(AND(OR(Table822[[#This Row],[Classification]]="Expense",Table822[[#This Row],[Classification]]="Cost of Goods Sold"),Table822[[#This Row],[Debit\]]&gt;Table822[[#This Row],[Credit.]]),Table822[[#This Row],[Debit\]]-Table822[[#This Row],[Credit.]],""),"")</f>
        <v/>
      </c>
      <c r="AE15" s="34" t="str">
        <f>IFERROR(IF(AND(OR(Table822[[#This Row],[Classification]]="Income",Table822[[#This Row],[Classification]]="Cost of Goods Sold"),Table822[[#This Row],[Credit.]]&gt;Table822[[#This Row],[Debit\]]),Table822[[#This Row],[Credit.]]-Table822[[#This Row],[Debit\]],""),"")</f>
        <v/>
      </c>
      <c r="AF15" s="34"/>
      <c r="AG15" s="34" t="str">
        <f>IFERROR(IF(AND(Table822[[#This Row],[Classification]]="Assets",Table822[[#This Row],[Debit\]]-Table822[[#This Row],[Credit.]]),Table822[[#This Row],[Debit\]]-Table822[[#This Row],[Credit.]],""),"")</f>
        <v/>
      </c>
      <c r="AH15" s="34" t="str">
        <f>IFERROR(IF(AND(OR(Table822[[#This Row],[Classification]]="Liabilities",Table822[[#This Row],[Classification]]="Owner´s Equity"),Table822[[#This Row],[Credit.]]&gt;Table822[[#This Row],[Debit\]]),Table822[[#This Row],[Credit.]]-Table822[[#This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IFERROR(SUMIF(Table419[,],Table621[[#This Row],[Accounts Name]],Table419[,3]),"")</f>
        <v>0</v>
      </c>
      <c r="P16" s="34">
        <f>IFERROR(SUMIF(Table419[,],Table621[[#This Row],[Accounts Name]],Table419[,2]),"")</f>
        <v>8925200</v>
      </c>
      <c r="S16" s="36">
        <f t="shared" si="0"/>
        <v>9</v>
      </c>
      <c r="T16" s="34"/>
      <c r="U16" s="37" t="s">
        <v>209</v>
      </c>
      <c r="V16" s="34">
        <f>IFERROR(SUMIF(Table621[Sub-Accounts],Table822[[#This Row],[Update your chart of accounts here]],Table621[Debit]),"")</f>
        <v>0</v>
      </c>
      <c r="W16" s="34">
        <f>IFERROR(SUMIF(Table621[Sub-Accounts],Table822[[#This Row],[Update your chart of accounts here]],Table621[Credit]),"")</f>
        <v>0</v>
      </c>
      <c r="X16" s="34"/>
      <c r="Y16" s="34"/>
      <c r="Z16" s="34"/>
      <c r="AA16" s="34"/>
      <c r="AB16" s="34">
        <f>MAX(Table822[[#This Row],[Debit]]+Table822[[#This Row],[Debit -]]-Table822[[#This Row],[Credit]]-Table822[[#This Row],[Credit +]],0)</f>
        <v>0</v>
      </c>
      <c r="AC16" s="34">
        <f>MAX(Table822[[#This Row],[Credit]]-Table822[[#This Row],[Debit]]+Table822[[#This Row],[Credit +]]-Table822[[#This Row],[Debit -]],0)</f>
        <v>0</v>
      </c>
      <c r="AD16" s="34" t="str">
        <f>IFERROR(IF(AND(OR(Table822[[#This Row],[Classification]]="Expense",Table822[[#This Row],[Classification]]="Cost of Goods Sold"),Table822[[#This Row],[Debit\]]&gt;Table822[[#This Row],[Credit.]]),Table822[[#This Row],[Debit\]]-Table822[[#This Row],[Credit.]],""),"")</f>
        <v/>
      </c>
      <c r="AE16" s="34" t="str">
        <f>IFERROR(IF(AND(OR(Table822[[#This Row],[Classification]]="Income",Table822[[#This Row],[Classification]]="Cost of Goods Sold"),Table822[[#This Row],[Credit.]]&gt;Table822[[#This Row],[Debit\]]),Table822[[#This Row],[Credit.]]-Table822[[#This Row],[Debit\]],""),"")</f>
        <v/>
      </c>
      <c r="AF16" s="34"/>
      <c r="AG16" s="34" t="str">
        <f>IFERROR(IF(AND(Table822[[#This Row],[Classification]]="Assets",Table822[[#This Row],[Debit\]]-Table822[[#This Row],[Credit.]]),Table822[[#This Row],[Debit\]]-Table822[[#This Row],[Credit.]],""),"")</f>
        <v/>
      </c>
      <c r="AH16" s="34" t="str">
        <f>IFERROR(IF(AND(OR(Table822[[#This Row],[Classification]]="Liabilities",Table822[[#This Row],[Classification]]="Owner´s Equity"),Table822[[#This Row],[Credit.]]&gt;Table822[[#This Row],[Debit\]]),Table822[[#This Row],[Credit.]]-Table822[[#This Row],[Debit\]],""),"")</f>
        <v/>
      </c>
    </row>
    <row r="17" spans="2:34" x14ac:dyDescent="0.25">
      <c r="B17" s="34"/>
      <c r="C17" s="37" t="s">
        <v>71</v>
      </c>
      <c r="D17" s="34"/>
      <c r="E17" s="34">
        <v>8925200</v>
      </c>
      <c r="G17" s="39"/>
      <c r="H17" s="43" t="s">
        <v>185</v>
      </c>
      <c r="I17" s="41"/>
      <c r="J17" s="41"/>
      <c r="L17" s="34">
        <v>10</v>
      </c>
      <c r="M17" s="35" t="s">
        <v>142</v>
      </c>
      <c r="N17" s="35" t="s">
        <v>72</v>
      </c>
      <c r="O17" s="34">
        <f>IFERROR(SUMIF(Table419[,],Table621[[#This Row],[Accounts Name]],Table419[,3]),"")</f>
        <v>3296400</v>
      </c>
      <c r="P17" s="34">
        <f>IFERROR(SUMIF(Table419[,],Table621[[#This Row],[Accounts Name]],Table419[,2]),"")</f>
        <v>0</v>
      </c>
      <c r="S17" s="36">
        <f t="shared" si="0"/>
        <v>10</v>
      </c>
      <c r="T17" s="34" t="s">
        <v>48</v>
      </c>
      <c r="U17" s="37" t="s">
        <v>146</v>
      </c>
      <c r="V17" s="34">
        <f>IFERROR(SUMIF(Table621[Sub-Accounts],Table822[[#This Row],[Update your chart of accounts here]],Table621[Debit]),"")</f>
        <v>0</v>
      </c>
      <c r="W17" s="34">
        <f>IFERROR(SUMIF(Table621[Sub-Accounts],Table822[[#This Row],[Update your chart of accounts here]],Table621[Credit]),"")</f>
        <v>400</v>
      </c>
      <c r="X17" s="34"/>
      <c r="Y17" s="34"/>
      <c r="Z17" s="34"/>
      <c r="AA17" s="34"/>
      <c r="AB17" s="34">
        <f>MAX(Table822[[#This Row],[Debit]]+Table822[[#This Row],[Debit -]]-Table822[[#This Row],[Credit]]-Table822[[#This Row],[Credit +]],0)</f>
        <v>0</v>
      </c>
      <c r="AC17" s="34">
        <f>MAX(Table822[[#This Row],[Credit]]-Table822[[#This Row],[Debit]]+Table822[[#This Row],[Credit +]]-Table822[[#This Row],[Debit -]],0)</f>
        <v>400</v>
      </c>
      <c r="AD17" s="34" t="str">
        <f>IFERROR(IF(AND(OR(Table822[[#This Row],[Classification]]="Expense",Table822[[#This Row],[Classification]]="Cost of Goods Sold"),Table822[[#This Row],[Debit\]]&gt;Table822[[#This Row],[Credit.]]),Table822[[#This Row],[Debit\]]-Table822[[#This Row],[Credit.]],""),"")</f>
        <v/>
      </c>
      <c r="AE17" s="34" t="str">
        <f>IFERROR(IF(AND(OR(Table822[[#This Row],[Classification]]="Income",Table822[[#This Row],[Classification]]="Cost of Goods Sold"),Table822[[#This Row],[Credit.]]&gt;Table822[[#This Row],[Debit\]]),Table822[[#This Row],[Credit.]]-Table822[[#This Row],[Debit\]],""),"")</f>
        <v/>
      </c>
      <c r="AF17" s="34"/>
      <c r="AG17" s="34" t="str">
        <f>IFERROR(IF(AND(Table822[[#This Row],[Classification]]="Assets",Table822[[#This Row],[Debit\]]-Table822[[#This Row],[Credit.]]),Table822[[#This Row],[Debit\]]-Table822[[#This Row],[Credit.]],""),"")</f>
        <v/>
      </c>
      <c r="AH17" s="34">
        <f>IFERROR(IF(AND(OR(Table822[[#This Row],[Classification]]="Liabilities",Table822[[#This Row],[Classification]]="Owner´s Equity"),Table822[[#This Row],[Credit.]]&gt;Table822[[#This Row],[Debit\]]),Table822[[#This Row],[Credit.]]-Table822[[#This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IFERROR(SUMIF(Table419[,],Table621[[#This Row],[Accounts Name]],Table419[,3]),"")</f>
        <v>165000</v>
      </c>
      <c r="P18" s="34">
        <f>IFERROR(SUMIF(Table419[,],Table621[[#This Row],[Accounts Name]],Table419[,2]),"")</f>
        <v>0</v>
      </c>
      <c r="S18" s="36">
        <f t="shared" si="0"/>
        <v>11</v>
      </c>
      <c r="T18" s="34"/>
      <c r="U18" s="37" t="s">
        <v>210</v>
      </c>
      <c r="V18" s="34">
        <f>IFERROR(SUMIF(Table621[Sub-Accounts],Table822[[#This Row],[Update your chart of accounts here]],Table621[Debit]),"")</f>
        <v>0</v>
      </c>
      <c r="W18" s="34">
        <f>IFERROR(SUMIF(Table621[Sub-Accounts],Table822[[#This Row],[Update your chart of accounts here]],Table621[Credit]),"")</f>
        <v>0</v>
      </c>
      <c r="X18" s="34"/>
      <c r="Y18" s="34"/>
      <c r="Z18" s="34"/>
      <c r="AA18" s="34"/>
      <c r="AB18" s="34">
        <f>MAX(Table822[[#This Row],[Debit]]+Table822[[#This Row],[Debit -]]-Table822[[#This Row],[Credit]]-Table822[[#This Row],[Credit +]],0)</f>
        <v>0</v>
      </c>
      <c r="AC18" s="34">
        <f>MAX(Table822[[#This Row],[Credit]]-Table822[[#This Row],[Debit]]+Table822[[#This Row],[Credit +]]-Table822[[#This Row],[Debit -]],0)</f>
        <v>0</v>
      </c>
      <c r="AD18" s="34" t="str">
        <f>IFERROR(IF(AND(OR(Table822[[#This Row],[Classification]]="Expense",Table822[[#This Row],[Classification]]="Cost of Goods Sold"),Table822[[#This Row],[Debit\]]&gt;Table822[[#This Row],[Credit.]]),Table822[[#This Row],[Debit\]]-Table822[[#This Row],[Credit.]],""),"")</f>
        <v/>
      </c>
      <c r="AE18" s="34" t="str">
        <f>IFERROR(IF(AND(OR(Table822[[#This Row],[Classification]]="Income",Table822[[#This Row],[Classification]]="Cost of Goods Sold"),Table822[[#This Row],[Credit.]]&gt;Table822[[#This Row],[Debit\]]),Table822[[#This Row],[Credit.]]-Table822[[#This Row],[Debit\]],""),"")</f>
        <v/>
      </c>
      <c r="AF18" s="34"/>
      <c r="AG18" s="34" t="str">
        <f>IFERROR(IF(AND(Table822[[#This Row],[Classification]]="Assets",Table822[[#This Row],[Debit\]]-Table822[[#This Row],[Credit.]]),Table822[[#This Row],[Debit\]]-Table822[[#This Row],[Credit.]],""),"")</f>
        <v/>
      </c>
      <c r="AH18" s="34" t="str">
        <f>IFERROR(IF(AND(OR(Table822[[#This Row],[Classification]]="Liabilities",Table822[[#This Row],[Classification]]="Owner´s Equity"),Table822[[#This Row],[Credit.]]&gt;Table822[[#This Row],[Debit\]]),Table822[[#This Row],[Credit.]]-Table822[[#This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IFERROR(SUMIF(Table419[,],Table621[[#This Row],[Accounts Name]],Table419[,3]),"")</f>
        <v>676160</v>
      </c>
      <c r="P19" s="34">
        <f>IFERROR(SUMIF(Table419[,],Table621[[#This Row],[Accounts Name]],Table419[,2]),"")</f>
        <v>0</v>
      </c>
      <c r="S19" s="36">
        <f t="shared" si="0"/>
        <v>12</v>
      </c>
      <c r="T19" s="34"/>
      <c r="U19" s="37" t="s">
        <v>211</v>
      </c>
      <c r="V19" s="34">
        <f>IFERROR(SUMIF(Table621[Sub-Accounts],Table822[[#This Row],[Update your chart of accounts here]],Table621[Debit]),"")</f>
        <v>0</v>
      </c>
      <c r="W19" s="34">
        <f>IFERROR(SUMIF(Table621[Sub-Accounts],Table822[[#This Row],[Update your chart of accounts here]],Table621[Credit]),"")</f>
        <v>0</v>
      </c>
      <c r="X19" s="34"/>
      <c r="Y19" s="34"/>
      <c r="Z19" s="34"/>
      <c r="AA19" s="34"/>
      <c r="AB19" s="34">
        <f>MAX(Table822[[#This Row],[Debit]]+Table822[[#This Row],[Debit -]]-Table822[[#This Row],[Credit]]-Table822[[#This Row],[Credit +]],0)</f>
        <v>0</v>
      </c>
      <c r="AC19" s="34">
        <f>MAX(Table822[[#This Row],[Credit]]-Table822[[#This Row],[Debit]]+Table822[[#This Row],[Credit +]]-Table822[[#This Row],[Debit -]],0)</f>
        <v>0</v>
      </c>
      <c r="AD19" s="34" t="str">
        <f>IFERROR(IF(AND(OR(Table822[[#This Row],[Classification]]="Expense",Table822[[#This Row],[Classification]]="Cost of Goods Sold"),Table822[[#This Row],[Debit\]]&gt;Table822[[#This Row],[Credit.]]),Table822[[#This Row],[Debit\]]-Table822[[#This Row],[Credit.]],""),"")</f>
        <v/>
      </c>
      <c r="AE19" s="34" t="str">
        <f>IFERROR(IF(AND(OR(Table822[[#This Row],[Classification]]="Income",Table822[[#This Row],[Classification]]="Cost of Goods Sold"),Table822[[#This Row],[Credit.]]&gt;Table822[[#This Row],[Debit\]]),Table822[[#This Row],[Credit.]]-Table822[[#This Row],[Debit\]],""),"")</f>
        <v/>
      </c>
      <c r="AF19" s="34"/>
      <c r="AG19" s="34" t="str">
        <f>IFERROR(IF(AND(Table822[[#This Row],[Classification]]="Assets",Table822[[#This Row],[Debit\]]-Table822[[#This Row],[Credit.]]),Table822[[#This Row],[Debit\]]-Table822[[#This Row],[Credit.]],""),"")</f>
        <v/>
      </c>
      <c r="AH19" s="34" t="str">
        <f>IFERROR(IF(AND(OR(Table822[[#This Row],[Classification]]="Liabilities",Table822[[#This Row],[Classification]]="Owner´s Equity"),Table822[[#This Row],[Credit.]]&gt;Table822[[#This Row],[Debit\]]),Table822[[#This Row],[Credit.]]-Table822[[#This Row],[Debit\]],""),"")</f>
        <v/>
      </c>
    </row>
    <row r="20" spans="2:34" hidden="1" x14ac:dyDescent="0.25">
      <c r="B20" s="34"/>
      <c r="C20" s="37" t="s">
        <v>74</v>
      </c>
      <c r="D20" s="34">
        <v>676160</v>
      </c>
      <c r="E20" s="34"/>
      <c r="G20" s="39"/>
      <c r="H20" s="43" t="s">
        <v>187</v>
      </c>
      <c r="I20" s="41"/>
      <c r="J20" s="41"/>
      <c r="L20" s="34">
        <v>13</v>
      </c>
      <c r="M20" s="35" t="s">
        <v>143</v>
      </c>
      <c r="N20" s="35" t="s">
        <v>75</v>
      </c>
      <c r="O20" s="34">
        <f>IFERROR(SUMIF(Table419[,],Table621[[#This Row],[Accounts Name]],Table419[,3]),"")</f>
        <v>0</v>
      </c>
      <c r="P20" s="34">
        <f>IFERROR(SUMIF(Table419[,],Table621[[#This Row],[Accounts Name]],Table419[,2]),"")</f>
        <v>654898</v>
      </c>
      <c r="S20" s="36">
        <f t="shared" si="0"/>
        <v>13</v>
      </c>
      <c r="T20" s="34"/>
      <c r="U20" s="37" t="s">
        <v>212</v>
      </c>
      <c r="V20" s="34">
        <f>IFERROR(SUMIF(Table621[Sub-Accounts],Table822[[#This Row],[Update your chart of accounts here]],Table621[Debit]),"")</f>
        <v>0</v>
      </c>
      <c r="W20" s="34">
        <f>IFERROR(SUMIF(Table621[Sub-Accounts],Table822[[#This Row],[Update your chart of accounts here]],Table621[Credit]),"")</f>
        <v>0</v>
      </c>
      <c r="X20" s="34"/>
      <c r="Y20" s="34"/>
      <c r="Z20" s="34"/>
      <c r="AA20" s="34"/>
      <c r="AB20" s="34">
        <f>MAX(Table822[[#This Row],[Debit]]+Table822[[#This Row],[Debit -]]-Table822[[#This Row],[Credit]]-Table822[[#This Row],[Credit +]],0)</f>
        <v>0</v>
      </c>
      <c r="AC20" s="34">
        <f>MAX(Table822[[#This Row],[Credit]]-Table822[[#This Row],[Debit]]+Table822[[#This Row],[Credit +]]-Table822[[#This Row],[Debit -]],0)</f>
        <v>0</v>
      </c>
      <c r="AD20" s="34" t="str">
        <f>IFERROR(IF(AND(OR(Table822[[#This Row],[Classification]]="Expense",Table822[[#This Row],[Classification]]="Cost of Goods Sold"),Table822[[#This Row],[Debit\]]&gt;Table822[[#This Row],[Credit.]]),Table822[[#This Row],[Debit\]]-Table822[[#This Row],[Credit.]],""),"")</f>
        <v/>
      </c>
      <c r="AE20" s="34" t="str">
        <f>IFERROR(IF(AND(OR(Table822[[#This Row],[Classification]]="Income",Table822[[#This Row],[Classification]]="Cost of Goods Sold"),Table822[[#This Row],[Credit.]]&gt;Table822[[#This Row],[Debit\]]),Table822[[#This Row],[Credit.]]-Table822[[#This Row],[Debit\]],""),"")</f>
        <v/>
      </c>
      <c r="AF20" s="34"/>
      <c r="AG20" s="34" t="str">
        <f>IFERROR(IF(AND(Table822[[#This Row],[Classification]]="Assets",Table822[[#This Row],[Debit\]]-Table822[[#This Row],[Credit.]]),Table822[[#This Row],[Debit\]]-Table822[[#This Row],[Credit.]],""),"")</f>
        <v/>
      </c>
      <c r="AH20" s="34" t="str">
        <f>IFERROR(IF(AND(OR(Table822[[#This Row],[Classification]]="Liabilities",Table822[[#This Row],[Classification]]="Owner´s Equity"),Table822[[#This Row],[Credit.]]&gt;Table822[[#This Row],[Debit\]]),Table822[[#This Row],[Credit.]]-Table822[[#This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IFERROR(SUMIF(Table419[,],Table621[[#This Row],[Accounts Name]],Table419[,3]),"")</f>
        <v>828735.28</v>
      </c>
      <c r="P21" s="34">
        <f>IFERROR(SUMIF(Table419[,],Table621[[#This Row],[Accounts Name]],Table419[,2]),"")</f>
        <v>0</v>
      </c>
      <c r="S21" s="36">
        <f t="shared" si="0"/>
        <v>14</v>
      </c>
      <c r="T21" s="34"/>
      <c r="U21" s="37" t="s">
        <v>213</v>
      </c>
      <c r="V21" s="34">
        <f>IFERROR(SUMIF(Table621[Sub-Accounts],Table822[[#This Row],[Update your chart of accounts here]],Table621[Debit]),"")</f>
        <v>0</v>
      </c>
      <c r="W21" s="34">
        <f>IFERROR(SUMIF(Table621[Sub-Accounts],Table822[[#This Row],[Update your chart of accounts here]],Table621[Credit]),"")</f>
        <v>0</v>
      </c>
      <c r="X21" s="34"/>
      <c r="Y21" s="34"/>
      <c r="Z21" s="34"/>
      <c r="AA21" s="34"/>
      <c r="AB21" s="34">
        <f>MAX(Table822[[#This Row],[Debit]]+Table822[[#This Row],[Debit -]]-Table822[[#This Row],[Credit]]-Table822[[#This Row],[Credit +]],0)</f>
        <v>0</v>
      </c>
      <c r="AC21" s="34">
        <f>MAX(Table822[[#This Row],[Credit]]-Table822[[#This Row],[Debit]]+Table822[[#This Row],[Credit +]]-Table822[[#This Row],[Debit -]],0)</f>
        <v>0</v>
      </c>
      <c r="AD21" s="34" t="str">
        <f>IFERROR(IF(AND(OR(Table822[[#This Row],[Classification]]="Expense",Table822[[#This Row],[Classification]]="Cost of Goods Sold"),Table822[[#This Row],[Debit\]]&gt;Table822[[#This Row],[Credit.]]),Table822[[#This Row],[Debit\]]-Table822[[#This Row],[Credit.]],""),"")</f>
        <v/>
      </c>
      <c r="AE21" s="34" t="str">
        <f>IFERROR(IF(AND(OR(Table822[[#This Row],[Classification]]="Income",Table822[[#This Row],[Classification]]="Cost of Goods Sold"),Table822[[#This Row],[Credit.]]&gt;Table822[[#This Row],[Debit\]]),Table822[[#This Row],[Credit.]]-Table822[[#This Row],[Debit\]],""),"")</f>
        <v/>
      </c>
      <c r="AF21" s="34"/>
      <c r="AG21" s="34" t="str">
        <f>IFERROR(IF(AND(Table822[[#This Row],[Classification]]="Assets",Table822[[#This Row],[Debit\]]-Table822[[#This Row],[Credit.]]),Table822[[#This Row],[Debit\]]-Table822[[#This Row],[Credit.]],""),"")</f>
        <v/>
      </c>
      <c r="AH21" s="34" t="str">
        <f>IFERROR(IF(AND(OR(Table822[[#This Row],[Classification]]="Liabilities",Table822[[#This Row],[Classification]]="Owner´s Equity"),Table822[[#This Row],[Credit.]]&gt;Table822[[#This Row],[Debit\]]),Table822[[#This Row],[Credit.]]-Table822[[#This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IFERROR(SUMIF(Table419[,],Table621[[#This Row],[Accounts Name]],Table419[,3]),"")</f>
        <v>0</v>
      </c>
      <c r="P22" s="34">
        <f>IFERROR(SUMIF(Table419[,],Table621[[#This Row],[Accounts Name]],Table419[,2]),"")</f>
        <v>347656</v>
      </c>
      <c r="S22" s="36">
        <f t="shared" si="0"/>
        <v>15</v>
      </c>
      <c r="T22" s="34" t="s">
        <v>11</v>
      </c>
      <c r="U22" s="37" t="s">
        <v>144</v>
      </c>
      <c r="V22" s="34">
        <f>IFERROR(SUMIF(Table621[Sub-Accounts],Table822[[#This Row],[Update your chart of accounts here]],Table621[Debit]),"")</f>
        <v>2228108</v>
      </c>
      <c r="W22" s="34">
        <f>IFERROR(SUMIF(Table621[Sub-Accounts],Table822[[#This Row],[Update your chart of accounts here]],Table621[Credit]),"")</f>
        <v>0</v>
      </c>
      <c r="X22" s="34"/>
      <c r="Y22" s="34" t="s">
        <v>227</v>
      </c>
      <c r="Z22" s="34"/>
      <c r="AA22" s="34">
        <f>J19</f>
        <v>50000</v>
      </c>
      <c r="AB22" s="34">
        <f>MAX(Table822[[#This Row],[Debit]]+Table822[[#This Row],[Debit -]]-Table822[[#This Row],[Credit]]-Table822[[#This Row],[Credit +]],0)</f>
        <v>2178108</v>
      </c>
      <c r="AC22" s="34">
        <f>MAX(Table822[[#This Row],[Credit]]-Table822[[#This Row],[Debit]]+Table822[[#This Row],[Credit +]]-Table822[[#This Row],[Debit -]],0)</f>
        <v>0</v>
      </c>
      <c r="AD22" s="34" t="str">
        <f>IFERROR(IF(AND(OR(Table822[[#This Row],[Classification]]="Expense",Table822[[#This Row],[Classification]]="Cost of Goods Sold"),Table822[[#This Row],[Debit\]]&gt;Table822[[#This Row],[Credit.]]),Table822[[#This Row],[Debit\]]-Table822[[#This Row],[Credit.]],""),"")</f>
        <v/>
      </c>
      <c r="AE22" s="34" t="str">
        <f>IFERROR(IF(AND(OR(Table822[[#This Row],[Classification]]="Income",Table822[[#This Row],[Classification]]="Cost of Goods Sold"),Table822[[#This Row],[Credit.]]&gt;Table822[[#This Row],[Debit\]]),Table822[[#This Row],[Credit.]]-Table822[[#This Row],[Debit\]],""),"")</f>
        <v/>
      </c>
      <c r="AF22" s="34"/>
      <c r="AG22" s="34">
        <f>IFERROR(IF(AND(Table822[[#This Row],[Classification]]="Assets",Table822[[#This Row],[Debit\]]-Table822[[#This Row],[Credit.]]),Table822[[#This Row],[Debit\]]-Table822[[#This Row],[Credit.]],""),"")</f>
        <v>2178108</v>
      </c>
      <c r="AH22" s="34" t="str">
        <f>IFERROR(IF(AND(OR(Table822[[#This Row],[Classification]]="Liabilities",Table822[[#This Row],[Classification]]="Owner´s Equity"),Table822[[#This Row],[Credit.]]&gt;Table822[[#This Row],[Debit\]]),Table822[[#This Row],[Credit.]]-Table822[[#This Row],[Debit\]],""),"")</f>
        <v/>
      </c>
    </row>
    <row r="23" spans="2:34" hidden="1" x14ac:dyDescent="0.25">
      <c r="B23" s="34"/>
      <c r="C23" s="37" t="s">
        <v>77</v>
      </c>
      <c r="D23" s="34"/>
      <c r="E23" s="34">
        <v>347656</v>
      </c>
      <c r="G23" s="39"/>
      <c r="H23" s="43" t="s">
        <v>188</v>
      </c>
      <c r="I23" s="41"/>
      <c r="J23" s="41"/>
      <c r="L23" s="34">
        <v>16</v>
      </c>
      <c r="M23" s="35" t="s">
        <v>143</v>
      </c>
      <c r="N23" s="35" t="s">
        <v>78</v>
      </c>
      <c r="O23" s="34">
        <f>IFERROR(SUMIF(Table419[,],Table621[[#This Row],[Accounts Name]],Table419[,3]),"")</f>
        <v>1150000</v>
      </c>
      <c r="P23" s="34">
        <f>IFERROR(SUMIF(Table419[,],Table621[[#This Row],[Accounts Name]],Table419[,2]),"")</f>
        <v>0</v>
      </c>
      <c r="S23" s="36">
        <f t="shared" si="0"/>
        <v>16</v>
      </c>
      <c r="T23" s="34"/>
      <c r="U23" s="37" t="s">
        <v>214</v>
      </c>
      <c r="V23" s="34">
        <f>IFERROR(SUMIF(Table621[Sub-Accounts],Table822[[#This Row],[Update your chart of accounts here]],Table621[Debit]),"")</f>
        <v>0</v>
      </c>
      <c r="W23" s="34">
        <f>IFERROR(SUMIF(Table621[Sub-Accounts],Table822[[#This Row],[Update your chart of accounts here]],Table621[Credit]),"")</f>
        <v>0</v>
      </c>
      <c r="X23" s="34"/>
      <c r="Y23" s="34"/>
      <c r="Z23" s="34"/>
      <c r="AA23" s="34"/>
      <c r="AB23" s="34">
        <f>MAX(Table822[[#This Row],[Debit]]+Table822[[#This Row],[Debit -]]-Table822[[#This Row],[Credit]]-Table822[[#This Row],[Credit +]],0)</f>
        <v>0</v>
      </c>
      <c r="AC23" s="34">
        <f>MAX(Table822[[#This Row],[Credit]]-Table822[[#This Row],[Debit]]+Table822[[#This Row],[Credit +]]-Table822[[#This Row],[Debit -]],0)</f>
        <v>0</v>
      </c>
      <c r="AD23" s="34" t="str">
        <f>IFERROR(IF(AND(OR(Table822[[#This Row],[Classification]]="Expense",Table822[[#This Row],[Classification]]="Cost of Goods Sold"),Table822[[#This Row],[Debit\]]&gt;Table822[[#This Row],[Credit.]]),Table822[[#This Row],[Debit\]]-Table822[[#This Row],[Credit.]],""),"")</f>
        <v/>
      </c>
      <c r="AE23" s="34" t="str">
        <f>IFERROR(IF(AND(OR(Table822[[#This Row],[Classification]]="Income",Table822[[#This Row],[Classification]]="Cost of Goods Sold"),Table822[[#This Row],[Credit.]]&gt;Table822[[#This Row],[Debit\]]),Table822[[#This Row],[Credit.]]-Table822[[#This Row],[Debit\]],""),"")</f>
        <v/>
      </c>
      <c r="AF23" s="34"/>
      <c r="AG23" s="34" t="str">
        <f>IFERROR(IF(AND(Table822[[#This Row],[Classification]]="Assets",Table822[[#This Row],[Debit\]]-Table822[[#This Row],[Credit.]]),Table822[[#This Row],[Debit\]]-Table822[[#This Row],[Credit.]],""),"")</f>
        <v/>
      </c>
      <c r="AH23" s="34" t="str">
        <f>IFERROR(IF(AND(OR(Table822[[#This Row],[Classification]]="Liabilities",Table822[[#This Row],[Classification]]="Owner´s Equity"),Table822[[#This Row],[Credit.]]&gt;Table822[[#This Row],[Debit\]]),Table822[[#This Row],[Credit.]]-Table822[[#This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IFERROR(SUMIF(Table419[,],Table621[[#This Row],[Accounts Name]],Table419[,3]),"")</f>
        <v>375657</v>
      </c>
      <c r="P24" s="34">
        <f>IFERROR(SUMIF(Table419[,],Table621[[#This Row],[Accounts Name]],Table419[,2]),"")</f>
        <v>0</v>
      </c>
      <c r="S24" s="36">
        <f t="shared" si="0"/>
        <v>17</v>
      </c>
      <c r="T24" s="34" t="s">
        <v>48</v>
      </c>
      <c r="U24" s="37" t="s">
        <v>145</v>
      </c>
      <c r="V24" s="34">
        <f>IFERROR(SUMIF(Table621[Sub-Accounts],Table822[[#This Row],[Update your chart of accounts here]],Table621[Debit]),"")</f>
        <v>0</v>
      </c>
      <c r="W24" s="34">
        <f>IFERROR(SUMIF(Table621[Sub-Accounts],Table822[[#This Row],[Update your chart of accounts here]],Table621[Credit]),"")</f>
        <v>11852079.26</v>
      </c>
      <c r="X24" s="34"/>
      <c r="Y24" s="34" t="s">
        <v>226</v>
      </c>
      <c r="Z24" s="34">
        <f>I16</f>
        <v>1000000</v>
      </c>
      <c r="AA24" s="34"/>
      <c r="AB24" s="34">
        <f>MAX(Table822[[#This Row],[Debit]]+Table822[[#This Row],[Debit -]]-Table822[[#This Row],[Credit]]-Table822[[#This Row],[Credit +]],0)</f>
        <v>0</v>
      </c>
      <c r="AC24" s="34">
        <f>MAX(Table822[[#This Row],[Credit]]-Table822[[#This Row],[Debit]]+Table822[[#This Row],[Credit +]]-Table822[[#This Row],[Debit -]],0)</f>
        <v>10852079.26</v>
      </c>
      <c r="AD24" s="34" t="str">
        <f>IFERROR(IF(AND(OR(Table822[[#This Row],[Classification]]="Expense",Table822[[#This Row],[Classification]]="Cost of Goods Sold"),Table822[[#This Row],[Debit\]]&gt;Table822[[#This Row],[Credit.]]),Table822[[#This Row],[Debit\]]-Table822[[#This Row],[Credit.]],""),"")</f>
        <v/>
      </c>
      <c r="AE24" s="34" t="str">
        <f>IFERROR(IF(AND(OR(Table822[[#This Row],[Classification]]="Income",Table822[[#This Row],[Classification]]="Cost of Goods Sold"),Table822[[#This Row],[Credit.]]&gt;Table822[[#This Row],[Debit\]]),Table822[[#This Row],[Credit.]]-Table822[[#This Row],[Debit\]],""),"")</f>
        <v/>
      </c>
      <c r="AF24" s="34"/>
      <c r="AG24" s="34" t="str">
        <f>IFERROR(IF(AND(Table822[[#This Row],[Classification]]="Assets",Table822[[#This Row],[Debit\]]-Table822[[#This Row],[Credit.]]),Table822[[#This Row],[Debit\]]-Table822[[#This Row],[Credit.]],""),"")</f>
        <v/>
      </c>
      <c r="AH24" s="34">
        <f>IFERROR(IF(AND(OR(Table822[[#This Row],[Classification]]="Liabilities",Table822[[#This Row],[Classification]]="Owner´s Equity"),Table822[[#This Row],[Credit.]]&gt;Table822[[#This Row],[Debit\]]),Table822[[#This Row],[Credit.]]-Table822[[#This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IFERROR(SUMIF(Table419[,],Table621[[#This Row],[Accounts Name]],Table419[,3]),"")</f>
        <v>0</v>
      </c>
      <c r="P25" s="34">
        <f>IFERROR(SUMIF(Table419[,],Table621[[#This Row],[Accounts Name]],Table419[,2]),"")</f>
        <v>288789</v>
      </c>
      <c r="S25" s="36">
        <f t="shared" si="0"/>
        <v>18</v>
      </c>
      <c r="T25" s="34"/>
      <c r="U25" s="37" t="s">
        <v>215</v>
      </c>
      <c r="V25" s="34">
        <f>IFERROR(SUMIF(Table621[Sub-Accounts],Table822[[#This Row],[Update your chart of accounts here]],Table621[Debit]),"")</f>
        <v>0</v>
      </c>
      <c r="W25" s="34">
        <f>IFERROR(SUMIF(Table621[Sub-Accounts],Table822[[#This Row],[Update your chart of accounts here]],Table621[Credit]),"")</f>
        <v>0</v>
      </c>
      <c r="X25" s="34"/>
      <c r="Y25" s="34"/>
      <c r="Z25" s="34"/>
      <c r="AA25" s="34"/>
      <c r="AB25" s="34">
        <f>MAX(Table822[[#This Row],[Debit]]+Table822[[#This Row],[Debit -]]-Table822[[#This Row],[Credit]]-Table822[[#This Row],[Credit +]],0)</f>
        <v>0</v>
      </c>
      <c r="AC25" s="34">
        <f>MAX(Table822[[#This Row],[Credit]]-Table822[[#This Row],[Debit]]+Table822[[#This Row],[Credit +]]-Table822[[#This Row],[Debit -]],0)</f>
        <v>0</v>
      </c>
      <c r="AD25" s="34" t="str">
        <f>IFERROR(IF(AND(OR(Table822[[#This Row],[Classification]]="Expense",Table822[[#This Row],[Classification]]="Cost of Goods Sold"),Table822[[#This Row],[Debit\]]&gt;Table822[[#This Row],[Credit.]]),Table822[[#This Row],[Debit\]]-Table822[[#This Row],[Credit.]],""),"")</f>
        <v/>
      </c>
      <c r="AE25" s="34" t="str">
        <f>IFERROR(IF(AND(OR(Table822[[#This Row],[Classification]]="Income",Table822[[#This Row],[Classification]]="Cost of Goods Sold"),Table822[[#This Row],[Credit.]]&gt;Table822[[#This Row],[Debit\]]),Table822[[#This Row],[Credit.]]-Table822[[#This Row],[Debit\]],""),"")</f>
        <v/>
      </c>
      <c r="AF25" s="34"/>
      <c r="AG25" s="34" t="str">
        <f>IFERROR(IF(AND(Table822[[#This Row],[Classification]]="Assets",Table822[[#This Row],[Debit\]]-Table822[[#This Row],[Credit.]]),Table822[[#This Row],[Debit\]]-Table822[[#This Row],[Credit.]],""),"")</f>
        <v/>
      </c>
      <c r="AH25" s="34" t="str">
        <f>IFERROR(IF(AND(OR(Table822[[#This Row],[Classification]]="Liabilities",Table822[[#This Row],[Classification]]="Owner´s Equity"),Table822[[#This Row],[Credit.]]&gt;Table822[[#This Row],[Debit\]]),Table822[[#This Row],[Credit.]]-Table822[[#This Row],[Debit\]],""),"")</f>
        <v/>
      </c>
    </row>
    <row r="26" spans="2:34" hidden="1" x14ac:dyDescent="0.25">
      <c r="B26" s="34"/>
      <c r="C26" s="37" t="s">
        <v>80</v>
      </c>
      <c r="D26" s="34"/>
      <c r="E26" s="34">
        <v>288789</v>
      </c>
      <c r="G26" s="39"/>
      <c r="H26" s="43" t="s">
        <v>189</v>
      </c>
      <c r="I26" s="41"/>
      <c r="J26" s="41"/>
      <c r="L26" s="34">
        <v>19</v>
      </c>
      <c r="M26" s="35" t="s">
        <v>143</v>
      </c>
      <c r="N26" s="35" t="s">
        <v>81</v>
      </c>
      <c r="O26" s="34">
        <f>IFERROR(SUMIF(Table419[,],Table621[[#This Row],[Accounts Name]],Table419[,3]),"")</f>
        <v>975000</v>
      </c>
      <c r="P26" s="34">
        <f>IFERROR(SUMIF(Table419[,],Table621[[#This Row],[Accounts Name]],Table419[,2]),"")</f>
        <v>0</v>
      </c>
      <c r="S26" s="36">
        <f t="shared" si="0"/>
        <v>19</v>
      </c>
      <c r="T26" s="34" t="s">
        <v>62</v>
      </c>
      <c r="U26" s="37" t="s">
        <v>62</v>
      </c>
      <c r="V26" s="34">
        <f>IFERROR(SUMIF(Table621[Sub-Accounts],Table822[[#This Row],[Update your chart of accounts here]],Table621[Debit]),"")</f>
        <v>0</v>
      </c>
      <c r="W26" s="34">
        <f>IFERROR(SUMIF(Table621[Sub-Accounts],Table822[[#This Row],[Update your chart of accounts here]],Table621[Credit]),"")</f>
        <v>332888373.44999999</v>
      </c>
      <c r="X26" s="34"/>
      <c r="Y26" s="34" t="s">
        <v>228</v>
      </c>
      <c r="Z26" s="34">
        <f>I24</f>
        <v>21</v>
      </c>
      <c r="AA26" s="34"/>
      <c r="AB26" s="34">
        <f>MAX(Table822[[#This Row],[Debit]]+Table822[[#This Row],[Debit -]]-Table822[[#This Row],[Credit]]-Table822[[#This Row],[Credit +]],0)</f>
        <v>0</v>
      </c>
      <c r="AC26" s="34">
        <f>MAX(Table822[[#This Row],[Credit]]-Table822[[#This Row],[Debit]]+Table822[[#This Row],[Credit +]]-Table822[[#This Row],[Debit -]],0)</f>
        <v>332888352.44999999</v>
      </c>
      <c r="AD26" s="34" t="str">
        <f>IFERROR(IF(AND(OR(Table822[[#This Row],[Classification]]="Expense",Table822[[#This Row],[Classification]]="Cost of Goods Sold"),Table822[[#This Row],[Debit\]]&gt;Table822[[#This Row],[Credit.]]),Table822[[#This Row],[Debit\]]-Table822[[#This Row],[Credit.]],""),"")</f>
        <v/>
      </c>
      <c r="AE26" s="34">
        <f>IFERROR(IF(AND(OR(Table822[[#This Row],[Classification]]="Income",Table822[[#This Row],[Classification]]="Cost of Goods Sold"),Table822[[#This Row],[Credit.]]&gt;Table822[[#This Row],[Debit\]]),Table822[[#This Row],[Credit.]]-Table822[[#This Row],[Debit\]],""),"")</f>
        <v>332888352.44999999</v>
      </c>
      <c r="AF26" s="34"/>
      <c r="AG26" s="34" t="str">
        <f>IFERROR(IF(AND(Table822[[#This Row],[Classification]]="Assets",Table822[[#This Row],[Debit\]]-Table822[[#This Row],[Credit.]]),Table822[[#This Row],[Debit\]]-Table822[[#This Row],[Credit.]],""),"")</f>
        <v/>
      </c>
      <c r="AH26" s="34" t="str">
        <f>IFERROR(IF(AND(OR(Table822[[#This Row],[Classification]]="Liabilities",Table822[[#This Row],[Classification]]="Owner´s Equity"),Table822[[#This Row],[Credit.]]&gt;Table822[[#This Row],[Debit\]]),Table822[[#This Row],[Credit.]]-Table822[[#This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IFERROR(SUMIF(Table419[,],Table621[[#This Row],[Accounts Name]],Table419[,3]),"")</f>
        <v>0</v>
      </c>
      <c r="P27" s="34">
        <f>IFERROR(SUMIF(Table419[,],Table621[[#This Row],[Accounts Name]],Table419[,2]),"")</f>
        <v>426561</v>
      </c>
      <c r="S27" s="36">
        <f t="shared" si="0"/>
        <v>20</v>
      </c>
      <c r="T27" s="34" t="s">
        <v>62</v>
      </c>
      <c r="U27" s="37" t="s">
        <v>216</v>
      </c>
      <c r="V27" s="34">
        <f>IFERROR(SUMIF(Table621[Sub-Accounts],Table822[[#This Row],[Update your chart of accounts here]],Table621[Debit]),"")</f>
        <v>0</v>
      </c>
      <c r="W27" s="34">
        <f>IFERROR(SUMIF(Table621[Sub-Accounts],Table822[[#This Row],[Update your chart of accounts here]],Table621[Credit]),"")</f>
        <v>0</v>
      </c>
      <c r="X27" s="34"/>
      <c r="Y27" s="34" t="s">
        <v>225</v>
      </c>
      <c r="Z27" s="34"/>
      <c r="AA27" s="34">
        <f>J13</f>
        <v>251563</v>
      </c>
      <c r="AB27" s="34">
        <f>MAX(Table822[[#This Row],[Debit]]+Table822[[#This Row],[Debit -]]-Table822[[#This Row],[Credit]]-Table822[[#This Row],[Credit +]],0)</f>
        <v>0</v>
      </c>
      <c r="AC27" s="34">
        <f>MAX(Table822[[#This Row],[Credit]]-Table822[[#This Row],[Debit]]+Table822[[#This Row],[Credit +]]-Table822[[#This Row],[Debit -]],0)</f>
        <v>251563</v>
      </c>
      <c r="AD27" s="34" t="str">
        <f>IFERROR(IF(AND(OR(Table822[[#This Row],[Classification]]="Expense",Table822[[#This Row],[Classification]]="Cost of Goods Sold"),Table822[[#This Row],[Debit\]]&gt;Table822[[#This Row],[Credit.]]),Table822[[#This Row],[Debit\]]-Table822[[#This Row],[Credit.]],""),"")</f>
        <v/>
      </c>
      <c r="AE27" s="34">
        <f>IFERROR(IF(AND(OR(Table822[[#This Row],[Classification]]="Income",Table822[[#This Row],[Classification]]="Cost of Goods Sold"),Table822[[#This Row],[Credit.]]&gt;Table822[[#This Row],[Debit\]]),Table822[[#This Row],[Credit.]]-Table822[[#This Row],[Debit\]],""),"")</f>
        <v>251563</v>
      </c>
      <c r="AF27" s="34"/>
      <c r="AG27" s="34" t="str">
        <f>IFERROR(IF(AND(Table822[[#This Row],[Classification]]="Assets",Table822[[#This Row],[Debit\]]-Table822[[#This Row],[Credit.]]),Table822[[#This Row],[Debit\]]-Table822[[#This Row],[Credit.]],""),"")</f>
        <v/>
      </c>
      <c r="AH27" s="34" t="str">
        <f>IFERROR(IF(AND(OR(Table822[[#This Row],[Classification]]="Liabilities",Table822[[#This Row],[Classification]]="Owner´s Equity"),Table822[[#This Row],[Credit.]]&gt;Table822[[#This Row],[Debit\]]),Table822[[#This Row],[Credit.]]-Table822[[#This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IFERROR(SUMIF(Table419[,],Table621[[#This Row],[Accounts Name]],Table419[,3]),"")</f>
        <v>350000</v>
      </c>
      <c r="P28" s="34">
        <f>IFERROR(SUMIF(Table419[,],Table621[[#This Row],[Accounts Name]],Table419[,2]),"")</f>
        <v>0</v>
      </c>
      <c r="S28" s="36">
        <f t="shared" si="0"/>
        <v>21</v>
      </c>
      <c r="T28" s="34" t="s">
        <v>6</v>
      </c>
      <c r="U28" s="37" t="s">
        <v>147</v>
      </c>
      <c r="V28" s="34">
        <f>IFERROR(SUMIF(Table621[Sub-Accounts],Table822[[#This Row],[Update your chart of accounts here]],Table621[Debit]),"")</f>
        <v>316209838.63</v>
      </c>
      <c r="W28" s="34">
        <f>IFERROR(SUMIF(Table621[Sub-Accounts],Table822[[#This Row],[Update your chart of accounts here]],Table621[Credit]),"")</f>
        <v>0</v>
      </c>
      <c r="X28" s="34"/>
      <c r="Y28" s="34" t="s">
        <v>231</v>
      </c>
      <c r="Z28" s="34">
        <f>I30</f>
        <v>1379881</v>
      </c>
      <c r="AA28" s="34"/>
      <c r="AB28" s="34">
        <f>MAX(Table822[[#This Row],[Debit]]+Table822[[#This Row],[Debit -]]-Table822[[#This Row],[Credit]]-Table822[[#This Row],[Credit +]],0)</f>
        <v>317589719.63</v>
      </c>
      <c r="AC28" s="34">
        <f>MAX(Table822[[#This Row],[Credit]]-Table822[[#This Row],[Debit]]+Table822[[#This Row],[Credit +]]-Table822[[#This Row],[Debit -]],0)</f>
        <v>0</v>
      </c>
      <c r="AD28" s="34">
        <f>IFERROR(IF(AND(OR(Table822[[#This Row],[Classification]]="Expense",Table822[[#This Row],[Classification]]="Cost of Goods Sold"),Table822[[#This Row],[Debit\]]&gt;Table822[[#This Row],[Credit.]]),Table822[[#This Row],[Debit\]]-Table822[[#This Row],[Credit.]],""),"")</f>
        <v>317589719.63</v>
      </c>
      <c r="AE28" s="34" t="str">
        <f>IFERROR(IF(AND(OR(Table822[[#This Row],[Classification]]="Income",Table822[[#This Row],[Classification]]="Cost of Goods Sold"),Table822[[#This Row],[Credit.]]&gt;Table822[[#This Row],[Debit\]]),Table822[[#This Row],[Credit.]]-Table822[[#This Row],[Debit\]],""),"")</f>
        <v/>
      </c>
      <c r="AF28" s="34"/>
      <c r="AG28" s="34" t="str">
        <f>IFERROR(IF(AND(Table822[[#This Row],[Classification]]="Assets",Table822[[#This Row],[Debit\]]-Table822[[#This Row],[Credit.]]),Table822[[#This Row],[Debit\]]-Table822[[#This Row],[Credit.]],""),"")</f>
        <v/>
      </c>
      <c r="AH28" s="34" t="str">
        <f>IFERROR(IF(AND(OR(Table822[[#This Row],[Classification]]="Liabilities",Table822[[#This Row],[Classification]]="Owner´s Equity"),Table822[[#This Row],[Credit.]]&gt;Table822[[#This Row],[Debit\]]),Table822[[#This Row],[Credit.]]-Table822[[#This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IFERROR(SUMIF(Table419[,],Table621[[#This Row],[Accounts Name]],Table419[,3]),"")</f>
        <v>0</v>
      </c>
      <c r="P29" s="34">
        <f>IFERROR(SUMIF(Table419[,],Table621[[#This Row],[Accounts Name]],Table419[,2]),"")</f>
        <v>4840392.6399999997</v>
      </c>
      <c r="S29" s="36">
        <f t="shared" si="0"/>
        <v>22</v>
      </c>
      <c r="T29" s="34" t="s">
        <v>61</v>
      </c>
      <c r="U29" s="37" t="s">
        <v>151</v>
      </c>
      <c r="V29" s="34">
        <f>IFERROR(SUMIF(Table621[Sub-Accounts],Table822[[#This Row],[Update your chart of accounts here]],Table621[Debit]),"")</f>
        <v>3516485</v>
      </c>
      <c r="W29" s="34">
        <f>IFERROR(SUMIF(Table621[Sub-Accounts],Table822[[#This Row],[Update your chart of accounts here]],Table621[Credit]),"")</f>
        <v>0</v>
      </c>
      <c r="X29" s="34"/>
      <c r="Y29" s="34"/>
      <c r="Z29" s="34"/>
      <c r="AA29" s="34"/>
      <c r="AB29" s="34">
        <f>MAX(Table822[[#This Row],[Debit]]+Table822[[#This Row],[Debit -]]-Table822[[#This Row],[Credit]]-Table822[[#This Row],[Credit +]],0)</f>
        <v>3516485</v>
      </c>
      <c r="AC29" s="34">
        <f>MAX(Table822[[#This Row],[Credit]]-Table822[[#This Row],[Debit]]+Table822[[#This Row],[Credit +]]-Table822[[#This Row],[Debit -]],0)</f>
        <v>0</v>
      </c>
      <c r="AD29" s="34">
        <f>IFERROR(IF(AND(OR(Table822[[#This Row],[Classification]]="Expense",Table822[[#This Row],[Classification]]="Cost of Goods Sold"),Table822[[#This Row],[Debit\]]&gt;Table822[[#This Row],[Credit.]]),Table822[[#This Row],[Debit\]]-Table822[[#This Row],[Credit.]],""),"")</f>
        <v>3516485</v>
      </c>
      <c r="AE29" s="34" t="str">
        <f>IFERROR(IF(AND(OR(Table822[[#This Row],[Classification]]="Income",Table822[[#This Row],[Classification]]="Cost of Goods Sold"),Table822[[#This Row],[Credit.]]&gt;Table822[[#This Row],[Debit\]]),Table822[[#This Row],[Credit.]]-Table822[[#This Row],[Debit\]],""),"")</f>
        <v/>
      </c>
      <c r="AF29" s="34"/>
      <c r="AG29" s="34" t="str">
        <f>IFERROR(IF(AND(Table822[[#This Row],[Classification]]="Assets",Table822[[#This Row],[Debit\]]-Table822[[#This Row],[Credit.]]),Table822[[#This Row],[Debit\]]-Table822[[#This Row],[Credit.]],""),"")</f>
        <v/>
      </c>
      <c r="AH29" s="34" t="str">
        <f>IFERROR(IF(AND(OR(Table822[[#This Row],[Classification]]="Liabilities",Table822[[#This Row],[Classification]]="Owner´s Equity"),Table822[[#This Row],[Credit.]]&gt;Table822[[#This Row],[Debit\]]),Table822[[#This Row],[Credit.]]-Table822[[#This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IFERROR(SUMIF(Table419[,],Table621[[#This Row],[Accounts Name]],Table419[,3]),"")</f>
        <v>0</v>
      </c>
      <c r="P30" s="34">
        <f>IFERROR(SUMIF(Table419[,],Table621[[#This Row],[Accounts Name]],Table419[,2]),"")</f>
        <v>175000</v>
      </c>
      <c r="S30" s="36">
        <f t="shared" si="0"/>
        <v>23</v>
      </c>
      <c r="T30" s="34" t="s">
        <v>61</v>
      </c>
      <c r="U30" s="37" t="s">
        <v>167</v>
      </c>
      <c r="V30" s="34">
        <f>IFERROR(SUMIF(Table621[Sub-Accounts],Table822[[#This Row],[Update your chart of accounts here]],Table621[Debit]),"")</f>
        <v>395822.76</v>
      </c>
      <c r="W30" s="34">
        <f>IFERROR(SUMIF(Table621[Sub-Accounts],Table822[[#This Row],[Update your chart of accounts here]],Table621[Credit]),"")</f>
        <v>0</v>
      </c>
      <c r="X30" s="34"/>
      <c r="Y30" s="34" t="s">
        <v>231</v>
      </c>
      <c r="Z30" s="34">
        <f>I29</f>
        <v>325745</v>
      </c>
      <c r="AA30" s="34"/>
      <c r="AB30" s="34">
        <f>MAX(Table822[[#This Row],[Debit]]+Table822[[#This Row],[Debit -]]-Table822[[#This Row],[Credit]]-Table822[[#This Row],[Credit +]],0)</f>
        <v>721567.76</v>
      </c>
      <c r="AC30" s="34">
        <f>MAX(Table822[[#This Row],[Credit]]-Table822[[#This Row],[Debit]]+Table822[[#This Row],[Credit +]]-Table822[[#This Row],[Debit -]],0)</f>
        <v>0</v>
      </c>
      <c r="AD30" s="34">
        <f>IFERROR(IF(AND(OR(Table822[[#This Row],[Classification]]="Expense",Table822[[#This Row],[Classification]]="Cost of Goods Sold"),Table822[[#This Row],[Debit\]]&gt;Table822[[#This Row],[Credit.]]),Table822[[#This Row],[Debit\]]-Table822[[#This Row],[Credit.]],""),"")</f>
        <v>721567.76</v>
      </c>
      <c r="AE30" s="34" t="str">
        <f>IFERROR(IF(AND(OR(Table822[[#This Row],[Classification]]="Income",Table822[[#This Row],[Classification]]="Cost of Goods Sold"),Table822[[#This Row],[Credit.]]&gt;Table822[[#This Row],[Debit\]]),Table822[[#This Row],[Credit.]]-Table822[[#This Row],[Debit\]],""),"")</f>
        <v/>
      </c>
      <c r="AF30" s="34"/>
      <c r="AG30" s="34" t="str">
        <f>IFERROR(IF(AND(Table822[[#This Row],[Classification]]="Assets",Table822[[#This Row],[Debit\]]-Table822[[#This Row],[Credit.]]),Table822[[#This Row],[Debit\]]-Table822[[#This Row],[Credit.]],""),"")</f>
        <v/>
      </c>
      <c r="AH30" s="34" t="str">
        <f>IFERROR(IF(AND(OR(Table822[[#This Row],[Classification]]="Liabilities",Table822[[#This Row],[Classification]]="Owner´s Equity"),Table822[[#This Row],[Credit.]]&gt;Table822[[#This Row],[Debit\]]),Table822[[#This Row],[Credit.]]-Table822[[#This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IFERROR(SUMIF(Table419[,],Table621[[#This Row],[Accounts Name]],Table419[,3]),"")</f>
        <v>0</v>
      </c>
      <c r="P31" s="34">
        <f>IFERROR(SUMIF(Table419[,],Table621[[#This Row],[Accounts Name]],Table419[,2]),"")</f>
        <v>100000</v>
      </c>
      <c r="S31" s="36">
        <f t="shared" si="0"/>
        <v>24</v>
      </c>
      <c r="T31" s="34" t="s">
        <v>61</v>
      </c>
      <c r="U31" s="37" t="s">
        <v>166</v>
      </c>
      <c r="V31" s="34">
        <f>IFERROR(SUMIF(Table621[Sub-Accounts],Table822[[#This Row],[Update your chart of accounts here]],Table621[Debit]),"")</f>
        <v>1409746.56</v>
      </c>
      <c r="W31" s="34">
        <f>IFERROR(SUMIF(Table621[Sub-Accounts],Table822[[#This Row],[Update your chart of accounts here]],Table621[Credit]),"")</f>
        <v>0</v>
      </c>
      <c r="X31" s="34"/>
      <c r="Y31" s="34"/>
      <c r="Z31" s="34"/>
      <c r="AA31" s="34"/>
      <c r="AB31" s="34">
        <f>MAX(Table822[[#This Row],[Debit]]+Table822[[#This Row],[Debit -]]-Table822[[#This Row],[Credit]]-Table822[[#This Row],[Credit +]],0)</f>
        <v>1409746.56</v>
      </c>
      <c r="AC31" s="34">
        <f>MAX(Table822[[#This Row],[Credit]]-Table822[[#This Row],[Debit]]+Table822[[#This Row],[Credit +]]-Table822[[#This Row],[Debit -]],0)</f>
        <v>0</v>
      </c>
      <c r="AD31" s="34">
        <f>IFERROR(IF(AND(OR(Table822[[#This Row],[Classification]]="Expense",Table822[[#This Row],[Classification]]="Cost of Goods Sold"),Table822[[#This Row],[Debit\]]&gt;Table822[[#This Row],[Credit.]]),Table822[[#This Row],[Debit\]]-Table822[[#This Row],[Credit.]],""),"")</f>
        <v>1409746.56</v>
      </c>
      <c r="AE31" s="34" t="str">
        <f>IFERROR(IF(AND(OR(Table822[[#This Row],[Classification]]="Income",Table822[[#This Row],[Classification]]="Cost of Goods Sold"),Table822[[#This Row],[Credit.]]&gt;Table822[[#This Row],[Debit\]]),Table822[[#This Row],[Credit.]]-Table822[[#This Row],[Debit\]],""),"")</f>
        <v/>
      </c>
      <c r="AF31" s="34"/>
      <c r="AG31" s="34" t="str">
        <f>IFERROR(IF(AND(Table822[[#This Row],[Classification]]="Assets",Table822[[#This Row],[Debit\]]-Table822[[#This Row],[Credit.]]),Table822[[#This Row],[Debit\]]-Table822[[#This Row],[Credit.]],""),"")</f>
        <v/>
      </c>
      <c r="AH31" s="34" t="str">
        <f>IFERROR(IF(AND(OR(Table822[[#This Row],[Classification]]="Liabilities",Table822[[#This Row],[Classification]]="Owner´s Equity"),Table822[[#This Row],[Credit.]]&gt;Table822[[#This Row],[Debit\]]),Table822[[#This Row],[Credit.]]-Table822[[#This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IFERROR(SUMIF(Table419[,],Table621[[#This Row],[Accounts Name]],Table419[,3]),"")</f>
        <v>0</v>
      </c>
      <c r="P32" s="34">
        <f>IFERROR(SUMIF(Table419[,],Table621[[#This Row],[Accounts Name]],Table419[,2]),"")</f>
        <v>10050</v>
      </c>
      <c r="S32" s="36">
        <f t="shared" si="0"/>
        <v>25</v>
      </c>
      <c r="T32" s="34" t="s">
        <v>61</v>
      </c>
      <c r="U32" s="37" t="s">
        <v>175</v>
      </c>
      <c r="V32" s="34">
        <f>IFERROR(SUMIF(Table621[Sub-Accounts],Table822[[#This Row],[Update your chart of accounts here]],Table621[Debit]),"")</f>
        <v>0</v>
      </c>
      <c r="W32" s="34">
        <f>IFERROR(SUMIF(Table621[Sub-Accounts],Table822[[#This Row],[Update your chart of accounts here]],Table621[Credit]),"")</f>
        <v>0</v>
      </c>
      <c r="X32" s="34"/>
      <c r="Y32" s="34" t="s">
        <v>231</v>
      </c>
      <c r="Z32" s="34">
        <f>I27</f>
        <v>845624</v>
      </c>
      <c r="AA32" s="34"/>
      <c r="AB32" s="34">
        <f>MAX(Table822[[#This Row],[Debit]]+Table822[[#This Row],[Debit -]]-Table822[[#This Row],[Credit]]-Table822[[#This Row],[Credit +]],0)</f>
        <v>845624</v>
      </c>
      <c r="AC32" s="34">
        <f>MAX(Table822[[#This Row],[Credit]]-Table822[[#This Row],[Debit]]+Table822[[#This Row],[Credit +]]-Table822[[#This Row],[Debit -]],0)</f>
        <v>0</v>
      </c>
      <c r="AD32" s="34">
        <f>IFERROR(IF(AND(OR(Table822[[#This Row],[Classification]]="Expense",Table822[[#This Row],[Classification]]="Cost of Goods Sold"),Table822[[#This Row],[Debit\]]&gt;Table822[[#This Row],[Credit.]]),Table822[[#This Row],[Debit\]]-Table822[[#This Row],[Credit.]],""),"")</f>
        <v>845624</v>
      </c>
      <c r="AE32" s="34" t="str">
        <f>IFERROR(IF(AND(OR(Table822[[#This Row],[Classification]]="Income",Table822[[#This Row],[Classification]]="Cost of Goods Sold"),Table822[[#This Row],[Credit.]]&gt;Table822[[#This Row],[Debit\]]),Table822[[#This Row],[Credit.]]-Table822[[#This Row],[Debit\]],""),"")</f>
        <v/>
      </c>
      <c r="AF32" s="34"/>
      <c r="AG32" s="34" t="str">
        <f>IFERROR(IF(AND(Table822[[#This Row],[Classification]]="Assets",Table822[[#This Row],[Debit\]]-Table822[[#This Row],[Credit.]]),Table822[[#This Row],[Debit\]]-Table822[[#This Row],[Credit.]],""),"")</f>
        <v/>
      </c>
      <c r="AH32" s="34" t="str">
        <f>IFERROR(IF(AND(OR(Table822[[#This Row],[Classification]]="Liabilities",Table822[[#This Row],[Classification]]="Owner´s Equity"),Table822[[#This Row],[Credit.]]&gt;Table822[[#This Row],[Debit\]]),Table822[[#This Row],[Credit.]]-Table822[[#This Row],[Debit\]],""),"")</f>
        <v/>
      </c>
    </row>
    <row r="33" spans="2:34" hidden="1" x14ac:dyDescent="0.25">
      <c r="B33" s="34"/>
      <c r="C33" s="37" t="s">
        <v>87</v>
      </c>
      <c r="D33" s="34"/>
      <c r="E33" s="34">
        <v>10050</v>
      </c>
      <c r="G33" s="39"/>
      <c r="H33" s="40"/>
      <c r="I33" s="41"/>
      <c r="J33" s="41"/>
      <c r="L33" s="34">
        <v>26</v>
      </c>
      <c r="M33" s="35" t="s">
        <v>141</v>
      </c>
      <c r="N33" s="35" t="s">
        <v>88</v>
      </c>
      <c r="O33" s="34">
        <f>IFERROR(SUMIF(Table419[,],Table621[[#This Row],[Accounts Name]],Table419[,3]),"")</f>
        <v>0</v>
      </c>
      <c r="P33" s="34">
        <f>IFERROR(SUMIF(Table419[,],Table621[[#This Row],[Accounts Name]],Table419[,2]),"")</f>
        <v>4800</v>
      </c>
      <c r="S33" s="36">
        <f t="shared" si="0"/>
        <v>26</v>
      </c>
      <c r="T33" s="34" t="s">
        <v>61</v>
      </c>
      <c r="U33" s="37" t="s">
        <v>154</v>
      </c>
      <c r="V33" s="34">
        <f>IFERROR(SUMIF(Table621[Sub-Accounts],Table822[[#This Row],[Update your chart of accounts here]],Table621[Debit]),"")</f>
        <v>2500001</v>
      </c>
      <c r="W33" s="34">
        <f>IFERROR(SUMIF(Table621[Sub-Accounts],Table822[[#This Row],[Update your chart of accounts here]],Table621[Credit]),"")</f>
        <v>0</v>
      </c>
      <c r="X33" s="34"/>
      <c r="Y33" s="34"/>
      <c r="Z33" s="34"/>
      <c r="AA33" s="34"/>
      <c r="AB33" s="34">
        <f>MAX(Table822[[#This Row],[Debit]]+Table822[[#This Row],[Debit -]]-Table822[[#This Row],[Credit]]-Table822[[#This Row],[Credit +]],0)</f>
        <v>2500001</v>
      </c>
      <c r="AC33" s="34">
        <f>MAX(Table822[[#This Row],[Credit]]-Table822[[#This Row],[Debit]]+Table822[[#This Row],[Credit +]]-Table822[[#This Row],[Debit -]],0)</f>
        <v>0</v>
      </c>
      <c r="AD33" s="34">
        <f>IFERROR(IF(AND(OR(Table822[[#This Row],[Classification]]="Expense",Table822[[#This Row],[Classification]]="Cost of Goods Sold"),Table822[[#This Row],[Debit\]]&gt;Table822[[#This Row],[Credit.]]),Table822[[#This Row],[Debit\]]-Table822[[#This Row],[Credit.]],""),"")</f>
        <v>2500001</v>
      </c>
      <c r="AE33" s="34" t="str">
        <f>IFERROR(IF(AND(OR(Table822[[#This Row],[Classification]]="Income",Table822[[#This Row],[Classification]]="Cost of Goods Sold"),Table822[[#This Row],[Credit.]]&gt;Table822[[#This Row],[Debit\]]),Table822[[#This Row],[Credit.]]-Table822[[#This Row],[Debit\]],""),"")</f>
        <v/>
      </c>
      <c r="AF33" s="34"/>
      <c r="AG33" s="34" t="str">
        <f>IFERROR(IF(AND(Table822[[#This Row],[Classification]]="Assets",Table822[[#This Row],[Debit\]]-Table822[[#This Row],[Credit.]]),Table822[[#This Row],[Debit\]]-Table822[[#This Row],[Credit.]],""),"")</f>
        <v/>
      </c>
      <c r="AH33" s="34" t="str">
        <f>IFERROR(IF(AND(OR(Table822[[#This Row],[Classification]]="Liabilities",Table822[[#This Row],[Classification]]="Owner´s Equity"),Table822[[#This Row],[Credit.]]&gt;Table822[[#This Row],[Debit\]]),Table822[[#This Row],[Credit.]]-Table822[[#This Row],[Debit\]],""),"")</f>
        <v/>
      </c>
    </row>
    <row r="34" spans="2:34" hidden="1" x14ac:dyDescent="0.25">
      <c r="B34" s="34"/>
      <c r="C34" s="37" t="s">
        <v>88</v>
      </c>
      <c r="D34" s="34"/>
      <c r="E34" s="34">
        <v>4800</v>
      </c>
      <c r="G34" s="39"/>
      <c r="H34" s="40"/>
      <c r="I34" s="41"/>
      <c r="J34" s="41"/>
      <c r="L34" s="34">
        <v>27</v>
      </c>
      <c r="M34" s="35" t="s">
        <v>141</v>
      </c>
      <c r="N34" s="35" t="s">
        <v>89</v>
      </c>
      <c r="O34" s="34">
        <f>IFERROR(SUMIF(Table419[,],Table621[[#This Row],[Accounts Name]],Table419[,3]),"")</f>
        <v>0</v>
      </c>
      <c r="P34" s="34">
        <f>IFERROR(SUMIF(Table419[,],Table621[[#This Row],[Accounts Name]],Table419[,2]),"")</f>
        <v>110610</v>
      </c>
      <c r="S34" s="36">
        <f t="shared" si="0"/>
        <v>27</v>
      </c>
      <c r="T34" s="34" t="s">
        <v>61</v>
      </c>
      <c r="U34" s="37" t="s">
        <v>161</v>
      </c>
      <c r="V34" s="34">
        <f>IFERROR(SUMIF(Table621[Sub-Accounts],Table822[[#This Row],[Update your chart of accounts here]],Table621[Debit]),"")</f>
        <v>77850</v>
      </c>
      <c r="W34" s="34">
        <f>IFERROR(SUMIF(Table621[Sub-Accounts],Table822[[#This Row],[Update your chart of accounts here]],Table621[Credit]),"")</f>
        <v>0</v>
      </c>
      <c r="X34" s="34"/>
      <c r="Y34" s="34"/>
      <c r="Z34" s="34"/>
      <c r="AA34" s="34"/>
      <c r="AB34" s="34">
        <f>MAX(Table822[[#This Row],[Debit]]+Table822[[#This Row],[Debit -]]-Table822[[#This Row],[Credit]]-Table822[[#This Row],[Credit +]],0)</f>
        <v>77850</v>
      </c>
      <c r="AC34" s="34">
        <f>MAX(Table822[[#This Row],[Credit]]-Table822[[#This Row],[Debit]]+Table822[[#This Row],[Credit +]]-Table822[[#This Row],[Debit -]],0)</f>
        <v>0</v>
      </c>
      <c r="AD34" s="34">
        <f>IFERROR(IF(AND(OR(Table822[[#This Row],[Classification]]="Expense",Table822[[#This Row],[Classification]]="Cost of Goods Sold"),Table822[[#This Row],[Debit\]]&gt;Table822[[#This Row],[Credit.]]),Table822[[#This Row],[Debit\]]-Table822[[#This Row],[Credit.]],""),"")</f>
        <v>77850</v>
      </c>
      <c r="AE34" s="34" t="str">
        <f>IFERROR(IF(AND(OR(Table822[[#This Row],[Classification]]="Income",Table822[[#This Row],[Classification]]="Cost of Goods Sold"),Table822[[#This Row],[Credit.]]&gt;Table822[[#This Row],[Debit\]]),Table822[[#This Row],[Credit.]]-Table822[[#This Row],[Debit\]],""),"")</f>
        <v/>
      </c>
      <c r="AF34" s="34"/>
      <c r="AG34" s="34" t="str">
        <f>IFERROR(IF(AND(Table822[[#This Row],[Classification]]="Assets",Table822[[#This Row],[Debit\]]-Table822[[#This Row],[Credit.]]),Table822[[#This Row],[Debit\]]-Table822[[#This Row],[Credit.]],""),"")</f>
        <v/>
      </c>
      <c r="AH34" s="34" t="str">
        <f>IFERROR(IF(AND(OR(Table822[[#This Row],[Classification]]="Liabilities",Table822[[#This Row],[Classification]]="Owner´s Equity"),Table822[[#This Row],[Credit.]]&gt;Table822[[#This Row],[Debit\]]),Table822[[#This Row],[Credit.]]-Table822[[#This Row],[Debit\]],""),"")</f>
        <v/>
      </c>
    </row>
    <row r="35" spans="2:34" hidden="1" x14ac:dyDescent="0.25">
      <c r="B35" s="34"/>
      <c r="C35" s="37" t="s">
        <v>89</v>
      </c>
      <c r="D35" s="34"/>
      <c r="E35" s="34">
        <v>110610</v>
      </c>
      <c r="G35" s="39"/>
      <c r="H35" s="43"/>
      <c r="I35" s="41"/>
      <c r="J35" s="41"/>
      <c r="L35" s="34">
        <v>28</v>
      </c>
      <c r="M35" s="35" t="s">
        <v>141</v>
      </c>
      <c r="N35" s="35" t="s">
        <v>90</v>
      </c>
      <c r="O35" s="34">
        <f>IFERROR(SUMIF(Table419[,],Table621[[#This Row],[Accounts Name]],Table419[,3]),"")</f>
        <v>0</v>
      </c>
      <c r="P35" s="34">
        <f>IFERROR(SUMIF(Table419[,],Table621[[#This Row],[Accounts Name]],Table419[,2]),"")</f>
        <v>33200</v>
      </c>
      <c r="S35" s="36">
        <f t="shared" si="0"/>
        <v>28</v>
      </c>
      <c r="T35" s="34" t="s">
        <v>61</v>
      </c>
      <c r="U35" s="37" t="s">
        <v>162</v>
      </c>
      <c r="V35" s="34">
        <f>IFERROR(SUMIF(Table621[Sub-Accounts],Table822[[#This Row],[Update your chart of accounts here]],Table621[Debit]),"")</f>
        <v>268183.07</v>
      </c>
      <c r="W35" s="34">
        <f>IFERROR(SUMIF(Table621[Sub-Accounts],Table822[[#This Row],[Update your chart of accounts here]],Table621[Credit]),"")</f>
        <v>0</v>
      </c>
      <c r="X35" s="34"/>
      <c r="Y35" s="34"/>
      <c r="Z35" s="34">
        <f>I28</f>
        <v>0</v>
      </c>
      <c r="AA35" s="34"/>
      <c r="AB35" s="34">
        <f>MAX(Table822[[#This Row],[Debit]]+Table822[[#This Row],[Debit -]]-Table822[[#This Row],[Credit]]-Table822[[#This Row],[Credit +]],0)</f>
        <v>268183.07</v>
      </c>
      <c r="AC35" s="34">
        <f>MAX(Table822[[#This Row],[Credit]]-Table822[[#This Row],[Debit]]+Table822[[#This Row],[Credit +]]-Table822[[#This Row],[Debit -]],0)</f>
        <v>0</v>
      </c>
      <c r="AD35" s="34">
        <f>IFERROR(IF(AND(OR(Table822[[#This Row],[Classification]]="Expense",Table822[[#This Row],[Classification]]="Cost of Goods Sold"),Table822[[#This Row],[Debit\]]&gt;Table822[[#This Row],[Credit.]]),Table822[[#This Row],[Debit\]]-Table822[[#This Row],[Credit.]],""),"")</f>
        <v>268183.07</v>
      </c>
      <c r="AE35" s="34" t="str">
        <f>IFERROR(IF(AND(OR(Table822[[#This Row],[Classification]]="Income",Table822[[#This Row],[Classification]]="Cost of Goods Sold"),Table822[[#This Row],[Credit.]]&gt;Table822[[#This Row],[Debit\]]),Table822[[#This Row],[Credit.]]-Table822[[#This Row],[Debit\]],""),"")</f>
        <v/>
      </c>
      <c r="AF35" s="34"/>
      <c r="AG35" s="34" t="str">
        <f>IFERROR(IF(AND(Table822[[#This Row],[Classification]]="Assets",Table822[[#This Row],[Debit\]]-Table822[[#This Row],[Credit.]]),Table822[[#This Row],[Debit\]]-Table822[[#This Row],[Credit.]],""),"")</f>
        <v/>
      </c>
      <c r="AH35" s="34" t="str">
        <f>IFERROR(IF(AND(OR(Table822[[#This Row],[Classification]]="Liabilities",Table822[[#This Row],[Classification]]="Owner´s Equity"),Table822[[#This Row],[Credit.]]&gt;Table822[[#This Row],[Debit\]]),Table822[[#This Row],[Credit.]]-Table822[[#This Row],[Debit\]],""),"")</f>
        <v/>
      </c>
    </row>
    <row r="36" spans="2:34" hidden="1" x14ac:dyDescent="0.25">
      <c r="B36" s="34"/>
      <c r="C36" s="37" t="s">
        <v>90</v>
      </c>
      <c r="D36" s="34"/>
      <c r="E36" s="34">
        <v>33200</v>
      </c>
      <c r="G36" s="39"/>
      <c r="H36" s="40"/>
      <c r="I36" s="41"/>
      <c r="J36" s="41"/>
      <c r="L36" s="34">
        <v>29</v>
      </c>
      <c r="M36" s="35" t="s">
        <v>140</v>
      </c>
      <c r="N36" s="35" t="s">
        <v>91</v>
      </c>
      <c r="O36" s="34">
        <f>IFERROR(SUMIF(Table419[,],Table621[[#This Row],[Accounts Name]],Table419[,3]),"")</f>
        <v>124460</v>
      </c>
      <c r="P36" s="34">
        <f>IFERROR(SUMIF(Table419[,],Table621[[#This Row],[Accounts Name]],Table419[,2]),"")</f>
        <v>0</v>
      </c>
      <c r="S36" s="36">
        <f t="shared" si="0"/>
        <v>29</v>
      </c>
      <c r="T36" s="34" t="s">
        <v>61</v>
      </c>
      <c r="U36" s="37" t="s">
        <v>165</v>
      </c>
      <c r="V36" s="34">
        <f>IFERROR(SUMIF(Table621[Sub-Accounts],Table822[[#This Row],[Update your chart of accounts here]],Table621[Debit]),"")</f>
        <v>653656.38</v>
      </c>
      <c r="W36" s="34">
        <f>IFERROR(SUMIF(Table621[Sub-Accounts],Table822[[#This Row],[Update your chart of accounts here]],Table621[Credit]),"")</f>
        <v>0</v>
      </c>
      <c r="X36" s="34"/>
      <c r="Y36" s="34"/>
      <c r="Z36" s="34"/>
      <c r="AA36" s="34"/>
      <c r="AB36" s="34">
        <f>MAX(Table822[[#This Row],[Debit]]+Table822[[#This Row],[Debit -]]-Table822[[#This Row],[Credit]]-Table822[[#This Row],[Credit +]],0)</f>
        <v>653656.38</v>
      </c>
      <c r="AC36" s="34">
        <f>MAX(Table822[[#This Row],[Credit]]-Table822[[#This Row],[Debit]]+Table822[[#This Row],[Credit +]]-Table822[[#This Row],[Debit -]],0)</f>
        <v>0</v>
      </c>
      <c r="AD36" s="34">
        <f>IFERROR(IF(AND(OR(Table822[[#This Row],[Classification]]="Expense",Table822[[#This Row],[Classification]]="Cost of Goods Sold"),Table822[[#This Row],[Debit\]]&gt;Table822[[#This Row],[Credit.]]),Table822[[#This Row],[Debit\]]-Table822[[#This Row],[Credit.]],""),"")</f>
        <v>653656.38</v>
      </c>
      <c r="AE36" s="34" t="str">
        <f>IFERROR(IF(AND(OR(Table822[[#This Row],[Classification]]="Income",Table822[[#This Row],[Classification]]="Cost of Goods Sold"),Table822[[#This Row],[Credit.]]&gt;Table822[[#This Row],[Debit\]]),Table822[[#This Row],[Credit.]]-Table822[[#This Row],[Debit\]],""),"")</f>
        <v/>
      </c>
      <c r="AF36" s="34"/>
      <c r="AG36" s="34" t="str">
        <f>IFERROR(IF(AND(Table822[[#This Row],[Classification]]="Assets",Table822[[#This Row],[Debit\]]-Table822[[#This Row],[Credit.]]),Table822[[#This Row],[Debit\]]-Table822[[#This Row],[Credit.]],""),"")</f>
        <v/>
      </c>
      <c r="AH36" s="34" t="str">
        <f>IFERROR(IF(AND(OR(Table822[[#This Row],[Classification]]="Liabilities",Table822[[#This Row],[Classification]]="Owner´s Equity"),Table822[[#This Row],[Credit.]]&gt;Table822[[#This Row],[Debit\]]),Table822[[#This Row],[Credit.]]-Table822[[#This Row],[Debit\]],""),"")</f>
        <v/>
      </c>
    </row>
    <row r="37" spans="2:34" hidden="1" x14ac:dyDescent="0.25">
      <c r="B37" s="34"/>
      <c r="C37" s="37" t="s">
        <v>91</v>
      </c>
      <c r="D37" s="34">
        <v>124460</v>
      </c>
      <c r="E37" s="34"/>
      <c r="G37" s="39"/>
      <c r="H37" s="40"/>
      <c r="I37" s="41"/>
      <c r="J37" s="41"/>
      <c r="L37" s="34">
        <v>30</v>
      </c>
      <c r="M37" s="35" t="s">
        <v>144</v>
      </c>
      <c r="N37" s="35" t="s">
        <v>92</v>
      </c>
      <c r="O37" s="34">
        <f>IFERROR(SUMIF(Table419[,],Table621[[#This Row],[Accounts Name]],Table419[,3]),"")</f>
        <v>2228108</v>
      </c>
      <c r="P37" s="34">
        <f>IFERROR(SUMIF(Table419[,],Table621[[#This Row],[Accounts Name]],Table419[,2]),"")</f>
        <v>0</v>
      </c>
      <c r="S37" s="36">
        <f t="shared" si="0"/>
        <v>30</v>
      </c>
      <c r="T37" s="34" t="s">
        <v>61</v>
      </c>
      <c r="U37" s="37" t="s">
        <v>159</v>
      </c>
      <c r="V37" s="34">
        <f>IFERROR(SUMIF(Table621[Sub-Accounts],Table822[[#This Row],[Update your chart of accounts here]],Table621[Debit]),"")</f>
        <v>208578.65</v>
      </c>
      <c r="W37" s="34">
        <f>IFERROR(SUMIF(Table621[Sub-Accounts],Table822[[#This Row],[Update your chart of accounts here]],Table621[Credit]),"")</f>
        <v>0</v>
      </c>
      <c r="X37" s="34"/>
      <c r="Y37" s="34"/>
      <c r="Z37" s="34"/>
      <c r="AA37" s="34"/>
      <c r="AB37" s="34">
        <f>MAX(Table822[[#This Row],[Debit]]+Table822[[#This Row],[Debit -]]-Table822[[#This Row],[Credit]]-Table822[[#This Row],[Credit +]],0)</f>
        <v>208578.65</v>
      </c>
      <c r="AC37" s="34">
        <f>MAX(Table822[[#This Row],[Credit]]-Table822[[#This Row],[Debit]]+Table822[[#This Row],[Credit +]]-Table822[[#This Row],[Debit -]],0)</f>
        <v>0</v>
      </c>
      <c r="AD37" s="34">
        <f>IFERROR(IF(AND(OR(Table822[[#This Row],[Classification]]="Expense",Table822[[#This Row],[Classification]]="Cost of Goods Sold"),Table822[[#This Row],[Debit\]]&gt;Table822[[#This Row],[Credit.]]),Table822[[#This Row],[Debit\]]-Table822[[#This Row],[Credit.]],""),"")</f>
        <v>208578.65</v>
      </c>
      <c r="AE37" s="34" t="str">
        <f>IFERROR(IF(AND(OR(Table822[[#This Row],[Classification]]="Income",Table822[[#This Row],[Classification]]="Cost of Goods Sold"),Table822[[#This Row],[Credit.]]&gt;Table822[[#This Row],[Debit\]]),Table822[[#This Row],[Credit.]]-Table822[[#This Row],[Debit\]],""),"")</f>
        <v/>
      </c>
      <c r="AF37" s="34"/>
      <c r="AG37" s="34" t="str">
        <f>IFERROR(IF(AND(Table822[[#This Row],[Classification]]="Assets",Table822[[#This Row],[Debit\]]-Table822[[#This Row],[Credit.]]),Table822[[#This Row],[Debit\]]-Table822[[#This Row],[Credit.]],""),"")</f>
        <v/>
      </c>
      <c r="AH37" s="34" t="str">
        <f>IFERROR(IF(AND(OR(Table822[[#This Row],[Classification]]="Liabilities",Table822[[#This Row],[Classification]]="Owner´s Equity"),Table822[[#This Row],[Credit.]]&gt;Table822[[#This Row],[Debit\]]),Table822[[#This Row],[Credit.]]-Table822[[#This Row],[Debit\]],""),"")</f>
        <v/>
      </c>
    </row>
    <row r="38" spans="2:34" hidden="1" x14ac:dyDescent="0.25">
      <c r="B38" s="34"/>
      <c r="C38" s="37" t="s">
        <v>92</v>
      </c>
      <c r="D38" s="34">
        <v>2228108</v>
      </c>
      <c r="E38" s="34"/>
      <c r="G38" s="39"/>
      <c r="H38" s="43"/>
      <c r="I38" s="41"/>
      <c r="J38" s="41"/>
      <c r="L38" s="34">
        <v>31</v>
      </c>
      <c r="M38" s="35" t="s">
        <v>140</v>
      </c>
      <c r="N38" s="35" t="s">
        <v>93</v>
      </c>
      <c r="O38" s="34">
        <f>IFERROR(SUMIF(Table419[,],Table621[[#This Row],[Accounts Name]],Table419[,3]),"")</f>
        <v>510902</v>
      </c>
      <c r="P38" s="34">
        <f>IFERROR(SUMIF(Table419[,],Table621[[#This Row],[Accounts Name]],Table419[,2]),"")</f>
        <v>0</v>
      </c>
      <c r="S38" s="36">
        <f t="shared" si="0"/>
        <v>31</v>
      </c>
      <c r="T38" s="34" t="s">
        <v>61</v>
      </c>
      <c r="U38" s="37" t="s">
        <v>157</v>
      </c>
      <c r="V38" s="34">
        <f>IFERROR(SUMIF(Table621[Sub-Accounts],Table822[[#This Row],[Update your chart of accounts here]],Table621[Debit]),"")</f>
        <v>542263</v>
      </c>
      <c r="W38" s="34">
        <f>IFERROR(SUMIF(Table621[Sub-Accounts],Table822[[#This Row],[Update your chart of accounts here]],Table621[Credit]),"")</f>
        <v>0</v>
      </c>
      <c r="X38" s="34"/>
      <c r="Y38" s="34"/>
      <c r="Z38" s="34"/>
      <c r="AA38" s="34"/>
      <c r="AB38" s="34">
        <f>MAX(Table822[[#This Row],[Debit]]+Table822[[#This Row],[Debit -]]-Table822[[#This Row],[Credit]]-Table822[[#This Row],[Credit +]],0)</f>
        <v>542263</v>
      </c>
      <c r="AC38" s="34">
        <f>MAX(Table822[[#This Row],[Credit]]-Table822[[#This Row],[Debit]]+Table822[[#This Row],[Credit +]]-Table822[[#This Row],[Debit -]],0)</f>
        <v>0</v>
      </c>
      <c r="AD38" s="34">
        <f>IFERROR(IF(AND(OR(Table822[[#This Row],[Classification]]="Expense",Table822[[#This Row],[Classification]]="Cost of Goods Sold"),Table822[[#This Row],[Debit\]]&gt;Table822[[#This Row],[Credit.]]),Table822[[#This Row],[Debit\]]-Table822[[#This Row],[Credit.]],""),"")</f>
        <v>542263</v>
      </c>
      <c r="AE38" s="34" t="str">
        <f>IFERROR(IF(AND(OR(Table822[[#This Row],[Classification]]="Income",Table822[[#This Row],[Classification]]="Cost of Goods Sold"),Table822[[#This Row],[Credit.]]&gt;Table822[[#This Row],[Debit\]]),Table822[[#This Row],[Credit.]]-Table822[[#This Row],[Debit\]],""),"")</f>
        <v/>
      </c>
      <c r="AF38" s="34"/>
      <c r="AG38" s="34" t="str">
        <f>IFERROR(IF(AND(Table822[[#This Row],[Classification]]="Assets",Table822[[#This Row],[Debit\]]-Table822[[#This Row],[Credit.]]),Table822[[#This Row],[Debit\]]-Table822[[#This Row],[Credit.]],""),"")</f>
        <v/>
      </c>
      <c r="AH38" s="34" t="str">
        <f>IFERROR(IF(AND(OR(Table822[[#This Row],[Classification]]="Liabilities",Table822[[#This Row],[Classification]]="Owner´s Equity"),Table822[[#This Row],[Credit.]]&gt;Table822[[#This Row],[Debit\]]),Table822[[#This Row],[Credit.]]-Table822[[#This Row],[Debit\]],""),"")</f>
        <v/>
      </c>
    </row>
    <row r="39" spans="2:34" hidden="1" x14ac:dyDescent="0.25">
      <c r="B39" s="34"/>
      <c r="C39" s="37" t="s">
        <v>93</v>
      </c>
      <c r="D39" s="34">
        <v>510902</v>
      </c>
      <c r="E39" s="34"/>
      <c r="G39" s="39"/>
      <c r="H39" s="40"/>
      <c r="I39" s="41"/>
      <c r="J39" s="41"/>
      <c r="L39" s="34">
        <v>32</v>
      </c>
      <c r="M39" s="35" t="s">
        <v>140</v>
      </c>
      <c r="N39" s="35" t="s">
        <v>94</v>
      </c>
      <c r="O39" s="34">
        <f>IFERROR(SUMIF(Table419[,],Table621[[#This Row],[Accounts Name]],Table419[,3]),"")</f>
        <v>1702569</v>
      </c>
      <c r="P39" s="34">
        <f>IFERROR(SUMIF(Table419[,],Table621[[#This Row],[Accounts Name]],Table419[,2]),"")</f>
        <v>0</v>
      </c>
      <c r="S39" s="36">
        <f t="shared" si="0"/>
        <v>32</v>
      </c>
      <c r="T39" s="34" t="s">
        <v>61</v>
      </c>
      <c r="U39" s="37" t="s">
        <v>168</v>
      </c>
      <c r="V39" s="34">
        <f>IFERROR(SUMIF(Table621[Sub-Accounts],Table822[[#This Row],[Update your chart of accounts here]],Table621[Debit]),"")</f>
        <v>302989.64</v>
      </c>
      <c r="W39" s="34">
        <f>IFERROR(SUMIF(Table621[Sub-Accounts],Table822[[#This Row],[Update your chart of accounts here]],Table621[Credit]),"")</f>
        <v>0</v>
      </c>
      <c r="X39" s="34"/>
      <c r="Y39" s="34"/>
      <c r="Z39" s="34"/>
      <c r="AA39" s="34"/>
      <c r="AB39" s="34">
        <f>MAX(Table822[[#This Row],[Debit]]+Table822[[#This Row],[Debit -]]-Table822[[#This Row],[Credit]]-Table822[[#This Row],[Credit +]],0)</f>
        <v>302989.64</v>
      </c>
      <c r="AC39" s="34">
        <f>MAX(Table822[[#This Row],[Credit]]-Table822[[#This Row],[Debit]]+Table822[[#This Row],[Credit +]]-Table822[[#This Row],[Debit -]],0)</f>
        <v>0</v>
      </c>
      <c r="AD39" s="34">
        <f>IFERROR(IF(AND(OR(Table822[[#This Row],[Classification]]="Expense",Table822[[#This Row],[Classification]]="Cost of Goods Sold"),Table822[[#This Row],[Debit\]]&gt;Table822[[#This Row],[Credit.]]),Table822[[#This Row],[Debit\]]-Table822[[#This Row],[Credit.]],""),"")</f>
        <v>302989.64</v>
      </c>
      <c r="AE39" s="34" t="str">
        <f>IFERROR(IF(AND(OR(Table822[[#This Row],[Classification]]="Income",Table822[[#This Row],[Classification]]="Cost of Goods Sold"),Table822[[#This Row],[Credit.]]&gt;Table822[[#This Row],[Debit\]]),Table822[[#This Row],[Credit.]]-Table822[[#This Row],[Debit\]],""),"")</f>
        <v/>
      </c>
      <c r="AF39" s="34"/>
      <c r="AG39" s="34" t="str">
        <f>IFERROR(IF(AND(Table822[[#This Row],[Classification]]="Assets",Table822[[#This Row],[Debit\]]-Table822[[#This Row],[Credit.]]),Table822[[#This Row],[Debit\]]-Table822[[#This Row],[Credit.]],""),"")</f>
        <v/>
      </c>
      <c r="AH39" s="34" t="str">
        <f>IFERROR(IF(AND(OR(Table822[[#This Row],[Classification]]="Liabilities",Table822[[#This Row],[Classification]]="Owner´s Equity"),Table822[[#This Row],[Credit.]]&gt;Table822[[#This Row],[Debit\]]),Table822[[#This Row],[Credit.]]-Table822[[#This Row],[Debit\]],""),"")</f>
        <v/>
      </c>
    </row>
    <row r="40" spans="2:34" hidden="1" x14ac:dyDescent="0.25">
      <c r="B40" s="34"/>
      <c r="C40" s="37" t="s">
        <v>94</v>
      </c>
      <c r="D40" s="34">
        <v>1702569</v>
      </c>
      <c r="E40" s="34"/>
      <c r="G40" s="39"/>
      <c r="H40" s="40"/>
      <c r="I40" s="41"/>
      <c r="J40" s="41"/>
      <c r="L40" s="34">
        <v>33</v>
      </c>
      <c r="M40" s="35" t="s">
        <v>140</v>
      </c>
      <c r="N40" s="35" t="s">
        <v>95</v>
      </c>
      <c r="O40" s="34">
        <f>IFERROR(SUMIF(Table419[,],Table621[[#This Row],[Accounts Name]],Table419[,3]),"")</f>
        <v>735271</v>
      </c>
      <c r="P40" s="34">
        <f>IFERROR(SUMIF(Table419[,],Table621[[#This Row],[Accounts Name]],Table419[,2]),"")</f>
        <v>0</v>
      </c>
      <c r="S40" s="36">
        <f t="shared" si="0"/>
        <v>33</v>
      </c>
      <c r="T40" s="34" t="s">
        <v>61</v>
      </c>
      <c r="U40" s="37" t="s">
        <v>153</v>
      </c>
      <c r="V40" s="34">
        <f>IFERROR(SUMIF(Table621[Sub-Accounts],Table822[[#This Row],[Update your chart of accounts here]],Table621[Debit]),"")</f>
        <v>233250</v>
      </c>
      <c r="W40" s="34">
        <f>IFERROR(SUMIF(Table621[Sub-Accounts],Table822[[#This Row],[Update your chart of accounts here]],Table621[Credit]),"")</f>
        <v>0</v>
      </c>
      <c r="X40" s="34"/>
      <c r="Y40" s="34"/>
      <c r="Z40" s="34"/>
      <c r="AA40" s="34"/>
      <c r="AB40" s="34">
        <f>MAX(Table822[[#This Row],[Debit]]+Table822[[#This Row],[Debit -]]-Table822[[#This Row],[Credit]]-Table822[[#This Row],[Credit +]],0)</f>
        <v>233250</v>
      </c>
      <c r="AC40" s="34">
        <f>MAX(Table822[[#This Row],[Credit]]-Table822[[#This Row],[Debit]]+Table822[[#This Row],[Credit +]]-Table822[[#This Row],[Debit -]],0)</f>
        <v>0</v>
      </c>
      <c r="AD40" s="34">
        <f>IFERROR(IF(AND(OR(Table822[[#This Row],[Classification]]="Expense",Table822[[#This Row],[Classification]]="Cost of Goods Sold"),Table822[[#This Row],[Debit\]]&gt;Table822[[#This Row],[Credit.]]),Table822[[#This Row],[Debit\]]-Table822[[#This Row],[Credit.]],""),"")</f>
        <v>233250</v>
      </c>
      <c r="AE40" s="34" t="str">
        <f>IFERROR(IF(AND(OR(Table822[[#This Row],[Classification]]="Income",Table822[[#This Row],[Classification]]="Cost of Goods Sold"),Table822[[#This Row],[Credit.]]&gt;Table822[[#This Row],[Debit\]]),Table822[[#This Row],[Credit.]]-Table822[[#This Row],[Debit\]],""),"")</f>
        <v/>
      </c>
      <c r="AF40" s="34"/>
      <c r="AG40" s="34" t="str">
        <f>IFERROR(IF(AND(Table822[[#This Row],[Classification]]="Assets",Table822[[#This Row],[Debit\]]-Table822[[#This Row],[Credit.]]),Table822[[#This Row],[Debit\]]-Table822[[#This Row],[Credit.]],""),"")</f>
        <v/>
      </c>
      <c r="AH40" s="34" t="str">
        <f>IFERROR(IF(AND(OR(Table822[[#This Row],[Classification]]="Liabilities",Table822[[#This Row],[Classification]]="Owner´s Equity"),Table822[[#This Row],[Credit.]]&gt;Table822[[#This Row],[Debit\]]),Table822[[#This Row],[Credit.]]-Table822[[#This Row],[Debit\]],""),"")</f>
        <v/>
      </c>
    </row>
    <row r="41" spans="2:34" hidden="1" x14ac:dyDescent="0.25">
      <c r="B41" s="34"/>
      <c r="C41" s="37" t="s">
        <v>95</v>
      </c>
      <c r="D41" s="34">
        <v>735271</v>
      </c>
      <c r="E41" s="34"/>
      <c r="G41" s="39"/>
      <c r="H41" s="43"/>
      <c r="I41" s="41"/>
      <c r="J41" s="41"/>
      <c r="L41" s="34">
        <v>34</v>
      </c>
      <c r="M41" s="35" t="s">
        <v>141</v>
      </c>
      <c r="N41" s="35" t="s">
        <v>96</v>
      </c>
      <c r="O41" s="34">
        <f>IFERROR(SUMIF(Table419[,],Table621[[#This Row],[Accounts Name]],Table419[,3]),"")</f>
        <v>0</v>
      </c>
      <c r="P41" s="34">
        <f>IFERROR(SUMIF(Table419[,],Table621[[#This Row],[Accounts Name]],Table419[,2]),"")</f>
        <v>1318131</v>
      </c>
      <c r="S41" s="36">
        <f t="shared" si="0"/>
        <v>34</v>
      </c>
      <c r="T41" s="34" t="s">
        <v>61</v>
      </c>
      <c r="U41" s="37" t="s">
        <v>152</v>
      </c>
      <c r="V41" s="34">
        <f>IFERROR(SUMIF(Table621[Sub-Accounts],Table822[[#This Row],[Update your chart of accounts here]],Table621[Debit]),"")</f>
        <v>51948.32</v>
      </c>
      <c r="W41" s="34">
        <f>IFERROR(SUMIF(Table621[Sub-Accounts],Table822[[#This Row],[Update your chart of accounts here]],Table621[Credit]),"")</f>
        <v>0</v>
      </c>
      <c r="X41" s="34"/>
      <c r="Y41" s="34"/>
      <c r="Z41" s="34"/>
      <c r="AA41" s="34"/>
      <c r="AB41" s="34">
        <f>MAX(Table822[[#This Row],[Debit]]+Table822[[#This Row],[Debit -]]-Table822[[#This Row],[Credit]]-Table822[[#This Row],[Credit +]],0)</f>
        <v>51948.32</v>
      </c>
      <c r="AC41" s="34">
        <f>MAX(Table822[[#This Row],[Credit]]-Table822[[#This Row],[Debit]]+Table822[[#This Row],[Credit +]]-Table822[[#This Row],[Debit -]],0)</f>
        <v>0</v>
      </c>
      <c r="AD41" s="34">
        <f>IFERROR(IF(AND(OR(Table822[[#This Row],[Classification]]="Expense",Table822[[#This Row],[Classification]]="Cost of Goods Sold"),Table822[[#This Row],[Debit\]]&gt;Table822[[#This Row],[Credit.]]),Table822[[#This Row],[Debit\]]-Table822[[#This Row],[Credit.]],""),"")</f>
        <v>51948.32</v>
      </c>
      <c r="AE41" s="34" t="str">
        <f>IFERROR(IF(AND(OR(Table822[[#This Row],[Classification]]="Income",Table822[[#This Row],[Classification]]="Cost of Goods Sold"),Table822[[#This Row],[Credit.]]&gt;Table822[[#This Row],[Debit\]]),Table822[[#This Row],[Credit.]]-Table822[[#This Row],[Debit\]],""),"")</f>
        <v/>
      </c>
      <c r="AF41" s="34"/>
      <c r="AG41" s="34" t="str">
        <f>IFERROR(IF(AND(Table822[[#This Row],[Classification]]="Assets",Table822[[#This Row],[Debit\]]-Table822[[#This Row],[Credit.]]),Table822[[#This Row],[Debit\]]-Table822[[#This Row],[Credit.]],""),"")</f>
        <v/>
      </c>
      <c r="AH41" s="34" t="str">
        <f>IFERROR(IF(AND(OR(Table822[[#This Row],[Classification]]="Liabilities",Table822[[#This Row],[Classification]]="Owner´s Equity"),Table822[[#This Row],[Credit.]]&gt;Table822[[#This Row],[Debit\]]),Table822[[#This Row],[Credit.]]-Table822[[#This Row],[Debit\]],""),"")</f>
        <v/>
      </c>
    </row>
    <row r="42" spans="2:34" hidden="1" x14ac:dyDescent="0.25">
      <c r="B42" s="34"/>
      <c r="C42" s="37" t="s">
        <v>96</v>
      </c>
      <c r="D42" s="34"/>
      <c r="E42" s="34">
        <v>1318131</v>
      </c>
      <c r="G42" s="39"/>
      <c r="H42" s="40"/>
      <c r="I42" s="41"/>
      <c r="J42" s="41"/>
      <c r="L42" s="34">
        <v>35</v>
      </c>
      <c r="M42" s="35" t="s">
        <v>145</v>
      </c>
      <c r="N42" s="35" t="s">
        <v>97</v>
      </c>
      <c r="O42" s="34">
        <f>IFERROR(SUMIF(Table419[,],Table621[[#This Row],[Accounts Name]],Table419[,3]),"")</f>
        <v>0</v>
      </c>
      <c r="P42" s="34">
        <f>IFERROR(SUMIF(Table419[,],Table621[[#This Row],[Accounts Name]],Table419[,2]),"")</f>
        <v>11852079.26</v>
      </c>
      <c r="S42" s="36">
        <f t="shared" si="0"/>
        <v>35</v>
      </c>
      <c r="T42" s="34" t="s">
        <v>61</v>
      </c>
      <c r="U42" s="37" t="s">
        <v>156</v>
      </c>
      <c r="V42" s="34">
        <f>IFERROR(SUMIF(Table621[Sub-Accounts],Table822[[#This Row],[Update your chart of accounts here]],Table621[Debit]),"")</f>
        <v>219706</v>
      </c>
      <c r="W42" s="34">
        <f>IFERROR(SUMIF(Table621[Sub-Accounts],Table822[[#This Row],[Update your chart of accounts here]],Table621[Credit]),"")</f>
        <v>0</v>
      </c>
      <c r="X42" s="34"/>
      <c r="Y42" s="34"/>
      <c r="Z42" s="34"/>
      <c r="AA42" s="34"/>
      <c r="AB42" s="34">
        <f>MAX(Table822[[#This Row],[Debit]]+Table822[[#This Row],[Debit -]]-Table822[[#This Row],[Credit]]-Table822[[#This Row],[Credit +]],0)</f>
        <v>219706</v>
      </c>
      <c r="AC42" s="34">
        <f>MAX(Table822[[#This Row],[Credit]]-Table822[[#This Row],[Debit]]+Table822[[#This Row],[Credit +]]-Table822[[#This Row],[Debit -]],0)</f>
        <v>0</v>
      </c>
      <c r="AD42" s="34">
        <f>IFERROR(IF(AND(OR(Table822[[#This Row],[Classification]]="Expense",Table822[[#This Row],[Classification]]="Cost of Goods Sold"),Table822[[#This Row],[Debit\]]&gt;Table822[[#This Row],[Credit.]]),Table822[[#This Row],[Debit\]]-Table822[[#This Row],[Credit.]],""),"")</f>
        <v>219706</v>
      </c>
      <c r="AE42" s="34" t="str">
        <f>IFERROR(IF(AND(OR(Table822[[#This Row],[Classification]]="Income",Table822[[#This Row],[Classification]]="Cost of Goods Sold"),Table822[[#This Row],[Credit.]]&gt;Table822[[#This Row],[Debit\]]),Table822[[#This Row],[Credit.]]-Table822[[#This Row],[Debit\]],""),"")</f>
        <v/>
      </c>
      <c r="AF42" s="34"/>
      <c r="AG42" s="34" t="str">
        <f>IFERROR(IF(AND(Table822[[#This Row],[Classification]]="Assets",Table822[[#This Row],[Debit\]]-Table822[[#This Row],[Credit.]]),Table822[[#This Row],[Debit\]]-Table822[[#This Row],[Credit.]],""),"")</f>
        <v/>
      </c>
      <c r="AH42" s="34" t="str">
        <f>IFERROR(IF(AND(OR(Table822[[#This Row],[Classification]]="Liabilities",Table822[[#This Row],[Classification]]="Owner´s Equity"),Table822[[#This Row],[Credit.]]&gt;Table822[[#This Row],[Debit\]]),Table822[[#This Row],[Credit.]]-Table822[[#This Row],[Debit\]],""),"")</f>
        <v/>
      </c>
    </row>
    <row r="43" spans="2:34" hidden="1" x14ac:dyDescent="0.25">
      <c r="B43" s="34"/>
      <c r="C43" s="37" t="s">
        <v>97</v>
      </c>
      <c r="D43" s="34"/>
      <c r="E43" s="34">
        <v>11852079.26</v>
      </c>
      <c r="G43" s="39"/>
      <c r="H43" s="40"/>
      <c r="I43" s="41"/>
      <c r="J43" s="41"/>
      <c r="L43" s="34">
        <v>36</v>
      </c>
      <c r="M43" s="35" t="s">
        <v>146</v>
      </c>
      <c r="N43" s="35" t="s">
        <v>98</v>
      </c>
      <c r="O43" s="34">
        <f>IFERROR(SUMIF(Table419[,],Table621[[#This Row],[Accounts Name]],Table419[,3]),"")</f>
        <v>0</v>
      </c>
      <c r="P43" s="34">
        <f>IFERROR(SUMIF(Table419[,],Table621[[#This Row],[Accounts Name]],Table419[,2]),"")</f>
        <v>400</v>
      </c>
      <c r="S43" s="36">
        <f t="shared" si="0"/>
        <v>36</v>
      </c>
      <c r="T43" s="34" t="s">
        <v>61</v>
      </c>
      <c r="U43" s="37" t="s">
        <v>217</v>
      </c>
      <c r="V43" s="34">
        <f>IFERROR(SUMIF(Table621[Sub-Accounts],Table822[[#This Row],[Update your chart of accounts here]],Table621[Debit]),"")</f>
        <v>0</v>
      </c>
      <c r="W43" s="34">
        <f>IFERROR(SUMIF(Table621[Sub-Accounts],Table822[[#This Row],[Update your chart of accounts here]],Table621[Credit]),"")</f>
        <v>0</v>
      </c>
      <c r="X43" s="34"/>
      <c r="Y43" s="34"/>
      <c r="Z43" s="34"/>
      <c r="AA43" s="34"/>
      <c r="AB43" s="34">
        <f>MAX(Table822[[#This Row],[Debit]]+Table822[[#This Row],[Debit -]]-Table822[[#This Row],[Credit]]-Table822[[#This Row],[Credit +]],0)</f>
        <v>0</v>
      </c>
      <c r="AC43" s="34">
        <f>MAX(Table822[[#This Row],[Credit]]-Table822[[#This Row],[Debit]]+Table822[[#This Row],[Credit +]]-Table822[[#This Row],[Debit -]],0)</f>
        <v>0</v>
      </c>
      <c r="AD43" s="34" t="str">
        <f>IFERROR(IF(AND(OR(Table822[[#This Row],[Classification]]="Expense",Table822[[#This Row],[Classification]]="Cost of Goods Sold"),Table822[[#This Row],[Debit\]]&gt;Table822[[#This Row],[Credit.]]),Table822[[#This Row],[Debit\]]-Table822[[#This Row],[Credit.]],""),"")</f>
        <v/>
      </c>
      <c r="AE43" s="34" t="str">
        <f>IFERROR(IF(AND(OR(Table822[[#This Row],[Classification]]="Income",Table822[[#This Row],[Classification]]="Cost of Goods Sold"),Table822[[#This Row],[Credit.]]&gt;Table822[[#This Row],[Debit\]]),Table822[[#This Row],[Credit.]]-Table822[[#This Row],[Debit\]],""),"")</f>
        <v/>
      </c>
      <c r="AF43" s="34"/>
      <c r="AG43" s="34" t="str">
        <f>IFERROR(IF(AND(Table822[[#This Row],[Classification]]="Assets",Table822[[#This Row],[Debit\]]-Table822[[#This Row],[Credit.]]),Table822[[#This Row],[Debit\]]-Table822[[#This Row],[Credit.]],""),"")</f>
        <v/>
      </c>
      <c r="AH43" s="34" t="str">
        <f>IFERROR(IF(AND(OR(Table822[[#This Row],[Classification]]="Liabilities",Table822[[#This Row],[Classification]]="Owner´s Equity"),Table822[[#This Row],[Credit.]]&gt;Table822[[#This Row],[Debit\]]),Table822[[#This Row],[Credit.]]-Table822[[#This Row],[Debit\]],""),"")</f>
        <v/>
      </c>
    </row>
    <row r="44" spans="2:34" hidden="1" x14ac:dyDescent="0.25">
      <c r="B44" s="34"/>
      <c r="C44" s="37" t="s">
        <v>98</v>
      </c>
      <c r="D44" s="34"/>
      <c r="E44" s="34">
        <v>400</v>
      </c>
      <c r="G44" s="39"/>
      <c r="H44" s="43"/>
      <c r="I44" s="41"/>
      <c r="J44" s="41"/>
      <c r="L44" s="34">
        <v>37</v>
      </c>
      <c r="M44" s="35" t="s">
        <v>143</v>
      </c>
      <c r="N44" s="35" t="s">
        <v>99</v>
      </c>
      <c r="O44" s="34">
        <f>IFERROR(SUMIF(Table419[,],Table621[[#This Row],[Accounts Name]],Table419[,3]),"")</f>
        <v>0</v>
      </c>
      <c r="P44" s="34">
        <f>IFERROR(SUMIF(Table419[,],Table621[[#This Row],[Accounts Name]],Table419[,2]),"")</f>
        <v>800000</v>
      </c>
      <c r="S44" s="36">
        <f t="shared" si="0"/>
        <v>37</v>
      </c>
      <c r="T44" s="34" t="s">
        <v>61</v>
      </c>
      <c r="U44" s="37" t="s">
        <v>218</v>
      </c>
      <c r="V44" s="34">
        <f>IFERROR(SUMIF(Table621[Sub-Accounts],Table822[[#This Row],[Update your chart of accounts here]],Table621[Debit]),"")</f>
        <v>0</v>
      </c>
      <c r="W44" s="34">
        <f>IFERROR(SUMIF(Table621[Sub-Accounts],Table822[[#This Row],[Update your chart of accounts here]],Table621[Credit]),"")</f>
        <v>0</v>
      </c>
      <c r="X44" s="34"/>
      <c r="Y44" s="34"/>
      <c r="Z44" s="34"/>
      <c r="AA44" s="34"/>
      <c r="AB44" s="34">
        <f>MAX(Table822[[#This Row],[Debit]]+Table822[[#This Row],[Debit -]]-Table822[[#This Row],[Credit]]-Table822[[#This Row],[Credit +]],0)</f>
        <v>0</v>
      </c>
      <c r="AC44" s="34">
        <f>MAX(Table822[[#This Row],[Credit]]-Table822[[#This Row],[Debit]]+Table822[[#This Row],[Credit +]]-Table822[[#This Row],[Debit -]],0)</f>
        <v>0</v>
      </c>
      <c r="AD44" s="34" t="str">
        <f>IFERROR(IF(AND(OR(Table822[[#This Row],[Classification]]="Expense",Table822[[#This Row],[Classification]]="Cost of Goods Sold"),Table822[[#This Row],[Debit\]]&gt;Table822[[#This Row],[Credit.]]),Table822[[#This Row],[Debit\]]-Table822[[#This Row],[Credit.]],""),"")</f>
        <v/>
      </c>
      <c r="AE44" s="34" t="str">
        <f>IFERROR(IF(AND(OR(Table822[[#This Row],[Classification]]="Income",Table822[[#This Row],[Classification]]="Cost of Goods Sold"),Table822[[#This Row],[Credit.]]&gt;Table822[[#This Row],[Debit\]]),Table822[[#This Row],[Credit.]]-Table822[[#This Row],[Debit\]],""),"")</f>
        <v/>
      </c>
      <c r="AF44" s="34"/>
      <c r="AG44" s="34" t="str">
        <f>IFERROR(IF(AND(Table822[[#This Row],[Classification]]="Assets",Table822[[#This Row],[Debit\]]-Table822[[#This Row],[Credit.]]),Table822[[#This Row],[Debit\]]-Table822[[#This Row],[Credit.]],""),"")</f>
        <v/>
      </c>
      <c r="AH44" s="34" t="str">
        <f>IFERROR(IF(AND(OR(Table822[[#This Row],[Classification]]="Liabilities",Table822[[#This Row],[Classification]]="Owner´s Equity"),Table822[[#This Row],[Credit.]]&gt;Table822[[#This Row],[Debit\]]),Table822[[#This Row],[Credit.]]-Table822[[#This Row],[Debit\]],""),"")</f>
        <v/>
      </c>
    </row>
    <row r="45" spans="2:34" hidden="1" x14ac:dyDescent="0.25">
      <c r="B45" s="34"/>
      <c r="C45" s="37" t="s">
        <v>99</v>
      </c>
      <c r="D45" s="34"/>
      <c r="E45" s="34">
        <v>800000</v>
      </c>
      <c r="G45" s="39"/>
      <c r="H45" s="40"/>
      <c r="I45" s="41"/>
      <c r="J45" s="41"/>
      <c r="L45" s="34">
        <v>38</v>
      </c>
      <c r="M45" s="35" t="s">
        <v>62</v>
      </c>
      <c r="N45" s="35" t="s">
        <v>100</v>
      </c>
      <c r="O45" s="34">
        <f>IFERROR(SUMIF(Table419[,],Table621[[#This Row],[Accounts Name]],Table419[,3]),"")</f>
        <v>0</v>
      </c>
      <c r="P45" s="34">
        <f>IFERROR(SUMIF(Table419[,],Table621[[#This Row],[Accounts Name]],Table419[,2]),"")</f>
        <v>332888373.44999999</v>
      </c>
      <c r="S45" s="36">
        <f t="shared" si="0"/>
        <v>38</v>
      </c>
      <c r="T45" s="34" t="s">
        <v>61</v>
      </c>
      <c r="U45" s="37" t="s">
        <v>163</v>
      </c>
      <c r="V45" s="34">
        <f>IFERROR(SUMIF(Table621[Sub-Accounts],Table822[[#This Row],[Update your chart of accounts here]],Table621[Debit]),"")</f>
        <v>300</v>
      </c>
      <c r="W45" s="34">
        <f>IFERROR(SUMIF(Table621[Sub-Accounts],Table822[[#This Row],[Update your chart of accounts here]],Table621[Credit]),"")</f>
        <v>0</v>
      </c>
      <c r="X45" s="34"/>
      <c r="Y45" s="34"/>
      <c r="Z45" s="34"/>
      <c r="AA45" s="34"/>
      <c r="AB45" s="34">
        <f>MAX(Table822[[#This Row],[Debit]]+Table822[[#This Row],[Debit -]]-Table822[[#This Row],[Credit]]-Table822[[#This Row],[Credit +]],0)</f>
        <v>300</v>
      </c>
      <c r="AC45" s="34">
        <f>MAX(Table822[[#This Row],[Credit]]-Table822[[#This Row],[Debit]]+Table822[[#This Row],[Credit +]]-Table822[[#This Row],[Debit -]],0)</f>
        <v>0</v>
      </c>
      <c r="AD45" s="34">
        <f>IFERROR(IF(AND(OR(Table822[[#This Row],[Classification]]="Expense",Table822[[#This Row],[Classification]]="Cost of Goods Sold"),Table822[[#This Row],[Debit\]]&gt;Table822[[#This Row],[Credit.]]),Table822[[#This Row],[Debit\]]-Table822[[#This Row],[Credit.]],""),"")</f>
        <v>300</v>
      </c>
      <c r="AE45" s="34" t="str">
        <f>IFERROR(IF(AND(OR(Table822[[#This Row],[Classification]]="Income",Table822[[#This Row],[Classification]]="Cost of Goods Sold"),Table822[[#This Row],[Credit.]]&gt;Table822[[#This Row],[Debit\]]),Table822[[#This Row],[Credit.]]-Table822[[#This Row],[Debit\]],""),"")</f>
        <v/>
      </c>
      <c r="AF45" s="34"/>
      <c r="AG45" s="34" t="str">
        <f>IFERROR(IF(AND(Table822[[#This Row],[Classification]]="Assets",Table822[[#This Row],[Debit\]]-Table822[[#This Row],[Credit.]]),Table822[[#This Row],[Debit\]]-Table822[[#This Row],[Credit.]],""),"")</f>
        <v/>
      </c>
      <c r="AH45" s="34" t="str">
        <f>IFERROR(IF(AND(OR(Table822[[#This Row],[Classification]]="Liabilities",Table822[[#This Row],[Classification]]="Owner´s Equity"),Table822[[#This Row],[Credit.]]&gt;Table822[[#This Row],[Debit\]]),Table822[[#This Row],[Credit.]]-Table822[[#This Row],[Debit\]],""),"")</f>
        <v/>
      </c>
    </row>
    <row r="46" spans="2:34" hidden="1" x14ac:dyDescent="0.25">
      <c r="B46" s="34"/>
      <c r="C46" s="37" t="s">
        <v>100</v>
      </c>
      <c r="D46" s="34"/>
      <c r="E46" s="34">
        <v>332888373.44999999</v>
      </c>
      <c r="G46" s="39"/>
      <c r="H46" s="40"/>
      <c r="I46" s="41"/>
      <c r="J46" s="41"/>
      <c r="L46" s="34">
        <v>39</v>
      </c>
      <c r="M46" s="35" t="s">
        <v>147</v>
      </c>
      <c r="N46" s="35" t="s">
        <v>101</v>
      </c>
      <c r="O46" s="34">
        <f>IFERROR(SUMIF(Table419[,],Table621[[#This Row],[Accounts Name]],Table419[,3]),"")</f>
        <v>316209838.63</v>
      </c>
      <c r="P46" s="34">
        <f>IFERROR(SUMIF(Table419[,],Table621[[#This Row],[Accounts Name]],Table419[,2]),"")</f>
        <v>0</v>
      </c>
      <c r="S46" s="36">
        <f t="shared" si="0"/>
        <v>39</v>
      </c>
      <c r="T46" s="34" t="s">
        <v>61</v>
      </c>
      <c r="U46" s="37" t="s">
        <v>164</v>
      </c>
      <c r="V46" s="34">
        <f>IFERROR(SUMIF(Table621[Sub-Accounts],Table822[[#This Row],[Update your chart of accounts here]],Table621[Debit]),"")</f>
        <v>436840.42</v>
      </c>
      <c r="W46" s="34">
        <f>IFERROR(SUMIF(Table621[Sub-Accounts],Table822[[#This Row],[Update your chart of accounts here]],Table621[Credit]),"")</f>
        <v>0</v>
      </c>
      <c r="X46" s="34"/>
      <c r="Y46" s="34"/>
      <c r="Z46" s="34"/>
      <c r="AA46" s="34"/>
      <c r="AB46" s="34">
        <f>MAX(Table822[[#This Row],[Debit]]+Table822[[#This Row],[Debit -]]-Table822[[#This Row],[Credit]]-Table822[[#This Row],[Credit +]],0)</f>
        <v>436840.42</v>
      </c>
      <c r="AC46" s="34">
        <f>MAX(Table822[[#This Row],[Credit]]-Table822[[#This Row],[Debit]]+Table822[[#This Row],[Credit +]]-Table822[[#This Row],[Debit -]],0)</f>
        <v>0</v>
      </c>
      <c r="AD46" s="34">
        <f>IFERROR(IF(AND(OR(Table822[[#This Row],[Classification]]="Expense",Table822[[#This Row],[Classification]]="Cost of Goods Sold"),Table822[[#This Row],[Debit\]]&gt;Table822[[#This Row],[Credit.]]),Table822[[#This Row],[Debit\]]-Table822[[#This Row],[Credit.]],""),"")</f>
        <v>436840.42</v>
      </c>
      <c r="AE46" s="34" t="str">
        <f>IFERROR(IF(AND(OR(Table822[[#This Row],[Classification]]="Income",Table822[[#This Row],[Classification]]="Cost of Goods Sold"),Table822[[#This Row],[Credit.]]&gt;Table822[[#This Row],[Debit\]]),Table822[[#This Row],[Credit.]]-Table822[[#This Row],[Debit\]],""),"")</f>
        <v/>
      </c>
      <c r="AF46" s="34"/>
      <c r="AG46" s="34" t="str">
        <f>IFERROR(IF(AND(Table822[[#This Row],[Classification]]="Assets",Table822[[#This Row],[Debit\]]-Table822[[#This Row],[Credit.]]),Table822[[#This Row],[Debit\]]-Table822[[#This Row],[Credit.]],""),"")</f>
        <v/>
      </c>
      <c r="AH46" s="34" t="str">
        <f>IFERROR(IF(AND(OR(Table822[[#This Row],[Classification]]="Liabilities",Table822[[#This Row],[Classification]]="Owner´s Equity"),Table822[[#This Row],[Credit.]]&gt;Table822[[#This Row],[Debit\]]),Table822[[#This Row],[Credit.]]-Table822[[#This Row],[Debit\]],""),"")</f>
        <v/>
      </c>
    </row>
    <row r="47" spans="2:34" hidden="1" x14ac:dyDescent="0.25">
      <c r="B47" s="34"/>
      <c r="C47" s="37" t="s">
        <v>101</v>
      </c>
      <c r="D47" s="34">
        <v>316209838.63</v>
      </c>
      <c r="E47" s="34"/>
      <c r="G47" s="39"/>
      <c r="H47" s="43"/>
      <c r="I47" s="41"/>
      <c r="J47" s="41"/>
      <c r="L47" s="34">
        <v>40</v>
      </c>
      <c r="M47" s="35" t="s">
        <v>148</v>
      </c>
      <c r="N47" s="35" t="s">
        <v>102</v>
      </c>
      <c r="O47" s="34">
        <f>IFERROR(SUMIF(Table419[,],Table621[[#This Row],[Accounts Name]],Table419[,3]),"")</f>
        <v>568965.54</v>
      </c>
      <c r="P47" s="34">
        <f>IFERROR(SUMIF(Table419[,],Table621[[#This Row],[Accounts Name]],Table419[,2]),"")</f>
        <v>0</v>
      </c>
      <c r="S47" s="36">
        <f t="shared" si="0"/>
        <v>40</v>
      </c>
      <c r="T47" s="34" t="s">
        <v>61</v>
      </c>
      <c r="U47" s="37" t="s">
        <v>219</v>
      </c>
      <c r="V47" s="34">
        <f>IFERROR(SUMIF(Table621[Sub-Accounts],Table822[[#This Row],[Update your chart of accounts here]],Table621[Debit]),"")</f>
        <v>0</v>
      </c>
      <c r="W47" s="34">
        <f>IFERROR(SUMIF(Table621[Sub-Accounts],Table822[[#This Row],[Update your chart of accounts here]],Table621[Credit]),"")</f>
        <v>0</v>
      </c>
      <c r="X47" s="34"/>
      <c r="Y47" s="34"/>
      <c r="Z47" s="34"/>
      <c r="AA47" s="34"/>
      <c r="AB47" s="34">
        <f>MAX(Table822[[#This Row],[Debit]]+Table822[[#This Row],[Debit -]]-Table822[[#This Row],[Credit]]-Table822[[#This Row],[Credit +]],0)</f>
        <v>0</v>
      </c>
      <c r="AC47" s="34">
        <f>MAX(Table822[[#This Row],[Credit]]-Table822[[#This Row],[Debit]]+Table822[[#This Row],[Credit +]]-Table822[[#This Row],[Debit -]],0)</f>
        <v>0</v>
      </c>
      <c r="AD47" s="34" t="str">
        <f>IFERROR(IF(AND(OR(Table822[[#This Row],[Classification]]="Expense",Table822[[#This Row],[Classification]]="Cost of Goods Sold"),Table822[[#This Row],[Debit\]]&gt;Table822[[#This Row],[Credit.]]),Table822[[#This Row],[Debit\]]-Table822[[#This Row],[Credit.]],""),"")</f>
        <v/>
      </c>
      <c r="AE47" s="34" t="str">
        <f>IFERROR(IF(AND(OR(Table822[[#This Row],[Classification]]="Income",Table822[[#This Row],[Classification]]="Cost of Goods Sold"),Table822[[#This Row],[Credit.]]&gt;Table822[[#This Row],[Debit\]]),Table822[[#This Row],[Credit.]]-Table822[[#This Row],[Debit\]],""),"")</f>
        <v/>
      </c>
      <c r="AF47" s="34"/>
      <c r="AG47" s="34" t="str">
        <f>IFERROR(IF(AND(Table822[[#This Row],[Classification]]="Assets",Table822[[#This Row],[Debit\]]-Table822[[#This Row],[Credit.]]),Table822[[#This Row],[Debit\]]-Table822[[#This Row],[Credit.]],""),"")</f>
        <v/>
      </c>
      <c r="AH47" s="34" t="str">
        <f>IFERROR(IF(AND(OR(Table822[[#This Row],[Classification]]="Liabilities",Table822[[#This Row],[Classification]]="Owner´s Equity"),Table822[[#This Row],[Credit.]]&gt;Table822[[#This Row],[Debit\]]),Table822[[#This Row],[Credit.]]-Table822[[#This Row],[Debit\]],""),"")</f>
        <v/>
      </c>
    </row>
    <row r="48" spans="2:34" hidden="1" x14ac:dyDescent="0.25">
      <c r="B48" s="34"/>
      <c r="C48" s="37" t="s">
        <v>102</v>
      </c>
      <c r="D48" s="34">
        <v>568965.54</v>
      </c>
      <c r="E48" s="34"/>
      <c r="G48" s="39"/>
      <c r="H48" s="40"/>
      <c r="I48" s="41"/>
      <c r="J48" s="41"/>
      <c r="L48" s="34">
        <v>41</v>
      </c>
      <c r="M48" s="35" t="s">
        <v>149</v>
      </c>
      <c r="N48" s="35" t="s">
        <v>103</v>
      </c>
      <c r="O48" s="34">
        <f>IFERROR(SUMIF(Table419[,],Table621[[#This Row],[Accounts Name]],Table419[,3]),"")</f>
        <v>175000</v>
      </c>
      <c r="P48" s="34">
        <f>IFERROR(SUMIF(Table419[,],Table621[[#This Row],[Accounts Name]],Table419[,2]),"")</f>
        <v>0</v>
      </c>
      <c r="S48" s="36">
        <f t="shared" si="0"/>
        <v>41</v>
      </c>
      <c r="T48" s="34" t="s">
        <v>61</v>
      </c>
      <c r="U48" s="37" t="s">
        <v>169</v>
      </c>
      <c r="V48" s="34">
        <f>IFERROR(SUMIF(Table621[Sub-Accounts],Table822[[#This Row],[Update your chart of accounts here]],Table621[Debit]),"")</f>
        <v>2000</v>
      </c>
      <c r="W48" s="34">
        <f>IFERROR(SUMIF(Table621[Sub-Accounts],Table822[[#This Row],[Update your chart of accounts here]],Table621[Credit]),"")</f>
        <v>0</v>
      </c>
      <c r="X48" s="34"/>
      <c r="Y48" s="34"/>
      <c r="Z48" s="34"/>
      <c r="AA48" s="34"/>
      <c r="AB48" s="34">
        <f>MAX(Table822[[#This Row],[Debit]]+Table822[[#This Row],[Debit -]]-Table822[[#This Row],[Credit]]-Table822[[#This Row],[Credit +]],0)</f>
        <v>2000</v>
      </c>
      <c r="AC48" s="34">
        <f>MAX(Table822[[#This Row],[Credit]]-Table822[[#This Row],[Debit]]+Table822[[#This Row],[Credit +]]-Table822[[#This Row],[Debit -]],0)</f>
        <v>0</v>
      </c>
      <c r="AD48" s="34">
        <f>IFERROR(IF(AND(OR(Table822[[#This Row],[Classification]]="Expense",Table822[[#This Row],[Classification]]="Cost of Goods Sold"),Table822[[#This Row],[Debit\]]&gt;Table822[[#This Row],[Credit.]]),Table822[[#This Row],[Debit\]]-Table822[[#This Row],[Credit.]],""),"")</f>
        <v>2000</v>
      </c>
      <c r="AE48" s="34" t="str">
        <f>IFERROR(IF(AND(OR(Table822[[#This Row],[Classification]]="Income",Table822[[#This Row],[Classification]]="Cost of Goods Sold"),Table822[[#This Row],[Credit.]]&gt;Table822[[#This Row],[Debit\]]),Table822[[#This Row],[Credit.]]-Table822[[#This Row],[Debit\]],""),"")</f>
        <v/>
      </c>
      <c r="AF48" s="34"/>
      <c r="AG48" s="34" t="str">
        <f>IFERROR(IF(AND(Table822[[#This Row],[Classification]]="Assets",Table822[[#This Row],[Debit\]]-Table822[[#This Row],[Credit.]]),Table822[[#This Row],[Debit\]]-Table822[[#This Row],[Credit.]],""),"")</f>
        <v/>
      </c>
      <c r="AH48" s="34" t="str">
        <f>IFERROR(IF(AND(OR(Table822[[#This Row],[Classification]]="Liabilities",Table822[[#This Row],[Classification]]="Owner´s Equity"),Table822[[#This Row],[Credit.]]&gt;Table822[[#This Row],[Debit\]]),Table822[[#This Row],[Credit.]]-Table822[[#This Row],[Debit\]],""),"")</f>
        <v/>
      </c>
    </row>
    <row r="49" spans="2:34" hidden="1" x14ac:dyDescent="0.25">
      <c r="B49" s="34"/>
      <c r="C49" s="37" t="s">
        <v>103</v>
      </c>
      <c r="D49" s="34">
        <v>175000</v>
      </c>
      <c r="E49" s="34"/>
      <c r="G49" s="39"/>
      <c r="H49" s="40"/>
      <c r="I49" s="41"/>
      <c r="J49" s="41"/>
      <c r="L49" s="34">
        <v>42</v>
      </c>
      <c r="M49" s="35" t="s">
        <v>150</v>
      </c>
      <c r="N49" s="35" t="s">
        <v>104</v>
      </c>
      <c r="O49" s="34">
        <f>IFERROR(SUMIF(Table419[,],Table621[[#This Row],[Accounts Name]],Table419[,3]),"")</f>
        <v>176009.84</v>
      </c>
      <c r="P49" s="34">
        <f>IFERROR(SUMIF(Table419[,],Table621[[#This Row],[Accounts Name]],Table419[,2]),"")</f>
        <v>0</v>
      </c>
      <c r="S49" s="36">
        <f t="shared" si="0"/>
        <v>42</v>
      </c>
      <c r="T49" s="34" t="s">
        <v>61</v>
      </c>
      <c r="U49" s="37" t="s">
        <v>170</v>
      </c>
      <c r="V49" s="34">
        <f>IFERROR(SUMIF(Table621[Sub-Accounts],Table822[[#This Row],[Update your chart of accounts here]],Table621[Debit]),"")</f>
        <v>13250</v>
      </c>
      <c r="W49" s="34">
        <f>IFERROR(SUMIF(Table621[Sub-Accounts],Table822[[#This Row],[Update your chart of accounts here]],Table621[Credit]),"")</f>
        <v>0</v>
      </c>
      <c r="X49" s="34"/>
      <c r="Y49" s="34"/>
      <c r="Z49" s="34"/>
      <c r="AA49" s="34"/>
      <c r="AB49" s="34">
        <f>MAX(Table822[[#This Row],[Debit]]+Table822[[#This Row],[Debit -]]-Table822[[#This Row],[Credit]]-Table822[[#This Row],[Credit +]],0)</f>
        <v>13250</v>
      </c>
      <c r="AC49" s="34">
        <f>MAX(Table822[[#This Row],[Credit]]-Table822[[#This Row],[Debit]]+Table822[[#This Row],[Credit +]]-Table822[[#This Row],[Debit -]],0)</f>
        <v>0</v>
      </c>
      <c r="AD49" s="34">
        <f>IFERROR(IF(AND(OR(Table822[[#This Row],[Classification]]="Expense",Table822[[#This Row],[Classification]]="Cost of Goods Sold"),Table822[[#This Row],[Debit\]]&gt;Table822[[#This Row],[Credit.]]),Table822[[#This Row],[Debit\]]-Table822[[#This Row],[Credit.]],""),"")</f>
        <v>13250</v>
      </c>
      <c r="AE49" s="34" t="str">
        <f>IFERROR(IF(AND(OR(Table822[[#This Row],[Classification]]="Income",Table822[[#This Row],[Classification]]="Cost of Goods Sold"),Table822[[#This Row],[Credit.]]&gt;Table822[[#This Row],[Debit\]]),Table822[[#This Row],[Credit.]]-Table822[[#This Row],[Debit\]],""),"")</f>
        <v/>
      </c>
      <c r="AF49" s="34"/>
      <c r="AG49" s="34" t="str">
        <f>IFERROR(IF(AND(Table822[[#This Row],[Classification]]="Assets",Table822[[#This Row],[Debit\]]-Table822[[#This Row],[Credit.]]),Table822[[#This Row],[Debit\]]-Table822[[#This Row],[Credit.]],""),"")</f>
        <v/>
      </c>
      <c r="AH49" s="34" t="str">
        <f>IFERROR(IF(AND(OR(Table822[[#This Row],[Classification]]="Liabilities",Table822[[#This Row],[Classification]]="Owner´s Equity"),Table822[[#This Row],[Credit.]]&gt;Table822[[#This Row],[Debit\]]),Table822[[#This Row],[Credit.]]-Table822[[#This Row],[Debit\]],""),"")</f>
        <v/>
      </c>
    </row>
    <row r="50" spans="2:34" hidden="1" x14ac:dyDescent="0.25">
      <c r="B50" s="34"/>
      <c r="C50" s="37" t="s">
        <v>104</v>
      </c>
      <c r="D50" s="34">
        <v>176009.84</v>
      </c>
      <c r="E50" s="34"/>
      <c r="G50" s="39"/>
      <c r="H50" s="43"/>
      <c r="I50" s="41"/>
      <c r="J50" s="41"/>
      <c r="L50" s="34">
        <v>43</v>
      </c>
      <c r="M50" s="35" t="s">
        <v>151</v>
      </c>
      <c r="N50" s="35" t="s">
        <v>105</v>
      </c>
      <c r="O50" s="34">
        <f>IFERROR(SUMIF(Table419[,],Table621[[#This Row],[Accounts Name]],Table419[,3]),"")</f>
        <v>4000</v>
      </c>
      <c r="P50" s="34">
        <f>IFERROR(SUMIF(Table419[,],Table621[[#This Row],[Accounts Name]],Table419[,2]),"")</f>
        <v>0</v>
      </c>
      <c r="S50" s="36">
        <f t="shared" si="0"/>
        <v>43</v>
      </c>
      <c r="T50" s="34" t="s">
        <v>61</v>
      </c>
      <c r="U50" s="37" t="s">
        <v>220</v>
      </c>
      <c r="V50" s="34">
        <f>IFERROR(SUMIF(Table621[Sub-Accounts],Table822[[#This Row],[Update your chart of accounts here]],Table621[Debit]),"")</f>
        <v>0</v>
      </c>
      <c r="W50" s="34">
        <f>IFERROR(SUMIF(Table621[Sub-Accounts],Table822[[#This Row],[Update your chart of accounts here]],Table621[Credit]),"")</f>
        <v>0</v>
      </c>
      <c r="X50" s="34"/>
      <c r="Y50" s="34"/>
      <c r="Z50" s="34"/>
      <c r="AA50" s="34"/>
      <c r="AB50" s="34">
        <f>MAX(Table822[[#This Row],[Debit]]+Table822[[#This Row],[Debit -]]-Table822[[#This Row],[Credit]]-Table822[[#This Row],[Credit +]],0)</f>
        <v>0</v>
      </c>
      <c r="AC50" s="34">
        <f>MAX(Table822[[#This Row],[Credit]]-Table822[[#This Row],[Debit]]+Table822[[#This Row],[Credit +]]-Table822[[#This Row],[Debit -]],0)</f>
        <v>0</v>
      </c>
      <c r="AD50" s="34" t="str">
        <f>IFERROR(IF(AND(OR(Table822[[#This Row],[Classification]]="Expense",Table822[[#This Row],[Classification]]="Cost of Goods Sold"),Table822[[#This Row],[Debit\]]&gt;Table822[[#This Row],[Credit.]]),Table822[[#This Row],[Debit\]]-Table822[[#This Row],[Credit.]],""),"")</f>
        <v/>
      </c>
      <c r="AE50" s="34" t="str">
        <f>IFERROR(IF(AND(OR(Table822[[#This Row],[Classification]]="Income",Table822[[#This Row],[Classification]]="Cost of Goods Sold"),Table822[[#This Row],[Credit.]]&gt;Table822[[#This Row],[Debit\]]),Table822[[#This Row],[Credit.]]-Table822[[#This Row],[Debit\]],""),"")</f>
        <v/>
      </c>
      <c r="AF50" s="34"/>
      <c r="AG50" s="34" t="str">
        <f>IFERROR(IF(AND(Table822[[#This Row],[Classification]]="Assets",Table822[[#This Row],[Debit\]]-Table822[[#This Row],[Credit.]]),Table822[[#This Row],[Debit\]]-Table822[[#This Row],[Credit.]],""),"")</f>
        <v/>
      </c>
      <c r="AH50" s="34" t="str">
        <f>IFERROR(IF(AND(OR(Table822[[#This Row],[Classification]]="Liabilities",Table822[[#This Row],[Classification]]="Owner´s Equity"),Table822[[#This Row],[Credit.]]&gt;Table822[[#This Row],[Debit\]]),Table822[[#This Row],[Credit.]]-Table822[[#This Row],[Debit\]],""),"")</f>
        <v/>
      </c>
    </row>
    <row r="51" spans="2:34" hidden="1" x14ac:dyDescent="0.25">
      <c r="B51" s="34"/>
      <c r="C51" s="37" t="s">
        <v>105</v>
      </c>
      <c r="D51" s="34">
        <v>4000</v>
      </c>
      <c r="E51" s="34"/>
      <c r="G51" s="39"/>
      <c r="H51" s="40"/>
      <c r="I51" s="41"/>
      <c r="J51" s="41"/>
      <c r="L51" s="34">
        <v>44</v>
      </c>
      <c r="M51" s="35" t="s">
        <v>152</v>
      </c>
      <c r="N51" s="35" t="s">
        <v>106</v>
      </c>
      <c r="O51" s="34">
        <f>IFERROR(SUMIF(Table419[,],Table621[[#This Row],[Accounts Name]],Table419[,3]),"")</f>
        <v>50190.32</v>
      </c>
      <c r="P51" s="34">
        <f>IFERROR(SUMIF(Table419[,],Table621[[#This Row],[Accounts Name]],Table419[,2]),"")</f>
        <v>0</v>
      </c>
      <c r="S51" s="36">
        <f t="shared" si="0"/>
        <v>44</v>
      </c>
      <c r="T51" s="34" t="s">
        <v>61</v>
      </c>
      <c r="U51" s="37" t="s">
        <v>155</v>
      </c>
      <c r="V51" s="34">
        <f>IFERROR(SUMIF(Table621[Sub-Accounts],Table822[[#This Row],[Update your chart of accounts here]],Table621[Debit]),"")</f>
        <v>1000000</v>
      </c>
      <c r="W51" s="34">
        <f>IFERROR(SUMIF(Table621[Sub-Accounts],Table822[[#This Row],[Update your chart of accounts here]],Table621[Credit]),"")</f>
        <v>0</v>
      </c>
      <c r="X51" s="34"/>
      <c r="Y51" s="34" t="s">
        <v>226</v>
      </c>
      <c r="Z51" s="34"/>
      <c r="AA51" s="34">
        <f>J15</f>
        <v>1000000</v>
      </c>
      <c r="AB51" s="34">
        <f>MAX(Table822[[#This Row],[Debit]]+Table822[[#This Row],[Debit -]]-Table822[[#This Row],[Credit]]-Table822[[#This Row],[Credit +]],0)</f>
        <v>0</v>
      </c>
      <c r="AC51" s="34">
        <f>MAX(Table822[[#This Row],[Credit]]-Table822[[#This Row],[Debit]]+Table822[[#This Row],[Credit +]]-Table822[[#This Row],[Debit -]],0)</f>
        <v>0</v>
      </c>
      <c r="AD51" s="34" t="str">
        <f>IFERROR(IF(AND(OR(Table822[[#This Row],[Classification]]="Expense",Table822[[#This Row],[Classification]]="Cost of Goods Sold"),Table822[[#This Row],[Debit\]]&gt;Table822[[#This Row],[Credit.]]),Table822[[#This Row],[Debit\]]-Table822[[#This Row],[Credit.]],""),"")</f>
        <v/>
      </c>
      <c r="AE51" s="34" t="str">
        <f>IFERROR(IF(AND(OR(Table822[[#This Row],[Classification]]="Income",Table822[[#This Row],[Classification]]="Cost of Goods Sold"),Table822[[#This Row],[Credit.]]&gt;Table822[[#This Row],[Debit\]]),Table822[[#This Row],[Credit.]]-Table822[[#This Row],[Debit\]],""),"")</f>
        <v/>
      </c>
      <c r="AF51" s="34"/>
      <c r="AG51" s="34" t="str">
        <f>IFERROR(IF(AND(Table822[[#This Row],[Classification]]="Assets",Table822[[#This Row],[Debit\]]-Table822[[#This Row],[Credit.]]),Table822[[#This Row],[Debit\]]-Table822[[#This Row],[Credit.]],""),"")</f>
        <v/>
      </c>
      <c r="AH51" s="34" t="str">
        <f>IFERROR(IF(AND(OR(Table822[[#This Row],[Classification]]="Liabilities",Table822[[#This Row],[Classification]]="Owner´s Equity"),Table822[[#This Row],[Credit.]]&gt;Table822[[#This Row],[Debit\]]),Table822[[#This Row],[Credit.]]-Table822[[#This Row],[Debit\]],""),"")</f>
        <v/>
      </c>
    </row>
    <row r="52" spans="2:34" hidden="1" x14ac:dyDescent="0.25">
      <c r="B52" s="34"/>
      <c r="C52" s="37" t="s">
        <v>106</v>
      </c>
      <c r="D52" s="34">
        <v>50190.32</v>
      </c>
      <c r="E52" s="34"/>
      <c r="G52" s="39"/>
      <c r="H52" s="40"/>
      <c r="I52" s="41"/>
      <c r="J52" s="41"/>
      <c r="L52" s="34">
        <v>45</v>
      </c>
      <c r="M52" s="35" t="s">
        <v>153</v>
      </c>
      <c r="N52" s="35" t="s">
        <v>107</v>
      </c>
      <c r="O52" s="34">
        <f>IFERROR(SUMIF(Table419[,],Table621[[#This Row],[Accounts Name]],Table419[,3]),"")</f>
        <v>233250</v>
      </c>
      <c r="P52" s="34">
        <f>IFERROR(SUMIF(Table419[,],Table621[[#This Row],[Accounts Name]],Table419[,2]),"")</f>
        <v>0</v>
      </c>
      <c r="S52" s="36">
        <f t="shared" si="0"/>
        <v>45</v>
      </c>
      <c r="T52" s="34" t="s">
        <v>61</v>
      </c>
      <c r="U52" s="37" t="s">
        <v>171</v>
      </c>
      <c r="V52" s="34">
        <f>IFERROR(SUMIF(Table621[Sub-Accounts],Table822[[#This Row],[Update your chart of accounts here]],Table621[Debit]),"")</f>
        <v>0</v>
      </c>
      <c r="W52" s="34">
        <f>IFERROR(SUMIF(Table621[Sub-Accounts],Table822[[#This Row],[Update your chart of accounts here]],Table621[Credit]),"")</f>
        <v>0</v>
      </c>
      <c r="X52" s="34"/>
      <c r="Y52" s="34" t="s">
        <v>224</v>
      </c>
      <c r="Z52" s="34">
        <f>I9</f>
        <v>409278.51677448238</v>
      </c>
      <c r="AA52" s="34"/>
      <c r="AB52" s="34">
        <f>MAX(Table822[[#This Row],[Debit]]+Table822[[#This Row],[Debit -]]-Table822[[#This Row],[Credit]]-Table822[[#This Row],[Credit +]],0)</f>
        <v>409278.51677448238</v>
      </c>
      <c r="AC52" s="34">
        <f>MAX(Table822[[#This Row],[Credit]]-Table822[[#This Row],[Debit]]+Table822[[#This Row],[Credit +]]-Table822[[#This Row],[Debit -]],0)</f>
        <v>0</v>
      </c>
      <c r="AD52" s="34">
        <f>IFERROR(IF(AND(OR(Table822[[#This Row],[Classification]]="Expense",Table822[[#This Row],[Classification]]="Cost of Goods Sold"),Table822[[#This Row],[Debit\]]&gt;Table822[[#This Row],[Credit.]]),Table822[[#This Row],[Debit\]]-Table822[[#This Row],[Credit.]],""),"")</f>
        <v>409278.51677448238</v>
      </c>
      <c r="AE52" s="34" t="str">
        <f>IFERROR(IF(AND(OR(Table822[[#This Row],[Classification]]="Income",Table822[[#This Row],[Classification]]="Cost of Goods Sold"),Table822[[#This Row],[Credit.]]&gt;Table822[[#This Row],[Debit\]]),Table822[[#This Row],[Credit.]]-Table822[[#This Row],[Debit\]],""),"")</f>
        <v/>
      </c>
      <c r="AF52" s="34"/>
      <c r="AG52" s="34" t="str">
        <f>IFERROR(IF(AND(Table822[[#This Row],[Classification]]="Assets",Table822[[#This Row],[Debit\]]-Table822[[#This Row],[Credit.]]),Table822[[#This Row],[Debit\]]-Table822[[#This Row],[Credit.]],""),"")</f>
        <v/>
      </c>
      <c r="AH52" s="34" t="str">
        <f>IFERROR(IF(AND(OR(Table822[[#This Row],[Classification]]="Liabilities",Table822[[#This Row],[Classification]]="Owner´s Equity"),Table822[[#This Row],[Credit.]]&gt;Table822[[#This Row],[Debit\]]),Table822[[#This Row],[Credit.]]-Table822[[#This Row],[Debit\]],""),"")</f>
        <v/>
      </c>
    </row>
    <row r="53" spans="2:34" hidden="1" x14ac:dyDescent="0.25">
      <c r="B53" s="34"/>
      <c r="C53" s="37" t="s">
        <v>107</v>
      </c>
      <c r="D53" s="34">
        <v>233250</v>
      </c>
      <c r="E53" s="34"/>
      <c r="G53" s="39"/>
      <c r="H53" s="43"/>
      <c r="I53" s="41"/>
      <c r="J53" s="41"/>
      <c r="L53" s="34">
        <v>46</v>
      </c>
      <c r="M53" s="35" t="s">
        <v>154</v>
      </c>
      <c r="N53" s="35" t="s">
        <v>108</v>
      </c>
      <c r="O53" s="34">
        <f>IFERROR(SUMIF(Table419[,],Table621[[#This Row],[Accounts Name]],Table419[,3]),"")</f>
        <v>2500001</v>
      </c>
      <c r="P53" s="34">
        <f>IFERROR(SUMIF(Table419[,],Table621[[#This Row],[Accounts Name]],Table419[,2]),"")</f>
        <v>0</v>
      </c>
      <c r="S53" s="36">
        <f t="shared" si="0"/>
        <v>46</v>
      </c>
      <c r="T53" s="34" t="s">
        <v>61</v>
      </c>
      <c r="U53" s="37" t="s">
        <v>148</v>
      </c>
      <c r="V53" s="34">
        <f>IFERROR(SUMIF(Table621[Sub-Accounts],Table822[[#This Row],[Update your chart of accounts here]],Table621[Debit]),"")</f>
        <v>568965.54</v>
      </c>
      <c r="W53" s="34">
        <f>IFERROR(SUMIF(Table621[Sub-Accounts],Table822[[#This Row],[Update your chart of accounts here]],Table621[Credit]),"")</f>
        <v>0</v>
      </c>
      <c r="X53" s="34"/>
      <c r="Y53" s="34"/>
      <c r="Z53" s="34"/>
      <c r="AA53" s="34"/>
      <c r="AB53" s="34">
        <f>MAX(Table822[[#This Row],[Debit]]+Table822[[#This Row],[Debit -]]-Table822[[#This Row],[Credit]]-Table822[[#This Row],[Credit +]],0)</f>
        <v>568965.54</v>
      </c>
      <c r="AC53" s="34">
        <f>MAX(Table822[[#This Row],[Credit]]-Table822[[#This Row],[Debit]]+Table822[[#This Row],[Credit +]]-Table822[[#This Row],[Debit -]],0)</f>
        <v>0</v>
      </c>
      <c r="AD53" s="34">
        <f>IFERROR(IF(AND(OR(Table822[[#This Row],[Classification]]="Expense",Table822[[#This Row],[Classification]]="Cost of Goods Sold"),Table822[[#This Row],[Debit\]]&gt;Table822[[#This Row],[Credit.]]),Table822[[#This Row],[Debit\]]-Table822[[#This Row],[Credit.]],""),"")</f>
        <v>568965.54</v>
      </c>
      <c r="AE53" s="34" t="str">
        <f>IFERROR(IF(AND(OR(Table822[[#This Row],[Classification]]="Income",Table822[[#This Row],[Classification]]="Cost of Goods Sold"),Table822[[#This Row],[Credit.]]&gt;Table822[[#This Row],[Debit\]]),Table822[[#This Row],[Credit.]]-Table822[[#This Row],[Debit\]],""),"")</f>
        <v/>
      </c>
      <c r="AF53" s="34"/>
      <c r="AG53" s="34" t="str">
        <f>IFERROR(IF(AND(Table822[[#This Row],[Classification]]="Assets",Table822[[#This Row],[Debit\]]-Table822[[#This Row],[Credit.]]),Table822[[#This Row],[Debit\]]-Table822[[#This Row],[Credit.]],""),"")</f>
        <v/>
      </c>
      <c r="AH53" s="34" t="str">
        <f>IFERROR(IF(AND(OR(Table822[[#This Row],[Classification]]="Liabilities",Table822[[#This Row],[Classification]]="Owner´s Equity"),Table822[[#This Row],[Credit.]]&gt;Table822[[#This Row],[Debit\]]),Table822[[#This Row],[Credit.]]-Table822[[#This Row],[Debit\]],""),"")</f>
        <v/>
      </c>
    </row>
    <row r="54" spans="2:34" hidden="1" x14ac:dyDescent="0.25">
      <c r="B54" s="34"/>
      <c r="C54" s="37" t="s">
        <v>108</v>
      </c>
      <c r="D54" s="34">
        <v>2500001</v>
      </c>
      <c r="E54" s="34"/>
      <c r="G54" s="39"/>
      <c r="H54" s="40"/>
      <c r="I54" s="41"/>
      <c r="J54" s="41"/>
      <c r="L54" s="34">
        <v>47</v>
      </c>
      <c r="M54" s="35" t="s">
        <v>155</v>
      </c>
      <c r="N54" s="35" t="s">
        <v>109</v>
      </c>
      <c r="O54" s="34">
        <f>IFERROR(SUMIF(Table419[,],Table621[[#This Row],[Accounts Name]],Table419[,3]),"")</f>
        <v>1000000</v>
      </c>
      <c r="P54" s="34">
        <f>IFERROR(SUMIF(Table419[,],Table621[[#This Row],[Accounts Name]],Table419[,2]),"")</f>
        <v>0</v>
      </c>
      <c r="S54" s="36">
        <f t="shared" si="0"/>
        <v>47</v>
      </c>
      <c r="T54" s="34" t="s">
        <v>61</v>
      </c>
      <c r="U54" s="37" t="s">
        <v>158</v>
      </c>
      <c r="V54" s="34">
        <f>IFERROR(SUMIF(Table621[Sub-Accounts],Table822[[#This Row],[Update your chart of accounts here]],Table621[Debit]),"")</f>
        <v>436880</v>
      </c>
      <c r="W54" s="34">
        <f>IFERROR(SUMIF(Table621[Sub-Accounts],Table822[[#This Row],[Update your chart of accounts here]],Table621[Credit]),"")</f>
        <v>0</v>
      </c>
      <c r="X54" s="34"/>
      <c r="Y54" s="34"/>
      <c r="Z54" s="34"/>
      <c r="AA54" s="34"/>
      <c r="AB54" s="34">
        <f>MAX(Table822[[#This Row],[Debit]]+Table822[[#This Row],[Debit -]]-Table822[[#This Row],[Credit]]-Table822[[#This Row],[Credit +]],0)</f>
        <v>436880</v>
      </c>
      <c r="AC54" s="34">
        <f>MAX(Table822[[#This Row],[Credit]]-Table822[[#This Row],[Debit]]+Table822[[#This Row],[Credit +]]-Table822[[#This Row],[Debit -]],0)</f>
        <v>0</v>
      </c>
      <c r="AD54" s="34">
        <f>IFERROR(IF(AND(OR(Table822[[#This Row],[Classification]]="Expense",Table822[[#This Row],[Classification]]="Cost of Goods Sold"),Table822[[#This Row],[Debit\]]&gt;Table822[[#This Row],[Credit.]]),Table822[[#This Row],[Debit\]]-Table822[[#This Row],[Credit.]],""),"")</f>
        <v>436880</v>
      </c>
      <c r="AE54" s="34" t="str">
        <f>IFERROR(IF(AND(OR(Table822[[#This Row],[Classification]]="Income",Table822[[#This Row],[Classification]]="Cost of Goods Sold"),Table822[[#This Row],[Credit.]]&gt;Table822[[#This Row],[Debit\]]),Table822[[#This Row],[Credit.]]-Table822[[#This Row],[Debit\]],""),"")</f>
        <v/>
      </c>
      <c r="AF54" s="34"/>
      <c r="AG54" s="34" t="str">
        <f>IFERROR(IF(AND(Table822[[#This Row],[Classification]]="Assets",Table822[[#This Row],[Debit\]]-Table822[[#This Row],[Credit.]]),Table822[[#This Row],[Debit\]]-Table822[[#This Row],[Credit.]],""),"")</f>
        <v/>
      </c>
      <c r="AH54" s="34" t="str">
        <f>IFERROR(IF(AND(OR(Table822[[#This Row],[Classification]]="Liabilities",Table822[[#This Row],[Classification]]="Owner´s Equity"),Table822[[#This Row],[Credit.]]&gt;Table822[[#This Row],[Debit\]]),Table822[[#This Row],[Credit.]]-Table822[[#This Row],[Debit\]],""),"")</f>
        <v/>
      </c>
    </row>
    <row r="55" spans="2:34" hidden="1" x14ac:dyDescent="0.25">
      <c r="B55" s="34"/>
      <c r="C55" s="37" t="s">
        <v>109</v>
      </c>
      <c r="D55" s="34">
        <v>1000000</v>
      </c>
      <c r="E55" s="34"/>
      <c r="G55" s="39"/>
      <c r="H55" s="40"/>
      <c r="I55" s="41"/>
      <c r="J55" s="41"/>
      <c r="L55" s="34">
        <v>48</v>
      </c>
      <c r="M55" s="35" t="s">
        <v>156</v>
      </c>
      <c r="N55" s="35" t="s">
        <v>110</v>
      </c>
      <c r="O55" s="34">
        <f>IFERROR(SUMIF(Table419[,],Table621[[#This Row],[Accounts Name]],Table419[,3]),"")</f>
        <v>900</v>
      </c>
      <c r="P55" s="34">
        <f>IFERROR(SUMIF(Table419[,],Table621[[#This Row],[Accounts Name]],Table419[,2]),"")</f>
        <v>0</v>
      </c>
      <c r="S55" s="36">
        <f t="shared" si="0"/>
        <v>48</v>
      </c>
      <c r="T55" s="34" t="s">
        <v>61</v>
      </c>
      <c r="U55" s="37" t="s">
        <v>149</v>
      </c>
      <c r="V55" s="34">
        <f>IFERROR(SUMIF(Table621[Sub-Accounts],Table822[[#This Row],[Update your chart of accounts here]],Table621[Debit]),"")</f>
        <v>175000</v>
      </c>
      <c r="W55" s="34">
        <f>IFERROR(SUMIF(Table621[Sub-Accounts],Table822[[#This Row],[Update your chart of accounts here]],Table621[Credit]),"")</f>
        <v>0</v>
      </c>
      <c r="X55" s="34"/>
      <c r="Y55" s="34"/>
      <c r="Z55" s="34"/>
      <c r="AA55" s="34"/>
      <c r="AB55" s="34">
        <f>MAX(Table822[[#This Row],[Debit]]+Table822[[#This Row],[Debit -]]-Table822[[#This Row],[Credit]]-Table822[[#This Row],[Credit +]],0)</f>
        <v>175000</v>
      </c>
      <c r="AC55" s="34">
        <f>MAX(Table822[[#This Row],[Credit]]-Table822[[#This Row],[Debit]]+Table822[[#This Row],[Credit +]]-Table822[[#This Row],[Debit -]],0)</f>
        <v>0</v>
      </c>
      <c r="AD55" s="34">
        <f>IFERROR(IF(AND(OR(Table822[[#This Row],[Classification]]="Expense",Table822[[#This Row],[Classification]]="Cost of Goods Sold"),Table822[[#This Row],[Debit\]]&gt;Table822[[#This Row],[Credit.]]),Table822[[#This Row],[Debit\]]-Table822[[#This Row],[Credit.]],""),"")</f>
        <v>175000</v>
      </c>
      <c r="AE55" s="34" t="str">
        <f>IFERROR(IF(AND(OR(Table822[[#This Row],[Classification]]="Income",Table822[[#This Row],[Classification]]="Cost of Goods Sold"),Table822[[#This Row],[Credit.]]&gt;Table822[[#This Row],[Debit\]]),Table822[[#This Row],[Credit.]]-Table822[[#This Row],[Debit\]],""),"")</f>
        <v/>
      </c>
      <c r="AF55" s="34"/>
      <c r="AG55" s="34" t="str">
        <f>IFERROR(IF(AND(Table822[[#This Row],[Classification]]="Assets",Table822[[#This Row],[Debit\]]-Table822[[#This Row],[Credit.]]),Table822[[#This Row],[Debit\]]-Table822[[#This Row],[Credit.]],""),"")</f>
        <v/>
      </c>
      <c r="AH55" s="34" t="str">
        <f>IFERROR(IF(AND(OR(Table822[[#This Row],[Classification]]="Liabilities",Table822[[#This Row],[Classification]]="Owner´s Equity"),Table822[[#This Row],[Credit.]]&gt;Table822[[#This Row],[Debit\]]),Table822[[#This Row],[Credit.]]-Table822[[#This Row],[Debit\]],""),"")</f>
        <v/>
      </c>
    </row>
    <row r="56" spans="2:34" hidden="1" x14ac:dyDescent="0.25">
      <c r="B56" s="34"/>
      <c r="C56" s="37" t="s">
        <v>110</v>
      </c>
      <c r="D56" s="34">
        <v>900</v>
      </c>
      <c r="E56" s="34"/>
      <c r="G56" s="39"/>
      <c r="H56" s="43"/>
      <c r="I56" s="41"/>
      <c r="J56" s="41"/>
      <c r="L56" s="34">
        <v>49</v>
      </c>
      <c r="M56" s="35" t="s">
        <v>157</v>
      </c>
      <c r="N56" s="35" t="s">
        <v>111</v>
      </c>
      <c r="O56" s="34">
        <f>IFERROR(SUMIF(Table419[,],Table621[[#This Row],[Accounts Name]],Table419[,3]),"")</f>
        <v>542263</v>
      </c>
      <c r="P56" s="34">
        <f>IFERROR(SUMIF(Table419[,],Table621[[#This Row],[Accounts Name]],Table419[,2]),"")</f>
        <v>0</v>
      </c>
      <c r="S56" s="36">
        <f t="shared" si="0"/>
        <v>49</v>
      </c>
      <c r="T56" s="34" t="s">
        <v>61</v>
      </c>
      <c r="U56" s="37" t="s">
        <v>160</v>
      </c>
      <c r="V56" s="34">
        <f>IFERROR(SUMIF(Table621[Sub-Accounts],Table822[[#This Row],[Update your chart of accounts here]],Table621[Debit]),"")</f>
        <v>145440</v>
      </c>
      <c r="W56" s="34">
        <f>IFERROR(SUMIF(Table621[Sub-Accounts],Table822[[#This Row],[Update your chart of accounts here]],Table621[Credit]),"")</f>
        <v>0</v>
      </c>
      <c r="X56" s="34"/>
      <c r="Y56" s="34"/>
      <c r="Z56" s="34"/>
      <c r="AA56" s="34"/>
      <c r="AB56" s="34">
        <f>MAX(Table822[[#This Row],[Debit]]+Table822[[#This Row],[Debit -]]-Table822[[#This Row],[Credit]]-Table822[[#This Row],[Credit +]],0)</f>
        <v>145440</v>
      </c>
      <c r="AC56" s="34">
        <f>MAX(Table822[[#This Row],[Credit]]-Table822[[#This Row],[Debit]]+Table822[[#This Row],[Credit +]]-Table822[[#This Row],[Debit -]],0)</f>
        <v>0</v>
      </c>
      <c r="AD56" s="34">
        <f>IFERROR(IF(AND(OR(Table822[[#This Row],[Classification]]="Expense",Table822[[#This Row],[Classification]]="Cost of Goods Sold"),Table822[[#This Row],[Debit\]]&gt;Table822[[#This Row],[Credit.]]),Table822[[#This Row],[Debit\]]-Table822[[#This Row],[Credit.]],""),"")</f>
        <v>145440</v>
      </c>
      <c r="AE56" s="34" t="str">
        <f>IFERROR(IF(AND(OR(Table822[[#This Row],[Classification]]="Income",Table822[[#This Row],[Classification]]="Cost of Goods Sold"),Table822[[#This Row],[Credit.]]&gt;Table822[[#This Row],[Debit\]]),Table822[[#This Row],[Credit.]]-Table822[[#This Row],[Debit\]],""),"")</f>
        <v/>
      </c>
      <c r="AF56" s="34"/>
      <c r="AG56" s="34" t="str">
        <f>IFERROR(IF(AND(Table822[[#This Row],[Classification]]="Assets",Table822[[#This Row],[Debit\]]-Table822[[#This Row],[Credit.]]),Table822[[#This Row],[Debit\]]-Table822[[#This Row],[Credit.]],""),"")</f>
        <v/>
      </c>
      <c r="AH56" s="34" t="str">
        <f>IFERROR(IF(AND(OR(Table822[[#This Row],[Classification]]="Liabilities",Table822[[#This Row],[Classification]]="Owner´s Equity"),Table822[[#This Row],[Credit.]]&gt;Table822[[#This Row],[Debit\]]),Table822[[#This Row],[Credit.]]-Table822[[#This Row],[Debit\]],""),"")</f>
        <v/>
      </c>
    </row>
    <row r="57" spans="2:34" hidden="1" x14ac:dyDescent="0.25">
      <c r="B57" s="34"/>
      <c r="C57" s="37" t="s">
        <v>111</v>
      </c>
      <c r="D57" s="34">
        <v>542263</v>
      </c>
      <c r="E57" s="34"/>
      <c r="G57" s="39"/>
      <c r="H57" s="40"/>
      <c r="I57" s="41"/>
      <c r="J57" s="41"/>
      <c r="L57" s="34">
        <v>50</v>
      </c>
      <c r="M57" s="35" t="s">
        <v>158</v>
      </c>
      <c r="N57" s="35" t="s">
        <v>112</v>
      </c>
      <c r="O57" s="34">
        <f>IFERROR(SUMIF(Table419[,],Table621[[#This Row],[Accounts Name]],Table419[,3]),"")</f>
        <v>20412.8</v>
      </c>
      <c r="P57" s="34">
        <f>IFERROR(SUMIF(Table419[,],Table621[[#This Row],[Accounts Name]],Table419[,2]),"")</f>
        <v>0</v>
      </c>
      <c r="S57" s="36">
        <f t="shared" si="0"/>
        <v>50</v>
      </c>
      <c r="T57" s="34" t="s">
        <v>61</v>
      </c>
      <c r="U57" s="37" t="s">
        <v>150</v>
      </c>
      <c r="V57" s="34">
        <f>IFERROR(SUMIF(Table621[Sub-Accounts],Table822[[#This Row],[Update your chart of accounts here]],Table621[Debit]),"")</f>
        <v>176009.84</v>
      </c>
      <c r="W57" s="34">
        <f>IFERROR(SUMIF(Table621[Sub-Accounts],Table822[[#This Row],[Update your chart of accounts here]],Table621[Credit]),"")</f>
        <v>0</v>
      </c>
      <c r="X57" s="34"/>
      <c r="Y57" s="34"/>
      <c r="Z57" s="34"/>
      <c r="AA57" s="34"/>
      <c r="AB57" s="34">
        <f>MAX(Table822[[#This Row],[Debit]]+Table822[[#This Row],[Debit -]]-Table822[[#This Row],[Credit]]-Table822[[#This Row],[Credit +]],0)</f>
        <v>176009.84</v>
      </c>
      <c r="AC57" s="34">
        <f>MAX(Table822[[#This Row],[Credit]]-Table822[[#This Row],[Debit]]+Table822[[#This Row],[Credit +]]-Table822[[#This Row],[Debit -]],0)</f>
        <v>0</v>
      </c>
      <c r="AD57" s="34">
        <f>IFERROR(IF(AND(OR(Table822[[#This Row],[Classification]]="Expense",Table822[[#This Row],[Classification]]="Cost of Goods Sold"),Table822[[#This Row],[Debit\]]&gt;Table822[[#This Row],[Credit.]]),Table822[[#This Row],[Debit\]]-Table822[[#This Row],[Credit.]],""),"")</f>
        <v>176009.84</v>
      </c>
      <c r="AE57" s="34" t="str">
        <f>IFERROR(IF(AND(OR(Table822[[#This Row],[Classification]]="Income",Table822[[#This Row],[Classification]]="Cost of Goods Sold"),Table822[[#This Row],[Credit.]]&gt;Table822[[#This Row],[Debit\]]),Table822[[#This Row],[Credit.]]-Table822[[#This Row],[Debit\]],""),"")</f>
        <v/>
      </c>
      <c r="AF57" s="34"/>
      <c r="AG57" s="34" t="str">
        <f>IFERROR(IF(AND(Table822[[#This Row],[Classification]]="Assets",Table822[[#This Row],[Debit\]]-Table822[[#This Row],[Credit.]]),Table822[[#This Row],[Debit\]]-Table822[[#This Row],[Credit.]],""),"")</f>
        <v/>
      </c>
      <c r="AH57" s="34" t="str">
        <f>IFERROR(IF(AND(OR(Table822[[#This Row],[Classification]]="Liabilities",Table822[[#This Row],[Classification]]="Owner´s Equity"),Table822[[#This Row],[Credit.]]&gt;Table822[[#This Row],[Debit\]]),Table822[[#This Row],[Credit.]]-Table822[[#This Row],[Debit\]],""),"")</f>
        <v/>
      </c>
    </row>
    <row r="58" spans="2:34" hidden="1" x14ac:dyDescent="0.25">
      <c r="B58" s="34"/>
      <c r="C58" s="37" t="s">
        <v>112</v>
      </c>
      <c r="D58" s="34">
        <v>20412.8</v>
      </c>
      <c r="E58" s="34"/>
      <c r="G58" s="39"/>
      <c r="H58" s="40"/>
      <c r="I58" s="41"/>
      <c r="J58" s="41"/>
      <c r="L58" s="34">
        <v>51</v>
      </c>
      <c r="M58" s="35" t="s">
        <v>158</v>
      </c>
      <c r="N58" s="35" t="s">
        <v>113</v>
      </c>
      <c r="O58" s="34">
        <f>IFERROR(SUMIF(Table419[,],Table621[[#This Row],[Accounts Name]],Table419[,3]),"")</f>
        <v>416467.20000000001</v>
      </c>
      <c r="P58" s="34">
        <f>IFERROR(SUMIF(Table419[,],Table621[[#This Row],[Accounts Name]],Table419[,2]),"")</f>
        <v>0</v>
      </c>
      <c r="S58" s="36">
        <f t="shared" si="0"/>
        <v>51</v>
      </c>
      <c r="T58" s="34" t="s">
        <v>61</v>
      </c>
      <c r="U58" s="37" t="s">
        <v>221</v>
      </c>
      <c r="V58" s="34">
        <f>IFERROR(SUMIF(Table621[Sub-Accounts],Table822[[#This Row],[Update your chart of accounts here]],Table621[Debit]),"")</f>
        <v>0</v>
      </c>
      <c r="W58" s="34">
        <f>IFERROR(SUMIF(Table621[Sub-Accounts],Table822[[#This Row],[Update your chart of accounts here]],Table621[Credit]),"")</f>
        <v>0</v>
      </c>
      <c r="X58" s="34"/>
      <c r="Y58" s="34"/>
      <c r="Z58" s="34"/>
      <c r="AA58" s="34"/>
      <c r="AB58" s="34">
        <f>MAX(Table822[[#This Row],[Debit]]+Table822[[#This Row],[Debit -]]-Table822[[#This Row],[Credit]]-Table822[[#This Row],[Credit +]],0)</f>
        <v>0</v>
      </c>
      <c r="AC58" s="34">
        <f>MAX(Table822[[#This Row],[Credit]]-Table822[[#This Row],[Debit]]+Table822[[#This Row],[Credit +]]-Table822[[#This Row],[Debit -]],0)</f>
        <v>0</v>
      </c>
      <c r="AD58" s="34" t="str">
        <f>IFERROR(IF(AND(OR(Table822[[#This Row],[Classification]]="Expense",Table822[[#This Row],[Classification]]="Cost of Goods Sold"),Table822[[#This Row],[Debit\]]&gt;Table822[[#This Row],[Credit.]]),Table822[[#This Row],[Debit\]]-Table822[[#This Row],[Credit.]],""),"")</f>
        <v/>
      </c>
      <c r="AE58" s="34" t="str">
        <f>IFERROR(IF(AND(OR(Table822[[#This Row],[Classification]]="Income",Table822[[#This Row],[Classification]]="Cost of Goods Sold"),Table822[[#This Row],[Credit.]]&gt;Table822[[#This Row],[Debit\]]),Table822[[#This Row],[Credit.]]-Table822[[#This Row],[Debit\]],""),"")</f>
        <v/>
      </c>
      <c r="AF58" s="34"/>
      <c r="AG58" s="34" t="str">
        <f>IFERROR(IF(AND(Table822[[#This Row],[Classification]]="Assets",Table822[[#This Row],[Debit\]]-Table822[[#This Row],[Credit.]]),Table822[[#This Row],[Debit\]]-Table822[[#This Row],[Credit.]],""),"")</f>
        <v/>
      </c>
      <c r="AH58" s="34" t="str">
        <f>IFERROR(IF(AND(OR(Table822[[#This Row],[Classification]]="Liabilities",Table822[[#This Row],[Classification]]="Owner´s Equity"),Table822[[#This Row],[Credit.]]&gt;Table822[[#This Row],[Debit\]]),Table822[[#This Row],[Credit.]]-Table822[[#This Row],[Debit\]],""),"")</f>
        <v/>
      </c>
    </row>
    <row r="59" spans="2:34" hidden="1" x14ac:dyDescent="0.25">
      <c r="B59" s="34"/>
      <c r="C59" s="37" t="s">
        <v>113</v>
      </c>
      <c r="D59" s="34">
        <v>416467.20000000001</v>
      </c>
      <c r="E59" s="34"/>
      <c r="G59" s="39"/>
      <c r="H59" s="43"/>
      <c r="I59" s="41"/>
      <c r="J59" s="41"/>
      <c r="L59" s="34">
        <v>52</v>
      </c>
      <c r="M59" s="35" t="s">
        <v>159</v>
      </c>
      <c r="N59" s="35" t="s">
        <v>114</v>
      </c>
      <c r="O59" s="34">
        <f>IFERROR(SUMIF(Table419[,],Table621[[#This Row],[Accounts Name]],Table419[,3]),"")</f>
        <v>27500</v>
      </c>
      <c r="P59" s="34">
        <f>IFERROR(SUMIF(Table419[,],Table621[[#This Row],[Accounts Name]],Table419[,2]),"")</f>
        <v>0</v>
      </c>
      <c r="S59" s="36">
        <f t="shared" si="0"/>
        <v>52</v>
      </c>
      <c r="T59" s="34" t="s">
        <v>61</v>
      </c>
      <c r="U59" s="37" t="s">
        <v>222</v>
      </c>
      <c r="V59" s="34">
        <f>IFERROR(SUMIF(Table621[Sub-Accounts],Table822[[#This Row],[Update your chart of accounts here]],Table621[Debit]),"")</f>
        <v>0</v>
      </c>
      <c r="W59" s="34">
        <f>IFERROR(SUMIF(Table621[Sub-Accounts],Table822[[#This Row],[Update your chart of accounts here]],Table621[Credit]),"")</f>
        <v>0</v>
      </c>
      <c r="X59" s="34"/>
      <c r="Y59" s="34"/>
      <c r="Z59" s="34"/>
      <c r="AA59" s="34"/>
      <c r="AB59" s="34">
        <f>MAX(Table822[[#This Row],[Debit]]+Table822[[#This Row],[Debit -]]-Table822[[#This Row],[Credit]]-Table822[[#This Row],[Credit +]],0)</f>
        <v>0</v>
      </c>
      <c r="AC59" s="34">
        <f>MAX(Table822[[#This Row],[Credit]]-Table822[[#This Row],[Debit]]+Table822[[#This Row],[Credit +]]-Table822[[#This Row],[Debit -]],0)</f>
        <v>0</v>
      </c>
      <c r="AD59" s="34" t="str">
        <f>IFERROR(IF(AND(OR(Table822[[#This Row],[Classification]]="Expense",Table822[[#This Row],[Classification]]="Cost of Goods Sold"),Table822[[#This Row],[Debit\]]&gt;Table822[[#This Row],[Credit.]]),Table822[[#This Row],[Debit\]]-Table822[[#This Row],[Credit.]],""),"")</f>
        <v/>
      </c>
      <c r="AE59" s="34" t="str">
        <f>IFERROR(IF(AND(OR(Table822[[#This Row],[Classification]]="Income",Table822[[#This Row],[Classification]]="Cost of Goods Sold"),Table822[[#This Row],[Credit.]]&gt;Table822[[#This Row],[Debit\]]),Table822[[#This Row],[Credit.]]-Table822[[#This Row],[Debit\]],""),"")</f>
        <v/>
      </c>
      <c r="AF59" s="34"/>
      <c r="AG59" s="34" t="str">
        <f>IFERROR(IF(AND(Table822[[#This Row],[Classification]]="Assets",Table822[[#This Row],[Debit\]]-Table822[[#This Row],[Credit.]]),Table822[[#This Row],[Debit\]]-Table822[[#This Row],[Credit.]],""),"")</f>
        <v/>
      </c>
      <c r="AH59" s="34" t="str">
        <f>IFERROR(IF(AND(OR(Table822[[#This Row],[Classification]]="Liabilities",Table822[[#This Row],[Classification]]="Owner´s Equity"),Table822[[#This Row],[Credit.]]&gt;Table822[[#This Row],[Debit\]]),Table822[[#This Row],[Credit.]]-Table822[[#This Row],[Debit\]],""),"")</f>
        <v/>
      </c>
    </row>
    <row r="60" spans="2:34" x14ac:dyDescent="0.25">
      <c r="B60" s="34"/>
      <c r="C60" s="37" t="s">
        <v>114</v>
      </c>
      <c r="D60" s="34">
        <v>27500</v>
      </c>
      <c r="E60" s="34"/>
      <c r="G60" s="39"/>
      <c r="H60" s="40"/>
      <c r="I60" s="41"/>
      <c r="J60" s="41"/>
      <c r="L60" s="34">
        <v>53</v>
      </c>
      <c r="M60" s="35" t="s">
        <v>160</v>
      </c>
      <c r="N60" s="35" t="s">
        <v>115</v>
      </c>
      <c r="O60" s="34">
        <f>IFERROR(SUMIF(Table419[,],Table621[[#This Row],[Accounts Name]],Table419[,3]),"")</f>
        <v>30000</v>
      </c>
      <c r="P60" s="34">
        <f>IFERROR(SUMIF(Table419[,],Table621[[#This Row],[Accounts Name]],Table419[,2]),"")</f>
        <v>0</v>
      </c>
      <c r="S60" s="36">
        <f t="shared" si="0"/>
        <v>53</v>
      </c>
      <c r="T60" s="34" t="s">
        <v>11</v>
      </c>
      <c r="U60" s="37" t="s">
        <v>229</v>
      </c>
      <c r="V60" s="34">
        <f>IFERROR(SUMIF(Table621[Sub-Accounts],Table822[[#This Row],[Update your chart of accounts here]],Table621[Debit]),"")</f>
        <v>0</v>
      </c>
      <c r="W60" s="34">
        <f>IFERROR(SUMIF(Table621[Sub-Accounts],Table822[[#This Row],[Update your chart of accounts here]],Table621[Credit]),"")</f>
        <v>0</v>
      </c>
      <c r="X60" s="34"/>
      <c r="Y60" s="34"/>
      <c r="Z60" s="34">
        <f>AA62</f>
        <v>10003059</v>
      </c>
      <c r="AA60" s="34"/>
      <c r="AB60" s="34">
        <f>MAX(Table822[[#This Row],[Debit]]+Table822[[#This Row],[Debit -]]-Table822[[#This Row],[Credit]]-Table822[[#This Row],[Credit +]],0)</f>
        <v>10003059</v>
      </c>
      <c r="AC60" s="34">
        <f>MAX(Table822[[#This Row],[Credit]]-Table822[[#This Row],[Debit]]+Table822[[#This Row],[Credit +]]-Table822[[#This Row],[Debit -]],0)</f>
        <v>0</v>
      </c>
      <c r="AD60" s="34" t="str">
        <f>IFERROR(IF(AND(OR(Table822[[#This Row],[Classification]]="Expense",Table822[[#This Row],[Classification]]="Cost of Goods Sold"),Table822[[#This Row],[Debit\]]&gt;Table822[[#This Row],[Credit.]]),Table822[[#This Row],[Debit\]]-Table822[[#This Row],[Credit.]],""),"")</f>
        <v/>
      </c>
      <c r="AE60" s="34" t="str">
        <f>IFERROR(IF(AND(OR(Table822[[#This Row],[Classification]]="Income",Table822[[#This Row],[Classification]]="Cost of Goods Sold"),Table822[[#This Row],[Credit.]]&gt;Table822[[#This Row],[Debit\]]),Table822[[#This Row],[Credit.]]-Table822[[#This Row],[Debit\]],""),"")</f>
        <v/>
      </c>
      <c r="AF60" s="34"/>
      <c r="AG60" s="34">
        <f>IFERROR(IF(AND(Table822[[#This Row],[Classification]]="Assets",Table822[[#This Row],[Debit\]]-Table822[[#This Row],[Credit.]]),Table822[[#This Row],[Debit\]]-Table822[[#This Row],[Credit.]],""),"")</f>
        <v>10003059</v>
      </c>
      <c r="AH60" s="34" t="str">
        <f>IFERROR(IF(AND(OR(Table822[[#This Row],[Classification]]="Liabilities",Table822[[#This Row],[Classification]]="Owner´s Equity"),Table822[[#This Row],[Credit.]]&gt;Table822[[#This Row],[Debit\]]),Table822[[#This Row],[Credit.]]-Table822[[#This Row],[Debit\]],""),"")</f>
        <v/>
      </c>
    </row>
    <row r="61" spans="2:34" x14ac:dyDescent="0.25">
      <c r="B61" s="34"/>
      <c r="C61" s="37" t="s">
        <v>115</v>
      </c>
      <c r="D61" s="34">
        <v>30000</v>
      </c>
      <c r="E61" s="34"/>
      <c r="G61" s="39"/>
      <c r="H61" s="40"/>
      <c r="I61" s="41"/>
      <c r="J61" s="41"/>
      <c r="L61" s="34">
        <v>54</v>
      </c>
      <c r="M61" s="35" t="s">
        <v>161</v>
      </c>
      <c r="N61" s="35" t="s">
        <v>116</v>
      </c>
      <c r="O61" s="34">
        <f>IFERROR(SUMIF(Table419[,],Table621[[#This Row],[Accounts Name]],Table419[,3]),"")</f>
        <v>77850</v>
      </c>
      <c r="P61" s="34">
        <f>IFERROR(SUMIF(Table419[,],Table621[[#This Row],[Accounts Name]],Table419[,2]),"")</f>
        <v>0</v>
      </c>
      <c r="S61" s="36">
        <f t="shared" si="0"/>
        <v>54</v>
      </c>
      <c r="T61" s="34" t="s">
        <v>48</v>
      </c>
      <c r="U61" s="37" t="s">
        <v>207</v>
      </c>
      <c r="V61" s="34">
        <f>IFERROR(SUMIF(Table621[Sub-Accounts],Table822[[#This Row],[Update your chart of accounts here]],Table621[Debit]),"")</f>
        <v>0</v>
      </c>
      <c r="W61" s="34">
        <f>IFERROR(SUMIF(Table621[Sub-Accounts],Table822[[#This Row],[Update your chart of accounts here]],Table621[Credit]),"")</f>
        <v>0</v>
      </c>
      <c r="X61" s="34"/>
      <c r="Y61" s="34"/>
      <c r="Z61" s="34"/>
      <c r="AA61" s="34">
        <f>Z12</f>
        <v>8341041.1232255697</v>
      </c>
      <c r="AB61" s="34">
        <f>MAX(Table822[[#This Row],[Debit]]+Table822[[#This Row],[Debit -]]-Table822[[#This Row],[Credit]]-Table822[[#This Row],[Credit +]],0)</f>
        <v>0</v>
      </c>
      <c r="AC61" s="34">
        <f>MAX(Table822[[#This Row],[Credit]]-Table822[[#This Row],[Debit]]+Table822[[#This Row],[Credit +]]-Table822[[#This Row],[Debit -]],0)</f>
        <v>8341041.1232255697</v>
      </c>
      <c r="AD61" s="34" t="str">
        <f>IFERROR(IF(AND(OR(Table822[[#This Row],[Classification]]="Expense",Table822[[#This Row],[Classification]]="Cost of Goods Sold"),Table822[[#This Row],[Debit\]]&gt;Table822[[#This Row],[Credit.]]),Table822[[#This Row],[Debit\]]-Table822[[#This Row],[Credit.]],""),"")</f>
        <v/>
      </c>
      <c r="AE61" s="34" t="str">
        <f>IFERROR(IF(AND(OR(Table822[[#This Row],[Classification]]="Income",Table822[[#This Row],[Classification]]="Cost of Goods Sold"),Table822[[#This Row],[Credit.]]&gt;Table822[[#This Row],[Debit\]]),Table822[[#This Row],[Credit.]]-Table822[[#This Row],[Debit\]],""),"")</f>
        <v/>
      </c>
      <c r="AF61" s="34"/>
      <c r="AG61" s="34" t="str">
        <f>IFERROR(IF(AND(Table822[[#This Row],[Classification]]="Assets",Table822[[#This Row],[Debit\]]-Table822[[#This Row],[Credit.]]),Table822[[#This Row],[Debit\]]-Table822[[#This Row],[Credit.]],""),"")</f>
        <v/>
      </c>
      <c r="AH61" s="34">
        <f>IFERROR(IF(AND(OR(Table822[[#This Row],[Classification]]="Liabilities",Table822[[#This Row],[Classification]]="Owner´s Equity"),Table822[[#This Row],[Credit.]]&gt;Table822[[#This Row],[Debit\]]),Table822[[#This Row],[Credit.]]-Table822[[#This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IFERROR(SUMIF(Table419[,],Table621[[#This Row],[Accounts Name]],Table419[,3]),"")</f>
        <v>129108.59</v>
      </c>
      <c r="P62" s="34">
        <f>IFERROR(SUMIF(Table419[,],Table621[[#This Row],[Accounts Name]],Table419[,2]),"")</f>
        <v>0</v>
      </c>
      <c r="S62" s="36">
        <f t="shared" si="0"/>
        <v>55</v>
      </c>
      <c r="T62" s="34" t="s">
        <v>62</v>
      </c>
      <c r="U62" s="37" t="s">
        <v>229</v>
      </c>
      <c r="V62" s="34">
        <f>IFERROR(SUMIF(Table621[Sub-Accounts],Table822[[#This Row],[Update your chart of accounts here]],Table621[Debit]),"")</f>
        <v>0</v>
      </c>
      <c r="W62" s="34">
        <f>IFERROR(SUMIF(Table621[Sub-Accounts],Table822[[#This Row],[Update your chart of accounts here]],Table621[Credit]),"")</f>
        <v>0</v>
      </c>
      <c r="X62" s="34"/>
      <c r="Y62" s="34"/>
      <c r="Z62" s="34"/>
      <c r="AA62" s="34">
        <v>10003059</v>
      </c>
      <c r="AB62" s="34">
        <f>MAX(Table822[[#This Row],[Debit]]+Table822[[#This Row],[Debit -]]-Table822[[#This Row],[Credit]]-Table822[[#This Row],[Credit +]],0)</f>
        <v>0</v>
      </c>
      <c r="AC62" s="34">
        <f>MAX(Table822[[#This Row],[Credit]]-Table822[[#This Row],[Debit]]+Table822[[#This Row],[Credit +]]-Table822[[#This Row],[Debit -]],0)</f>
        <v>10003059</v>
      </c>
      <c r="AD62" s="34" t="str">
        <f>IFERROR(IF(AND(OR(Table822[[#This Row],[Classification]]="Expense",Table822[[#This Row],[Classification]]="Cost of Goods Sold"),Table822[[#This Row],[Debit\]]&gt;Table822[[#This Row],[Credit.]]),Table822[[#This Row],[Debit\]]-Table822[[#This Row],[Credit.]],""),"")</f>
        <v/>
      </c>
      <c r="AE62" s="34">
        <f>IFERROR(IF(AND(OR(Table822[[#This Row],[Classification]]="Income",Table822[[#This Row],[Classification]]="Cost of Goods Sold"),Table822[[#This Row],[Credit.]]&gt;Table822[[#This Row],[Debit\]]),Table822[[#This Row],[Credit.]]-Table822[[#This Row],[Debit\]],""),"")</f>
        <v>10003059</v>
      </c>
      <c r="AF62" s="34"/>
      <c r="AG62" s="34" t="str">
        <f>IFERROR(IF(AND(Table822[[#This Row],[Classification]]="Assets",Table822[[#This Row],[Debit\]]-Table822[[#This Row],[Credit.]]),Table822[[#This Row],[Debit\]]-Table822[[#This Row],[Credit.]],""),"")</f>
        <v/>
      </c>
      <c r="AH62" s="34" t="str">
        <f>IFERROR(IF(AND(OR(Table822[[#This Row],[Classification]]="Liabilities",Table822[[#This Row],[Classification]]="Owner´s Equity"),Table822[[#This Row],[Credit.]]&gt;Table822[[#This Row],[Debit\]]),Table822[[#This Row],[Credit.]]-Table822[[#This Row],[Debit\]],""),"")</f>
        <v/>
      </c>
    </row>
    <row r="63" spans="2:34" x14ac:dyDescent="0.25">
      <c r="B63" s="34"/>
      <c r="C63" s="37" t="s">
        <v>117</v>
      </c>
      <c r="D63" s="34">
        <v>129108.59</v>
      </c>
      <c r="E63" s="34"/>
      <c r="G63" s="39"/>
      <c r="H63" s="40"/>
      <c r="I63" s="41"/>
      <c r="J63" s="41"/>
      <c r="L63" s="34">
        <v>56</v>
      </c>
      <c r="M63" s="35" t="s">
        <v>156</v>
      </c>
      <c r="N63" s="35" t="s">
        <v>118</v>
      </c>
      <c r="O63" s="34">
        <f>IFERROR(SUMIF(Table419[,],Table621[[#This Row],[Accounts Name]],Table419[,3]),"")</f>
        <v>131390</v>
      </c>
      <c r="P63" s="34">
        <f>IFERROR(SUMIF(Table419[,],Table621[[#This Row],[Accounts Name]],Table419[,2]),"")</f>
        <v>0</v>
      </c>
      <c r="S63" s="36">
        <f t="shared" si="0"/>
        <v>56</v>
      </c>
      <c r="T63" s="34" t="s">
        <v>11</v>
      </c>
      <c r="U63" s="37" t="s">
        <v>232</v>
      </c>
      <c r="V63" s="34">
        <f>IFERROR(SUMIF(Table621[Sub-Accounts],Table822[[#This Row],[Update your chart of accounts here]],Table621[Debit]),"")</f>
        <v>0</v>
      </c>
      <c r="W63" s="34">
        <f>IFERROR(SUMIF(Table621[Sub-Accounts],Table822[[#This Row],[Update your chart of accounts here]],Table621[Credit]),"")</f>
        <v>0</v>
      </c>
      <c r="X63" s="34"/>
      <c r="Y63" s="34" t="s">
        <v>233</v>
      </c>
      <c r="Z63" s="34">
        <f>I21</f>
        <v>115200</v>
      </c>
      <c r="AA63" s="34"/>
      <c r="AB63" s="34">
        <f>MAX(Table822[[#This Row],[Debit]]+Table822[[#This Row],[Debit -]]-Table822[[#This Row],[Credit]]-Table822[[#This Row],[Credit +]],0)</f>
        <v>115200</v>
      </c>
      <c r="AC63" s="34">
        <f>MAX(Table822[[#This Row],[Credit]]-Table822[[#This Row],[Debit]]+Table822[[#This Row],[Credit +]]-Table822[[#This Row],[Debit -]],0)</f>
        <v>0</v>
      </c>
      <c r="AD63" s="34" t="str">
        <f>IFERROR(IF(AND(OR(Table822[[#This Row],[Classification]]="Expense",Table822[[#This Row],[Classification]]="Cost of Goods Sold"),Table822[[#This Row],[Debit\]]&gt;Table822[[#This Row],[Credit.]]),Table822[[#This Row],[Debit\]]-Table822[[#This Row],[Credit.]],""),"")</f>
        <v/>
      </c>
      <c r="AE63" s="34" t="str">
        <f>IFERROR(IF(AND(OR(Table822[[#This Row],[Classification]]="Income",Table822[[#This Row],[Classification]]="Cost of Goods Sold"),Table822[[#This Row],[Credit.]]&gt;Table822[[#This Row],[Debit\]]),Table822[[#This Row],[Credit.]]-Table822[[#This Row],[Debit\]],""),"")</f>
        <v/>
      </c>
      <c r="AF63" s="34"/>
      <c r="AG63" s="34">
        <f>IFERROR(IF(AND(Table822[[#This Row],[Classification]]="Assets",Table822[[#This Row],[Debit\]]-Table822[[#This Row],[Credit.]]),Table822[[#This Row],[Debit\]]-Table822[[#This Row],[Credit.]],""),"")</f>
        <v>115200</v>
      </c>
      <c r="AH63" s="34" t="str">
        <f>IFERROR(IF(AND(OR(Table822[[#This Row],[Classification]]="Liabilities",Table822[[#This Row],[Classification]]="Owner´s Equity"),Table822[[#This Row],[Credit.]]&gt;Table822[[#This Row],[Debit\]]),Table822[[#This Row],[Credit.]]-Table822[[#This Row],[Debit\]],""),"")</f>
        <v/>
      </c>
    </row>
    <row r="64" spans="2:34" hidden="1" x14ac:dyDescent="0.25">
      <c r="B64" s="34"/>
      <c r="C64" s="37" t="s">
        <v>118</v>
      </c>
      <c r="D64" s="34">
        <v>131390</v>
      </c>
      <c r="E64" s="34"/>
      <c r="G64" s="39"/>
      <c r="H64" s="40"/>
      <c r="I64" s="41"/>
      <c r="J64" s="41"/>
      <c r="L64" s="34">
        <v>57</v>
      </c>
      <c r="M64" s="35" t="s">
        <v>163</v>
      </c>
      <c r="N64" s="35" t="s">
        <v>119</v>
      </c>
      <c r="O64" s="34">
        <f>IFERROR(SUMIF(Table419[,],Table621[[#This Row],[Accounts Name]],Table419[,3]),"")</f>
        <v>300</v>
      </c>
      <c r="P64" s="34">
        <f>IFERROR(SUMIF(Table419[,],Table621[[#This Row],[Accounts Name]],Table419[,2]),"")</f>
        <v>0</v>
      </c>
      <c r="S64" s="36">
        <f t="shared" si="0"/>
        <v>57</v>
      </c>
      <c r="T64" s="34"/>
      <c r="U64" s="37"/>
      <c r="V64" s="34">
        <f>IFERROR(SUMIF(Table621[Sub-Accounts],Table822[[#This Row],[Update your chart of accounts here]],Table621[Debit]),"")</f>
        <v>0</v>
      </c>
      <c r="W64" s="34">
        <f>IFERROR(SUMIF(Table621[Sub-Accounts],Table822[[#This Row],[Update your chart of accounts here]],Table621[Credit]),"")</f>
        <v>0</v>
      </c>
      <c r="X64" s="34"/>
      <c r="Y64" s="34"/>
      <c r="Z64" s="34"/>
      <c r="AA64" s="34"/>
      <c r="AB64" s="34">
        <f>MAX(Table822[[#This Row],[Debit]]+Table822[[#This Row],[Debit -]]-Table822[[#This Row],[Credit]]-Table822[[#This Row],[Credit +]],0)</f>
        <v>0</v>
      </c>
      <c r="AC64" s="34">
        <f>MAX(Table822[[#This Row],[Credit]]-Table822[[#This Row],[Debit]]+Table822[[#This Row],[Credit +]]-Table822[[#This Row],[Debit -]],0)</f>
        <v>0</v>
      </c>
      <c r="AD64" s="34" t="str">
        <f>IFERROR(IF(AND(OR(Table822[[#This Row],[Classification]]="Expense",Table822[[#This Row],[Classification]]="Cost of Goods Sold"),Table822[[#This Row],[Debit\]]&gt;Table822[[#This Row],[Credit.]]),Table822[[#This Row],[Debit\]]-Table822[[#This Row],[Credit.]],""),"")</f>
        <v/>
      </c>
      <c r="AE64" s="34" t="str">
        <f>IFERROR(IF(AND(OR(Table822[[#This Row],[Classification]]="Income",Table822[[#This Row],[Classification]]="Cost of Goods Sold"),Table822[[#This Row],[Credit.]]&gt;Table822[[#This Row],[Debit\]]),Table822[[#This Row],[Credit.]]-Table822[[#This Row],[Debit\]],""),"")</f>
        <v/>
      </c>
      <c r="AF64" s="34"/>
      <c r="AG64" s="34" t="str">
        <f>IFERROR(IF(AND(Table822[[#This Row],[Classification]]="Assets",Table822[[#This Row],[Debit\]]-Table822[[#This Row],[Credit.]]),Table822[[#This Row],[Debit\]]-Table822[[#This Row],[Credit.]],""),"")</f>
        <v/>
      </c>
      <c r="AH64" s="34" t="str">
        <f>IFERROR(IF(AND(OR(Table822[[#This Row],[Classification]]="Liabilities",Table822[[#This Row],[Classification]]="Owner´s Equity"),Table822[[#This Row],[Credit.]]&gt;Table822[[#This Row],[Debit\]]),Table822[[#This Row],[Credit.]]-Table822[[#This Row],[Debit\]],""),"")</f>
        <v/>
      </c>
    </row>
    <row r="65" spans="2:34" hidden="1" x14ac:dyDescent="0.25">
      <c r="B65" s="34"/>
      <c r="C65" s="37" t="s">
        <v>119</v>
      </c>
      <c r="D65" s="34">
        <v>300</v>
      </c>
      <c r="E65" s="34"/>
      <c r="G65" s="39"/>
      <c r="H65" s="43"/>
      <c r="I65" s="41"/>
      <c r="J65" s="41"/>
      <c r="L65" s="34">
        <v>58</v>
      </c>
      <c r="M65" s="35" t="s">
        <v>164</v>
      </c>
      <c r="N65" s="35" t="s">
        <v>120</v>
      </c>
      <c r="O65" s="34">
        <f>IFERROR(SUMIF(Table419[,],Table621[[#This Row],[Accounts Name]],Table419[,3]),"")</f>
        <v>436840.42</v>
      </c>
      <c r="P65" s="34">
        <f>IFERROR(SUMIF(Table419[,],Table621[[#This Row],[Accounts Name]],Table419[,2]),"")</f>
        <v>0</v>
      </c>
      <c r="S65" s="36">
        <f t="shared" si="0"/>
        <v>58</v>
      </c>
      <c r="T65" s="34"/>
      <c r="U65" s="37"/>
      <c r="V65" s="34">
        <f>IFERROR(SUMIF(Table621[Sub-Accounts],Table822[[#This Row],[Update your chart of accounts here]],Table621[Debit]),"")</f>
        <v>0</v>
      </c>
      <c r="W65" s="34">
        <f>IFERROR(SUMIF(Table621[Sub-Accounts],Table822[[#This Row],[Update your chart of accounts here]],Table621[Credit]),"")</f>
        <v>0</v>
      </c>
      <c r="X65" s="34"/>
      <c r="Y65" s="34"/>
      <c r="Z65" s="34"/>
      <c r="AA65" s="34"/>
      <c r="AB65" s="34">
        <f>MAX(Table822[[#This Row],[Debit]]+Table822[[#This Row],[Debit -]]-Table822[[#This Row],[Credit]]-Table822[[#This Row],[Credit +]],0)</f>
        <v>0</v>
      </c>
      <c r="AC65" s="34">
        <f>MAX(Table822[[#This Row],[Credit]]-Table822[[#This Row],[Debit]]+Table822[[#This Row],[Credit +]]-Table822[[#This Row],[Debit -]],0)</f>
        <v>0</v>
      </c>
      <c r="AD65" s="34" t="str">
        <f>IFERROR(IF(AND(OR(Table822[[#This Row],[Classification]]="Expense",Table822[[#This Row],[Classification]]="Cost of Goods Sold"),Table822[[#This Row],[Debit\]]&gt;Table822[[#This Row],[Credit.]]),Table822[[#This Row],[Debit\]]-Table822[[#This Row],[Credit.]],""),"")</f>
        <v/>
      </c>
      <c r="AE65" s="34" t="str">
        <f>IFERROR(IF(AND(OR(Table822[[#This Row],[Classification]]="Income",Table822[[#This Row],[Classification]]="Cost of Goods Sold"),Table822[[#This Row],[Credit.]]&gt;Table822[[#This Row],[Debit\]]),Table822[[#This Row],[Credit.]]-Table822[[#This Row],[Debit\]],""),"")</f>
        <v/>
      </c>
      <c r="AF65" s="34"/>
      <c r="AG65" s="34" t="str">
        <f>IFERROR(IF(AND(Table822[[#This Row],[Classification]]="Assets",Table822[[#This Row],[Debit\]]-Table822[[#This Row],[Credit.]]),Table822[[#This Row],[Debit\]]-Table822[[#This Row],[Credit.]],""),"")</f>
        <v/>
      </c>
      <c r="AH65" s="34" t="str">
        <f>IFERROR(IF(AND(OR(Table822[[#This Row],[Classification]]="Liabilities",Table822[[#This Row],[Classification]]="Owner´s Equity"),Table822[[#This Row],[Credit.]]&gt;Table822[[#This Row],[Debit\]]),Table822[[#This Row],[Credit.]]-Table822[[#This Row],[Debit\]],""),"")</f>
        <v/>
      </c>
    </row>
    <row r="66" spans="2:34" hidden="1" x14ac:dyDescent="0.25">
      <c r="B66" s="34"/>
      <c r="C66" s="37" t="s">
        <v>120</v>
      </c>
      <c r="D66" s="34">
        <v>436840.42</v>
      </c>
      <c r="E66" s="34"/>
      <c r="G66" s="39"/>
      <c r="H66" s="40"/>
      <c r="I66" s="41"/>
      <c r="J66" s="41"/>
      <c r="L66" s="34">
        <v>59</v>
      </c>
      <c r="M66" s="35" t="s">
        <v>151</v>
      </c>
      <c r="N66" s="35" t="s">
        <v>121</v>
      </c>
      <c r="O66" s="34">
        <f>IFERROR(SUMIF(Table419[,],Table621[[#This Row],[Accounts Name]],Table419[,3]),"")</f>
        <v>102350</v>
      </c>
      <c r="P66" s="34">
        <f>IFERROR(SUMIF(Table419[,],Table621[[#This Row],[Accounts Name]],Table419[,2]),"")</f>
        <v>0</v>
      </c>
      <c r="S66" s="36">
        <f t="shared" si="0"/>
        <v>59</v>
      </c>
      <c r="T66" s="34"/>
      <c r="U66" s="37"/>
      <c r="V66" s="34">
        <f>IFERROR(SUMIF(Table621[Sub-Accounts],Table822[[#This Row],[Update your chart of accounts here]],Table621[Debit]),"")</f>
        <v>0</v>
      </c>
      <c r="W66" s="34">
        <f>IFERROR(SUMIF(Table621[Sub-Accounts],Table822[[#This Row],[Update your chart of accounts here]],Table621[Credit]),"")</f>
        <v>0</v>
      </c>
      <c r="X66" s="34"/>
      <c r="Y66" s="34"/>
      <c r="Z66" s="34"/>
      <c r="AA66" s="34"/>
      <c r="AB66" s="34">
        <f>MAX(Table822[[#This Row],[Debit]]+Table822[[#This Row],[Debit -]]-Table822[[#This Row],[Credit]]-Table822[[#This Row],[Credit +]],0)</f>
        <v>0</v>
      </c>
      <c r="AC66" s="34">
        <f>MAX(Table822[[#This Row],[Credit]]-Table822[[#This Row],[Debit]]+Table822[[#This Row],[Credit +]]-Table822[[#This Row],[Debit -]],0)</f>
        <v>0</v>
      </c>
      <c r="AD66" s="34" t="str">
        <f>IFERROR(IF(AND(OR(Table822[[#This Row],[Classification]]="Expense",Table822[[#This Row],[Classification]]="Cost of Goods Sold"),Table822[[#This Row],[Debit\]]&gt;Table822[[#This Row],[Credit.]]),Table822[[#This Row],[Debit\]]-Table822[[#This Row],[Credit.]],""),"")</f>
        <v/>
      </c>
      <c r="AE66" s="34" t="str">
        <f>IFERROR(IF(AND(OR(Table822[[#This Row],[Classification]]="Income",Table822[[#This Row],[Classification]]="Cost of Goods Sold"),Table822[[#This Row],[Credit.]]&gt;Table822[[#This Row],[Debit\]]),Table822[[#This Row],[Credit.]]-Table822[[#This Row],[Debit\]],""),"")</f>
        <v/>
      </c>
      <c r="AF66" s="34"/>
      <c r="AG66" s="34" t="str">
        <f>IFERROR(IF(AND(Table822[[#This Row],[Classification]]="Assets",Table822[[#This Row],[Debit\]]-Table822[[#This Row],[Credit.]]),Table822[[#This Row],[Debit\]]-Table822[[#This Row],[Credit.]],""),"")</f>
        <v/>
      </c>
      <c r="AH66" s="34" t="str">
        <f>IFERROR(IF(AND(OR(Table822[[#This Row],[Classification]]="Liabilities",Table822[[#This Row],[Classification]]="Owner´s Equity"),Table822[[#This Row],[Credit.]]&gt;Table822[[#This Row],[Debit\]]),Table822[[#This Row],[Credit.]]-Table822[[#This Row],[Debit\]],""),"")</f>
        <v/>
      </c>
    </row>
    <row r="67" spans="2:34" hidden="1" x14ac:dyDescent="0.25">
      <c r="B67" s="34"/>
      <c r="C67" s="37" t="s">
        <v>121</v>
      </c>
      <c r="D67" s="34">
        <v>102350</v>
      </c>
      <c r="E67" s="34"/>
      <c r="G67" s="39"/>
      <c r="H67" s="40"/>
      <c r="I67" s="41"/>
      <c r="J67" s="41"/>
      <c r="L67" s="34">
        <v>60</v>
      </c>
      <c r="M67" s="35" t="s">
        <v>151</v>
      </c>
      <c r="N67" s="35" t="s">
        <v>122</v>
      </c>
      <c r="O67" s="34">
        <f>IFERROR(SUMIF(Table419[,],Table621[[#This Row],[Accounts Name]],Table419[,3]),"")</f>
        <v>62000</v>
      </c>
      <c r="P67" s="34">
        <f>IFERROR(SUMIF(Table419[,],Table621[[#This Row],[Accounts Name]],Table419[,2]),"")</f>
        <v>0</v>
      </c>
      <c r="S67" s="36">
        <f t="shared" si="0"/>
        <v>60</v>
      </c>
      <c r="T67" s="34"/>
      <c r="U67" s="37"/>
      <c r="V67" s="34">
        <f>IFERROR(SUMIF(Table621[Sub-Accounts],Table822[[#This Row],[Update your chart of accounts here]],Table621[Debit]),"")</f>
        <v>0</v>
      </c>
      <c r="W67" s="34">
        <f>IFERROR(SUMIF(Table621[Sub-Accounts],Table822[[#This Row],[Update your chart of accounts here]],Table621[Credit]),"")</f>
        <v>0</v>
      </c>
      <c r="X67" s="34"/>
      <c r="Y67" s="34"/>
      <c r="Z67" s="34"/>
      <c r="AA67" s="34"/>
      <c r="AB67" s="34">
        <f>MAX(Table822[[#This Row],[Debit]]+Table822[[#This Row],[Debit -]]-Table822[[#This Row],[Credit]]-Table822[[#This Row],[Credit +]],0)</f>
        <v>0</v>
      </c>
      <c r="AC67" s="34">
        <f>MAX(Table822[[#This Row],[Credit]]-Table822[[#This Row],[Debit]]+Table822[[#This Row],[Credit +]]-Table822[[#This Row],[Debit -]],0)</f>
        <v>0</v>
      </c>
      <c r="AD67" s="34" t="str">
        <f>IFERROR(IF(AND(OR(Table822[[#This Row],[Classification]]="Expense",Table822[[#This Row],[Classification]]="Cost of Goods Sold"),Table822[[#This Row],[Debit\]]&gt;Table822[[#This Row],[Credit.]]),Table822[[#This Row],[Debit\]]-Table822[[#This Row],[Credit.]],""),"")</f>
        <v/>
      </c>
      <c r="AE67" s="34" t="str">
        <f>IFERROR(IF(AND(OR(Table822[[#This Row],[Classification]]="Income",Table822[[#This Row],[Classification]]="Cost of Goods Sold"),Table822[[#This Row],[Credit.]]&gt;Table822[[#This Row],[Debit\]]),Table822[[#This Row],[Credit.]]-Table822[[#This Row],[Debit\]],""),"")</f>
        <v/>
      </c>
      <c r="AF67" s="34"/>
      <c r="AG67" s="34" t="str">
        <f>IFERROR(IF(AND(Table822[[#This Row],[Classification]]="Assets",Table822[[#This Row],[Debit\]]-Table822[[#This Row],[Credit.]]),Table822[[#This Row],[Debit\]]-Table822[[#This Row],[Credit.]],""),"")</f>
        <v/>
      </c>
      <c r="AH67" s="34" t="str">
        <f>IFERROR(IF(AND(OR(Table822[[#This Row],[Classification]]="Liabilities",Table822[[#This Row],[Classification]]="Owner´s Equity"),Table822[[#This Row],[Credit.]]&gt;Table822[[#This Row],[Debit\]]),Table822[[#This Row],[Credit.]]-Table822[[#This Row],[Debit\]],""),"")</f>
        <v/>
      </c>
    </row>
    <row r="68" spans="2:34" hidden="1" x14ac:dyDescent="0.25">
      <c r="B68" s="34"/>
      <c r="C68" s="37" t="s">
        <v>122</v>
      </c>
      <c r="D68" s="34">
        <v>62000</v>
      </c>
      <c r="E68" s="34"/>
      <c r="G68" s="39"/>
      <c r="H68" s="43"/>
      <c r="I68" s="41"/>
      <c r="J68" s="41"/>
      <c r="L68" s="34">
        <v>61</v>
      </c>
      <c r="M68" s="35" t="s">
        <v>151</v>
      </c>
      <c r="N68" s="35" t="s">
        <v>123</v>
      </c>
      <c r="O68" s="34">
        <f>IFERROR(SUMIF(Table419[,],Table621[[#This Row],[Accounts Name]],Table419[,3]),"")</f>
        <v>278343</v>
      </c>
      <c r="P68" s="34">
        <f>IFERROR(SUMIF(Table419[,],Table621[[#This Row],[Accounts Name]],Table419[,2]),"")</f>
        <v>0</v>
      </c>
      <c r="S68" s="36">
        <f t="shared" si="0"/>
        <v>61</v>
      </c>
      <c r="T68" s="34"/>
      <c r="U68" s="37"/>
      <c r="V68" s="34">
        <f>IFERROR(SUMIF(Table621[Sub-Accounts],Table822[[#This Row],[Update your chart of accounts here]],Table621[Debit]),"")</f>
        <v>0</v>
      </c>
      <c r="W68" s="34">
        <f>IFERROR(SUMIF(Table621[Sub-Accounts],Table822[[#This Row],[Update your chart of accounts here]],Table621[Credit]),"")</f>
        <v>0</v>
      </c>
      <c r="X68" s="34"/>
      <c r="Y68" s="34"/>
      <c r="Z68" s="34"/>
      <c r="AA68" s="34"/>
      <c r="AB68" s="34">
        <f>MAX(Table822[[#This Row],[Debit]]+Table822[[#This Row],[Debit -]]-Table822[[#This Row],[Credit]]-Table822[[#This Row],[Credit +]],0)</f>
        <v>0</v>
      </c>
      <c r="AC68" s="34">
        <f>MAX(Table822[[#This Row],[Credit]]-Table822[[#This Row],[Debit]]+Table822[[#This Row],[Credit +]]-Table822[[#This Row],[Debit -]],0)</f>
        <v>0</v>
      </c>
      <c r="AD68" s="34" t="str">
        <f>IFERROR(IF(AND(OR(Table822[[#This Row],[Classification]]="Expense",Table822[[#This Row],[Classification]]="Cost of Goods Sold"),Table822[[#This Row],[Debit\]]&gt;Table822[[#This Row],[Credit.]]),Table822[[#This Row],[Debit\]]-Table822[[#This Row],[Credit.]],""),"")</f>
        <v/>
      </c>
      <c r="AE68" s="34" t="str">
        <f>IFERROR(IF(AND(OR(Table822[[#This Row],[Classification]]="Income",Table822[[#This Row],[Classification]]="Cost of Goods Sold"),Table822[[#This Row],[Credit.]]&gt;Table822[[#This Row],[Debit\]]),Table822[[#This Row],[Credit.]]-Table822[[#This Row],[Debit\]],""),"")</f>
        <v/>
      </c>
      <c r="AF68" s="34"/>
      <c r="AG68" s="34" t="str">
        <f>IFERROR(IF(AND(Table822[[#This Row],[Classification]]="Assets",Table822[[#This Row],[Debit\]]-Table822[[#This Row],[Credit.]]),Table822[[#This Row],[Debit\]]-Table822[[#This Row],[Credit.]],""),"")</f>
        <v/>
      </c>
      <c r="AH68" s="34" t="str">
        <f>IFERROR(IF(AND(OR(Table822[[#This Row],[Classification]]="Liabilities",Table822[[#This Row],[Classification]]="Owner´s Equity"),Table822[[#This Row],[Credit.]]&gt;Table822[[#This Row],[Debit\]]),Table822[[#This Row],[Credit.]]-Table822[[#This Row],[Debit\]],""),"")</f>
        <v/>
      </c>
    </row>
    <row r="69" spans="2:34" hidden="1" x14ac:dyDescent="0.25">
      <c r="B69" s="34"/>
      <c r="C69" s="37" t="s">
        <v>123</v>
      </c>
      <c r="D69" s="34">
        <v>278343</v>
      </c>
      <c r="E69" s="34"/>
      <c r="G69" s="39"/>
      <c r="H69" s="40"/>
      <c r="I69" s="41"/>
      <c r="J69" s="41"/>
      <c r="L69" s="34">
        <v>62</v>
      </c>
      <c r="M69" s="35" t="s">
        <v>159</v>
      </c>
      <c r="N69" s="35" t="s">
        <v>124</v>
      </c>
      <c r="O69" s="34">
        <f>IFERROR(SUMIF(Table419[,],Table621[[#This Row],[Accounts Name]],Table419[,3]),"")</f>
        <v>181078.65</v>
      </c>
      <c r="P69" s="34">
        <f>IFERROR(SUMIF(Table419[,],Table621[[#This Row],[Accounts Name]],Table419[,2]),"")</f>
        <v>0</v>
      </c>
      <c r="S69" s="36">
        <f t="shared" si="0"/>
        <v>62</v>
      </c>
      <c r="T69" s="34"/>
      <c r="U69" s="37"/>
      <c r="V69" s="34">
        <f>IFERROR(SUMIF(Table621[Sub-Accounts],Table822[[#This Row],[Update your chart of accounts here]],Table621[Debit]),"")</f>
        <v>0</v>
      </c>
      <c r="W69" s="34">
        <f>IFERROR(SUMIF(Table621[Sub-Accounts],Table822[[#This Row],[Update your chart of accounts here]],Table621[Credit]),"")</f>
        <v>0</v>
      </c>
      <c r="X69" s="34"/>
      <c r="Y69" s="34"/>
      <c r="Z69" s="34"/>
      <c r="AA69" s="34"/>
      <c r="AB69" s="34">
        <f>MAX(Table822[[#This Row],[Debit]]+Table822[[#This Row],[Debit -]]-Table822[[#This Row],[Credit]]-Table822[[#This Row],[Credit +]],0)</f>
        <v>0</v>
      </c>
      <c r="AC69" s="34">
        <f>MAX(Table822[[#This Row],[Credit]]-Table822[[#This Row],[Debit]]+Table822[[#This Row],[Credit +]]-Table822[[#This Row],[Debit -]],0)</f>
        <v>0</v>
      </c>
      <c r="AD69" s="34" t="str">
        <f>IFERROR(IF(AND(OR(Table822[[#This Row],[Classification]]="Expense",Table822[[#This Row],[Classification]]="Cost of Goods Sold"),Table822[[#This Row],[Debit\]]&gt;Table822[[#This Row],[Credit.]]),Table822[[#This Row],[Debit\]]-Table822[[#This Row],[Credit.]],""),"")</f>
        <v/>
      </c>
      <c r="AE69" s="34" t="str">
        <f>IFERROR(IF(AND(OR(Table822[[#This Row],[Classification]]="Income",Table822[[#This Row],[Classification]]="Cost of Goods Sold"),Table822[[#This Row],[Credit.]]&gt;Table822[[#This Row],[Debit\]]),Table822[[#This Row],[Credit.]]-Table822[[#This Row],[Debit\]],""),"")</f>
        <v/>
      </c>
      <c r="AF69" s="34"/>
      <c r="AG69" s="34" t="str">
        <f>IFERROR(IF(AND(Table822[[#This Row],[Classification]]="Assets",Table822[[#This Row],[Debit\]]-Table822[[#This Row],[Credit.]]),Table822[[#This Row],[Debit\]]-Table822[[#This Row],[Credit.]],""),"")</f>
        <v/>
      </c>
      <c r="AH69" s="34" t="str">
        <f>IFERROR(IF(AND(OR(Table822[[#This Row],[Classification]]="Liabilities",Table822[[#This Row],[Classification]]="Owner´s Equity"),Table822[[#This Row],[Credit.]]&gt;Table822[[#This Row],[Debit\]]),Table822[[#This Row],[Credit.]]-Table822[[#This Row],[Debit\]],""),"")</f>
        <v/>
      </c>
    </row>
    <row r="70" spans="2:34" hidden="1" x14ac:dyDescent="0.25">
      <c r="B70" s="34"/>
      <c r="C70" s="37" t="s">
        <v>124</v>
      </c>
      <c r="D70" s="34">
        <v>181078.65</v>
      </c>
      <c r="E70" s="34"/>
      <c r="G70" s="39"/>
      <c r="H70" s="40"/>
      <c r="I70" s="41"/>
      <c r="J70" s="41"/>
      <c r="L70" s="34">
        <v>63</v>
      </c>
      <c r="M70" s="35" t="s">
        <v>165</v>
      </c>
      <c r="N70" s="35" t="s">
        <v>125</v>
      </c>
      <c r="O70" s="34">
        <f>IFERROR(SUMIF(Table419[,],Table621[[#This Row],[Accounts Name]],Table419[,3]),"")</f>
        <v>653656.38</v>
      </c>
      <c r="P70" s="34">
        <f>IFERROR(SUMIF(Table419[,],Table621[[#This Row],[Accounts Name]],Table419[,2]),"")</f>
        <v>0</v>
      </c>
      <c r="S70" s="36">
        <f t="shared" si="0"/>
        <v>63</v>
      </c>
      <c r="T70" s="34"/>
      <c r="U70" s="37"/>
      <c r="V70" s="34">
        <f>IFERROR(SUMIF(Table621[Sub-Accounts],Table822[[#This Row],[Update your chart of accounts here]],Table621[Debit]),"")</f>
        <v>0</v>
      </c>
      <c r="W70" s="34">
        <f>IFERROR(SUMIF(Table621[Sub-Accounts],Table822[[#This Row],[Update your chart of accounts here]],Table621[Credit]),"")</f>
        <v>0</v>
      </c>
      <c r="X70" s="34"/>
      <c r="Y70" s="34"/>
      <c r="Z70" s="34"/>
      <c r="AA70" s="34"/>
      <c r="AB70" s="34">
        <f>MAX(Table822[[#This Row],[Debit]]+Table822[[#This Row],[Debit -]]-Table822[[#This Row],[Credit]]-Table822[[#This Row],[Credit +]],0)</f>
        <v>0</v>
      </c>
      <c r="AC70" s="34">
        <f>MAX(Table822[[#This Row],[Credit]]-Table822[[#This Row],[Debit]]+Table822[[#This Row],[Credit +]]-Table822[[#This Row],[Debit -]],0)</f>
        <v>0</v>
      </c>
      <c r="AD70" s="34" t="str">
        <f>IFERROR(IF(AND(OR(Table822[[#This Row],[Classification]]="Expense",Table822[[#This Row],[Classification]]="Cost of Goods Sold"),Table822[[#This Row],[Debit\]]&gt;Table822[[#This Row],[Credit.]]),Table822[[#This Row],[Debit\]]-Table822[[#This Row],[Credit.]],""),"")</f>
        <v/>
      </c>
      <c r="AE70" s="34" t="str">
        <f>IFERROR(IF(AND(OR(Table822[[#This Row],[Classification]]="Income",Table822[[#This Row],[Classification]]="Cost of Goods Sold"),Table822[[#This Row],[Credit.]]&gt;Table822[[#This Row],[Debit\]]),Table822[[#This Row],[Credit.]]-Table822[[#This Row],[Debit\]],""),"")</f>
        <v/>
      </c>
      <c r="AF70" s="34"/>
      <c r="AG70" s="34" t="str">
        <f>IFERROR(IF(AND(Table822[[#This Row],[Classification]]="Assets",Table822[[#This Row],[Debit\]]-Table822[[#This Row],[Credit.]]),Table822[[#This Row],[Debit\]]-Table822[[#This Row],[Credit.]],""),"")</f>
        <v/>
      </c>
      <c r="AH70" s="34" t="str">
        <f>IFERROR(IF(AND(OR(Table822[[#This Row],[Classification]]="Liabilities",Table822[[#This Row],[Classification]]="Owner´s Equity"),Table822[[#This Row],[Credit.]]&gt;Table822[[#This Row],[Debit\]]),Table822[[#This Row],[Credit.]]-Table822[[#This Row],[Debit\]],""),"")</f>
        <v/>
      </c>
    </row>
    <row r="71" spans="2:34" hidden="1" x14ac:dyDescent="0.25">
      <c r="B71" s="34"/>
      <c r="C71" s="37" t="s">
        <v>125</v>
      </c>
      <c r="D71" s="34">
        <v>653656.38</v>
      </c>
      <c r="E71" s="34"/>
      <c r="G71" s="39"/>
      <c r="H71" s="43"/>
      <c r="I71" s="41"/>
      <c r="J71" s="41"/>
      <c r="L71" s="34">
        <v>64</v>
      </c>
      <c r="M71" s="35" t="s">
        <v>160</v>
      </c>
      <c r="N71" s="35" t="s">
        <v>126</v>
      </c>
      <c r="O71" s="34">
        <f>IFERROR(SUMIF(Table419[,],Table621[[#This Row],[Accounts Name]],Table419[,3]),"")</f>
        <v>115440</v>
      </c>
      <c r="P71" s="34">
        <f>IFERROR(SUMIF(Table419[,],Table621[[#This Row],[Accounts Name]],Table419[,2]),"")</f>
        <v>0</v>
      </c>
      <c r="S71" s="36">
        <f t="shared" si="0"/>
        <v>64</v>
      </c>
      <c r="T71" s="34"/>
      <c r="U71" s="37"/>
      <c r="V71" s="34">
        <f>IFERROR(SUMIF(Table621[Sub-Accounts],Table822[[#This Row],[Update your chart of accounts here]],Table621[Debit]),"")</f>
        <v>0</v>
      </c>
      <c r="W71" s="34">
        <f>IFERROR(SUMIF(Table621[Sub-Accounts],Table822[[#This Row],[Update your chart of accounts here]],Table621[Credit]),"")</f>
        <v>0</v>
      </c>
      <c r="X71" s="34"/>
      <c r="Y71" s="34"/>
      <c r="Z71" s="34"/>
      <c r="AA71" s="34"/>
      <c r="AB71" s="34">
        <f>MAX(Table822[[#This Row],[Debit]]+Table822[[#This Row],[Debit -]]-Table822[[#This Row],[Credit]]-Table822[[#This Row],[Credit +]],0)</f>
        <v>0</v>
      </c>
      <c r="AC71" s="34">
        <f>MAX(Table822[[#This Row],[Credit]]-Table822[[#This Row],[Debit]]+Table822[[#This Row],[Credit +]]-Table822[[#This Row],[Debit -]],0)</f>
        <v>0</v>
      </c>
      <c r="AD71" s="34" t="str">
        <f>IFERROR(IF(AND(OR(Table822[[#This Row],[Classification]]="Expense",Table822[[#This Row],[Classification]]="Cost of Goods Sold"),Table822[[#This Row],[Debit\]]&gt;Table822[[#This Row],[Credit.]]),Table822[[#This Row],[Debit\]]-Table822[[#This Row],[Credit.]],""),"")</f>
        <v/>
      </c>
      <c r="AE71" s="34" t="str">
        <f>IFERROR(IF(AND(OR(Table822[[#This Row],[Classification]]="Income",Table822[[#This Row],[Classification]]="Cost of Goods Sold"),Table822[[#This Row],[Credit.]]&gt;Table822[[#This Row],[Debit\]]),Table822[[#This Row],[Credit.]]-Table822[[#This Row],[Debit\]],""),"")</f>
        <v/>
      </c>
      <c r="AF71" s="34"/>
      <c r="AG71" s="34" t="str">
        <f>IFERROR(IF(AND(Table822[[#This Row],[Classification]]="Assets",Table822[[#This Row],[Debit\]]-Table822[[#This Row],[Credit.]]),Table822[[#This Row],[Debit\]]-Table822[[#This Row],[Credit.]],""),"")</f>
        <v/>
      </c>
      <c r="AH71" s="34" t="str">
        <f>IFERROR(IF(AND(OR(Table822[[#This Row],[Classification]]="Liabilities",Table822[[#This Row],[Classification]]="Owner´s Equity"),Table822[[#This Row],[Credit.]]&gt;Table822[[#This Row],[Debit\]]),Table822[[#This Row],[Credit.]]-Table822[[#This Row],[Debit\]],""),"")</f>
        <v/>
      </c>
    </row>
    <row r="72" spans="2:34" hidden="1" x14ac:dyDescent="0.25">
      <c r="B72" s="34"/>
      <c r="C72" s="37" t="s">
        <v>126</v>
      </c>
      <c r="D72" s="34">
        <v>115440</v>
      </c>
      <c r="E72" s="34"/>
      <c r="G72" s="39"/>
      <c r="H72" s="40"/>
      <c r="I72" s="41"/>
      <c r="J72" s="41"/>
      <c r="L72" s="34">
        <v>65</v>
      </c>
      <c r="M72" s="35" t="s">
        <v>166</v>
      </c>
      <c r="N72" s="35" t="s">
        <v>127</v>
      </c>
      <c r="O72" s="34">
        <f>IFERROR(SUMIF(Table419[,],Table621[[#This Row],[Accounts Name]],Table419[,3]),"")</f>
        <v>1409746.56</v>
      </c>
      <c r="P72" s="34">
        <f>IFERROR(SUMIF(Table419[,],Table621[[#This Row],[Accounts Name]],Table419[,2]),"")</f>
        <v>0</v>
      </c>
      <c r="S72" s="36">
        <f t="shared" si="0"/>
        <v>65</v>
      </c>
      <c r="T72" s="34"/>
      <c r="U72" s="37"/>
      <c r="V72" s="34">
        <f>IFERROR(SUMIF(Table621[Sub-Accounts],Table822[[#This Row],[Update your chart of accounts here]],Table621[Debit]),"")</f>
        <v>0</v>
      </c>
      <c r="W72" s="34">
        <f>IFERROR(SUMIF(Table621[Sub-Accounts],Table822[[#This Row],[Update your chart of accounts here]],Table621[Credit]),"")</f>
        <v>0</v>
      </c>
      <c r="X72" s="34"/>
      <c r="Y72" s="34"/>
      <c r="Z72" s="34"/>
      <c r="AA72" s="34"/>
      <c r="AB72" s="34">
        <f>MAX(Table822[[#This Row],[Debit]]+Table822[[#This Row],[Debit -]]-Table822[[#This Row],[Credit]]-Table822[[#This Row],[Credit +]],0)</f>
        <v>0</v>
      </c>
      <c r="AC72" s="34">
        <f>MAX(Table822[[#This Row],[Credit]]-Table822[[#This Row],[Debit]]+Table822[[#This Row],[Credit +]]-Table822[[#This Row],[Debit -]],0)</f>
        <v>0</v>
      </c>
      <c r="AD72" s="34" t="str">
        <f>IFERROR(IF(AND(OR(Table822[[#This Row],[Classification]]="Expense",Table822[[#This Row],[Classification]]="Cost of Goods Sold"),Table822[[#This Row],[Debit\]]&gt;Table822[[#This Row],[Credit.]]),Table822[[#This Row],[Debit\]]-Table822[[#This Row],[Credit.]],""),"")</f>
        <v/>
      </c>
      <c r="AE72" s="34" t="str">
        <f>IFERROR(IF(AND(OR(Table822[[#This Row],[Classification]]="Income",Table822[[#This Row],[Classification]]="Cost of Goods Sold"),Table822[[#This Row],[Credit.]]&gt;Table822[[#This Row],[Debit\]]),Table822[[#This Row],[Credit.]]-Table822[[#This Row],[Debit\]],""),"")</f>
        <v/>
      </c>
      <c r="AF72" s="34"/>
      <c r="AG72" s="34" t="str">
        <f>IFERROR(IF(AND(Table822[[#This Row],[Classification]]="Assets",Table822[[#This Row],[Debit\]]-Table822[[#This Row],[Credit.]]),Table822[[#This Row],[Debit\]]-Table822[[#This Row],[Credit.]],""),"")</f>
        <v/>
      </c>
      <c r="AH72" s="34" t="str">
        <f>IFERROR(IF(AND(OR(Table822[[#This Row],[Classification]]="Liabilities",Table822[[#This Row],[Classification]]="Owner´s Equity"),Table822[[#This Row],[Credit.]]&gt;Table822[[#This Row],[Debit\]]),Table822[[#This Row],[Credit.]]-Table822[[#This Row],[Debit\]],""),"")</f>
        <v/>
      </c>
    </row>
    <row r="73" spans="2:34" hidden="1" x14ac:dyDescent="0.25">
      <c r="B73" s="34"/>
      <c r="C73" s="37" t="s">
        <v>127</v>
      </c>
      <c r="D73" s="34">
        <v>1409746.56</v>
      </c>
      <c r="E73" s="34"/>
      <c r="G73" s="39"/>
      <c r="H73" s="40"/>
      <c r="I73" s="41"/>
      <c r="J73" s="41"/>
      <c r="L73" s="34">
        <v>66</v>
      </c>
      <c r="M73" s="35" t="s">
        <v>152</v>
      </c>
      <c r="N73" s="35" t="s">
        <v>128</v>
      </c>
      <c r="O73" s="34">
        <f>IFERROR(SUMIF(Table419[,],Table621[[#This Row],[Accounts Name]],Table419[,3]),"")</f>
        <v>1758</v>
      </c>
      <c r="P73" s="34">
        <f>IFERROR(SUMIF(Table419[,],Table621[[#This Row],[Accounts Name]],Table419[,2]),"")</f>
        <v>0</v>
      </c>
      <c r="S73" s="36">
        <f t="shared" si="0"/>
        <v>66</v>
      </c>
      <c r="T73" s="34"/>
      <c r="U73" s="37"/>
      <c r="V73" s="34">
        <f>IFERROR(SUMIF(Table621[Sub-Accounts],Table822[[#This Row],[Update your chart of accounts here]],Table621[Debit]),"")</f>
        <v>0</v>
      </c>
      <c r="W73" s="34">
        <f>IFERROR(SUMIF(Table621[Sub-Accounts],Table822[[#This Row],[Update your chart of accounts here]],Table621[Credit]),"")</f>
        <v>0</v>
      </c>
      <c r="X73" s="34"/>
      <c r="Y73" s="34"/>
      <c r="Z73" s="34"/>
      <c r="AA73" s="34"/>
      <c r="AB73" s="34">
        <f>MAX(Table822[[#This Row],[Debit]]+Table822[[#This Row],[Debit -]]-Table822[[#This Row],[Credit]]-Table822[[#This Row],[Credit +]],0)</f>
        <v>0</v>
      </c>
      <c r="AC73" s="34">
        <f>MAX(Table822[[#This Row],[Credit]]-Table822[[#This Row],[Debit]]+Table822[[#This Row],[Credit +]]-Table822[[#This Row],[Debit -]],0)</f>
        <v>0</v>
      </c>
      <c r="AD73" s="34" t="str">
        <f>IFERROR(IF(AND(OR(Table822[[#This Row],[Classification]]="Expense",Table822[[#This Row],[Classification]]="Cost of Goods Sold"),Table822[[#This Row],[Debit\]]&gt;Table822[[#This Row],[Credit.]]),Table822[[#This Row],[Debit\]]-Table822[[#This Row],[Credit.]],""),"")</f>
        <v/>
      </c>
      <c r="AE73" s="34" t="str">
        <f>IFERROR(IF(AND(OR(Table822[[#This Row],[Classification]]="Income",Table822[[#This Row],[Classification]]="Cost of Goods Sold"),Table822[[#This Row],[Credit.]]&gt;Table822[[#This Row],[Debit\]]),Table822[[#This Row],[Credit.]]-Table822[[#This Row],[Debit\]],""),"")</f>
        <v/>
      </c>
      <c r="AF73" s="34"/>
      <c r="AG73" s="34" t="str">
        <f>IFERROR(IF(AND(Table822[[#This Row],[Classification]]="Assets",Table822[[#This Row],[Debit\]]-Table822[[#This Row],[Credit.]]),Table822[[#This Row],[Debit\]]-Table822[[#This Row],[Credit.]],""),"")</f>
        <v/>
      </c>
      <c r="AH73" s="34" t="str">
        <f>IFERROR(IF(AND(OR(Table822[[#This Row],[Classification]]="Liabilities",Table822[[#This Row],[Classification]]="Owner´s Equity"),Table822[[#This Row],[Credit.]]&gt;Table822[[#This Row],[Debit\]]),Table822[[#This Row],[Credit.]]-Table822[[#This Row],[Debit\]],""),"")</f>
        <v/>
      </c>
    </row>
    <row r="74" spans="2:34" hidden="1" x14ac:dyDescent="0.25">
      <c r="B74" s="34"/>
      <c r="C74" s="37" t="s">
        <v>128</v>
      </c>
      <c r="D74" s="34">
        <v>1758</v>
      </c>
      <c r="E74" s="34"/>
      <c r="G74" s="39"/>
      <c r="H74" s="43"/>
      <c r="I74" s="41"/>
      <c r="J74" s="41"/>
      <c r="L74" s="34">
        <v>67</v>
      </c>
      <c r="M74" s="35" t="s">
        <v>167</v>
      </c>
      <c r="N74" s="35" t="s">
        <v>129</v>
      </c>
      <c r="O74" s="34">
        <f>IFERROR(SUMIF(Table419[,],Table621[[#This Row],[Accounts Name]],Table419[,3]),"")</f>
        <v>196582.42</v>
      </c>
      <c r="P74" s="34">
        <f>IFERROR(SUMIF(Table419[,],Table621[[#This Row],[Accounts Name]],Table419[,2]),"")</f>
        <v>0</v>
      </c>
      <c r="S74" s="36">
        <f t="shared" ref="S74:S137" si="1">S73+1</f>
        <v>67</v>
      </c>
      <c r="T74" s="34"/>
      <c r="U74" s="37"/>
      <c r="V74" s="34">
        <f>IFERROR(SUMIF(Table621[Sub-Accounts],Table822[[#This Row],[Update your chart of accounts here]],Table621[Debit]),"")</f>
        <v>0</v>
      </c>
      <c r="W74" s="34">
        <f>IFERROR(SUMIF(Table621[Sub-Accounts],Table822[[#This Row],[Update your chart of accounts here]],Table621[Credit]),"")</f>
        <v>0</v>
      </c>
      <c r="X74" s="34"/>
      <c r="Y74" s="34"/>
      <c r="Z74" s="34"/>
      <c r="AA74" s="34"/>
      <c r="AB74" s="34">
        <f>MAX(Table822[[#This Row],[Debit]]+Table822[[#This Row],[Debit -]]-Table822[[#This Row],[Credit]]-Table822[[#This Row],[Credit +]],0)</f>
        <v>0</v>
      </c>
      <c r="AC74" s="34">
        <f>MAX(Table822[[#This Row],[Credit]]-Table822[[#This Row],[Debit]]+Table822[[#This Row],[Credit +]]-Table822[[#This Row],[Debit -]],0)</f>
        <v>0</v>
      </c>
      <c r="AD74" s="34" t="str">
        <f>IFERROR(IF(AND(OR(Table822[[#This Row],[Classification]]="Expense",Table822[[#This Row],[Classification]]="Cost of Goods Sold"),Table822[[#This Row],[Debit\]]&gt;Table822[[#This Row],[Credit.]]),Table822[[#This Row],[Debit\]]-Table822[[#This Row],[Credit.]],""),"")</f>
        <v/>
      </c>
      <c r="AE74" s="34" t="str">
        <f>IFERROR(IF(AND(OR(Table822[[#This Row],[Classification]]="Income",Table822[[#This Row],[Classification]]="Cost of Goods Sold"),Table822[[#This Row],[Credit.]]&gt;Table822[[#This Row],[Debit\]]),Table822[[#This Row],[Credit.]]-Table822[[#This Row],[Debit\]],""),"")</f>
        <v/>
      </c>
      <c r="AF74" s="34"/>
      <c r="AG74" s="34" t="str">
        <f>IFERROR(IF(AND(Table822[[#This Row],[Classification]]="Assets",Table822[[#This Row],[Debit\]]-Table822[[#This Row],[Credit.]]),Table822[[#This Row],[Debit\]]-Table822[[#This Row],[Credit.]],""),"")</f>
        <v/>
      </c>
      <c r="AH74" s="34" t="str">
        <f>IFERROR(IF(AND(OR(Table822[[#This Row],[Classification]]="Liabilities",Table822[[#This Row],[Classification]]="Owner´s Equity"),Table822[[#This Row],[Credit.]]&gt;Table822[[#This Row],[Debit\]]),Table822[[#This Row],[Credit.]]-Table822[[#This Row],[Debit\]],""),"")</f>
        <v/>
      </c>
    </row>
    <row r="75" spans="2:34" hidden="1" x14ac:dyDescent="0.25">
      <c r="B75" s="34"/>
      <c r="C75" s="37" t="s">
        <v>129</v>
      </c>
      <c r="D75" s="34">
        <v>196582.42</v>
      </c>
      <c r="E75" s="34"/>
      <c r="G75" s="39"/>
      <c r="H75" s="40"/>
      <c r="I75" s="41"/>
      <c r="J75" s="41"/>
      <c r="L75" s="34">
        <v>68</v>
      </c>
      <c r="M75" s="35" t="s">
        <v>151</v>
      </c>
      <c r="N75" s="35" t="s">
        <v>130</v>
      </c>
      <c r="O75" s="34">
        <f>IFERROR(SUMIF(Table419[,],Table621[[#This Row],[Accounts Name]],Table419[,3]),"")</f>
        <v>3069792</v>
      </c>
      <c r="P75" s="34">
        <f>IFERROR(SUMIF(Table419[,],Table621[[#This Row],[Accounts Name]],Table419[,2]),"")</f>
        <v>0</v>
      </c>
      <c r="S75" s="36">
        <f t="shared" si="1"/>
        <v>68</v>
      </c>
      <c r="T75" s="34"/>
      <c r="U75" s="37"/>
      <c r="V75" s="34">
        <f>IFERROR(SUMIF(Table621[Sub-Accounts],Table822[[#This Row],[Update your chart of accounts here]],Table621[Debit]),"")</f>
        <v>0</v>
      </c>
      <c r="W75" s="34">
        <f>IFERROR(SUMIF(Table621[Sub-Accounts],Table822[[#This Row],[Update your chart of accounts here]],Table621[Credit]),"")</f>
        <v>0</v>
      </c>
      <c r="X75" s="34"/>
      <c r="Y75" s="34"/>
      <c r="Z75" s="34"/>
      <c r="AA75" s="34"/>
      <c r="AB75" s="34">
        <f>MAX(Table822[[#This Row],[Debit]]+Table822[[#This Row],[Debit -]]-Table822[[#This Row],[Credit]]-Table822[[#This Row],[Credit +]],0)</f>
        <v>0</v>
      </c>
      <c r="AC75" s="34">
        <f>MAX(Table822[[#This Row],[Credit]]-Table822[[#This Row],[Debit]]+Table822[[#This Row],[Credit +]]-Table822[[#This Row],[Debit -]],0)</f>
        <v>0</v>
      </c>
      <c r="AD75" s="34" t="str">
        <f>IFERROR(IF(AND(OR(Table822[[#This Row],[Classification]]="Expense",Table822[[#This Row],[Classification]]="Cost of Goods Sold"),Table822[[#This Row],[Debit\]]&gt;Table822[[#This Row],[Credit.]]),Table822[[#This Row],[Debit\]]-Table822[[#This Row],[Credit.]],""),"")</f>
        <v/>
      </c>
      <c r="AE75" s="34" t="str">
        <f>IFERROR(IF(AND(OR(Table822[[#This Row],[Classification]]="Income",Table822[[#This Row],[Classification]]="Cost of Goods Sold"),Table822[[#This Row],[Credit.]]&gt;Table822[[#This Row],[Debit\]]),Table822[[#This Row],[Credit.]]-Table822[[#This Row],[Debit\]],""),"")</f>
        <v/>
      </c>
      <c r="AF75" s="34"/>
      <c r="AG75" s="34" t="str">
        <f>IFERROR(IF(AND(Table822[[#This Row],[Classification]]="Assets",Table822[[#This Row],[Debit\]]-Table822[[#This Row],[Credit.]]),Table822[[#This Row],[Debit\]]-Table822[[#This Row],[Credit.]],""),"")</f>
        <v/>
      </c>
      <c r="AH75" s="34" t="str">
        <f>IFERROR(IF(AND(OR(Table822[[#This Row],[Classification]]="Liabilities",Table822[[#This Row],[Classification]]="Owner´s Equity"),Table822[[#This Row],[Credit.]]&gt;Table822[[#This Row],[Debit\]]),Table822[[#This Row],[Credit.]]-Table822[[#This Row],[Debit\]],""),"")</f>
        <v/>
      </c>
    </row>
    <row r="76" spans="2:34" hidden="1" x14ac:dyDescent="0.25">
      <c r="B76" s="34"/>
      <c r="C76" s="37" t="s">
        <v>130</v>
      </c>
      <c r="D76" s="34">
        <v>3069792</v>
      </c>
      <c r="E76" s="34"/>
      <c r="G76" s="39"/>
      <c r="H76" s="40"/>
      <c r="I76" s="41"/>
      <c r="J76" s="41"/>
      <c r="L76" s="34">
        <v>69</v>
      </c>
      <c r="M76" s="35" t="s">
        <v>168</v>
      </c>
      <c r="N76" s="35" t="s">
        <v>131</v>
      </c>
      <c r="O76" s="34">
        <f>IFERROR(SUMIF(Table419[,],Table621[[#This Row],[Accounts Name]],Table419[,3]),"")</f>
        <v>302989.64</v>
      </c>
      <c r="P76" s="34">
        <f>IFERROR(SUMIF(Table419[,],Table621[[#This Row],[Accounts Name]],Table419[,2]),"")</f>
        <v>0</v>
      </c>
      <c r="S76" s="36">
        <f t="shared" si="1"/>
        <v>69</v>
      </c>
      <c r="T76" s="34"/>
      <c r="U76" s="37"/>
      <c r="V76" s="34">
        <f>IFERROR(SUMIF(Table621[Sub-Accounts],Table822[[#This Row],[Update your chart of accounts here]],Table621[Debit]),"")</f>
        <v>0</v>
      </c>
      <c r="W76" s="34">
        <f>IFERROR(SUMIF(Table621[Sub-Accounts],Table822[[#This Row],[Update your chart of accounts here]],Table621[Credit]),"")</f>
        <v>0</v>
      </c>
      <c r="X76" s="34"/>
      <c r="Y76" s="34"/>
      <c r="Z76" s="34"/>
      <c r="AA76" s="34"/>
      <c r="AB76" s="34">
        <f>MAX(Table822[[#This Row],[Debit]]+Table822[[#This Row],[Debit -]]-Table822[[#This Row],[Credit]]-Table822[[#This Row],[Credit +]],0)</f>
        <v>0</v>
      </c>
      <c r="AC76" s="34">
        <f>MAX(Table822[[#This Row],[Credit]]-Table822[[#This Row],[Debit]]+Table822[[#This Row],[Credit +]]-Table822[[#This Row],[Debit -]],0)</f>
        <v>0</v>
      </c>
      <c r="AD76" s="34" t="str">
        <f>IFERROR(IF(AND(OR(Table822[[#This Row],[Classification]]="Expense",Table822[[#This Row],[Classification]]="Cost of Goods Sold"),Table822[[#This Row],[Debit\]]&gt;Table822[[#This Row],[Credit.]]),Table822[[#This Row],[Debit\]]-Table822[[#This Row],[Credit.]],""),"")</f>
        <v/>
      </c>
      <c r="AE76" s="34" t="str">
        <f>IFERROR(IF(AND(OR(Table822[[#This Row],[Classification]]="Income",Table822[[#This Row],[Classification]]="Cost of Goods Sold"),Table822[[#This Row],[Credit.]]&gt;Table822[[#This Row],[Debit\]]),Table822[[#This Row],[Credit.]]-Table822[[#This Row],[Debit\]],""),"")</f>
        <v/>
      </c>
      <c r="AF76" s="34"/>
      <c r="AG76" s="34" t="str">
        <f>IFERROR(IF(AND(Table822[[#This Row],[Classification]]="Assets",Table822[[#This Row],[Debit\]]-Table822[[#This Row],[Credit.]]),Table822[[#This Row],[Debit\]]-Table822[[#This Row],[Credit.]],""),"")</f>
        <v/>
      </c>
      <c r="AH76" s="34" t="str">
        <f>IFERROR(IF(AND(OR(Table822[[#This Row],[Classification]]="Liabilities",Table822[[#This Row],[Classification]]="Owner´s Equity"),Table822[[#This Row],[Credit.]]&gt;Table822[[#This Row],[Debit\]]),Table822[[#This Row],[Credit.]]-Table822[[#This Row],[Debit\]],""),"")</f>
        <v/>
      </c>
    </row>
    <row r="77" spans="2:34" hidden="1" x14ac:dyDescent="0.25">
      <c r="B77" s="34"/>
      <c r="C77" s="37" t="s">
        <v>131</v>
      </c>
      <c r="D77" s="34">
        <v>302989.64</v>
      </c>
      <c r="E77" s="34"/>
      <c r="G77" s="39"/>
      <c r="H77" s="43"/>
      <c r="I77" s="41"/>
      <c r="J77" s="41"/>
      <c r="L77" s="34">
        <v>70</v>
      </c>
      <c r="M77" s="35" t="s">
        <v>167</v>
      </c>
      <c r="N77" s="35" t="s">
        <v>132</v>
      </c>
      <c r="O77" s="34">
        <f>IFERROR(SUMIF(Table419[,],Table621[[#This Row],[Accounts Name]],Table419[,3]),"")</f>
        <v>35000</v>
      </c>
      <c r="P77" s="34">
        <f>IFERROR(SUMIF(Table419[,],Table621[[#This Row],[Accounts Name]],Table419[,2]),"")</f>
        <v>0</v>
      </c>
      <c r="S77" s="36">
        <f t="shared" si="1"/>
        <v>70</v>
      </c>
      <c r="T77" s="34"/>
      <c r="U77" s="37"/>
      <c r="V77" s="34">
        <f>IFERROR(SUMIF(Table621[Sub-Accounts],Table822[[#This Row],[Update your chart of accounts here]],Table621[Debit]),"")</f>
        <v>0</v>
      </c>
      <c r="W77" s="34">
        <f>IFERROR(SUMIF(Table621[Sub-Accounts],Table822[[#This Row],[Update your chart of accounts here]],Table621[Credit]),"")</f>
        <v>0</v>
      </c>
      <c r="X77" s="34"/>
      <c r="Y77" s="34"/>
      <c r="Z77" s="34"/>
      <c r="AA77" s="34"/>
      <c r="AB77" s="34">
        <f>MAX(Table822[[#This Row],[Debit]]+Table822[[#This Row],[Debit -]]-Table822[[#This Row],[Credit]]-Table822[[#This Row],[Credit +]],0)</f>
        <v>0</v>
      </c>
      <c r="AC77" s="34">
        <f>MAX(Table822[[#This Row],[Credit]]-Table822[[#This Row],[Debit]]+Table822[[#This Row],[Credit +]]-Table822[[#This Row],[Debit -]],0)</f>
        <v>0</v>
      </c>
      <c r="AD77" s="34" t="str">
        <f>IFERROR(IF(AND(OR(Table822[[#This Row],[Classification]]="Expense",Table822[[#This Row],[Classification]]="Cost of Goods Sold"),Table822[[#This Row],[Debit\]]&gt;Table822[[#This Row],[Credit.]]),Table822[[#This Row],[Debit\]]-Table822[[#This Row],[Credit.]],""),"")</f>
        <v/>
      </c>
      <c r="AE77" s="34" t="str">
        <f>IFERROR(IF(AND(OR(Table822[[#This Row],[Classification]]="Income",Table822[[#This Row],[Classification]]="Cost of Goods Sold"),Table822[[#This Row],[Credit.]]&gt;Table822[[#This Row],[Debit\]]),Table822[[#This Row],[Credit.]]-Table822[[#This Row],[Debit\]],""),"")</f>
        <v/>
      </c>
      <c r="AF77" s="34"/>
      <c r="AG77" s="34" t="str">
        <f>IFERROR(IF(AND(Table822[[#This Row],[Classification]]="Assets",Table822[[#This Row],[Debit\]]-Table822[[#This Row],[Credit.]]),Table822[[#This Row],[Debit\]]-Table822[[#This Row],[Credit.]],""),"")</f>
        <v/>
      </c>
      <c r="AH77" s="34" t="str">
        <f>IFERROR(IF(AND(OR(Table822[[#This Row],[Classification]]="Liabilities",Table822[[#This Row],[Classification]]="Owner´s Equity"),Table822[[#This Row],[Credit.]]&gt;Table822[[#This Row],[Debit\]]),Table822[[#This Row],[Credit.]]-Table822[[#This Row],[Debit\]],""),"")</f>
        <v/>
      </c>
    </row>
    <row r="78" spans="2:34" hidden="1" x14ac:dyDescent="0.25">
      <c r="B78" s="34"/>
      <c r="C78" s="37" t="s">
        <v>132</v>
      </c>
      <c r="D78" s="34">
        <v>35000</v>
      </c>
      <c r="E78" s="34"/>
      <c r="G78" s="39"/>
      <c r="H78" s="40"/>
      <c r="I78" s="41"/>
      <c r="J78" s="41"/>
      <c r="L78" s="34">
        <v>71</v>
      </c>
      <c r="M78" s="35" t="s">
        <v>167</v>
      </c>
      <c r="N78" s="35" t="s">
        <v>133</v>
      </c>
      <c r="O78" s="34">
        <f>IFERROR(SUMIF(Table419[,],Table621[[#This Row],[Accounts Name]],Table419[,3]),"")</f>
        <v>164240.34</v>
      </c>
      <c r="P78" s="34">
        <f>IFERROR(SUMIF(Table419[,],Table621[[#This Row],[Accounts Name]],Table419[,2]),"")</f>
        <v>0</v>
      </c>
      <c r="S78" s="36">
        <f t="shared" si="1"/>
        <v>71</v>
      </c>
      <c r="T78" s="34"/>
      <c r="U78" s="37"/>
      <c r="V78" s="34">
        <f>IFERROR(SUMIF(Table621[Sub-Accounts],Table822[[#This Row],[Update your chart of accounts here]],Table621[Debit]),"")</f>
        <v>0</v>
      </c>
      <c r="W78" s="34">
        <f>IFERROR(SUMIF(Table621[Sub-Accounts],Table822[[#This Row],[Update your chart of accounts here]],Table621[Credit]),"")</f>
        <v>0</v>
      </c>
      <c r="X78" s="34"/>
      <c r="Y78" s="34"/>
      <c r="Z78" s="34"/>
      <c r="AA78" s="34"/>
      <c r="AB78" s="34">
        <f>MAX(Table822[[#This Row],[Debit]]+Table822[[#This Row],[Debit -]]-Table822[[#This Row],[Credit]]-Table822[[#This Row],[Credit +]],0)</f>
        <v>0</v>
      </c>
      <c r="AC78" s="34">
        <f>MAX(Table822[[#This Row],[Credit]]-Table822[[#This Row],[Debit]]+Table822[[#This Row],[Credit +]]-Table822[[#This Row],[Debit -]],0)</f>
        <v>0</v>
      </c>
      <c r="AD78" s="34" t="str">
        <f>IFERROR(IF(AND(OR(Table822[[#This Row],[Classification]]="Expense",Table822[[#This Row],[Classification]]="Cost of Goods Sold"),Table822[[#This Row],[Debit\]]&gt;Table822[[#This Row],[Credit.]]),Table822[[#This Row],[Debit\]]-Table822[[#This Row],[Credit.]],""),"")</f>
        <v/>
      </c>
      <c r="AE78" s="34" t="str">
        <f>IFERROR(IF(AND(OR(Table822[[#This Row],[Classification]]="Income",Table822[[#This Row],[Classification]]="Cost of Goods Sold"),Table822[[#This Row],[Credit.]]&gt;Table822[[#This Row],[Debit\]]),Table822[[#This Row],[Credit.]]-Table822[[#This Row],[Debit\]],""),"")</f>
        <v/>
      </c>
      <c r="AF78" s="34"/>
      <c r="AG78" s="34" t="str">
        <f>IFERROR(IF(AND(Table822[[#This Row],[Classification]]="Assets",Table822[[#This Row],[Debit\]]-Table822[[#This Row],[Credit.]]),Table822[[#This Row],[Debit\]]-Table822[[#This Row],[Credit.]],""),"")</f>
        <v/>
      </c>
      <c r="AH78" s="34" t="str">
        <f>IFERROR(IF(AND(OR(Table822[[#This Row],[Classification]]="Liabilities",Table822[[#This Row],[Classification]]="Owner´s Equity"),Table822[[#This Row],[Credit.]]&gt;Table822[[#This Row],[Debit\]]),Table822[[#This Row],[Credit.]]-Table822[[#This Row],[Debit\]],""),"")</f>
        <v/>
      </c>
    </row>
    <row r="79" spans="2:34" hidden="1" x14ac:dyDescent="0.25">
      <c r="B79" s="34"/>
      <c r="C79" s="37" t="s">
        <v>133</v>
      </c>
      <c r="D79" s="34">
        <v>164240.34</v>
      </c>
      <c r="E79" s="34"/>
      <c r="G79" s="39"/>
      <c r="H79" s="40"/>
      <c r="I79" s="41"/>
      <c r="J79" s="41"/>
      <c r="L79" s="34">
        <v>72</v>
      </c>
      <c r="M79" s="35" t="s">
        <v>169</v>
      </c>
      <c r="N79" s="35" t="s">
        <v>134</v>
      </c>
      <c r="O79" s="34">
        <f>IFERROR(SUMIF(Table419[,],Table621[[#This Row],[Accounts Name]],Table419[,3]),"")</f>
        <v>2000</v>
      </c>
      <c r="P79" s="34">
        <f>IFERROR(SUMIF(Table419[,],Table621[[#This Row],[Accounts Name]],Table419[,2]),"")</f>
        <v>0</v>
      </c>
      <c r="S79" s="36">
        <f t="shared" si="1"/>
        <v>72</v>
      </c>
      <c r="T79" s="34"/>
      <c r="U79" s="37"/>
      <c r="V79" s="34">
        <f>IFERROR(SUMIF(Table621[Sub-Accounts],Table822[[#This Row],[Update your chart of accounts here]],Table621[Debit]),"")</f>
        <v>0</v>
      </c>
      <c r="W79" s="34">
        <f>IFERROR(SUMIF(Table621[Sub-Accounts],Table822[[#This Row],[Update your chart of accounts here]],Table621[Credit]),"")</f>
        <v>0</v>
      </c>
      <c r="X79" s="34"/>
      <c r="Y79" s="34"/>
      <c r="Z79" s="34"/>
      <c r="AA79" s="34"/>
      <c r="AB79" s="34">
        <f>MAX(Table822[[#This Row],[Debit]]+Table822[[#This Row],[Debit -]]-Table822[[#This Row],[Credit]]-Table822[[#This Row],[Credit +]],0)</f>
        <v>0</v>
      </c>
      <c r="AC79" s="34">
        <f>MAX(Table822[[#This Row],[Credit]]-Table822[[#This Row],[Debit]]+Table822[[#This Row],[Credit +]]-Table822[[#This Row],[Debit -]],0)</f>
        <v>0</v>
      </c>
      <c r="AD79" s="34" t="str">
        <f>IFERROR(IF(AND(OR(Table822[[#This Row],[Classification]]="Expense",Table822[[#This Row],[Classification]]="Cost of Goods Sold"),Table822[[#This Row],[Debit\]]&gt;Table822[[#This Row],[Credit.]]),Table822[[#This Row],[Debit\]]-Table822[[#This Row],[Credit.]],""),"")</f>
        <v/>
      </c>
      <c r="AE79" s="34" t="str">
        <f>IFERROR(IF(AND(OR(Table822[[#This Row],[Classification]]="Income",Table822[[#This Row],[Classification]]="Cost of Goods Sold"),Table822[[#This Row],[Credit.]]&gt;Table822[[#This Row],[Debit\]]),Table822[[#This Row],[Credit.]]-Table822[[#This Row],[Debit\]],""),"")</f>
        <v/>
      </c>
      <c r="AF79" s="34"/>
      <c r="AG79" s="34" t="str">
        <f>IFERROR(IF(AND(Table822[[#This Row],[Classification]]="Assets",Table822[[#This Row],[Debit\]]-Table822[[#This Row],[Credit.]]),Table822[[#This Row],[Debit\]]-Table822[[#This Row],[Credit.]],""),"")</f>
        <v/>
      </c>
      <c r="AH79" s="34" t="str">
        <f>IFERROR(IF(AND(OR(Table822[[#This Row],[Classification]]="Liabilities",Table822[[#This Row],[Classification]]="Owner´s Equity"),Table822[[#This Row],[Credit.]]&gt;Table822[[#This Row],[Debit\]]),Table822[[#This Row],[Credit.]]-Table822[[#This Row],[Debit\]],""),"")</f>
        <v/>
      </c>
    </row>
    <row r="80" spans="2:34" hidden="1" x14ac:dyDescent="0.25">
      <c r="B80" s="34"/>
      <c r="C80" s="37" t="s">
        <v>134</v>
      </c>
      <c r="D80" s="34">
        <v>2000</v>
      </c>
      <c r="E80" s="34"/>
      <c r="G80" s="39"/>
      <c r="H80" s="43"/>
      <c r="I80" s="41"/>
      <c r="J80" s="41"/>
      <c r="L80" s="34">
        <v>73</v>
      </c>
      <c r="M80" s="35" t="s">
        <v>170</v>
      </c>
      <c r="N80" s="35" t="s">
        <v>135</v>
      </c>
      <c r="O80" s="34">
        <f>IFERROR(SUMIF(Table419[,],Table621[[#This Row],[Accounts Name]],Table419[,3]),"")</f>
        <v>13250</v>
      </c>
      <c r="P80" s="34">
        <f>IFERROR(SUMIF(Table419[,],Table621[[#This Row],[Accounts Name]],Table419[,2]),"")</f>
        <v>0</v>
      </c>
      <c r="S80" s="36">
        <f t="shared" si="1"/>
        <v>73</v>
      </c>
      <c r="T80" s="34"/>
      <c r="U80" s="37"/>
      <c r="V80" s="34">
        <f>IFERROR(SUMIF(Table621[Sub-Accounts],Table822[[#This Row],[Update your chart of accounts here]],Table621[Debit]),"")</f>
        <v>0</v>
      </c>
      <c r="W80" s="34">
        <f>IFERROR(SUMIF(Table621[Sub-Accounts],Table822[[#This Row],[Update your chart of accounts here]],Table621[Credit]),"")</f>
        <v>0</v>
      </c>
      <c r="X80" s="34"/>
      <c r="Y80" s="34"/>
      <c r="Z80" s="34"/>
      <c r="AA80" s="34"/>
      <c r="AB80" s="34">
        <f>MAX(Table822[[#This Row],[Debit]]+Table822[[#This Row],[Debit -]]-Table822[[#This Row],[Credit]]-Table822[[#This Row],[Credit +]],0)</f>
        <v>0</v>
      </c>
      <c r="AC80" s="34">
        <f>MAX(Table822[[#This Row],[Credit]]-Table822[[#This Row],[Debit]]+Table822[[#This Row],[Credit +]]-Table822[[#This Row],[Debit -]],0)</f>
        <v>0</v>
      </c>
      <c r="AD80" s="34" t="str">
        <f>IFERROR(IF(AND(OR(Table822[[#This Row],[Classification]]="Expense",Table822[[#This Row],[Classification]]="Cost of Goods Sold"),Table822[[#This Row],[Debit\]]&gt;Table822[[#This Row],[Credit.]]),Table822[[#This Row],[Debit\]]-Table822[[#This Row],[Credit.]],""),"")</f>
        <v/>
      </c>
      <c r="AE80" s="34" t="str">
        <f>IFERROR(IF(AND(OR(Table822[[#This Row],[Classification]]="Income",Table822[[#This Row],[Classification]]="Cost of Goods Sold"),Table822[[#This Row],[Credit.]]&gt;Table822[[#This Row],[Debit\]]),Table822[[#This Row],[Credit.]]-Table822[[#This Row],[Debit\]],""),"")</f>
        <v/>
      </c>
      <c r="AF80" s="34"/>
      <c r="AG80" s="34" t="str">
        <f>IFERROR(IF(AND(Table822[[#This Row],[Classification]]="Assets",Table822[[#This Row],[Debit\]]-Table822[[#This Row],[Credit.]]),Table822[[#This Row],[Debit\]]-Table822[[#This Row],[Credit.]],""),"")</f>
        <v/>
      </c>
      <c r="AH80" s="34" t="str">
        <f>IFERROR(IF(AND(OR(Table822[[#This Row],[Classification]]="Liabilities",Table822[[#This Row],[Classification]]="Owner´s Equity"),Table822[[#This Row],[Credit.]]&gt;Table822[[#This Row],[Debit\]]),Table822[[#This Row],[Credit.]]-Table822[[#This Row],[Debit\]],""),"")</f>
        <v/>
      </c>
    </row>
    <row r="81" spans="2:34" hidden="1" x14ac:dyDescent="0.25">
      <c r="B81" s="34"/>
      <c r="C81" s="37" t="s">
        <v>135</v>
      </c>
      <c r="D81" s="34">
        <v>13250</v>
      </c>
      <c r="E81" s="34"/>
      <c r="G81" s="39"/>
      <c r="H81" s="40"/>
      <c r="I81" s="41"/>
      <c r="J81" s="41"/>
      <c r="L81" s="34">
        <v>74</v>
      </c>
      <c r="M81" s="35" t="s">
        <v>156</v>
      </c>
      <c r="N81" s="35" t="s">
        <v>136</v>
      </c>
      <c r="O81" s="34">
        <f>IFERROR(SUMIF(Table419[,],Table621[[#This Row],[Accounts Name]],Table419[,3]),"")</f>
        <v>87416</v>
      </c>
      <c r="P81" s="34">
        <f>IFERROR(SUMIF(Table419[,],Table621[[#This Row],[Accounts Name]],Table419[,2]),"")</f>
        <v>0</v>
      </c>
      <c r="S81" s="36">
        <f t="shared" si="1"/>
        <v>74</v>
      </c>
      <c r="T81" s="34"/>
      <c r="U81" s="37"/>
      <c r="V81" s="34">
        <f>IFERROR(SUMIF(Table621[Sub-Accounts],Table822[[#This Row],[Update your chart of accounts here]],Table621[Debit]),"")</f>
        <v>0</v>
      </c>
      <c r="W81" s="34">
        <f>IFERROR(SUMIF(Table621[Sub-Accounts],Table822[[#This Row],[Update your chart of accounts here]],Table621[Credit]),"")</f>
        <v>0</v>
      </c>
      <c r="X81" s="34"/>
      <c r="Y81" s="34"/>
      <c r="Z81" s="34"/>
      <c r="AA81" s="34"/>
      <c r="AB81" s="34">
        <f>MAX(Table822[[#This Row],[Debit]]+Table822[[#This Row],[Debit -]]-Table822[[#This Row],[Credit]]-Table822[[#This Row],[Credit +]],0)</f>
        <v>0</v>
      </c>
      <c r="AC81" s="34">
        <f>MAX(Table822[[#This Row],[Credit]]-Table822[[#This Row],[Debit]]+Table822[[#This Row],[Credit +]]-Table822[[#This Row],[Debit -]],0)</f>
        <v>0</v>
      </c>
      <c r="AD81" s="34" t="str">
        <f>IFERROR(IF(AND(OR(Table822[[#This Row],[Classification]]="Expense",Table822[[#This Row],[Classification]]="Cost of Goods Sold"),Table822[[#This Row],[Debit\]]&gt;Table822[[#This Row],[Credit.]]),Table822[[#This Row],[Debit\]]-Table822[[#This Row],[Credit.]],""),"")</f>
        <v/>
      </c>
      <c r="AE81" s="34" t="str">
        <f>IFERROR(IF(AND(OR(Table822[[#This Row],[Classification]]="Income",Table822[[#This Row],[Classification]]="Cost of Goods Sold"),Table822[[#This Row],[Credit.]]&gt;Table822[[#This Row],[Debit\]]),Table822[[#This Row],[Credit.]]-Table822[[#This Row],[Debit\]],""),"")</f>
        <v/>
      </c>
      <c r="AF81" s="34"/>
      <c r="AG81" s="34" t="str">
        <f>IFERROR(IF(AND(Table822[[#This Row],[Classification]]="Assets",Table822[[#This Row],[Debit\]]-Table822[[#This Row],[Credit.]]),Table822[[#This Row],[Debit\]]-Table822[[#This Row],[Credit.]],""),"")</f>
        <v/>
      </c>
      <c r="AH81" s="34" t="str">
        <f>IFERROR(IF(AND(OR(Table822[[#This Row],[Classification]]="Liabilities",Table822[[#This Row],[Classification]]="Owner´s Equity"),Table822[[#This Row],[Credit.]]&gt;Table822[[#This Row],[Debit\]]),Table822[[#This Row],[Credit.]]-Table822[[#This Row],[Debit\]],""),"")</f>
        <v/>
      </c>
    </row>
    <row r="82" spans="2:34" hidden="1" x14ac:dyDescent="0.25">
      <c r="B82" s="34"/>
      <c r="C82" s="37" t="s">
        <v>136</v>
      </c>
      <c r="D82" s="34">
        <v>87416</v>
      </c>
      <c r="E82" s="34"/>
      <c r="G82" s="39"/>
      <c r="H82" s="40"/>
      <c r="I82" s="41"/>
      <c r="J82" s="41"/>
      <c r="L82" s="34">
        <v>75</v>
      </c>
      <c r="M82" s="35" t="s">
        <v>162</v>
      </c>
      <c r="N82" s="35" t="s">
        <v>137</v>
      </c>
      <c r="O82" s="34">
        <f>IFERROR(SUMIF(Table419[,],Table621[[#This Row],[Accounts Name]],Table419[,3]),"")</f>
        <v>139074.48000000001</v>
      </c>
      <c r="P82" s="34">
        <f>IFERROR(SUMIF(Table419[,],Table621[[#This Row],[Accounts Name]],Table419[,2]),"")</f>
        <v>0</v>
      </c>
      <c r="S82" s="36">
        <f t="shared" si="1"/>
        <v>75</v>
      </c>
      <c r="T82" s="34"/>
      <c r="U82" s="37"/>
      <c r="V82" s="34">
        <f>IFERROR(SUMIF(Table621[Sub-Accounts],Table822[[#This Row],[Update your chart of accounts here]],Table621[Debit]),"")</f>
        <v>0</v>
      </c>
      <c r="W82" s="34">
        <f>IFERROR(SUMIF(Table621[Sub-Accounts],Table822[[#This Row],[Update your chart of accounts here]],Table621[Credit]),"")</f>
        <v>0</v>
      </c>
      <c r="X82" s="34"/>
      <c r="Y82" s="34"/>
      <c r="Z82" s="34"/>
      <c r="AA82" s="34"/>
      <c r="AB82" s="34">
        <f>MAX(Table822[[#This Row],[Debit]]+Table822[[#This Row],[Debit -]]-Table822[[#This Row],[Credit]]-Table822[[#This Row],[Credit +]],0)</f>
        <v>0</v>
      </c>
      <c r="AC82" s="34">
        <f>MAX(Table822[[#This Row],[Credit]]-Table822[[#This Row],[Debit]]+Table822[[#This Row],[Credit +]]-Table822[[#This Row],[Debit -]],0)</f>
        <v>0</v>
      </c>
      <c r="AD82" s="34" t="str">
        <f>IFERROR(IF(AND(OR(Table822[[#This Row],[Classification]]="Expense",Table822[[#This Row],[Classification]]="Cost of Goods Sold"),Table822[[#This Row],[Debit\]]&gt;Table822[[#This Row],[Credit.]]),Table822[[#This Row],[Debit\]]-Table822[[#This Row],[Credit.]],""),"")</f>
        <v/>
      </c>
      <c r="AE82" s="34" t="str">
        <f>IFERROR(IF(AND(OR(Table822[[#This Row],[Classification]]="Income",Table822[[#This Row],[Classification]]="Cost of Goods Sold"),Table822[[#This Row],[Credit.]]&gt;Table822[[#This Row],[Debit\]]),Table822[[#This Row],[Credit.]]-Table822[[#This Row],[Debit\]],""),"")</f>
        <v/>
      </c>
      <c r="AF82" s="34"/>
      <c r="AG82" s="34" t="str">
        <f>IFERROR(IF(AND(Table822[[#This Row],[Classification]]="Assets",Table822[[#This Row],[Debit\]]-Table822[[#This Row],[Credit.]]),Table822[[#This Row],[Debit\]]-Table822[[#This Row],[Credit.]],""),"")</f>
        <v/>
      </c>
      <c r="AH82" s="34" t="str">
        <f>IFERROR(IF(AND(OR(Table822[[#This Row],[Classification]]="Liabilities",Table822[[#This Row],[Classification]]="Owner´s Equity"),Table822[[#This Row],[Credit.]]&gt;Table822[[#This Row],[Debit\]]),Table822[[#This Row],[Credit.]]-Table822[[#This Row],[Debit\]],""),"")</f>
        <v/>
      </c>
    </row>
    <row r="83" spans="2:34" hidden="1" x14ac:dyDescent="0.25">
      <c r="B83" s="34"/>
      <c r="C83" s="37" t="s">
        <v>137</v>
      </c>
      <c r="D83" s="34">
        <v>139074.48000000001</v>
      </c>
      <c r="E83" s="34"/>
      <c r="G83" s="39"/>
      <c r="H83" s="43"/>
      <c r="I83" s="41"/>
      <c r="J83" s="41"/>
      <c r="L83" s="34">
        <v>76</v>
      </c>
      <c r="M83" s="35"/>
      <c r="N83" s="35"/>
      <c r="O83" s="34">
        <f>IFERROR(SUMIF(Table419[,],Table621[[#This Row],[Accounts Name]],Table419[,3]),"")</f>
        <v>0</v>
      </c>
      <c r="P83" s="34">
        <f>IFERROR(SUMIF(Table419[,],Table621[[#This Row],[Accounts Name]],Table419[,2]),"")</f>
        <v>0</v>
      </c>
      <c r="S83" s="36">
        <f t="shared" si="1"/>
        <v>76</v>
      </c>
      <c r="T83" s="34"/>
      <c r="U83" s="37"/>
      <c r="V83" s="34">
        <f>IFERROR(SUMIF(Table621[Sub-Accounts],Table822[[#This Row],[Update your chart of accounts here]],Table621[Debit]),"")</f>
        <v>0</v>
      </c>
      <c r="W83" s="34">
        <f>IFERROR(SUMIF(Table621[Sub-Accounts],Table822[[#This Row],[Update your chart of accounts here]],Table621[Credit]),"")</f>
        <v>0</v>
      </c>
      <c r="X83" s="34"/>
      <c r="Y83" s="34"/>
      <c r="Z83" s="34"/>
      <c r="AA83" s="34"/>
      <c r="AB83" s="34">
        <f>MAX(Table822[[#This Row],[Debit]]+Table822[[#This Row],[Debit -]]-Table822[[#This Row],[Credit]]-Table822[[#This Row],[Credit +]],0)</f>
        <v>0</v>
      </c>
      <c r="AC83" s="34">
        <f>MAX(Table822[[#This Row],[Credit]]-Table822[[#This Row],[Debit]]+Table822[[#This Row],[Credit +]]-Table822[[#This Row],[Debit -]],0)</f>
        <v>0</v>
      </c>
      <c r="AD83" s="34" t="str">
        <f>IFERROR(IF(AND(OR(Table822[[#This Row],[Classification]]="Expense",Table822[[#This Row],[Classification]]="Cost of Goods Sold"),Table822[[#This Row],[Debit\]]&gt;Table822[[#This Row],[Credit.]]),Table822[[#This Row],[Debit\]]-Table822[[#This Row],[Credit.]],""),"")</f>
        <v/>
      </c>
      <c r="AE83" s="34" t="str">
        <f>IFERROR(IF(AND(OR(Table822[[#This Row],[Classification]]="Income",Table822[[#This Row],[Classification]]="Cost of Goods Sold"),Table822[[#This Row],[Credit.]]&gt;Table822[[#This Row],[Debit\]]),Table822[[#This Row],[Credit.]]-Table822[[#This Row],[Debit\]],""),"")</f>
        <v/>
      </c>
      <c r="AF83" s="34"/>
      <c r="AG83" s="34" t="str">
        <f>IFERROR(IF(AND(Table822[[#This Row],[Classification]]="Assets",Table822[[#This Row],[Debit\]]-Table822[[#This Row],[Credit.]]),Table822[[#This Row],[Debit\]]-Table822[[#This Row],[Credit.]],""),"")</f>
        <v/>
      </c>
      <c r="AH83" s="34" t="str">
        <f>IFERROR(IF(AND(OR(Table822[[#This Row],[Classification]]="Liabilities",Table822[[#This Row],[Classification]]="Owner´s Equity"),Table822[[#This Row],[Credit.]]&gt;Table822[[#This Row],[Debit\]]),Table822[[#This Row],[Credit.]]-Table822[[#This Row],[Debit\]],""),"")</f>
        <v/>
      </c>
    </row>
    <row r="84" spans="2:34" hidden="1" x14ac:dyDescent="0.25">
      <c r="B84" s="34"/>
      <c r="C84" s="37"/>
      <c r="D84" s="34"/>
      <c r="E84" s="34"/>
      <c r="G84" s="39"/>
      <c r="H84" s="40"/>
      <c r="I84" s="41"/>
      <c r="J84" s="41"/>
      <c r="L84" s="34">
        <v>77</v>
      </c>
      <c r="M84" s="35"/>
      <c r="N84" s="35"/>
      <c r="O84" s="34">
        <f>IFERROR(SUMIF(Table419[,],Table621[[#This Row],[Accounts Name]],Table419[,3]),"")</f>
        <v>0</v>
      </c>
      <c r="P84" s="34">
        <f>IFERROR(SUMIF(Table419[,],Table621[[#This Row],[Accounts Name]],Table419[,2]),"")</f>
        <v>0</v>
      </c>
      <c r="S84" s="36">
        <f t="shared" si="1"/>
        <v>77</v>
      </c>
      <c r="T84" s="34"/>
      <c r="U84" s="37"/>
      <c r="V84" s="34">
        <f>IFERROR(SUMIF(Table621[Sub-Accounts],Table822[[#This Row],[Update your chart of accounts here]],Table621[Debit]),"")</f>
        <v>0</v>
      </c>
      <c r="W84" s="34">
        <f>IFERROR(SUMIF(Table621[Sub-Accounts],Table822[[#This Row],[Update your chart of accounts here]],Table621[Credit]),"")</f>
        <v>0</v>
      </c>
      <c r="X84" s="34"/>
      <c r="Y84" s="34"/>
      <c r="Z84" s="34"/>
      <c r="AA84" s="34"/>
      <c r="AB84" s="34">
        <f>MAX(Table822[[#This Row],[Debit]]+Table822[[#This Row],[Debit -]]-Table822[[#This Row],[Credit]]-Table822[[#This Row],[Credit +]],0)</f>
        <v>0</v>
      </c>
      <c r="AC84" s="34">
        <f>MAX(Table822[[#This Row],[Credit]]-Table822[[#This Row],[Debit]]+Table822[[#This Row],[Credit +]]-Table822[[#This Row],[Debit -]],0)</f>
        <v>0</v>
      </c>
      <c r="AD84" s="34" t="str">
        <f>IFERROR(IF(AND(OR(Table822[[#This Row],[Classification]]="Expense",Table822[[#This Row],[Classification]]="Cost of Goods Sold"),Table822[[#This Row],[Debit\]]&gt;Table822[[#This Row],[Credit.]]),Table822[[#This Row],[Debit\]]-Table822[[#This Row],[Credit.]],""),"")</f>
        <v/>
      </c>
      <c r="AE84" s="34" t="str">
        <f>IFERROR(IF(AND(OR(Table822[[#This Row],[Classification]]="Income",Table822[[#This Row],[Classification]]="Cost of Goods Sold"),Table822[[#This Row],[Credit.]]&gt;Table822[[#This Row],[Debit\]]),Table822[[#This Row],[Credit.]]-Table822[[#This Row],[Debit\]],""),"")</f>
        <v/>
      </c>
      <c r="AF84" s="34"/>
      <c r="AG84" s="34" t="str">
        <f>IFERROR(IF(AND(Table822[[#This Row],[Classification]]="Assets",Table822[[#This Row],[Debit\]]-Table822[[#This Row],[Credit.]]),Table822[[#This Row],[Debit\]]-Table822[[#This Row],[Credit.]],""),"")</f>
        <v/>
      </c>
      <c r="AH84" s="34" t="str">
        <f>IFERROR(IF(AND(OR(Table822[[#This Row],[Classification]]="Liabilities",Table822[[#This Row],[Classification]]="Owner´s Equity"),Table822[[#This Row],[Credit.]]&gt;Table822[[#This Row],[Debit\]]),Table822[[#This Row],[Credit.]]-Table822[[#This Row],[Debit\]],""),"")</f>
        <v/>
      </c>
    </row>
    <row r="85" spans="2:34" hidden="1" x14ac:dyDescent="0.25">
      <c r="B85" s="34"/>
      <c r="C85" s="37"/>
      <c r="D85" s="34"/>
      <c r="E85" s="34"/>
      <c r="G85" s="39"/>
      <c r="H85" s="40"/>
      <c r="I85" s="41"/>
      <c r="J85" s="41"/>
      <c r="L85" s="34">
        <v>78</v>
      </c>
      <c r="M85" s="35"/>
      <c r="N85" s="35"/>
      <c r="O85" s="34">
        <f>IFERROR(SUMIF(Table419[,],Table621[[#This Row],[Accounts Name]],Table419[,3]),"")</f>
        <v>0</v>
      </c>
      <c r="P85" s="34">
        <f>IFERROR(SUMIF(Table419[,],Table621[[#This Row],[Accounts Name]],Table419[,2]),"")</f>
        <v>0</v>
      </c>
      <c r="S85" s="36">
        <f t="shared" si="1"/>
        <v>78</v>
      </c>
      <c r="T85" s="34"/>
      <c r="U85" s="37"/>
      <c r="V85" s="34">
        <f>IFERROR(SUMIF(Table621[Sub-Accounts],Table822[[#This Row],[Update your chart of accounts here]],Table621[Debit]),"")</f>
        <v>0</v>
      </c>
      <c r="W85" s="34">
        <f>IFERROR(SUMIF(Table621[Sub-Accounts],Table822[[#This Row],[Update your chart of accounts here]],Table621[Credit]),"")</f>
        <v>0</v>
      </c>
      <c r="X85" s="34"/>
      <c r="Y85" s="34"/>
      <c r="Z85" s="34"/>
      <c r="AA85" s="34"/>
      <c r="AB85" s="34">
        <f>MAX(Table822[[#This Row],[Debit]]+Table822[[#This Row],[Debit -]]-Table822[[#This Row],[Credit]]-Table822[[#This Row],[Credit +]],0)</f>
        <v>0</v>
      </c>
      <c r="AC85" s="34">
        <f>MAX(Table822[[#This Row],[Credit]]-Table822[[#This Row],[Debit]]+Table822[[#This Row],[Credit +]]-Table822[[#This Row],[Debit -]],0)</f>
        <v>0</v>
      </c>
      <c r="AD85" s="34" t="str">
        <f>IFERROR(IF(AND(OR(Table822[[#This Row],[Classification]]="Expense",Table822[[#This Row],[Classification]]="Cost of Goods Sold"),Table822[[#This Row],[Debit\]]&gt;Table822[[#This Row],[Credit.]]),Table822[[#This Row],[Debit\]]-Table822[[#This Row],[Credit.]],""),"")</f>
        <v/>
      </c>
      <c r="AE85" s="34" t="str">
        <f>IFERROR(IF(AND(OR(Table822[[#This Row],[Classification]]="Income",Table822[[#This Row],[Classification]]="Cost of Goods Sold"),Table822[[#This Row],[Credit.]]&gt;Table822[[#This Row],[Debit\]]),Table822[[#This Row],[Credit.]]-Table822[[#This Row],[Debit\]],""),"")</f>
        <v/>
      </c>
      <c r="AF85" s="34"/>
      <c r="AG85" s="34" t="str">
        <f>IFERROR(IF(AND(Table822[[#This Row],[Classification]]="Assets",Table822[[#This Row],[Debit\]]-Table822[[#This Row],[Credit.]]),Table822[[#This Row],[Debit\]]-Table822[[#This Row],[Credit.]],""),"")</f>
        <v/>
      </c>
      <c r="AH85" s="34" t="str">
        <f>IFERROR(IF(AND(OR(Table822[[#This Row],[Classification]]="Liabilities",Table822[[#This Row],[Classification]]="Owner´s Equity"),Table822[[#This Row],[Credit.]]&gt;Table822[[#This Row],[Debit\]]),Table822[[#This Row],[Credit.]]-Table822[[#This Row],[Debit\]],""),"")</f>
        <v/>
      </c>
    </row>
    <row r="86" spans="2:34" hidden="1" x14ac:dyDescent="0.25">
      <c r="B86" s="34"/>
      <c r="C86" s="37"/>
      <c r="D86" s="34"/>
      <c r="E86" s="34"/>
      <c r="G86" s="39"/>
      <c r="H86" s="43"/>
      <c r="I86" s="41"/>
      <c r="J86" s="41"/>
      <c r="L86" s="34">
        <v>79</v>
      </c>
      <c r="M86" s="35"/>
      <c r="N86" s="35"/>
      <c r="O86" s="34">
        <f>IFERROR(SUMIF(Table419[,],Table621[[#This Row],[Accounts Name]],Table419[,3]),"")</f>
        <v>0</v>
      </c>
      <c r="P86" s="34">
        <f>IFERROR(SUMIF(Table419[,],Table621[[#This Row],[Accounts Name]],Table419[,2]),"")</f>
        <v>0</v>
      </c>
      <c r="S86" s="36">
        <f t="shared" si="1"/>
        <v>79</v>
      </c>
      <c r="T86" s="34"/>
      <c r="U86" s="37"/>
      <c r="V86" s="34">
        <f>IFERROR(SUMIF(Table621[Sub-Accounts],Table822[[#This Row],[Update your chart of accounts here]],Table621[Debit]),"")</f>
        <v>0</v>
      </c>
      <c r="W86" s="34">
        <f>IFERROR(SUMIF(Table621[Sub-Accounts],Table822[[#This Row],[Update your chart of accounts here]],Table621[Credit]),"")</f>
        <v>0</v>
      </c>
      <c r="X86" s="34"/>
      <c r="Y86" s="34"/>
      <c r="Z86" s="34"/>
      <c r="AA86" s="34"/>
      <c r="AB86" s="34">
        <f>MAX(Table822[[#This Row],[Debit]]+Table822[[#This Row],[Debit -]]-Table822[[#This Row],[Credit]]-Table822[[#This Row],[Credit +]],0)</f>
        <v>0</v>
      </c>
      <c r="AC86" s="34">
        <f>MAX(Table822[[#This Row],[Credit]]-Table822[[#This Row],[Debit]]+Table822[[#This Row],[Credit +]]-Table822[[#This Row],[Debit -]],0)</f>
        <v>0</v>
      </c>
      <c r="AD86" s="34" t="str">
        <f>IFERROR(IF(AND(OR(Table822[[#This Row],[Classification]]="Expense",Table822[[#This Row],[Classification]]="Cost of Goods Sold"),Table822[[#This Row],[Debit\]]&gt;Table822[[#This Row],[Credit.]]),Table822[[#This Row],[Debit\]]-Table822[[#This Row],[Credit.]],""),"")</f>
        <v/>
      </c>
      <c r="AE86" s="34" t="str">
        <f>IFERROR(IF(AND(OR(Table822[[#This Row],[Classification]]="Income",Table822[[#This Row],[Classification]]="Cost of Goods Sold"),Table822[[#This Row],[Credit.]]&gt;Table822[[#This Row],[Debit\]]),Table822[[#This Row],[Credit.]]-Table822[[#This Row],[Debit\]],""),"")</f>
        <v/>
      </c>
      <c r="AF86" s="34"/>
      <c r="AG86" s="34" t="str">
        <f>IFERROR(IF(AND(Table822[[#This Row],[Classification]]="Assets",Table822[[#This Row],[Debit\]]-Table822[[#This Row],[Credit.]]),Table822[[#This Row],[Debit\]]-Table822[[#This Row],[Credit.]],""),"")</f>
        <v/>
      </c>
      <c r="AH86" s="34" t="str">
        <f>IFERROR(IF(AND(OR(Table822[[#This Row],[Classification]]="Liabilities",Table822[[#This Row],[Classification]]="Owner´s Equity"),Table822[[#This Row],[Credit.]]&gt;Table822[[#This Row],[Debit\]]),Table822[[#This Row],[Credit.]]-Table822[[#This Row],[Debit\]],""),"")</f>
        <v/>
      </c>
    </row>
    <row r="87" spans="2:34" hidden="1" x14ac:dyDescent="0.25">
      <c r="B87" s="34"/>
      <c r="C87" s="37"/>
      <c r="D87" s="34"/>
      <c r="E87" s="34"/>
      <c r="G87" s="39"/>
      <c r="H87" s="40"/>
      <c r="I87" s="41"/>
      <c r="J87" s="41"/>
      <c r="L87" s="34">
        <v>80</v>
      </c>
      <c r="M87" s="35"/>
      <c r="N87" s="35"/>
      <c r="O87" s="34">
        <f>IFERROR(SUMIF(Table419[,],Table621[[#This Row],[Accounts Name]],Table419[,3]),"")</f>
        <v>0</v>
      </c>
      <c r="P87" s="34">
        <f>IFERROR(SUMIF(Table419[,],Table621[[#This Row],[Accounts Name]],Table419[,2]),"")</f>
        <v>0</v>
      </c>
      <c r="S87" s="36">
        <f t="shared" si="1"/>
        <v>80</v>
      </c>
      <c r="T87" s="34"/>
      <c r="U87" s="37"/>
      <c r="V87" s="34">
        <f>IFERROR(SUMIF(Table621[Sub-Accounts],Table822[[#This Row],[Update your chart of accounts here]],Table621[Debit]),"")</f>
        <v>0</v>
      </c>
      <c r="W87" s="34">
        <f>IFERROR(SUMIF(Table621[Sub-Accounts],Table822[[#This Row],[Update your chart of accounts here]],Table621[Credit]),"")</f>
        <v>0</v>
      </c>
      <c r="X87" s="34"/>
      <c r="Y87" s="34"/>
      <c r="Z87" s="34"/>
      <c r="AA87" s="34"/>
      <c r="AB87" s="34">
        <f>MAX(Table822[[#This Row],[Debit]]+Table822[[#This Row],[Debit -]]-Table822[[#This Row],[Credit]]-Table822[[#This Row],[Credit +]],0)</f>
        <v>0</v>
      </c>
      <c r="AC87" s="34">
        <f>MAX(Table822[[#This Row],[Credit]]-Table822[[#This Row],[Debit]]+Table822[[#This Row],[Credit +]]-Table822[[#This Row],[Debit -]],0)</f>
        <v>0</v>
      </c>
      <c r="AD87" s="34" t="str">
        <f>IFERROR(IF(AND(OR(Table822[[#This Row],[Classification]]="Expense",Table822[[#This Row],[Classification]]="Cost of Goods Sold"),Table822[[#This Row],[Debit\]]&gt;Table822[[#This Row],[Credit.]]),Table822[[#This Row],[Debit\]]-Table822[[#This Row],[Credit.]],""),"")</f>
        <v/>
      </c>
      <c r="AE87" s="34" t="str">
        <f>IFERROR(IF(AND(OR(Table822[[#This Row],[Classification]]="Income",Table822[[#This Row],[Classification]]="Cost of Goods Sold"),Table822[[#This Row],[Credit.]]&gt;Table822[[#This Row],[Debit\]]),Table822[[#This Row],[Credit.]]-Table822[[#This Row],[Debit\]],""),"")</f>
        <v/>
      </c>
      <c r="AF87" s="34"/>
      <c r="AG87" s="34" t="str">
        <f>IFERROR(IF(AND(Table822[[#This Row],[Classification]]="Assets",Table822[[#This Row],[Debit\]]-Table822[[#This Row],[Credit.]]),Table822[[#This Row],[Debit\]]-Table822[[#This Row],[Credit.]],""),"")</f>
        <v/>
      </c>
      <c r="AH87" s="34" t="str">
        <f>IFERROR(IF(AND(OR(Table822[[#This Row],[Classification]]="Liabilities",Table822[[#This Row],[Classification]]="Owner´s Equity"),Table822[[#This Row],[Credit.]]&gt;Table822[[#This Row],[Debit\]]),Table822[[#This Row],[Credit.]]-Table822[[#This Row],[Debit\]],""),"")</f>
        <v/>
      </c>
    </row>
    <row r="88" spans="2:34" hidden="1" x14ac:dyDescent="0.25">
      <c r="B88" s="34"/>
      <c r="C88" s="37"/>
      <c r="D88" s="34"/>
      <c r="E88" s="34"/>
      <c r="G88" s="39"/>
      <c r="H88" s="40"/>
      <c r="I88" s="41"/>
      <c r="J88" s="41"/>
      <c r="L88" s="34">
        <v>81</v>
      </c>
      <c r="M88" s="35"/>
      <c r="N88" s="35"/>
      <c r="O88" s="34">
        <f>IFERROR(SUMIF(Table419[,],Table621[[#This Row],[Accounts Name]],Table419[,3]),"")</f>
        <v>0</v>
      </c>
      <c r="P88" s="34">
        <f>IFERROR(SUMIF(Table419[,],Table621[[#This Row],[Accounts Name]],Table419[,2]),"")</f>
        <v>0</v>
      </c>
      <c r="S88" s="36">
        <f t="shared" si="1"/>
        <v>81</v>
      </c>
      <c r="T88" s="34"/>
      <c r="U88" s="37"/>
      <c r="V88" s="34">
        <f>IFERROR(SUMIF(Table621[Sub-Accounts],Table822[[#This Row],[Update your chart of accounts here]],Table621[Debit]),"")</f>
        <v>0</v>
      </c>
      <c r="W88" s="34">
        <f>IFERROR(SUMIF(Table621[Sub-Accounts],Table822[[#This Row],[Update your chart of accounts here]],Table621[Credit]),"")</f>
        <v>0</v>
      </c>
      <c r="X88" s="34"/>
      <c r="Y88" s="34"/>
      <c r="Z88" s="34"/>
      <c r="AA88" s="34"/>
      <c r="AB88" s="34">
        <f>MAX(Table822[[#This Row],[Debit]]+Table822[[#This Row],[Debit -]]-Table822[[#This Row],[Credit]]-Table822[[#This Row],[Credit +]],0)</f>
        <v>0</v>
      </c>
      <c r="AC88" s="34">
        <f>MAX(Table822[[#This Row],[Credit]]-Table822[[#This Row],[Debit]]+Table822[[#This Row],[Credit +]]-Table822[[#This Row],[Debit -]],0)</f>
        <v>0</v>
      </c>
      <c r="AD88" s="34" t="str">
        <f>IFERROR(IF(AND(OR(Table822[[#This Row],[Classification]]="Expense",Table822[[#This Row],[Classification]]="Cost of Goods Sold"),Table822[[#This Row],[Debit\]]&gt;Table822[[#This Row],[Credit.]]),Table822[[#This Row],[Debit\]]-Table822[[#This Row],[Credit.]],""),"")</f>
        <v/>
      </c>
      <c r="AE88" s="34" t="str">
        <f>IFERROR(IF(AND(OR(Table822[[#This Row],[Classification]]="Income",Table822[[#This Row],[Classification]]="Cost of Goods Sold"),Table822[[#This Row],[Credit.]]&gt;Table822[[#This Row],[Debit\]]),Table822[[#This Row],[Credit.]]-Table822[[#This Row],[Debit\]],""),"")</f>
        <v/>
      </c>
      <c r="AF88" s="34"/>
      <c r="AG88" s="34" t="str">
        <f>IFERROR(IF(AND(Table822[[#This Row],[Classification]]="Assets",Table822[[#This Row],[Debit\]]-Table822[[#This Row],[Credit.]]),Table822[[#This Row],[Debit\]]-Table822[[#This Row],[Credit.]],""),"")</f>
        <v/>
      </c>
      <c r="AH88" s="34" t="str">
        <f>IFERROR(IF(AND(OR(Table822[[#This Row],[Classification]]="Liabilities",Table822[[#This Row],[Classification]]="Owner´s Equity"),Table822[[#This Row],[Credit.]]&gt;Table822[[#This Row],[Debit\]]),Table822[[#This Row],[Credit.]]-Table822[[#This Row],[Debit\]],""),"")</f>
        <v/>
      </c>
    </row>
    <row r="89" spans="2:34" hidden="1" x14ac:dyDescent="0.25">
      <c r="B89" s="34"/>
      <c r="C89" s="37"/>
      <c r="D89" s="34"/>
      <c r="E89" s="34"/>
      <c r="G89" s="39"/>
      <c r="H89" s="43"/>
      <c r="I89" s="41"/>
      <c r="J89" s="41"/>
      <c r="L89" s="34">
        <v>82</v>
      </c>
      <c r="M89" s="35"/>
      <c r="N89" s="35"/>
      <c r="O89" s="34">
        <f>IFERROR(SUMIF(Table419[,],Table621[[#This Row],[Accounts Name]],Table419[,3]),"")</f>
        <v>0</v>
      </c>
      <c r="P89" s="34">
        <f>IFERROR(SUMIF(Table419[,],Table621[[#This Row],[Accounts Name]],Table419[,2]),"")</f>
        <v>0</v>
      </c>
      <c r="S89" s="36">
        <f t="shared" si="1"/>
        <v>82</v>
      </c>
      <c r="T89" s="34"/>
      <c r="U89" s="37"/>
      <c r="V89" s="34">
        <f>IFERROR(SUMIF(Table621[Sub-Accounts],Table822[[#This Row],[Update your chart of accounts here]],Table621[Debit]),"")</f>
        <v>0</v>
      </c>
      <c r="W89" s="34">
        <f>IFERROR(SUMIF(Table621[Sub-Accounts],Table822[[#This Row],[Update your chart of accounts here]],Table621[Credit]),"")</f>
        <v>0</v>
      </c>
      <c r="X89" s="34"/>
      <c r="Y89" s="34"/>
      <c r="Z89" s="34"/>
      <c r="AA89" s="34"/>
      <c r="AB89" s="34">
        <f>MAX(Table822[[#This Row],[Debit]]+Table822[[#This Row],[Debit -]]-Table822[[#This Row],[Credit]]-Table822[[#This Row],[Credit +]],0)</f>
        <v>0</v>
      </c>
      <c r="AC89" s="34">
        <f>MAX(Table822[[#This Row],[Credit]]-Table822[[#This Row],[Debit]]+Table822[[#This Row],[Credit +]]-Table822[[#This Row],[Debit -]],0)</f>
        <v>0</v>
      </c>
      <c r="AD89" s="34" t="str">
        <f>IFERROR(IF(AND(OR(Table822[[#This Row],[Classification]]="Expense",Table822[[#This Row],[Classification]]="Cost of Goods Sold"),Table822[[#This Row],[Debit\]]&gt;Table822[[#This Row],[Credit.]]),Table822[[#This Row],[Debit\]]-Table822[[#This Row],[Credit.]],""),"")</f>
        <v/>
      </c>
      <c r="AE89" s="34" t="str">
        <f>IFERROR(IF(AND(OR(Table822[[#This Row],[Classification]]="Income",Table822[[#This Row],[Classification]]="Cost of Goods Sold"),Table822[[#This Row],[Credit.]]&gt;Table822[[#This Row],[Debit\]]),Table822[[#This Row],[Credit.]]-Table822[[#This Row],[Debit\]],""),"")</f>
        <v/>
      </c>
      <c r="AF89" s="34"/>
      <c r="AG89" s="34" t="str">
        <f>IFERROR(IF(AND(Table822[[#This Row],[Classification]]="Assets",Table822[[#This Row],[Debit\]]-Table822[[#This Row],[Credit.]]),Table822[[#This Row],[Debit\]]-Table822[[#This Row],[Credit.]],""),"")</f>
        <v/>
      </c>
      <c r="AH89" s="34" t="str">
        <f>IFERROR(IF(AND(OR(Table822[[#This Row],[Classification]]="Liabilities",Table822[[#This Row],[Classification]]="Owner´s Equity"),Table822[[#This Row],[Credit.]]&gt;Table822[[#This Row],[Debit\]]),Table822[[#This Row],[Credit.]]-Table822[[#This Row],[Debit\]],""),"")</f>
        <v/>
      </c>
    </row>
    <row r="90" spans="2:34" hidden="1" x14ac:dyDescent="0.25">
      <c r="B90" s="34"/>
      <c r="C90" s="45"/>
      <c r="D90" s="34"/>
      <c r="E90" s="34"/>
      <c r="G90" s="39"/>
      <c r="H90" s="40"/>
      <c r="I90" s="41"/>
      <c r="J90" s="41"/>
      <c r="L90" s="34">
        <v>83</v>
      </c>
      <c r="M90" s="35"/>
      <c r="N90" s="35"/>
      <c r="O90" s="34">
        <f>IFERROR(SUMIF(Table419[,],Table621[[#This Row],[Accounts Name]],Table419[,3]),"")</f>
        <v>0</v>
      </c>
      <c r="P90" s="34">
        <f>IFERROR(SUMIF(Table419[,],Table621[[#This Row],[Accounts Name]],Table419[,2]),"")</f>
        <v>0</v>
      </c>
      <c r="S90" s="36">
        <f t="shared" si="1"/>
        <v>83</v>
      </c>
      <c r="T90" s="34"/>
      <c r="U90" s="37"/>
      <c r="V90" s="34">
        <f>IFERROR(SUMIF(Table621[Sub-Accounts],Table822[[#This Row],[Update your chart of accounts here]],Table621[Debit]),"")</f>
        <v>0</v>
      </c>
      <c r="W90" s="34">
        <f>IFERROR(SUMIF(Table621[Sub-Accounts],Table822[[#This Row],[Update your chart of accounts here]],Table621[Credit]),"")</f>
        <v>0</v>
      </c>
      <c r="X90" s="34"/>
      <c r="Y90" s="34"/>
      <c r="Z90" s="34"/>
      <c r="AA90" s="34"/>
      <c r="AB90" s="34">
        <f>MAX(Table822[[#This Row],[Debit]]+Table822[[#This Row],[Debit -]]-Table822[[#This Row],[Credit]]-Table822[[#This Row],[Credit +]],0)</f>
        <v>0</v>
      </c>
      <c r="AC90" s="34">
        <f>MAX(Table822[[#This Row],[Credit]]-Table822[[#This Row],[Debit]]+Table822[[#This Row],[Credit +]]-Table822[[#This Row],[Debit -]],0)</f>
        <v>0</v>
      </c>
      <c r="AD90" s="34" t="str">
        <f>IFERROR(IF(AND(OR(Table822[[#This Row],[Classification]]="Expense",Table822[[#This Row],[Classification]]="Cost of Goods Sold"),Table822[[#This Row],[Debit\]]&gt;Table822[[#This Row],[Credit.]]),Table822[[#This Row],[Debit\]]-Table822[[#This Row],[Credit.]],""),"")</f>
        <v/>
      </c>
      <c r="AE90" s="34" t="str">
        <f>IFERROR(IF(AND(OR(Table822[[#This Row],[Classification]]="Income",Table822[[#This Row],[Classification]]="Cost of Goods Sold"),Table822[[#This Row],[Credit.]]&gt;Table822[[#This Row],[Debit\]]),Table822[[#This Row],[Credit.]]-Table822[[#This Row],[Debit\]],""),"")</f>
        <v/>
      </c>
      <c r="AF90" s="34"/>
      <c r="AG90" s="34" t="str">
        <f>IFERROR(IF(AND(Table822[[#This Row],[Classification]]="Assets",Table822[[#This Row],[Debit\]]-Table822[[#This Row],[Credit.]]),Table822[[#This Row],[Debit\]]-Table822[[#This Row],[Credit.]],""),"")</f>
        <v/>
      </c>
      <c r="AH90" s="34" t="str">
        <f>IFERROR(IF(AND(OR(Table822[[#This Row],[Classification]]="Liabilities",Table822[[#This Row],[Classification]]="Owner´s Equity"),Table822[[#This Row],[Credit.]]&gt;Table822[[#This Row],[Debit\]]),Table822[[#This Row],[Credit.]]-Table822[[#This Row],[Debit\]],""),"")</f>
        <v/>
      </c>
    </row>
    <row r="91" spans="2:34" hidden="1" x14ac:dyDescent="0.25">
      <c r="B91" s="34"/>
      <c r="C91" s="45"/>
      <c r="D91" s="34"/>
      <c r="E91" s="34"/>
      <c r="G91" s="39"/>
      <c r="H91" s="40"/>
      <c r="I91" s="41"/>
      <c r="J91" s="41"/>
      <c r="L91" s="34">
        <v>84</v>
      </c>
      <c r="M91" s="35"/>
      <c r="N91" s="35"/>
      <c r="O91" s="34">
        <f>IFERROR(SUMIF(Table419[,],Table621[[#This Row],[Accounts Name]],Table419[,3]),"")</f>
        <v>0</v>
      </c>
      <c r="P91" s="34">
        <f>IFERROR(SUMIF(Table419[,],Table621[[#This Row],[Accounts Name]],Table419[,2]),"")</f>
        <v>0</v>
      </c>
      <c r="S91" s="36">
        <f t="shared" si="1"/>
        <v>84</v>
      </c>
      <c r="T91" s="34"/>
      <c r="U91" s="37"/>
      <c r="V91" s="34">
        <f>IFERROR(SUMIF(Table621[Sub-Accounts],Table822[[#This Row],[Update your chart of accounts here]],Table621[Debit]),"")</f>
        <v>0</v>
      </c>
      <c r="W91" s="34">
        <f>IFERROR(SUMIF(Table621[Sub-Accounts],Table822[[#This Row],[Update your chart of accounts here]],Table621[Credit]),"")</f>
        <v>0</v>
      </c>
      <c r="X91" s="34"/>
      <c r="Y91" s="34"/>
      <c r="Z91" s="34"/>
      <c r="AA91" s="34"/>
      <c r="AB91" s="34">
        <f>MAX(Table822[[#This Row],[Debit]]+Table822[[#This Row],[Debit -]]-Table822[[#This Row],[Credit]]-Table822[[#This Row],[Credit +]],0)</f>
        <v>0</v>
      </c>
      <c r="AC91" s="34">
        <f>MAX(Table822[[#This Row],[Credit]]-Table822[[#This Row],[Debit]]+Table822[[#This Row],[Credit +]]-Table822[[#This Row],[Debit -]],0)</f>
        <v>0</v>
      </c>
      <c r="AD91" s="34" t="str">
        <f>IFERROR(IF(AND(OR(Table822[[#This Row],[Classification]]="Expense",Table822[[#This Row],[Classification]]="Cost of Goods Sold"),Table822[[#This Row],[Debit\]]&gt;Table822[[#This Row],[Credit.]]),Table822[[#This Row],[Debit\]]-Table822[[#This Row],[Credit.]],""),"")</f>
        <v/>
      </c>
      <c r="AE91" s="34" t="str">
        <f>IFERROR(IF(AND(OR(Table822[[#This Row],[Classification]]="Income",Table822[[#This Row],[Classification]]="Cost of Goods Sold"),Table822[[#This Row],[Credit.]]&gt;Table822[[#This Row],[Debit\]]),Table822[[#This Row],[Credit.]]-Table822[[#This Row],[Debit\]],""),"")</f>
        <v/>
      </c>
      <c r="AF91" s="34"/>
      <c r="AG91" s="34" t="str">
        <f>IFERROR(IF(AND(Table822[[#This Row],[Classification]]="Assets",Table822[[#This Row],[Debit\]]-Table822[[#This Row],[Credit.]]),Table822[[#This Row],[Debit\]]-Table822[[#This Row],[Credit.]],""),"")</f>
        <v/>
      </c>
      <c r="AH91" s="34" t="str">
        <f>IFERROR(IF(AND(OR(Table822[[#This Row],[Classification]]="Liabilities",Table822[[#This Row],[Classification]]="Owner´s Equity"),Table822[[#This Row],[Credit.]]&gt;Table822[[#This Row],[Debit\]]),Table822[[#This Row],[Credit.]]-Table822[[#This Row],[Debit\]],""),"")</f>
        <v/>
      </c>
    </row>
    <row r="92" spans="2:34" hidden="1" x14ac:dyDescent="0.25">
      <c r="B92" s="34"/>
      <c r="C92" s="45"/>
      <c r="D92" s="34"/>
      <c r="E92" s="34"/>
      <c r="G92" s="39"/>
      <c r="H92" s="43"/>
      <c r="I92" s="41"/>
      <c r="J92" s="41"/>
      <c r="L92" s="34">
        <v>85</v>
      </c>
      <c r="M92" s="35"/>
      <c r="N92" s="35"/>
      <c r="O92" s="34">
        <f>IFERROR(SUMIF(Table419[,],Table621[[#This Row],[Accounts Name]],Table419[,3]),"")</f>
        <v>0</v>
      </c>
      <c r="P92" s="34">
        <f>IFERROR(SUMIF(Table419[,],Table621[[#This Row],[Accounts Name]],Table419[,2]),"")</f>
        <v>0</v>
      </c>
      <c r="S92" s="36">
        <f t="shared" si="1"/>
        <v>85</v>
      </c>
      <c r="T92" s="34"/>
      <c r="U92" s="37"/>
      <c r="V92" s="34">
        <f>IFERROR(SUMIF(Table621[Sub-Accounts],Table822[[#This Row],[Update your chart of accounts here]],Table621[Debit]),"")</f>
        <v>0</v>
      </c>
      <c r="W92" s="34">
        <f>IFERROR(SUMIF(Table621[Sub-Accounts],Table822[[#This Row],[Update your chart of accounts here]],Table621[Credit]),"")</f>
        <v>0</v>
      </c>
      <c r="X92" s="34"/>
      <c r="Y92" s="34"/>
      <c r="Z92" s="34"/>
      <c r="AA92" s="34"/>
      <c r="AB92" s="34">
        <f>MAX(Table822[[#This Row],[Debit]]+Table822[[#This Row],[Debit -]]-Table822[[#This Row],[Credit]]-Table822[[#This Row],[Credit +]],0)</f>
        <v>0</v>
      </c>
      <c r="AC92" s="34">
        <f>MAX(Table822[[#This Row],[Credit]]-Table822[[#This Row],[Debit]]+Table822[[#This Row],[Credit +]]-Table822[[#This Row],[Debit -]],0)</f>
        <v>0</v>
      </c>
      <c r="AD92" s="34" t="str">
        <f>IFERROR(IF(AND(OR(Table822[[#This Row],[Classification]]="Expense",Table822[[#This Row],[Classification]]="Cost of Goods Sold"),Table822[[#This Row],[Debit\]]&gt;Table822[[#This Row],[Credit.]]),Table822[[#This Row],[Debit\]]-Table822[[#This Row],[Credit.]],""),"")</f>
        <v/>
      </c>
      <c r="AE92" s="34" t="str">
        <f>IFERROR(IF(AND(OR(Table822[[#This Row],[Classification]]="Income",Table822[[#This Row],[Classification]]="Cost of Goods Sold"),Table822[[#This Row],[Credit.]]&gt;Table822[[#This Row],[Debit\]]),Table822[[#This Row],[Credit.]]-Table822[[#This Row],[Debit\]],""),"")</f>
        <v/>
      </c>
      <c r="AF92" s="34"/>
      <c r="AG92" s="34" t="str">
        <f>IFERROR(IF(AND(Table822[[#This Row],[Classification]]="Assets",Table822[[#This Row],[Debit\]]-Table822[[#This Row],[Credit.]]),Table822[[#This Row],[Debit\]]-Table822[[#This Row],[Credit.]],""),"")</f>
        <v/>
      </c>
      <c r="AH92" s="34" t="str">
        <f>IFERROR(IF(AND(OR(Table822[[#This Row],[Classification]]="Liabilities",Table822[[#This Row],[Classification]]="Owner´s Equity"),Table822[[#This Row],[Credit.]]&gt;Table822[[#This Row],[Debit\]]),Table822[[#This Row],[Credit.]]-Table822[[#This Row],[Debit\]],""),"")</f>
        <v/>
      </c>
    </row>
    <row r="93" spans="2:34" hidden="1" x14ac:dyDescent="0.25">
      <c r="B93" s="34"/>
      <c r="C93" s="45"/>
      <c r="D93" s="34"/>
      <c r="E93" s="34"/>
      <c r="G93" s="39"/>
      <c r="H93" s="40"/>
      <c r="I93" s="41"/>
      <c r="J93" s="41"/>
      <c r="L93" s="34">
        <v>86</v>
      </c>
      <c r="M93" s="35"/>
      <c r="N93" s="35"/>
      <c r="O93" s="34">
        <f>IFERROR(SUMIF(Table419[,],Table621[[#This Row],[Accounts Name]],Table419[,3]),"")</f>
        <v>0</v>
      </c>
      <c r="P93" s="34">
        <f>IFERROR(SUMIF(Table419[,],Table621[[#This Row],[Accounts Name]],Table419[,2]),"")</f>
        <v>0</v>
      </c>
      <c r="S93" s="36">
        <f t="shared" si="1"/>
        <v>86</v>
      </c>
      <c r="T93" s="34"/>
      <c r="U93" s="37"/>
      <c r="V93" s="34">
        <f>IFERROR(SUMIF(Table621[Sub-Accounts],Table822[[#This Row],[Update your chart of accounts here]],Table621[Debit]),"")</f>
        <v>0</v>
      </c>
      <c r="W93" s="34">
        <f>IFERROR(SUMIF(Table621[Sub-Accounts],Table822[[#This Row],[Update your chart of accounts here]],Table621[Credit]),"")</f>
        <v>0</v>
      </c>
      <c r="X93" s="34"/>
      <c r="Y93" s="34"/>
      <c r="Z93" s="34"/>
      <c r="AA93" s="34"/>
      <c r="AB93" s="34">
        <f>MAX(Table822[[#This Row],[Debit]]+Table822[[#This Row],[Debit -]]-Table822[[#This Row],[Credit]]-Table822[[#This Row],[Credit +]],0)</f>
        <v>0</v>
      </c>
      <c r="AC93" s="34">
        <f>MAX(Table822[[#This Row],[Credit]]-Table822[[#This Row],[Debit]]+Table822[[#This Row],[Credit +]]-Table822[[#This Row],[Debit -]],0)</f>
        <v>0</v>
      </c>
      <c r="AD93" s="34" t="str">
        <f>IFERROR(IF(AND(OR(Table822[[#This Row],[Classification]]="Expense",Table822[[#This Row],[Classification]]="Cost of Goods Sold"),Table822[[#This Row],[Debit\]]&gt;Table822[[#This Row],[Credit.]]),Table822[[#This Row],[Debit\]]-Table822[[#This Row],[Credit.]],""),"")</f>
        <v/>
      </c>
      <c r="AE93" s="34" t="str">
        <f>IFERROR(IF(AND(OR(Table822[[#This Row],[Classification]]="Income",Table822[[#This Row],[Classification]]="Cost of Goods Sold"),Table822[[#This Row],[Credit.]]&gt;Table822[[#This Row],[Debit\]]),Table822[[#This Row],[Credit.]]-Table822[[#This Row],[Debit\]],""),"")</f>
        <v/>
      </c>
      <c r="AF93" s="34"/>
      <c r="AG93" s="34" t="str">
        <f>IFERROR(IF(AND(Table822[[#This Row],[Classification]]="Assets",Table822[[#This Row],[Debit\]]-Table822[[#This Row],[Credit.]]),Table822[[#This Row],[Debit\]]-Table822[[#This Row],[Credit.]],""),"")</f>
        <v/>
      </c>
      <c r="AH93" s="34" t="str">
        <f>IFERROR(IF(AND(OR(Table822[[#This Row],[Classification]]="Liabilities",Table822[[#This Row],[Classification]]="Owner´s Equity"),Table822[[#This Row],[Credit.]]&gt;Table822[[#This Row],[Debit\]]),Table822[[#This Row],[Credit.]]-Table822[[#This Row],[Debit\]],""),"")</f>
        <v/>
      </c>
    </row>
    <row r="94" spans="2:34" hidden="1" x14ac:dyDescent="0.25">
      <c r="B94" s="34"/>
      <c r="C94" s="45"/>
      <c r="D94" s="34"/>
      <c r="E94" s="34"/>
      <c r="G94" s="39"/>
      <c r="H94" s="40"/>
      <c r="I94" s="41"/>
      <c r="J94" s="41"/>
      <c r="L94" s="34">
        <v>87</v>
      </c>
      <c r="M94" s="35"/>
      <c r="N94" s="35"/>
      <c r="O94" s="34">
        <f>IFERROR(SUMIF(Table419[,],Table621[[#This Row],[Accounts Name]],Table419[,3]),"")</f>
        <v>0</v>
      </c>
      <c r="P94" s="34">
        <f>IFERROR(SUMIF(Table419[,],Table621[[#This Row],[Accounts Name]],Table419[,2]),"")</f>
        <v>0</v>
      </c>
      <c r="S94" s="36">
        <f t="shared" si="1"/>
        <v>87</v>
      </c>
      <c r="T94" s="34"/>
      <c r="U94" s="37"/>
      <c r="V94" s="34">
        <f>IFERROR(SUMIF(Table621[Sub-Accounts],Table822[[#This Row],[Update your chart of accounts here]],Table621[Debit]),"")</f>
        <v>0</v>
      </c>
      <c r="W94" s="34">
        <f>IFERROR(SUMIF(Table621[Sub-Accounts],Table822[[#This Row],[Update your chart of accounts here]],Table621[Credit]),"")</f>
        <v>0</v>
      </c>
      <c r="X94" s="34"/>
      <c r="Y94" s="34"/>
      <c r="Z94" s="34"/>
      <c r="AA94" s="34"/>
      <c r="AB94" s="34">
        <f>MAX(Table822[[#This Row],[Debit]]+Table822[[#This Row],[Debit -]]-Table822[[#This Row],[Credit]]-Table822[[#This Row],[Credit +]],0)</f>
        <v>0</v>
      </c>
      <c r="AC94" s="34">
        <f>MAX(Table822[[#This Row],[Credit]]-Table822[[#This Row],[Debit]]+Table822[[#This Row],[Credit +]]-Table822[[#This Row],[Debit -]],0)</f>
        <v>0</v>
      </c>
      <c r="AD94" s="34" t="str">
        <f>IFERROR(IF(AND(OR(Table822[[#This Row],[Classification]]="Expense",Table822[[#This Row],[Classification]]="Cost of Goods Sold"),Table822[[#This Row],[Debit\]]&gt;Table822[[#This Row],[Credit.]]),Table822[[#This Row],[Debit\]]-Table822[[#This Row],[Credit.]],""),"")</f>
        <v/>
      </c>
      <c r="AE94" s="34" t="str">
        <f>IFERROR(IF(AND(OR(Table822[[#This Row],[Classification]]="Income",Table822[[#This Row],[Classification]]="Cost of Goods Sold"),Table822[[#This Row],[Credit.]]&gt;Table822[[#This Row],[Debit\]]),Table822[[#This Row],[Credit.]]-Table822[[#This Row],[Debit\]],""),"")</f>
        <v/>
      </c>
      <c r="AF94" s="34"/>
      <c r="AG94" s="34" t="str">
        <f>IFERROR(IF(AND(Table822[[#This Row],[Classification]]="Assets",Table822[[#This Row],[Debit\]]-Table822[[#This Row],[Credit.]]),Table822[[#This Row],[Debit\]]-Table822[[#This Row],[Credit.]],""),"")</f>
        <v/>
      </c>
      <c r="AH94" s="34" t="str">
        <f>IFERROR(IF(AND(OR(Table822[[#This Row],[Classification]]="Liabilities",Table822[[#This Row],[Classification]]="Owner´s Equity"),Table822[[#This Row],[Credit.]]&gt;Table822[[#This Row],[Debit\]]),Table822[[#This Row],[Credit.]]-Table822[[#This Row],[Debit\]],""),"")</f>
        <v/>
      </c>
    </row>
    <row r="95" spans="2:34" hidden="1" x14ac:dyDescent="0.25">
      <c r="B95" s="34"/>
      <c r="C95" s="45"/>
      <c r="D95" s="34"/>
      <c r="E95" s="34"/>
      <c r="G95" s="39"/>
      <c r="H95" s="43"/>
      <c r="I95" s="41"/>
      <c r="J95" s="41"/>
      <c r="L95" s="34">
        <v>88</v>
      </c>
      <c r="M95" s="35"/>
      <c r="N95" s="35"/>
      <c r="O95" s="34">
        <f>IFERROR(SUMIF(Table419[,],Table621[[#This Row],[Accounts Name]],Table419[,3]),"")</f>
        <v>0</v>
      </c>
      <c r="P95" s="34">
        <f>IFERROR(SUMIF(Table419[,],Table621[[#This Row],[Accounts Name]],Table419[,2]),"")</f>
        <v>0</v>
      </c>
      <c r="S95" s="36">
        <f t="shared" si="1"/>
        <v>88</v>
      </c>
      <c r="T95" s="34"/>
      <c r="U95" s="37"/>
      <c r="V95" s="34">
        <f>IFERROR(SUMIF(Table621[Sub-Accounts],Table822[[#This Row],[Update your chart of accounts here]],Table621[Debit]),"")</f>
        <v>0</v>
      </c>
      <c r="W95" s="34">
        <f>IFERROR(SUMIF(Table621[Sub-Accounts],Table822[[#This Row],[Update your chart of accounts here]],Table621[Credit]),"")</f>
        <v>0</v>
      </c>
      <c r="X95" s="34"/>
      <c r="Y95" s="34"/>
      <c r="Z95" s="34"/>
      <c r="AA95" s="34"/>
      <c r="AB95" s="34">
        <f>MAX(Table822[[#This Row],[Debit]]+Table822[[#This Row],[Debit -]]-Table822[[#This Row],[Credit]]-Table822[[#This Row],[Credit +]],0)</f>
        <v>0</v>
      </c>
      <c r="AC95" s="34">
        <f>MAX(Table822[[#This Row],[Credit]]-Table822[[#This Row],[Debit]]+Table822[[#This Row],[Credit +]]-Table822[[#This Row],[Debit -]],0)</f>
        <v>0</v>
      </c>
      <c r="AD95" s="34" t="str">
        <f>IFERROR(IF(AND(OR(Table822[[#This Row],[Classification]]="Expense",Table822[[#This Row],[Classification]]="Cost of Goods Sold"),Table822[[#This Row],[Debit\]]&gt;Table822[[#This Row],[Credit.]]),Table822[[#This Row],[Debit\]]-Table822[[#This Row],[Credit.]],""),"")</f>
        <v/>
      </c>
      <c r="AE95" s="34" t="str">
        <f>IFERROR(IF(AND(OR(Table822[[#This Row],[Classification]]="Income",Table822[[#This Row],[Classification]]="Cost of Goods Sold"),Table822[[#This Row],[Credit.]]&gt;Table822[[#This Row],[Debit\]]),Table822[[#This Row],[Credit.]]-Table822[[#This Row],[Debit\]],""),"")</f>
        <v/>
      </c>
      <c r="AF95" s="34"/>
      <c r="AG95" s="34" t="str">
        <f>IFERROR(IF(AND(Table822[[#This Row],[Classification]]="Assets",Table822[[#This Row],[Debit\]]-Table822[[#This Row],[Credit.]]),Table822[[#This Row],[Debit\]]-Table822[[#This Row],[Credit.]],""),"")</f>
        <v/>
      </c>
      <c r="AH95" s="34" t="str">
        <f>IFERROR(IF(AND(OR(Table822[[#This Row],[Classification]]="Liabilities",Table822[[#This Row],[Classification]]="Owner´s Equity"),Table822[[#This Row],[Credit.]]&gt;Table822[[#This Row],[Debit\]]),Table822[[#This Row],[Credit.]]-Table822[[#This Row],[Debit\]],""),"")</f>
        <v/>
      </c>
    </row>
    <row r="96" spans="2:34" hidden="1" x14ac:dyDescent="0.25">
      <c r="B96" s="34"/>
      <c r="C96" s="45"/>
      <c r="D96" s="34"/>
      <c r="E96" s="34"/>
      <c r="G96" s="39"/>
      <c r="H96" s="40"/>
      <c r="I96" s="41"/>
      <c r="J96" s="41"/>
      <c r="L96" s="34">
        <v>89</v>
      </c>
      <c r="M96" s="35"/>
      <c r="N96" s="35"/>
      <c r="O96" s="34">
        <f>IFERROR(SUMIF(Table419[,],Table621[[#This Row],[Accounts Name]],Table419[,3]),"")</f>
        <v>0</v>
      </c>
      <c r="P96" s="34">
        <f>IFERROR(SUMIF(Table419[,],Table621[[#This Row],[Accounts Name]],Table419[,2]),"")</f>
        <v>0</v>
      </c>
      <c r="S96" s="36">
        <f t="shared" si="1"/>
        <v>89</v>
      </c>
      <c r="T96" s="34"/>
      <c r="U96" s="37"/>
      <c r="V96" s="34">
        <f>IFERROR(SUMIF(Table621[Sub-Accounts],Table822[[#This Row],[Update your chart of accounts here]],Table621[Debit]),"")</f>
        <v>0</v>
      </c>
      <c r="W96" s="34">
        <f>IFERROR(SUMIF(Table621[Sub-Accounts],Table822[[#This Row],[Update your chart of accounts here]],Table621[Credit]),"")</f>
        <v>0</v>
      </c>
      <c r="X96" s="34"/>
      <c r="Y96" s="34"/>
      <c r="Z96" s="34"/>
      <c r="AA96" s="34"/>
      <c r="AB96" s="34">
        <f>MAX(Table822[[#This Row],[Debit]]+Table822[[#This Row],[Debit -]]-Table822[[#This Row],[Credit]]-Table822[[#This Row],[Credit +]],0)</f>
        <v>0</v>
      </c>
      <c r="AC96" s="34">
        <f>MAX(Table822[[#This Row],[Credit]]-Table822[[#This Row],[Debit]]+Table822[[#This Row],[Credit +]]-Table822[[#This Row],[Debit -]],0)</f>
        <v>0</v>
      </c>
      <c r="AD96" s="34" t="str">
        <f>IFERROR(IF(AND(OR(Table822[[#This Row],[Classification]]="Expense",Table822[[#This Row],[Classification]]="Cost of Goods Sold"),Table822[[#This Row],[Debit\]]&gt;Table822[[#This Row],[Credit.]]),Table822[[#This Row],[Debit\]]-Table822[[#This Row],[Credit.]],""),"")</f>
        <v/>
      </c>
      <c r="AE96" s="34" t="str">
        <f>IFERROR(IF(AND(OR(Table822[[#This Row],[Classification]]="Income",Table822[[#This Row],[Classification]]="Cost of Goods Sold"),Table822[[#This Row],[Credit.]]&gt;Table822[[#This Row],[Debit\]]),Table822[[#This Row],[Credit.]]-Table822[[#This Row],[Debit\]],""),"")</f>
        <v/>
      </c>
      <c r="AF96" s="34"/>
      <c r="AG96" s="34" t="str">
        <f>IFERROR(IF(AND(Table822[[#This Row],[Classification]]="Assets",Table822[[#This Row],[Debit\]]-Table822[[#This Row],[Credit.]]),Table822[[#This Row],[Debit\]]-Table822[[#This Row],[Credit.]],""),"")</f>
        <v/>
      </c>
      <c r="AH96" s="34" t="str">
        <f>IFERROR(IF(AND(OR(Table822[[#This Row],[Classification]]="Liabilities",Table822[[#This Row],[Classification]]="Owner´s Equity"),Table822[[#This Row],[Credit.]]&gt;Table822[[#This Row],[Debit\]]),Table822[[#This Row],[Credit.]]-Table822[[#This Row],[Debit\]],""),"")</f>
        <v/>
      </c>
    </row>
    <row r="97" spans="2:34" hidden="1" x14ac:dyDescent="0.25">
      <c r="B97" s="34"/>
      <c r="C97" s="45"/>
      <c r="D97" s="34"/>
      <c r="E97" s="34"/>
      <c r="G97" s="39"/>
      <c r="H97" s="40"/>
      <c r="I97" s="41"/>
      <c r="J97" s="41"/>
      <c r="L97" s="34">
        <v>90</v>
      </c>
      <c r="M97" s="35"/>
      <c r="N97" s="35"/>
      <c r="O97" s="34">
        <f>IFERROR(SUMIF(Table419[,],Table621[[#This Row],[Accounts Name]],Table419[,3]),"")</f>
        <v>0</v>
      </c>
      <c r="P97" s="34">
        <f>IFERROR(SUMIF(Table419[,],Table621[[#This Row],[Accounts Name]],Table419[,2]),"")</f>
        <v>0</v>
      </c>
      <c r="S97" s="36">
        <f t="shared" si="1"/>
        <v>90</v>
      </c>
      <c r="T97" s="34"/>
      <c r="U97" s="37"/>
      <c r="V97" s="34">
        <f>IFERROR(SUMIF(Table621[Sub-Accounts],Table822[[#This Row],[Update your chart of accounts here]],Table621[Debit]),"")</f>
        <v>0</v>
      </c>
      <c r="W97" s="34">
        <f>IFERROR(SUMIF(Table621[Sub-Accounts],Table822[[#This Row],[Update your chart of accounts here]],Table621[Credit]),"")</f>
        <v>0</v>
      </c>
      <c r="X97" s="34"/>
      <c r="Y97" s="34"/>
      <c r="Z97" s="34"/>
      <c r="AA97" s="34"/>
      <c r="AB97" s="34">
        <f>MAX(Table822[[#This Row],[Debit]]+Table822[[#This Row],[Debit -]]-Table822[[#This Row],[Credit]]-Table822[[#This Row],[Credit +]],0)</f>
        <v>0</v>
      </c>
      <c r="AC97" s="34">
        <f>MAX(Table822[[#This Row],[Credit]]-Table822[[#This Row],[Debit]]+Table822[[#This Row],[Credit +]]-Table822[[#This Row],[Debit -]],0)</f>
        <v>0</v>
      </c>
      <c r="AD97" s="34" t="str">
        <f>IFERROR(IF(AND(OR(Table822[[#This Row],[Classification]]="Expense",Table822[[#This Row],[Classification]]="Cost of Goods Sold"),Table822[[#This Row],[Debit\]]&gt;Table822[[#This Row],[Credit.]]),Table822[[#This Row],[Debit\]]-Table822[[#This Row],[Credit.]],""),"")</f>
        <v/>
      </c>
      <c r="AE97" s="34" t="str">
        <f>IFERROR(IF(AND(OR(Table822[[#This Row],[Classification]]="Income",Table822[[#This Row],[Classification]]="Cost of Goods Sold"),Table822[[#This Row],[Credit.]]&gt;Table822[[#This Row],[Debit\]]),Table822[[#This Row],[Credit.]]-Table822[[#This Row],[Debit\]],""),"")</f>
        <v/>
      </c>
      <c r="AF97" s="34"/>
      <c r="AG97" s="34" t="str">
        <f>IFERROR(IF(AND(Table822[[#This Row],[Classification]]="Assets",Table822[[#This Row],[Debit\]]-Table822[[#This Row],[Credit.]]),Table822[[#This Row],[Debit\]]-Table822[[#This Row],[Credit.]],""),"")</f>
        <v/>
      </c>
      <c r="AH97" s="34" t="str">
        <f>IFERROR(IF(AND(OR(Table822[[#This Row],[Classification]]="Liabilities",Table822[[#This Row],[Classification]]="Owner´s Equity"),Table822[[#This Row],[Credit.]]&gt;Table822[[#This Row],[Debit\]]),Table822[[#This Row],[Credit.]]-Table822[[#This Row],[Debit\]],""),"")</f>
        <v/>
      </c>
    </row>
    <row r="98" spans="2:34" hidden="1" x14ac:dyDescent="0.25">
      <c r="B98" s="34"/>
      <c r="C98" s="45"/>
      <c r="D98" s="34"/>
      <c r="E98" s="34"/>
      <c r="G98" s="39"/>
      <c r="H98" s="43"/>
      <c r="I98" s="41"/>
      <c r="J98" s="41"/>
      <c r="L98" s="34">
        <v>91</v>
      </c>
      <c r="M98" s="35"/>
      <c r="N98" s="35"/>
      <c r="O98" s="34">
        <f>IFERROR(SUMIF(Table419[,],Table621[[#This Row],[Accounts Name]],Table419[,3]),"")</f>
        <v>0</v>
      </c>
      <c r="P98" s="34">
        <f>IFERROR(SUMIF(Table419[,],Table621[[#This Row],[Accounts Name]],Table419[,2]),"")</f>
        <v>0</v>
      </c>
      <c r="S98" s="36">
        <f t="shared" si="1"/>
        <v>91</v>
      </c>
      <c r="T98" s="34"/>
      <c r="U98" s="37"/>
      <c r="V98" s="34">
        <f>IFERROR(SUMIF(Table621[Sub-Accounts],Table822[[#This Row],[Update your chart of accounts here]],Table621[Debit]),"")</f>
        <v>0</v>
      </c>
      <c r="W98" s="34">
        <f>IFERROR(SUMIF(Table621[Sub-Accounts],Table822[[#This Row],[Update your chart of accounts here]],Table621[Credit]),"")</f>
        <v>0</v>
      </c>
      <c r="X98" s="34"/>
      <c r="Y98" s="34"/>
      <c r="Z98" s="34"/>
      <c r="AA98" s="34"/>
      <c r="AB98" s="34">
        <f>MAX(Table822[[#This Row],[Debit]]+Table822[[#This Row],[Debit -]]-Table822[[#This Row],[Credit]]-Table822[[#This Row],[Credit +]],0)</f>
        <v>0</v>
      </c>
      <c r="AC98" s="34">
        <f>MAX(Table822[[#This Row],[Credit]]-Table822[[#This Row],[Debit]]+Table822[[#This Row],[Credit +]]-Table822[[#This Row],[Debit -]],0)</f>
        <v>0</v>
      </c>
      <c r="AD98" s="34" t="str">
        <f>IFERROR(IF(AND(OR(Table822[[#This Row],[Classification]]="Expense",Table822[[#This Row],[Classification]]="Cost of Goods Sold"),Table822[[#This Row],[Debit\]]&gt;Table822[[#This Row],[Credit.]]),Table822[[#This Row],[Debit\]]-Table822[[#This Row],[Credit.]],""),"")</f>
        <v/>
      </c>
      <c r="AE98" s="34" t="str">
        <f>IFERROR(IF(AND(OR(Table822[[#This Row],[Classification]]="Income",Table822[[#This Row],[Classification]]="Cost of Goods Sold"),Table822[[#This Row],[Credit.]]&gt;Table822[[#This Row],[Debit\]]),Table822[[#This Row],[Credit.]]-Table822[[#This Row],[Debit\]],""),"")</f>
        <v/>
      </c>
      <c r="AF98" s="34"/>
      <c r="AG98" s="34" t="str">
        <f>IFERROR(IF(AND(Table822[[#This Row],[Classification]]="Assets",Table822[[#This Row],[Debit\]]-Table822[[#This Row],[Credit.]]),Table822[[#This Row],[Debit\]]-Table822[[#This Row],[Credit.]],""),"")</f>
        <v/>
      </c>
      <c r="AH98" s="34" t="str">
        <f>IFERROR(IF(AND(OR(Table822[[#This Row],[Classification]]="Liabilities",Table822[[#This Row],[Classification]]="Owner´s Equity"),Table822[[#This Row],[Credit.]]&gt;Table822[[#This Row],[Debit\]]),Table822[[#This Row],[Credit.]]-Table822[[#This Row],[Debit\]],""),"")</f>
        <v/>
      </c>
    </row>
    <row r="99" spans="2:34" hidden="1" x14ac:dyDescent="0.25">
      <c r="B99" s="34"/>
      <c r="C99" s="45"/>
      <c r="D99" s="34"/>
      <c r="E99" s="34"/>
      <c r="G99" s="39"/>
      <c r="H99" s="40"/>
      <c r="I99" s="41"/>
      <c r="J99" s="41"/>
      <c r="L99" s="34">
        <v>92</v>
      </c>
      <c r="M99" s="35"/>
      <c r="N99" s="35"/>
      <c r="O99" s="34">
        <f>IFERROR(SUMIF(Table419[,],Table621[[#This Row],[Accounts Name]],Table419[,3]),"")</f>
        <v>0</v>
      </c>
      <c r="P99" s="34">
        <f>IFERROR(SUMIF(Table419[,],Table621[[#This Row],[Accounts Name]],Table419[,2]),"")</f>
        <v>0</v>
      </c>
      <c r="S99" s="36">
        <f t="shared" si="1"/>
        <v>92</v>
      </c>
      <c r="T99" s="34"/>
      <c r="U99" s="37"/>
      <c r="V99" s="34">
        <f>IFERROR(SUMIF(Table621[Sub-Accounts],Table822[[#This Row],[Update your chart of accounts here]],Table621[Debit]),"")</f>
        <v>0</v>
      </c>
      <c r="W99" s="34">
        <f>IFERROR(SUMIF(Table621[Sub-Accounts],Table822[[#This Row],[Update your chart of accounts here]],Table621[Credit]),"")</f>
        <v>0</v>
      </c>
      <c r="X99" s="34"/>
      <c r="Y99" s="34"/>
      <c r="Z99" s="34"/>
      <c r="AA99" s="34"/>
      <c r="AB99" s="34">
        <f>MAX(Table822[[#This Row],[Debit]]+Table822[[#This Row],[Debit -]]-Table822[[#This Row],[Credit]]-Table822[[#This Row],[Credit +]],0)</f>
        <v>0</v>
      </c>
      <c r="AC99" s="34">
        <f>MAX(Table822[[#This Row],[Credit]]-Table822[[#This Row],[Debit]]+Table822[[#This Row],[Credit +]]-Table822[[#This Row],[Debit -]],0)</f>
        <v>0</v>
      </c>
      <c r="AD99" s="34" t="str">
        <f>IFERROR(IF(AND(OR(Table822[[#This Row],[Classification]]="Expense",Table822[[#This Row],[Classification]]="Cost of Goods Sold"),Table822[[#This Row],[Debit\]]&gt;Table822[[#This Row],[Credit.]]),Table822[[#This Row],[Debit\]]-Table822[[#This Row],[Credit.]],""),"")</f>
        <v/>
      </c>
      <c r="AE99" s="34" t="str">
        <f>IFERROR(IF(AND(OR(Table822[[#This Row],[Classification]]="Income",Table822[[#This Row],[Classification]]="Cost of Goods Sold"),Table822[[#This Row],[Credit.]]&gt;Table822[[#This Row],[Debit\]]),Table822[[#This Row],[Credit.]]-Table822[[#This Row],[Debit\]],""),"")</f>
        <v/>
      </c>
      <c r="AF99" s="34"/>
      <c r="AG99" s="34" t="str">
        <f>IFERROR(IF(AND(Table822[[#This Row],[Classification]]="Assets",Table822[[#This Row],[Debit\]]-Table822[[#This Row],[Credit.]]),Table822[[#This Row],[Debit\]]-Table822[[#This Row],[Credit.]],""),"")</f>
        <v/>
      </c>
      <c r="AH99" s="34" t="str">
        <f>IFERROR(IF(AND(OR(Table822[[#This Row],[Classification]]="Liabilities",Table822[[#This Row],[Classification]]="Owner´s Equity"),Table822[[#This Row],[Credit.]]&gt;Table822[[#This Row],[Debit\]]),Table822[[#This Row],[Credit.]]-Table822[[#This Row],[Debit\]],""),"")</f>
        <v/>
      </c>
    </row>
    <row r="100" spans="2:34" hidden="1" x14ac:dyDescent="0.25">
      <c r="B100" s="34"/>
      <c r="C100" s="45"/>
      <c r="D100" s="34"/>
      <c r="E100" s="34"/>
      <c r="G100" s="39"/>
      <c r="H100" s="40"/>
      <c r="I100" s="41"/>
      <c r="J100" s="41"/>
      <c r="L100" s="34">
        <v>93</v>
      </c>
      <c r="M100" s="35"/>
      <c r="N100" s="35"/>
      <c r="O100" s="34">
        <f>IFERROR(SUMIF(Table419[,],Table621[[#This Row],[Accounts Name]],Table419[,3]),"")</f>
        <v>0</v>
      </c>
      <c r="P100" s="34">
        <f>IFERROR(SUMIF(Table419[,],Table621[[#This Row],[Accounts Name]],Table419[,2]),"")</f>
        <v>0</v>
      </c>
      <c r="S100" s="36">
        <f t="shared" si="1"/>
        <v>93</v>
      </c>
      <c r="T100" s="34"/>
      <c r="U100" s="37"/>
      <c r="V100" s="34">
        <f>IFERROR(SUMIF(Table621[Sub-Accounts],Table822[[#This Row],[Update your chart of accounts here]],Table621[Debit]),"")</f>
        <v>0</v>
      </c>
      <c r="W100" s="34">
        <f>IFERROR(SUMIF(Table621[Sub-Accounts],Table822[[#This Row],[Update your chart of accounts here]],Table621[Credit]),"")</f>
        <v>0</v>
      </c>
      <c r="X100" s="34"/>
      <c r="Y100" s="34"/>
      <c r="Z100" s="34"/>
      <c r="AA100" s="34"/>
      <c r="AB100" s="34">
        <f>MAX(Table822[[#This Row],[Debit]]+Table822[[#This Row],[Debit -]]-Table822[[#This Row],[Credit]]-Table822[[#This Row],[Credit +]],0)</f>
        <v>0</v>
      </c>
      <c r="AC100" s="34">
        <f>MAX(Table822[[#This Row],[Credit]]-Table822[[#This Row],[Debit]]+Table822[[#This Row],[Credit +]]-Table822[[#This Row],[Debit -]],0)</f>
        <v>0</v>
      </c>
      <c r="AD100" s="34" t="str">
        <f>IFERROR(IF(AND(OR(Table822[[#This Row],[Classification]]="Expense",Table822[[#This Row],[Classification]]="Cost of Goods Sold"),Table822[[#This Row],[Debit\]]&gt;Table822[[#This Row],[Credit.]]),Table822[[#This Row],[Debit\]]-Table822[[#This Row],[Credit.]],""),"")</f>
        <v/>
      </c>
      <c r="AE100" s="34" t="str">
        <f>IFERROR(IF(AND(OR(Table822[[#This Row],[Classification]]="Income",Table822[[#This Row],[Classification]]="Cost of Goods Sold"),Table822[[#This Row],[Credit.]]&gt;Table822[[#This Row],[Debit\]]),Table822[[#This Row],[Credit.]]-Table822[[#This Row],[Debit\]],""),"")</f>
        <v/>
      </c>
      <c r="AF100" s="34"/>
      <c r="AG100" s="34" t="str">
        <f>IFERROR(IF(AND(Table822[[#This Row],[Classification]]="Assets",Table822[[#This Row],[Debit\]]-Table822[[#This Row],[Credit.]]),Table822[[#This Row],[Debit\]]-Table822[[#This Row],[Credit.]],""),"")</f>
        <v/>
      </c>
      <c r="AH100" s="34" t="str">
        <f>IFERROR(IF(AND(OR(Table822[[#This Row],[Classification]]="Liabilities",Table822[[#This Row],[Classification]]="Owner´s Equity"),Table822[[#This Row],[Credit.]]&gt;Table822[[#This Row],[Debit\]]),Table822[[#This Row],[Credit.]]-Table822[[#This Row],[Debit\]],""),"")</f>
        <v/>
      </c>
    </row>
    <row r="101" spans="2:34" hidden="1" x14ac:dyDescent="0.25">
      <c r="B101" s="34"/>
      <c r="C101" s="45"/>
      <c r="D101" s="34"/>
      <c r="E101" s="34"/>
      <c r="G101" s="39"/>
      <c r="H101" s="43"/>
      <c r="I101" s="41"/>
      <c r="J101" s="41"/>
      <c r="L101" s="34">
        <v>94</v>
      </c>
      <c r="M101" s="35"/>
      <c r="N101" s="35"/>
      <c r="O101" s="34">
        <f>IFERROR(SUMIF(Table419[,],Table621[[#This Row],[Accounts Name]],Table419[,3]),"")</f>
        <v>0</v>
      </c>
      <c r="P101" s="34">
        <f>IFERROR(SUMIF(Table419[,],Table621[[#This Row],[Accounts Name]],Table419[,2]),"")</f>
        <v>0</v>
      </c>
      <c r="S101" s="36">
        <f t="shared" si="1"/>
        <v>94</v>
      </c>
      <c r="T101" s="34"/>
      <c r="U101" s="37"/>
      <c r="V101" s="34">
        <f>IFERROR(SUMIF(Table621[Sub-Accounts],Table822[[#This Row],[Update your chart of accounts here]],Table621[Debit]),"")</f>
        <v>0</v>
      </c>
      <c r="W101" s="34">
        <f>IFERROR(SUMIF(Table621[Sub-Accounts],Table822[[#This Row],[Update your chart of accounts here]],Table621[Credit]),"")</f>
        <v>0</v>
      </c>
      <c r="X101" s="34"/>
      <c r="Y101" s="34"/>
      <c r="Z101" s="34"/>
      <c r="AA101" s="34"/>
      <c r="AB101" s="34">
        <f>MAX(Table822[[#This Row],[Debit]]+Table822[[#This Row],[Debit -]]-Table822[[#This Row],[Credit]]-Table822[[#This Row],[Credit +]],0)</f>
        <v>0</v>
      </c>
      <c r="AC101" s="34">
        <f>MAX(Table822[[#This Row],[Credit]]-Table822[[#This Row],[Debit]]+Table822[[#This Row],[Credit +]]-Table822[[#This Row],[Debit -]],0)</f>
        <v>0</v>
      </c>
      <c r="AD101" s="34" t="str">
        <f>IFERROR(IF(AND(OR(Table822[[#This Row],[Classification]]="Expense",Table822[[#This Row],[Classification]]="Cost of Goods Sold"),Table822[[#This Row],[Debit\]]&gt;Table822[[#This Row],[Credit.]]),Table822[[#This Row],[Debit\]]-Table822[[#This Row],[Credit.]],""),"")</f>
        <v/>
      </c>
      <c r="AE101" s="34" t="str">
        <f>IFERROR(IF(AND(OR(Table822[[#This Row],[Classification]]="Income",Table822[[#This Row],[Classification]]="Cost of Goods Sold"),Table822[[#This Row],[Credit.]]&gt;Table822[[#This Row],[Debit\]]),Table822[[#This Row],[Credit.]]-Table822[[#This Row],[Debit\]],""),"")</f>
        <v/>
      </c>
      <c r="AF101" s="34"/>
      <c r="AG101" s="34" t="str">
        <f>IFERROR(IF(AND(Table822[[#This Row],[Classification]]="Assets",Table822[[#This Row],[Debit\]]-Table822[[#This Row],[Credit.]]),Table822[[#This Row],[Debit\]]-Table822[[#This Row],[Credit.]],""),"")</f>
        <v/>
      </c>
      <c r="AH101" s="34" t="str">
        <f>IFERROR(IF(AND(OR(Table822[[#This Row],[Classification]]="Liabilities",Table822[[#This Row],[Classification]]="Owner´s Equity"),Table822[[#This Row],[Credit.]]&gt;Table822[[#This Row],[Debit\]]),Table822[[#This Row],[Credit.]]-Table822[[#This Row],[Debit\]],""),"")</f>
        <v/>
      </c>
    </row>
    <row r="102" spans="2:34" hidden="1" x14ac:dyDescent="0.25">
      <c r="B102" s="34"/>
      <c r="C102" s="45"/>
      <c r="D102" s="34"/>
      <c r="E102" s="34"/>
      <c r="G102" s="39"/>
      <c r="H102" s="40"/>
      <c r="I102" s="41"/>
      <c r="J102" s="41"/>
      <c r="L102" s="34">
        <v>95</v>
      </c>
      <c r="M102" s="35"/>
      <c r="N102" s="35"/>
      <c r="O102" s="34">
        <f>IFERROR(SUMIF(Table419[,],Table621[[#This Row],[Accounts Name]],Table419[,3]),"")</f>
        <v>0</v>
      </c>
      <c r="P102" s="34">
        <f>IFERROR(SUMIF(Table419[,],Table621[[#This Row],[Accounts Name]],Table419[,2]),"")</f>
        <v>0</v>
      </c>
      <c r="S102" s="36">
        <f t="shared" si="1"/>
        <v>95</v>
      </c>
      <c r="T102" s="34"/>
      <c r="U102" s="37"/>
      <c r="V102" s="34">
        <f>IFERROR(SUMIF(Table621[Sub-Accounts],Table822[[#This Row],[Update your chart of accounts here]],Table621[Debit]),"")</f>
        <v>0</v>
      </c>
      <c r="W102" s="34">
        <f>IFERROR(SUMIF(Table621[Sub-Accounts],Table822[[#This Row],[Update your chart of accounts here]],Table621[Credit]),"")</f>
        <v>0</v>
      </c>
      <c r="X102" s="34"/>
      <c r="Y102" s="34"/>
      <c r="Z102" s="34"/>
      <c r="AA102" s="34"/>
      <c r="AB102" s="34">
        <f>MAX(Table822[[#This Row],[Debit]]+Table822[[#This Row],[Debit -]]-Table822[[#This Row],[Credit]]-Table822[[#This Row],[Credit +]],0)</f>
        <v>0</v>
      </c>
      <c r="AC102" s="34">
        <f>MAX(Table822[[#This Row],[Credit]]-Table822[[#This Row],[Debit]]+Table822[[#This Row],[Credit +]]-Table822[[#This Row],[Debit -]],0)</f>
        <v>0</v>
      </c>
      <c r="AD102" s="34" t="str">
        <f>IFERROR(IF(AND(OR(Table822[[#This Row],[Classification]]="Expense",Table822[[#This Row],[Classification]]="Cost of Goods Sold"),Table822[[#This Row],[Debit\]]&gt;Table822[[#This Row],[Credit.]]),Table822[[#This Row],[Debit\]]-Table822[[#This Row],[Credit.]],""),"")</f>
        <v/>
      </c>
      <c r="AE102" s="34" t="str">
        <f>IFERROR(IF(AND(OR(Table822[[#This Row],[Classification]]="Income",Table822[[#This Row],[Classification]]="Cost of Goods Sold"),Table822[[#This Row],[Credit.]]&gt;Table822[[#This Row],[Debit\]]),Table822[[#This Row],[Credit.]]-Table822[[#This Row],[Debit\]],""),"")</f>
        <v/>
      </c>
      <c r="AF102" s="34"/>
      <c r="AG102" s="34" t="str">
        <f>IFERROR(IF(AND(Table822[[#This Row],[Classification]]="Assets",Table822[[#This Row],[Debit\]]-Table822[[#This Row],[Credit.]]),Table822[[#This Row],[Debit\]]-Table822[[#This Row],[Credit.]],""),"")</f>
        <v/>
      </c>
      <c r="AH102" s="34" t="str">
        <f>IFERROR(IF(AND(OR(Table822[[#This Row],[Classification]]="Liabilities",Table822[[#This Row],[Classification]]="Owner´s Equity"),Table822[[#This Row],[Credit.]]&gt;Table822[[#This Row],[Debit\]]),Table822[[#This Row],[Credit.]]-Table822[[#This Row],[Debit\]],""),"")</f>
        <v/>
      </c>
    </row>
    <row r="103" spans="2:34" hidden="1" x14ac:dyDescent="0.25">
      <c r="B103" s="34"/>
      <c r="C103" s="45"/>
      <c r="D103" s="34"/>
      <c r="E103" s="34"/>
      <c r="G103" s="39"/>
      <c r="H103" s="40"/>
      <c r="I103" s="41"/>
      <c r="J103" s="41"/>
      <c r="L103" s="34">
        <v>96</v>
      </c>
      <c r="M103" s="35"/>
      <c r="N103" s="35"/>
      <c r="O103" s="34">
        <f>IFERROR(SUMIF(Table419[,],Table621[[#This Row],[Accounts Name]],Table419[,3]),"")</f>
        <v>0</v>
      </c>
      <c r="P103" s="34">
        <f>IFERROR(SUMIF(Table419[,],Table621[[#This Row],[Accounts Name]],Table419[,2]),"")</f>
        <v>0</v>
      </c>
      <c r="S103" s="36">
        <f t="shared" si="1"/>
        <v>96</v>
      </c>
      <c r="T103" s="34"/>
      <c r="U103" s="37"/>
      <c r="V103" s="34">
        <f>IFERROR(SUMIF(Table621[Sub-Accounts],Table822[[#This Row],[Update your chart of accounts here]],Table621[Debit]),"")</f>
        <v>0</v>
      </c>
      <c r="W103" s="34">
        <f>IFERROR(SUMIF(Table621[Sub-Accounts],Table822[[#This Row],[Update your chart of accounts here]],Table621[Credit]),"")</f>
        <v>0</v>
      </c>
      <c r="X103" s="34"/>
      <c r="Y103" s="34"/>
      <c r="Z103" s="34"/>
      <c r="AA103" s="34"/>
      <c r="AB103" s="34">
        <f>MAX(Table822[[#This Row],[Debit]]+Table822[[#This Row],[Debit -]]-Table822[[#This Row],[Credit]]-Table822[[#This Row],[Credit +]],0)</f>
        <v>0</v>
      </c>
      <c r="AC103" s="34">
        <f>MAX(Table822[[#This Row],[Credit]]-Table822[[#This Row],[Debit]]+Table822[[#This Row],[Credit +]]-Table822[[#This Row],[Debit -]],0)</f>
        <v>0</v>
      </c>
      <c r="AD103" s="34" t="str">
        <f>IFERROR(IF(AND(OR(Table822[[#This Row],[Classification]]="Expense",Table822[[#This Row],[Classification]]="Cost of Goods Sold"),Table822[[#This Row],[Debit\]]&gt;Table822[[#This Row],[Credit.]]),Table822[[#This Row],[Debit\]]-Table822[[#This Row],[Credit.]],""),"")</f>
        <v/>
      </c>
      <c r="AE103" s="34" t="str">
        <f>IFERROR(IF(AND(OR(Table822[[#This Row],[Classification]]="Income",Table822[[#This Row],[Classification]]="Cost of Goods Sold"),Table822[[#This Row],[Credit.]]&gt;Table822[[#This Row],[Debit\]]),Table822[[#This Row],[Credit.]]-Table822[[#This Row],[Debit\]],""),"")</f>
        <v/>
      </c>
      <c r="AF103" s="34"/>
      <c r="AG103" s="34" t="str">
        <f>IFERROR(IF(AND(Table822[[#This Row],[Classification]]="Assets",Table822[[#This Row],[Debit\]]-Table822[[#This Row],[Credit.]]),Table822[[#This Row],[Debit\]]-Table822[[#This Row],[Credit.]],""),"")</f>
        <v/>
      </c>
      <c r="AH103" s="34" t="str">
        <f>IFERROR(IF(AND(OR(Table822[[#This Row],[Classification]]="Liabilities",Table822[[#This Row],[Classification]]="Owner´s Equity"),Table822[[#This Row],[Credit.]]&gt;Table822[[#This Row],[Debit\]]),Table822[[#This Row],[Credit.]]-Table822[[#This Row],[Debit\]],""),"")</f>
        <v/>
      </c>
    </row>
    <row r="104" spans="2:34" hidden="1" x14ac:dyDescent="0.25">
      <c r="B104" s="34"/>
      <c r="C104" s="45"/>
      <c r="D104" s="34"/>
      <c r="E104" s="34"/>
      <c r="G104" s="39"/>
      <c r="H104" s="43"/>
      <c r="I104" s="41"/>
      <c r="J104" s="41"/>
      <c r="L104" s="34">
        <v>97</v>
      </c>
      <c r="M104" s="35"/>
      <c r="N104" s="35"/>
      <c r="O104" s="34">
        <f>IFERROR(SUMIF(Table419[,],Table621[[#This Row],[Accounts Name]],Table419[,3]),"")</f>
        <v>0</v>
      </c>
      <c r="P104" s="34">
        <f>IFERROR(SUMIF(Table419[,],Table621[[#This Row],[Accounts Name]],Table419[,2]),"")</f>
        <v>0</v>
      </c>
      <c r="S104" s="36">
        <f t="shared" si="1"/>
        <v>97</v>
      </c>
      <c r="T104" s="34"/>
      <c r="U104" s="37"/>
      <c r="V104" s="34">
        <f>IFERROR(SUMIF(Table621[Sub-Accounts],Table822[[#This Row],[Update your chart of accounts here]],Table621[Debit]),"")</f>
        <v>0</v>
      </c>
      <c r="W104" s="34">
        <f>IFERROR(SUMIF(Table621[Sub-Accounts],Table822[[#This Row],[Update your chart of accounts here]],Table621[Credit]),"")</f>
        <v>0</v>
      </c>
      <c r="X104" s="34"/>
      <c r="Y104" s="34"/>
      <c r="Z104" s="34"/>
      <c r="AA104" s="34"/>
      <c r="AB104" s="34">
        <f>MAX(Table822[[#This Row],[Debit]]+Table822[[#This Row],[Debit -]]-Table822[[#This Row],[Credit]]-Table822[[#This Row],[Credit +]],0)</f>
        <v>0</v>
      </c>
      <c r="AC104" s="34">
        <f>MAX(Table822[[#This Row],[Credit]]-Table822[[#This Row],[Debit]]+Table822[[#This Row],[Credit +]]-Table822[[#This Row],[Debit -]],0)</f>
        <v>0</v>
      </c>
      <c r="AD104" s="34" t="str">
        <f>IFERROR(IF(AND(OR(Table822[[#This Row],[Classification]]="Expense",Table822[[#This Row],[Classification]]="Cost of Goods Sold"),Table822[[#This Row],[Debit\]]&gt;Table822[[#This Row],[Credit.]]),Table822[[#This Row],[Debit\]]-Table822[[#This Row],[Credit.]],""),"")</f>
        <v/>
      </c>
      <c r="AE104" s="34" t="str">
        <f>IFERROR(IF(AND(OR(Table822[[#This Row],[Classification]]="Income",Table822[[#This Row],[Classification]]="Cost of Goods Sold"),Table822[[#This Row],[Credit.]]&gt;Table822[[#This Row],[Debit\]]),Table822[[#This Row],[Credit.]]-Table822[[#This Row],[Debit\]],""),"")</f>
        <v/>
      </c>
      <c r="AF104" s="34"/>
      <c r="AG104" s="34" t="str">
        <f>IFERROR(IF(AND(Table822[[#This Row],[Classification]]="Assets",Table822[[#This Row],[Debit\]]-Table822[[#This Row],[Credit.]]),Table822[[#This Row],[Debit\]]-Table822[[#This Row],[Credit.]],""),"")</f>
        <v/>
      </c>
      <c r="AH104" s="34" t="str">
        <f>IFERROR(IF(AND(OR(Table822[[#This Row],[Classification]]="Liabilities",Table822[[#This Row],[Classification]]="Owner´s Equity"),Table822[[#This Row],[Credit.]]&gt;Table822[[#This Row],[Debit\]]),Table822[[#This Row],[Credit.]]-Table822[[#This Row],[Debit\]],""),"")</f>
        <v/>
      </c>
    </row>
    <row r="105" spans="2:34" hidden="1" x14ac:dyDescent="0.25">
      <c r="B105" s="34"/>
      <c r="C105" s="45"/>
      <c r="D105" s="34"/>
      <c r="E105" s="34"/>
      <c r="G105" s="39"/>
      <c r="H105" s="40"/>
      <c r="I105" s="41"/>
      <c r="J105" s="41"/>
      <c r="L105" s="34">
        <v>98</v>
      </c>
      <c r="M105" s="35"/>
      <c r="N105" s="35"/>
      <c r="O105" s="34">
        <f>IFERROR(SUMIF(Table419[,],Table621[[#This Row],[Accounts Name]],Table419[,3]),"")</f>
        <v>0</v>
      </c>
      <c r="P105" s="34">
        <f>IFERROR(SUMIF(Table419[,],Table621[[#This Row],[Accounts Name]],Table419[,2]),"")</f>
        <v>0</v>
      </c>
      <c r="S105" s="36">
        <f t="shared" si="1"/>
        <v>98</v>
      </c>
      <c r="T105" s="34"/>
      <c r="U105" s="37"/>
      <c r="V105" s="34">
        <f>IFERROR(SUMIF(Table621[Sub-Accounts],Table822[[#This Row],[Update your chart of accounts here]],Table621[Debit]),"")</f>
        <v>0</v>
      </c>
      <c r="W105" s="34">
        <f>IFERROR(SUMIF(Table621[Sub-Accounts],Table822[[#This Row],[Update your chart of accounts here]],Table621[Credit]),"")</f>
        <v>0</v>
      </c>
      <c r="X105" s="34"/>
      <c r="Y105" s="34"/>
      <c r="Z105" s="34"/>
      <c r="AA105" s="34"/>
      <c r="AB105" s="34">
        <f>MAX(Table822[[#This Row],[Debit]]+Table822[[#This Row],[Debit -]]-Table822[[#This Row],[Credit]]-Table822[[#This Row],[Credit +]],0)</f>
        <v>0</v>
      </c>
      <c r="AC105" s="34">
        <f>MAX(Table822[[#This Row],[Credit]]-Table822[[#This Row],[Debit]]+Table822[[#This Row],[Credit +]]-Table822[[#This Row],[Debit -]],0)</f>
        <v>0</v>
      </c>
      <c r="AD105" s="34" t="str">
        <f>IFERROR(IF(AND(OR(Table822[[#This Row],[Classification]]="Expense",Table822[[#This Row],[Classification]]="Cost of Goods Sold"),Table822[[#This Row],[Debit\]]&gt;Table822[[#This Row],[Credit.]]),Table822[[#This Row],[Debit\]]-Table822[[#This Row],[Credit.]],""),"")</f>
        <v/>
      </c>
      <c r="AE105" s="34" t="str">
        <f>IFERROR(IF(AND(OR(Table822[[#This Row],[Classification]]="Income",Table822[[#This Row],[Classification]]="Cost of Goods Sold"),Table822[[#This Row],[Credit.]]&gt;Table822[[#This Row],[Debit\]]),Table822[[#This Row],[Credit.]]-Table822[[#This Row],[Debit\]],""),"")</f>
        <v/>
      </c>
      <c r="AF105" s="34"/>
      <c r="AG105" s="34" t="str">
        <f>IFERROR(IF(AND(Table822[[#This Row],[Classification]]="Assets",Table822[[#This Row],[Debit\]]-Table822[[#This Row],[Credit.]]),Table822[[#This Row],[Debit\]]-Table822[[#This Row],[Credit.]],""),"")</f>
        <v/>
      </c>
      <c r="AH105" s="34" t="str">
        <f>IFERROR(IF(AND(OR(Table822[[#This Row],[Classification]]="Liabilities",Table822[[#This Row],[Classification]]="Owner´s Equity"),Table822[[#This Row],[Credit.]]&gt;Table822[[#This Row],[Debit\]]),Table822[[#This Row],[Credit.]]-Table822[[#This Row],[Debit\]],""),"")</f>
        <v/>
      </c>
    </row>
    <row r="106" spans="2:34" hidden="1" x14ac:dyDescent="0.25">
      <c r="B106" s="34"/>
      <c r="C106" s="45"/>
      <c r="D106" s="34"/>
      <c r="E106" s="34"/>
      <c r="G106" s="39"/>
      <c r="H106" s="40"/>
      <c r="I106" s="41"/>
      <c r="J106" s="41"/>
      <c r="L106" s="34">
        <v>99</v>
      </c>
      <c r="M106" s="35"/>
      <c r="N106" s="35"/>
      <c r="O106" s="34">
        <f>IFERROR(SUMIF(Table419[,],Table621[[#This Row],[Accounts Name]],Table419[,3]),"")</f>
        <v>0</v>
      </c>
      <c r="P106" s="34">
        <f>IFERROR(SUMIF(Table419[,],Table621[[#This Row],[Accounts Name]],Table419[,2]),"")</f>
        <v>0</v>
      </c>
      <c r="S106" s="36">
        <f t="shared" si="1"/>
        <v>99</v>
      </c>
      <c r="T106" s="34"/>
      <c r="U106" s="37"/>
      <c r="V106" s="34">
        <f>IFERROR(SUMIF(Table621[Sub-Accounts],Table822[[#This Row],[Update your chart of accounts here]],Table621[Debit]),"")</f>
        <v>0</v>
      </c>
      <c r="W106" s="34">
        <f>IFERROR(SUMIF(Table621[Sub-Accounts],Table822[[#This Row],[Update your chart of accounts here]],Table621[Credit]),"")</f>
        <v>0</v>
      </c>
      <c r="X106" s="34"/>
      <c r="Y106" s="34"/>
      <c r="Z106" s="34"/>
      <c r="AA106" s="34"/>
      <c r="AB106" s="34">
        <f>MAX(Table822[[#This Row],[Debit]]+Table822[[#This Row],[Debit -]]-Table822[[#This Row],[Credit]]-Table822[[#This Row],[Credit +]],0)</f>
        <v>0</v>
      </c>
      <c r="AC106" s="34">
        <f>MAX(Table822[[#This Row],[Credit]]-Table822[[#This Row],[Debit]]+Table822[[#This Row],[Credit +]]-Table822[[#This Row],[Debit -]],0)</f>
        <v>0</v>
      </c>
      <c r="AD106" s="34" t="str">
        <f>IFERROR(IF(AND(OR(Table822[[#This Row],[Classification]]="Expense",Table822[[#This Row],[Classification]]="Cost of Goods Sold"),Table822[[#This Row],[Debit\]]&gt;Table822[[#This Row],[Credit.]]),Table822[[#This Row],[Debit\]]-Table822[[#This Row],[Credit.]],""),"")</f>
        <v/>
      </c>
      <c r="AE106" s="34" t="str">
        <f>IFERROR(IF(AND(OR(Table822[[#This Row],[Classification]]="Income",Table822[[#This Row],[Classification]]="Cost of Goods Sold"),Table822[[#This Row],[Credit.]]&gt;Table822[[#This Row],[Debit\]]),Table822[[#This Row],[Credit.]]-Table822[[#This Row],[Debit\]],""),"")</f>
        <v/>
      </c>
      <c r="AF106" s="34"/>
      <c r="AG106" s="34" t="str">
        <f>IFERROR(IF(AND(Table822[[#This Row],[Classification]]="Assets",Table822[[#This Row],[Debit\]]-Table822[[#This Row],[Credit.]]),Table822[[#This Row],[Debit\]]-Table822[[#This Row],[Credit.]],""),"")</f>
        <v/>
      </c>
      <c r="AH106" s="34" t="str">
        <f>IFERROR(IF(AND(OR(Table822[[#This Row],[Classification]]="Liabilities",Table822[[#This Row],[Classification]]="Owner´s Equity"),Table822[[#This Row],[Credit.]]&gt;Table822[[#This Row],[Debit\]]),Table822[[#This Row],[Credit.]]-Table822[[#This Row],[Debit\]],""),"")</f>
        <v/>
      </c>
    </row>
    <row r="107" spans="2:34" hidden="1" x14ac:dyDescent="0.25">
      <c r="B107" s="34"/>
      <c r="C107" s="45"/>
      <c r="D107" s="34"/>
      <c r="E107" s="34"/>
      <c r="G107" s="39"/>
      <c r="H107" s="43"/>
      <c r="I107" s="41"/>
      <c r="J107" s="41"/>
      <c r="L107" s="34">
        <v>100</v>
      </c>
      <c r="M107" s="35"/>
      <c r="N107" s="35"/>
      <c r="O107" s="34">
        <f>IFERROR(SUMIF(Table419[,],Table621[[#This Row],[Accounts Name]],Table419[,3]),"")</f>
        <v>0</v>
      </c>
      <c r="P107" s="34">
        <f>IFERROR(SUMIF(Table419[,],Table621[[#This Row],[Accounts Name]],Table419[,2]),"")</f>
        <v>0</v>
      </c>
      <c r="S107" s="36">
        <f t="shared" si="1"/>
        <v>100</v>
      </c>
      <c r="T107" s="34"/>
      <c r="U107" s="37"/>
      <c r="V107" s="34">
        <f>IFERROR(SUMIF(Table621[Sub-Accounts],Table822[[#This Row],[Update your chart of accounts here]],Table621[Debit]),"")</f>
        <v>0</v>
      </c>
      <c r="W107" s="34">
        <f>IFERROR(SUMIF(Table621[Sub-Accounts],Table822[[#This Row],[Update your chart of accounts here]],Table621[Credit]),"")</f>
        <v>0</v>
      </c>
      <c r="X107" s="34"/>
      <c r="Y107" s="34"/>
      <c r="Z107" s="34"/>
      <c r="AA107" s="34"/>
      <c r="AB107" s="34">
        <f>MAX(Table822[[#This Row],[Debit]]+Table822[[#This Row],[Debit -]]-Table822[[#This Row],[Credit]]-Table822[[#This Row],[Credit +]],0)</f>
        <v>0</v>
      </c>
      <c r="AC107" s="34">
        <f>MAX(Table822[[#This Row],[Credit]]-Table822[[#This Row],[Debit]]+Table822[[#This Row],[Credit +]]-Table822[[#This Row],[Debit -]],0)</f>
        <v>0</v>
      </c>
      <c r="AD107" s="34" t="str">
        <f>IFERROR(IF(AND(OR(Table822[[#This Row],[Classification]]="Expense",Table822[[#This Row],[Classification]]="Cost of Goods Sold"),Table822[[#This Row],[Debit\]]&gt;Table822[[#This Row],[Credit.]]),Table822[[#This Row],[Debit\]]-Table822[[#This Row],[Credit.]],""),"")</f>
        <v/>
      </c>
      <c r="AE107" s="34" t="str">
        <f>IFERROR(IF(AND(OR(Table822[[#This Row],[Classification]]="Income",Table822[[#This Row],[Classification]]="Cost of Goods Sold"),Table822[[#This Row],[Credit.]]&gt;Table822[[#This Row],[Debit\]]),Table822[[#This Row],[Credit.]]-Table822[[#This Row],[Debit\]],""),"")</f>
        <v/>
      </c>
      <c r="AF107" s="34"/>
      <c r="AG107" s="34" t="str">
        <f>IFERROR(IF(AND(Table822[[#This Row],[Classification]]="Assets",Table822[[#This Row],[Debit\]]-Table822[[#This Row],[Credit.]]),Table822[[#This Row],[Debit\]]-Table822[[#This Row],[Credit.]],""),"")</f>
        <v/>
      </c>
      <c r="AH107" s="34" t="str">
        <f>IFERROR(IF(AND(OR(Table822[[#This Row],[Classification]]="Liabilities",Table822[[#This Row],[Classification]]="Owner´s Equity"),Table822[[#This Row],[Credit.]]&gt;Table822[[#This Row],[Debit\]]),Table822[[#This Row],[Credit.]]-Table822[[#This Row],[Debit\]],""),"")</f>
        <v/>
      </c>
    </row>
    <row r="108" spans="2:34" hidden="1" x14ac:dyDescent="0.25">
      <c r="B108" s="34"/>
      <c r="C108" s="45"/>
      <c r="D108" s="34"/>
      <c r="E108" s="34"/>
      <c r="G108" s="39"/>
      <c r="H108" s="40"/>
      <c r="I108" s="41"/>
      <c r="J108" s="41"/>
      <c r="L108" s="34">
        <v>101</v>
      </c>
      <c r="M108" s="35"/>
      <c r="N108" s="35"/>
      <c r="O108" s="34">
        <f>IFERROR(SUMIF(Table419[,],Table621[[#This Row],[Accounts Name]],Table419[,3]),"")</f>
        <v>0</v>
      </c>
      <c r="P108" s="34">
        <f>IFERROR(SUMIF(Table419[,],Table621[[#This Row],[Accounts Name]],Table419[,2]),"")</f>
        <v>0</v>
      </c>
      <c r="S108" s="36">
        <f t="shared" si="1"/>
        <v>101</v>
      </c>
      <c r="T108" s="34"/>
      <c r="U108" s="37"/>
      <c r="V108" s="34">
        <f>IFERROR(SUMIF(Table621[Sub-Accounts],Table822[[#This Row],[Update your chart of accounts here]],Table621[Debit]),"")</f>
        <v>0</v>
      </c>
      <c r="W108" s="34">
        <f>IFERROR(SUMIF(Table621[Sub-Accounts],Table822[[#This Row],[Update your chart of accounts here]],Table621[Credit]),"")</f>
        <v>0</v>
      </c>
      <c r="X108" s="34"/>
      <c r="Y108" s="34"/>
      <c r="Z108" s="34"/>
      <c r="AA108" s="34"/>
      <c r="AB108" s="34">
        <f>MAX(Table822[[#This Row],[Debit]]+Table822[[#This Row],[Debit -]]-Table822[[#This Row],[Credit]]-Table822[[#This Row],[Credit +]],0)</f>
        <v>0</v>
      </c>
      <c r="AC108" s="34">
        <f>MAX(Table822[[#This Row],[Credit]]-Table822[[#This Row],[Debit]]+Table822[[#This Row],[Credit +]]-Table822[[#This Row],[Debit -]],0)</f>
        <v>0</v>
      </c>
      <c r="AD108" s="34" t="str">
        <f>IFERROR(IF(AND(OR(Table822[[#This Row],[Classification]]="Expense",Table822[[#This Row],[Classification]]="Cost of Goods Sold"),Table822[[#This Row],[Debit\]]&gt;Table822[[#This Row],[Credit.]]),Table822[[#This Row],[Debit\]]-Table822[[#This Row],[Credit.]],""),"")</f>
        <v/>
      </c>
      <c r="AE108" s="34" t="str">
        <f>IFERROR(IF(AND(OR(Table822[[#This Row],[Classification]]="Income",Table822[[#This Row],[Classification]]="Cost of Goods Sold"),Table822[[#This Row],[Credit.]]&gt;Table822[[#This Row],[Debit\]]),Table822[[#This Row],[Credit.]]-Table822[[#This Row],[Debit\]],""),"")</f>
        <v/>
      </c>
      <c r="AF108" s="34"/>
      <c r="AG108" s="34" t="str">
        <f>IFERROR(IF(AND(Table822[[#This Row],[Classification]]="Assets",Table822[[#This Row],[Debit\]]-Table822[[#This Row],[Credit.]]),Table822[[#This Row],[Debit\]]-Table822[[#This Row],[Credit.]],""),"")</f>
        <v/>
      </c>
      <c r="AH108" s="34" t="str">
        <f>IFERROR(IF(AND(OR(Table822[[#This Row],[Classification]]="Liabilities",Table822[[#This Row],[Classification]]="Owner´s Equity"),Table822[[#This Row],[Credit.]]&gt;Table822[[#This Row],[Debit\]]),Table822[[#This Row],[Credit.]]-Table822[[#This Row],[Debit\]],""),"")</f>
        <v/>
      </c>
    </row>
    <row r="109" spans="2:34" hidden="1" x14ac:dyDescent="0.25">
      <c r="B109" s="34"/>
      <c r="C109" s="45"/>
      <c r="D109" s="34"/>
      <c r="E109" s="34"/>
      <c r="G109" s="39"/>
      <c r="H109" s="40"/>
      <c r="I109" s="41"/>
      <c r="J109" s="41"/>
      <c r="L109" s="34">
        <v>102</v>
      </c>
      <c r="M109" s="35"/>
      <c r="N109" s="35"/>
      <c r="O109" s="34">
        <f>IFERROR(SUMIF(Table419[,],Table621[[#This Row],[Accounts Name]],Table419[,3]),"")</f>
        <v>0</v>
      </c>
      <c r="P109" s="34">
        <f>IFERROR(SUMIF(Table419[,],Table621[[#This Row],[Accounts Name]],Table419[,2]),"")</f>
        <v>0</v>
      </c>
      <c r="S109" s="36">
        <f t="shared" si="1"/>
        <v>102</v>
      </c>
      <c r="T109" s="34"/>
      <c r="U109" s="37"/>
      <c r="V109" s="34">
        <f>IFERROR(SUMIF(Table621[Sub-Accounts],Table822[[#This Row],[Update your chart of accounts here]],Table621[Debit]),"")</f>
        <v>0</v>
      </c>
      <c r="W109" s="34">
        <f>IFERROR(SUMIF(Table621[Sub-Accounts],Table822[[#This Row],[Update your chart of accounts here]],Table621[Credit]),"")</f>
        <v>0</v>
      </c>
      <c r="X109" s="34"/>
      <c r="Y109" s="34"/>
      <c r="Z109" s="34"/>
      <c r="AA109" s="34"/>
      <c r="AB109" s="34">
        <f>MAX(Table822[[#This Row],[Debit]]+Table822[[#This Row],[Debit -]]-Table822[[#This Row],[Credit]]-Table822[[#This Row],[Credit +]],0)</f>
        <v>0</v>
      </c>
      <c r="AC109" s="34">
        <f>MAX(Table822[[#This Row],[Credit]]-Table822[[#This Row],[Debit]]+Table822[[#This Row],[Credit +]]-Table822[[#This Row],[Debit -]],0)</f>
        <v>0</v>
      </c>
      <c r="AD109" s="34" t="str">
        <f>IFERROR(IF(AND(OR(Table822[[#This Row],[Classification]]="Expense",Table822[[#This Row],[Classification]]="Cost of Goods Sold"),Table822[[#This Row],[Debit\]]&gt;Table822[[#This Row],[Credit.]]),Table822[[#This Row],[Debit\]]-Table822[[#This Row],[Credit.]],""),"")</f>
        <v/>
      </c>
      <c r="AE109" s="34" t="str">
        <f>IFERROR(IF(AND(OR(Table822[[#This Row],[Classification]]="Income",Table822[[#This Row],[Classification]]="Cost of Goods Sold"),Table822[[#This Row],[Credit.]]&gt;Table822[[#This Row],[Debit\]]),Table822[[#This Row],[Credit.]]-Table822[[#This Row],[Debit\]],""),"")</f>
        <v/>
      </c>
      <c r="AF109" s="34"/>
      <c r="AG109" s="34" t="str">
        <f>IFERROR(IF(AND(Table822[[#This Row],[Classification]]="Assets",Table822[[#This Row],[Debit\]]-Table822[[#This Row],[Credit.]]),Table822[[#This Row],[Debit\]]-Table822[[#This Row],[Credit.]],""),"")</f>
        <v/>
      </c>
      <c r="AH109" s="34" t="str">
        <f>IFERROR(IF(AND(OR(Table822[[#This Row],[Classification]]="Liabilities",Table822[[#This Row],[Classification]]="Owner´s Equity"),Table822[[#This Row],[Credit.]]&gt;Table822[[#This Row],[Debit\]]),Table822[[#This Row],[Credit.]]-Table822[[#This Row],[Debit\]],""),"")</f>
        <v/>
      </c>
    </row>
    <row r="110" spans="2:34" hidden="1" x14ac:dyDescent="0.25">
      <c r="B110" s="34"/>
      <c r="C110" s="45"/>
      <c r="D110" s="34"/>
      <c r="E110" s="34"/>
      <c r="G110" s="39"/>
      <c r="H110" s="43"/>
      <c r="I110" s="41"/>
      <c r="J110" s="41"/>
      <c r="L110" s="34">
        <v>103</v>
      </c>
      <c r="M110" s="35"/>
      <c r="N110" s="35"/>
      <c r="O110" s="34">
        <f>IFERROR(SUMIF(Table419[,],Table621[[#This Row],[Accounts Name]],Table419[,3]),"")</f>
        <v>0</v>
      </c>
      <c r="P110" s="34">
        <f>IFERROR(SUMIF(Table419[,],Table621[[#This Row],[Accounts Name]],Table419[,2]),"")</f>
        <v>0</v>
      </c>
      <c r="S110" s="36">
        <f t="shared" si="1"/>
        <v>103</v>
      </c>
      <c r="T110" s="34"/>
      <c r="U110" s="37"/>
      <c r="V110" s="34">
        <f>IFERROR(SUMIF(Table621[Sub-Accounts],Table822[[#This Row],[Update your chart of accounts here]],Table621[Debit]),"")</f>
        <v>0</v>
      </c>
      <c r="W110" s="34">
        <f>IFERROR(SUMIF(Table621[Sub-Accounts],Table822[[#This Row],[Update your chart of accounts here]],Table621[Credit]),"")</f>
        <v>0</v>
      </c>
      <c r="X110" s="34"/>
      <c r="Y110" s="34"/>
      <c r="Z110" s="34"/>
      <c r="AA110" s="34"/>
      <c r="AB110" s="34">
        <f>MAX(Table822[[#This Row],[Debit]]+Table822[[#This Row],[Debit -]]-Table822[[#This Row],[Credit]]-Table822[[#This Row],[Credit +]],0)</f>
        <v>0</v>
      </c>
      <c r="AC110" s="34">
        <f>MAX(Table822[[#This Row],[Credit]]-Table822[[#This Row],[Debit]]+Table822[[#This Row],[Credit +]]-Table822[[#This Row],[Debit -]],0)</f>
        <v>0</v>
      </c>
      <c r="AD110" s="34" t="str">
        <f>IFERROR(IF(AND(OR(Table822[[#This Row],[Classification]]="Expense",Table822[[#This Row],[Classification]]="Cost of Goods Sold"),Table822[[#This Row],[Debit\]]&gt;Table822[[#This Row],[Credit.]]),Table822[[#This Row],[Debit\]]-Table822[[#This Row],[Credit.]],""),"")</f>
        <v/>
      </c>
      <c r="AE110" s="34" t="str">
        <f>IFERROR(IF(AND(OR(Table822[[#This Row],[Classification]]="Income",Table822[[#This Row],[Classification]]="Cost of Goods Sold"),Table822[[#This Row],[Credit.]]&gt;Table822[[#This Row],[Debit\]]),Table822[[#This Row],[Credit.]]-Table822[[#This Row],[Debit\]],""),"")</f>
        <v/>
      </c>
      <c r="AF110" s="34"/>
      <c r="AG110" s="34" t="str">
        <f>IFERROR(IF(AND(Table822[[#This Row],[Classification]]="Assets",Table822[[#This Row],[Debit\]]-Table822[[#This Row],[Credit.]]),Table822[[#This Row],[Debit\]]-Table822[[#This Row],[Credit.]],""),"")</f>
        <v/>
      </c>
      <c r="AH110" s="34" t="str">
        <f>IFERROR(IF(AND(OR(Table822[[#This Row],[Classification]]="Liabilities",Table822[[#This Row],[Classification]]="Owner´s Equity"),Table822[[#This Row],[Credit.]]&gt;Table822[[#This Row],[Debit\]]),Table822[[#This Row],[Credit.]]-Table822[[#This Row],[Debit\]],""),"")</f>
        <v/>
      </c>
    </row>
    <row r="111" spans="2:34" hidden="1" x14ac:dyDescent="0.25">
      <c r="B111" s="34"/>
      <c r="C111" s="45"/>
      <c r="D111" s="34"/>
      <c r="E111" s="34"/>
      <c r="G111" s="39"/>
      <c r="H111" s="40"/>
      <c r="I111" s="41"/>
      <c r="J111" s="41"/>
      <c r="L111" s="34">
        <v>104</v>
      </c>
      <c r="M111" s="35"/>
      <c r="N111" s="35"/>
      <c r="O111" s="34">
        <f>IFERROR(SUMIF(Table419[,],Table621[[#This Row],[Accounts Name]],Table419[,3]),"")</f>
        <v>0</v>
      </c>
      <c r="P111" s="34">
        <f>IFERROR(SUMIF(Table419[,],Table621[[#This Row],[Accounts Name]],Table419[,2]),"")</f>
        <v>0</v>
      </c>
      <c r="S111" s="36">
        <f t="shared" si="1"/>
        <v>104</v>
      </c>
      <c r="T111" s="34"/>
      <c r="U111" s="37"/>
      <c r="V111" s="34">
        <f>IFERROR(SUMIF(Table621[Sub-Accounts],Table822[[#This Row],[Update your chart of accounts here]],Table621[Debit]),"")</f>
        <v>0</v>
      </c>
      <c r="W111" s="34">
        <f>IFERROR(SUMIF(Table621[Sub-Accounts],Table822[[#This Row],[Update your chart of accounts here]],Table621[Credit]),"")</f>
        <v>0</v>
      </c>
      <c r="X111" s="34"/>
      <c r="Y111" s="34"/>
      <c r="Z111" s="34"/>
      <c r="AA111" s="34"/>
      <c r="AB111" s="34">
        <f>MAX(Table822[[#This Row],[Debit]]+Table822[[#This Row],[Debit -]]-Table822[[#This Row],[Credit]]-Table822[[#This Row],[Credit +]],0)</f>
        <v>0</v>
      </c>
      <c r="AC111" s="34">
        <f>MAX(Table822[[#This Row],[Credit]]-Table822[[#This Row],[Debit]]+Table822[[#This Row],[Credit +]]-Table822[[#This Row],[Debit -]],0)</f>
        <v>0</v>
      </c>
      <c r="AD111" s="34" t="str">
        <f>IFERROR(IF(AND(OR(Table822[[#This Row],[Classification]]="Expense",Table822[[#This Row],[Classification]]="Cost of Goods Sold"),Table822[[#This Row],[Debit\]]&gt;Table822[[#This Row],[Credit.]]),Table822[[#This Row],[Debit\]]-Table822[[#This Row],[Credit.]],""),"")</f>
        <v/>
      </c>
      <c r="AE111" s="34" t="str">
        <f>IFERROR(IF(AND(OR(Table822[[#This Row],[Classification]]="Income",Table822[[#This Row],[Classification]]="Cost of Goods Sold"),Table822[[#This Row],[Credit.]]&gt;Table822[[#This Row],[Debit\]]),Table822[[#This Row],[Credit.]]-Table822[[#This Row],[Debit\]],""),"")</f>
        <v/>
      </c>
      <c r="AF111" s="34"/>
      <c r="AG111" s="34" t="str">
        <f>IFERROR(IF(AND(Table822[[#This Row],[Classification]]="Assets",Table822[[#This Row],[Debit\]]-Table822[[#This Row],[Credit.]]),Table822[[#This Row],[Debit\]]-Table822[[#This Row],[Credit.]],""),"")</f>
        <v/>
      </c>
      <c r="AH111" s="34" t="str">
        <f>IFERROR(IF(AND(OR(Table822[[#This Row],[Classification]]="Liabilities",Table822[[#This Row],[Classification]]="Owner´s Equity"),Table822[[#This Row],[Credit.]]&gt;Table822[[#This Row],[Debit\]]),Table822[[#This Row],[Credit.]]-Table822[[#This Row],[Debit\]],""),"")</f>
        <v/>
      </c>
    </row>
    <row r="112" spans="2:34" hidden="1" x14ac:dyDescent="0.25">
      <c r="B112" s="34"/>
      <c r="C112" s="45"/>
      <c r="D112" s="34"/>
      <c r="E112" s="34"/>
      <c r="G112" s="39"/>
      <c r="H112" s="40"/>
      <c r="I112" s="41"/>
      <c r="J112" s="41"/>
      <c r="L112" s="34">
        <v>105</v>
      </c>
      <c r="M112" s="35"/>
      <c r="N112" s="35"/>
      <c r="O112" s="34">
        <f>IFERROR(SUMIF(Table419[,],Table621[[#This Row],[Accounts Name]],Table419[,3]),"")</f>
        <v>0</v>
      </c>
      <c r="P112" s="34">
        <f>IFERROR(SUMIF(Table419[,],Table621[[#This Row],[Accounts Name]],Table419[,2]),"")</f>
        <v>0</v>
      </c>
      <c r="S112" s="36">
        <f t="shared" si="1"/>
        <v>105</v>
      </c>
      <c r="T112" s="34"/>
      <c r="U112" s="37"/>
      <c r="V112" s="34">
        <f>IFERROR(SUMIF(Table621[Sub-Accounts],Table822[[#This Row],[Update your chart of accounts here]],Table621[Debit]),"")</f>
        <v>0</v>
      </c>
      <c r="W112" s="34">
        <f>IFERROR(SUMIF(Table621[Sub-Accounts],Table822[[#This Row],[Update your chart of accounts here]],Table621[Credit]),"")</f>
        <v>0</v>
      </c>
      <c r="X112" s="34"/>
      <c r="Y112" s="34"/>
      <c r="Z112" s="34"/>
      <c r="AA112" s="34"/>
      <c r="AB112" s="34">
        <f>MAX(Table822[[#This Row],[Debit]]+Table822[[#This Row],[Debit -]]-Table822[[#This Row],[Credit]]-Table822[[#This Row],[Credit +]],0)</f>
        <v>0</v>
      </c>
      <c r="AC112" s="34">
        <f>MAX(Table822[[#This Row],[Credit]]-Table822[[#This Row],[Debit]]+Table822[[#This Row],[Credit +]]-Table822[[#This Row],[Debit -]],0)</f>
        <v>0</v>
      </c>
      <c r="AD112" s="34" t="str">
        <f>IFERROR(IF(AND(OR(Table822[[#This Row],[Classification]]="Expense",Table822[[#This Row],[Classification]]="Cost of Goods Sold"),Table822[[#This Row],[Debit\]]&gt;Table822[[#This Row],[Credit.]]),Table822[[#This Row],[Debit\]]-Table822[[#This Row],[Credit.]],""),"")</f>
        <v/>
      </c>
      <c r="AE112" s="34" t="str">
        <f>IFERROR(IF(AND(OR(Table822[[#This Row],[Classification]]="Income",Table822[[#This Row],[Classification]]="Cost of Goods Sold"),Table822[[#This Row],[Credit.]]&gt;Table822[[#This Row],[Debit\]]),Table822[[#This Row],[Credit.]]-Table822[[#This Row],[Debit\]],""),"")</f>
        <v/>
      </c>
      <c r="AF112" s="34"/>
      <c r="AG112" s="34" t="str">
        <f>IFERROR(IF(AND(Table822[[#This Row],[Classification]]="Assets",Table822[[#This Row],[Debit\]]-Table822[[#This Row],[Credit.]]),Table822[[#This Row],[Debit\]]-Table822[[#This Row],[Credit.]],""),"")</f>
        <v/>
      </c>
      <c r="AH112" s="34" t="str">
        <f>IFERROR(IF(AND(OR(Table822[[#This Row],[Classification]]="Liabilities",Table822[[#This Row],[Classification]]="Owner´s Equity"),Table822[[#This Row],[Credit.]]&gt;Table822[[#This Row],[Debit\]]),Table822[[#This Row],[Credit.]]-Table822[[#This Row],[Debit\]],""),"")</f>
        <v/>
      </c>
    </row>
    <row r="113" spans="2:34" hidden="1" x14ac:dyDescent="0.25">
      <c r="B113" s="34"/>
      <c r="C113" s="45"/>
      <c r="D113" s="34"/>
      <c r="E113" s="34"/>
      <c r="G113" s="39"/>
      <c r="H113" s="43"/>
      <c r="I113" s="41"/>
      <c r="J113" s="41"/>
      <c r="L113" s="34">
        <v>106</v>
      </c>
      <c r="M113" s="35"/>
      <c r="N113" s="35"/>
      <c r="O113" s="34">
        <f>IFERROR(SUMIF(Table419[,],Table621[[#This Row],[Accounts Name]],Table419[,3]),"")</f>
        <v>0</v>
      </c>
      <c r="P113" s="34">
        <f>IFERROR(SUMIF(Table419[,],Table621[[#This Row],[Accounts Name]],Table419[,2]),"")</f>
        <v>0</v>
      </c>
      <c r="S113" s="36">
        <f t="shared" si="1"/>
        <v>106</v>
      </c>
      <c r="T113" s="34"/>
      <c r="U113" s="37"/>
      <c r="V113" s="34">
        <f>IFERROR(SUMIF(Table621[Sub-Accounts],Table822[[#This Row],[Update your chart of accounts here]],Table621[Debit]),"")</f>
        <v>0</v>
      </c>
      <c r="W113" s="34">
        <f>IFERROR(SUMIF(Table621[Sub-Accounts],Table822[[#This Row],[Update your chart of accounts here]],Table621[Credit]),"")</f>
        <v>0</v>
      </c>
      <c r="X113" s="34"/>
      <c r="Y113" s="34"/>
      <c r="Z113" s="34"/>
      <c r="AA113" s="34"/>
      <c r="AB113" s="34">
        <f>MAX(Table822[[#This Row],[Debit]]+Table822[[#This Row],[Debit -]]-Table822[[#This Row],[Credit]]-Table822[[#This Row],[Credit +]],0)</f>
        <v>0</v>
      </c>
      <c r="AC113" s="34">
        <f>MAX(Table822[[#This Row],[Credit]]-Table822[[#This Row],[Debit]]+Table822[[#This Row],[Credit +]]-Table822[[#This Row],[Debit -]],0)</f>
        <v>0</v>
      </c>
      <c r="AD113" s="34" t="str">
        <f>IFERROR(IF(AND(OR(Table822[[#This Row],[Classification]]="Expense",Table822[[#This Row],[Classification]]="Cost of Goods Sold"),Table822[[#This Row],[Debit\]]&gt;Table822[[#This Row],[Credit.]]),Table822[[#This Row],[Debit\]]-Table822[[#This Row],[Credit.]],""),"")</f>
        <v/>
      </c>
      <c r="AE113" s="34" t="str">
        <f>IFERROR(IF(AND(OR(Table822[[#This Row],[Classification]]="Income",Table822[[#This Row],[Classification]]="Cost of Goods Sold"),Table822[[#This Row],[Credit.]]&gt;Table822[[#This Row],[Debit\]]),Table822[[#This Row],[Credit.]]-Table822[[#This Row],[Debit\]],""),"")</f>
        <v/>
      </c>
      <c r="AF113" s="34"/>
      <c r="AG113" s="34" t="str">
        <f>IFERROR(IF(AND(Table822[[#This Row],[Classification]]="Assets",Table822[[#This Row],[Debit\]]-Table822[[#This Row],[Credit.]]),Table822[[#This Row],[Debit\]]-Table822[[#This Row],[Credit.]],""),"")</f>
        <v/>
      </c>
      <c r="AH113" s="34" t="str">
        <f>IFERROR(IF(AND(OR(Table822[[#This Row],[Classification]]="Liabilities",Table822[[#This Row],[Classification]]="Owner´s Equity"),Table822[[#This Row],[Credit.]]&gt;Table822[[#This Row],[Debit\]]),Table822[[#This Row],[Credit.]]-Table822[[#This Row],[Debit\]],""),"")</f>
        <v/>
      </c>
    </row>
    <row r="114" spans="2:34" hidden="1" x14ac:dyDescent="0.25">
      <c r="B114" s="34"/>
      <c r="C114" s="45"/>
      <c r="D114" s="34"/>
      <c r="E114" s="34"/>
      <c r="G114" s="39"/>
      <c r="H114" s="40"/>
      <c r="I114" s="41"/>
      <c r="J114" s="41"/>
      <c r="L114" s="34">
        <v>107</v>
      </c>
      <c r="M114" s="35"/>
      <c r="N114" s="35"/>
      <c r="O114" s="34">
        <f>IFERROR(SUMIF(Table419[,],Table621[[#This Row],[Accounts Name]],Table419[,3]),"")</f>
        <v>0</v>
      </c>
      <c r="P114" s="34">
        <f>IFERROR(SUMIF(Table419[,],Table621[[#This Row],[Accounts Name]],Table419[,2]),"")</f>
        <v>0</v>
      </c>
      <c r="S114" s="36">
        <f t="shared" si="1"/>
        <v>107</v>
      </c>
      <c r="T114" s="34"/>
      <c r="U114" s="37"/>
      <c r="V114" s="34">
        <f>IFERROR(SUMIF(Table621[Sub-Accounts],Table822[[#This Row],[Update your chart of accounts here]],Table621[Debit]),"")</f>
        <v>0</v>
      </c>
      <c r="W114" s="34">
        <f>IFERROR(SUMIF(Table621[Sub-Accounts],Table822[[#This Row],[Update your chart of accounts here]],Table621[Credit]),"")</f>
        <v>0</v>
      </c>
      <c r="X114" s="34"/>
      <c r="Y114" s="34"/>
      <c r="Z114" s="34"/>
      <c r="AA114" s="34"/>
      <c r="AB114" s="34">
        <f>MAX(Table822[[#This Row],[Debit]]+Table822[[#This Row],[Debit -]]-Table822[[#This Row],[Credit]]-Table822[[#This Row],[Credit +]],0)</f>
        <v>0</v>
      </c>
      <c r="AC114" s="34">
        <f>MAX(Table822[[#This Row],[Credit]]-Table822[[#This Row],[Debit]]+Table822[[#This Row],[Credit +]]-Table822[[#This Row],[Debit -]],0)</f>
        <v>0</v>
      </c>
      <c r="AD114" s="34" t="str">
        <f>IFERROR(IF(AND(OR(Table822[[#This Row],[Classification]]="Expense",Table822[[#This Row],[Classification]]="Cost of Goods Sold"),Table822[[#This Row],[Debit\]]&gt;Table822[[#This Row],[Credit.]]),Table822[[#This Row],[Debit\]]-Table822[[#This Row],[Credit.]],""),"")</f>
        <v/>
      </c>
      <c r="AE114" s="34" t="str">
        <f>IFERROR(IF(AND(OR(Table822[[#This Row],[Classification]]="Income",Table822[[#This Row],[Classification]]="Cost of Goods Sold"),Table822[[#This Row],[Credit.]]&gt;Table822[[#This Row],[Debit\]]),Table822[[#This Row],[Credit.]]-Table822[[#This Row],[Debit\]],""),"")</f>
        <v/>
      </c>
      <c r="AF114" s="34"/>
      <c r="AG114" s="34" t="str">
        <f>IFERROR(IF(AND(Table822[[#This Row],[Classification]]="Assets",Table822[[#This Row],[Debit\]]-Table822[[#This Row],[Credit.]]),Table822[[#This Row],[Debit\]]-Table822[[#This Row],[Credit.]],""),"")</f>
        <v/>
      </c>
      <c r="AH114" s="34" t="str">
        <f>IFERROR(IF(AND(OR(Table822[[#This Row],[Classification]]="Liabilities",Table822[[#This Row],[Classification]]="Owner´s Equity"),Table822[[#This Row],[Credit.]]&gt;Table822[[#This Row],[Debit\]]),Table822[[#This Row],[Credit.]]-Table822[[#This Row],[Debit\]],""),"")</f>
        <v/>
      </c>
    </row>
    <row r="115" spans="2:34" hidden="1" x14ac:dyDescent="0.25">
      <c r="B115" s="34"/>
      <c r="C115" s="45"/>
      <c r="D115" s="34"/>
      <c r="E115" s="34"/>
      <c r="G115" s="39"/>
      <c r="H115" s="40"/>
      <c r="I115" s="41"/>
      <c r="J115" s="41"/>
      <c r="L115" s="34">
        <v>108</v>
      </c>
      <c r="M115" s="35"/>
      <c r="N115" s="35"/>
      <c r="O115" s="34">
        <f>IFERROR(SUMIF(Table419[,],Table621[[#This Row],[Accounts Name]],Table419[,3]),"")</f>
        <v>0</v>
      </c>
      <c r="P115" s="34">
        <f>IFERROR(SUMIF(Table419[,],Table621[[#This Row],[Accounts Name]],Table419[,2]),"")</f>
        <v>0</v>
      </c>
      <c r="S115" s="36">
        <f t="shared" si="1"/>
        <v>108</v>
      </c>
      <c r="T115" s="34"/>
      <c r="U115" s="37"/>
      <c r="V115" s="34">
        <f>IFERROR(SUMIF(Table621[Sub-Accounts],Table822[[#This Row],[Update your chart of accounts here]],Table621[Debit]),"")</f>
        <v>0</v>
      </c>
      <c r="W115" s="34">
        <f>IFERROR(SUMIF(Table621[Sub-Accounts],Table822[[#This Row],[Update your chart of accounts here]],Table621[Credit]),"")</f>
        <v>0</v>
      </c>
      <c r="X115" s="34"/>
      <c r="Y115" s="34"/>
      <c r="Z115" s="34"/>
      <c r="AA115" s="34"/>
      <c r="AB115" s="34">
        <f>MAX(Table822[[#This Row],[Debit]]+Table822[[#This Row],[Debit -]]-Table822[[#This Row],[Credit]]-Table822[[#This Row],[Credit +]],0)</f>
        <v>0</v>
      </c>
      <c r="AC115" s="34">
        <f>MAX(Table822[[#This Row],[Credit]]-Table822[[#This Row],[Debit]]+Table822[[#This Row],[Credit +]]-Table822[[#This Row],[Debit -]],0)</f>
        <v>0</v>
      </c>
      <c r="AD115" s="34" t="str">
        <f>IFERROR(IF(AND(OR(Table822[[#This Row],[Classification]]="Expense",Table822[[#This Row],[Classification]]="Cost of Goods Sold"),Table822[[#This Row],[Debit\]]&gt;Table822[[#This Row],[Credit.]]),Table822[[#This Row],[Debit\]]-Table822[[#This Row],[Credit.]],""),"")</f>
        <v/>
      </c>
      <c r="AE115" s="34" t="str">
        <f>IFERROR(IF(AND(OR(Table822[[#This Row],[Classification]]="Income",Table822[[#This Row],[Classification]]="Cost of Goods Sold"),Table822[[#This Row],[Credit.]]&gt;Table822[[#This Row],[Debit\]]),Table822[[#This Row],[Credit.]]-Table822[[#This Row],[Debit\]],""),"")</f>
        <v/>
      </c>
      <c r="AF115" s="34"/>
      <c r="AG115" s="34" t="str">
        <f>IFERROR(IF(AND(Table822[[#This Row],[Classification]]="Assets",Table822[[#This Row],[Debit\]]-Table822[[#This Row],[Credit.]]),Table822[[#This Row],[Debit\]]-Table822[[#This Row],[Credit.]],""),"")</f>
        <v/>
      </c>
      <c r="AH115" s="34" t="str">
        <f>IFERROR(IF(AND(OR(Table822[[#This Row],[Classification]]="Liabilities",Table822[[#This Row],[Classification]]="Owner´s Equity"),Table822[[#This Row],[Credit.]]&gt;Table822[[#This Row],[Debit\]]),Table822[[#This Row],[Credit.]]-Table822[[#This Row],[Debit\]],""),"")</f>
        <v/>
      </c>
    </row>
    <row r="116" spans="2:34" hidden="1" x14ac:dyDescent="0.25">
      <c r="B116" s="34"/>
      <c r="C116" s="45"/>
      <c r="D116" s="34"/>
      <c r="E116" s="34"/>
      <c r="G116" s="39"/>
      <c r="H116" s="43"/>
      <c r="I116" s="41"/>
      <c r="J116" s="41"/>
      <c r="L116" s="34">
        <v>109</v>
      </c>
      <c r="M116" s="35"/>
      <c r="N116" s="35"/>
      <c r="O116" s="34">
        <f>IFERROR(SUMIF(Table419[,],Table621[[#This Row],[Accounts Name]],Table419[,3]),"")</f>
        <v>0</v>
      </c>
      <c r="P116" s="34">
        <f>IFERROR(SUMIF(Table419[,],Table621[[#This Row],[Accounts Name]],Table419[,2]),"")</f>
        <v>0</v>
      </c>
      <c r="S116" s="36">
        <f t="shared" si="1"/>
        <v>109</v>
      </c>
      <c r="T116" s="34"/>
      <c r="U116" s="37"/>
      <c r="V116" s="34">
        <f>IFERROR(SUMIF(Table621[Sub-Accounts],Table822[[#This Row],[Update your chart of accounts here]],Table621[Debit]),"")</f>
        <v>0</v>
      </c>
      <c r="W116" s="34">
        <f>IFERROR(SUMIF(Table621[Sub-Accounts],Table822[[#This Row],[Update your chart of accounts here]],Table621[Credit]),"")</f>
        <v>0</v>
      </c>
      <c r="X116" s="34"/>
      <c r="Y116" s="34"/>
      <c r="Z116" s="34"/>
      <c r="AA116" s="34"/>
      <c r="AB116" s="34">
        <f>MAX(Table822[[#This Row],[Debit]]+Table822[[#This Row],[Debit -]]-Table822[[#This Row],[Credit]]-Table822[[#This Row],[Credit +]],0)</f>
        <v>0</v>
      </c>
      <c r="AC116" s="34">
        <f>MAX(Table822[[#This Row],[Credit]]-Table822[[#This Row],[Debit]]+Table822[[#This Row],[Credit +]]-Table822[[#This Row],[Debit -]],0)</f>
        <v>0</v>
      </c>
      <c r="AD116" s="34" t="str">
        <f>IFERROR(IF(AND(OR(Table822[[#This Row],[Classification]]="Expense",Table822[[#This Row],[Classification]]="Cost of Goods Sold"),Table822[[#This Row],[Debit\]]&gt;Table822[[#This Row],[Credit.]]),Table822[[#This Row],[Debit\]]-Table822[[#This Row],[Credit.]],""),"")</f>
        <v/>
      </c>
      <c r="AE116" s="34" t="str">
        <f>IFERROR(IF(AND(OR(Table822[[#This Row],[Classification]]="Income",Table822[[#This Row],[Classification]]="Cost of Goods Sold"),Table822[[#This Row],[Credit.]]&gt;Table822[[#This Row],[Debit\]]),Table822[[#This Row],[Credit.]]-Table822[[#This Row],[Debit\]],""),"")</f>
        <v/>
      </c>
      <c r="AF116" s="34"/>
      <c r="AG116" s="34" t="str">
        <f>IFERROR(IF(AND(Table822[[#This Row],[Classification]]="Assets",Table822[[#This Row],[Debit\]]-Table822[[#This Row],[Credit.]]),Table822[[#This Row],[Debit\]]-Table822[[#This Row],[Credit.]],""),"")</f>
        <v/>
      </c>
      <c r="AH116" s="34" t="str">
        <f>IFERROR(IF(AND(OR(Table822[[#This Row],[Classification]]="Liabilities",Table822[[#This Row],[Classification]]="Owner´s Equity"),Table822[[#This Row],[Credit.]]&gt;Table822[[#This Row],[Debit\]]),Table822[[#This Row],[Credit.]]-Table822[[#This Row],[Debit\]],""),"")</f>
        <v/>
      </c>
    </row>
    <row r="117" spans="2:34" hidden="1" x14ac:dyDescent="0.25">
      <c r="B117" s="34"/>
      <c r="C117" s="45"/>
      <c r="D117" s="34"/>
      <c r="E117" s="34"/>
      <c r="G117" s="39"/>
      <c r="H117" s="40"/>
      <c r="I117" s="41"/>
      <c r="J117" s="41"/>
      <c r="L117" s="34">
        <v>110</v>
      </c>
      <c r="M117" s="35"/>
      <c r="N117" s="35"/>
      <c r="O117" s="34">
        <f>IFERROR(SUMIF(Table419[,],Table621[[#This Row],[Accounts Name]],Table419[,3]),"")</f>
        <v>0</v>
      </c>
      <c r="P117" s="34">
        <f>IFERROR(SUMIF(Table419[,],Table621[[#This Row],[Accounts Name]],Table419[,2]),"")</f>
        <v>0</v>
      </c>
      <c r="S117" s="36">
        <f t="shared" si="1"/>
        <v>110</v>
      </c>
      <c r="T117" s="34"/>
      <c r="U117" s="37"/>
      <c r="V117" s="34">
        <f>IFERROR(SUMIF(Table621[Sub-Accounts],Table822[[#This Row],[Update your chart of accounts here]],Table621[Debit]),"")</f>
        <v>0</v>
      </c>
      <c r="W117" s="34">
        <f>IFERROR(SUMIF(Table621[Sub-Accounts],Table822[[#This Row],[Update your chart of accounts here]],Table621[Credit]),"")</f>
        <v>0</v>
      </c>
      <c r="X117" s="34"/>
      <c r="Y117" s="34"/>
      <c r="Z117" s="34"/>
      <c r="AA117" s="34"/>
      <c r="AB117" s="34">
        <f>MAX(Table822[[#This Row],[Debit]]+Table822[[#This Row],[Debit -]]-Table822[[#This Row],[Credit]]-Table822[[#This Row],[Credit +]],0)</f>
        <v>0</v>
      </c>
      <c r="AC117" s="34">
        <f>MAX(Table822[[#This Row],[Credit]]-Table822[[#This Row],[Debit]]+Table822[[#This Row],[Credit +]]-Table822[[#This Row],[Debit -]],0)</f>
        <v>0</v>
      </c>
      <c r="AD117" s="34" t="str">
        <f>IFERROR(IF(AND(OR(Table822[[#This Row],[Classification]]="Expense",Table822[[#This Row],[Classification]]="Cost of Goods Sold"),Table822[[#This Row],[Debit\]]&gt;Table822[[#This Row],[Credit.]]),Table822[[#This Row],[Debit\]]-Table822[[#This Row],[Credit.]],""),"")</f>
        <v/>
      </c>
      <c r="AE117" s="34" t="str">
        <f>IFERROR(IF(AND(OR(Table822[[#This Row],[Classification]]="Income",Table822[[#This Row],[Classification]]="Cost of Goods Sold"),Table822[[#This Row],[Credit.]]&gt;Table822[[#This Row],[Debit\]]),Table822[[#This Row],[Credit.]]-Table822[[#This Row],[Debit\]],""),"")</f>
        <v/>
      </c>
      <c r="AF117" s="34"/>
      <c r="AG117" s="34" t="str">
        <f>IFERROR(IF(AND(Table822[[#This Row],[Classification]]="Assets",Table822[[#This Row],[Debit\]]-Table822[[#This Row],[Credit.]]),Table822[[#This Row],[Debit\]]-Table822[[#This Row],[Credit.]],""),"")</f>
        <v/>
      </c>
      <c r="AH117" s="34" t="str">
        <f>IFERROR(IF(AND(OR(Table822[[#This Row],[Classification]]="Liabilities",Table822[[#This Row],[Classification]]="Owner´s Equity"),Table822[[#This Row],[Credit.]]&gt;Table822[[#This Row],[Debit\]]),Table822[[#This Row],[Credit.]]-Table822[[#This Row],[Debit\]],""),"")</f>
        <v/>
      </c>
    </row>
    <row r="118" spans="2:34" hidden="1" x14ac:dyDescent="0.25">
      <c r="B118" s="34"/>
      <c r="C118" s="45"/>
      <c r="D118" s="34"/>
      <c r="E118" s="34"/>
      <c r="G118" s="39"/>
      <c r="H118" s="40"/>
      <c r="I118" s="41"/>
      <c r="J118" s="41"/>
      <c r="L118" s="34">
        <v>111</v>
      </c>
      <c r="M118" s="35"/>
      <c r="N118" s="35"/>
      <c r="O118" s="34">
        <f>IFERROR(SUMIF(Table419[,],Table621[[#This Row],[Accounts Name]],Table419[,3]),"")</f>
        <v>0</v>
      </c>
      <c r="P118" s="34">
        <f>IFERROR(SUMIF(Table419[,],Table621[[#This Row],[Accounts Name]],Table419[,2]),"")</f>
        <v>0</v>
      </c>
      <c r="S118" s="36">
        <f t="shared" si="1"/>
        <v>111</v>
      </c>
      <c r="T118" s="34"/>
      <c r="U118" s="37"/>
      <c r="V118" s="34">
        <f>IFERROR(SUMIF(Table621[Sub-Accounts],Table822[[#This Row],[Update your chart of accounts here]],Table621[Debit]),"")</f>
        <v>0</v>
      </c>
      <c r="W118" s="34">
        <f>IFERROR(SUMIF(Table621[Sub-Accounts],Table822[[#This Row],[Update your chart of accounts here]],Table621[Credit]),"")</f>
        <v>0</v>
      </c>
      <c r="X118" s="34"/>
      <c r="Y118" s="34"/>
      <c r="Z118" s="34"/>
      <c r="AA118" s="34"/>
      <c r="AB118" s="34">
        <f>MAX(Table822[[#This Row],[Debit]]+Table822[[#This Row],[Debit -]]-Table822[[#This Row],[Credit]]-Table822[[#This Row],[Credit +]],0)</f>
        <v>0</v>
      </c>
      <c r="AC118" s="34">
        <f>MAX(Table822[[#This Row],[Credit]]-Table822[[#This Row],[Debit]]+Table822[[#This Row],[Credit +]]-Table822[[#This Row],[Debit -]],0)</f>
        <v>0</v>
      </c>
      <c r="AD118" s="34" t="str">
        <f>IFERROR(IF(AND(OR(Table822[[#This Row],[Classification]]="Expense",Table822[[#This Row],[Classification]]="Cost of Goods Sold"),Table822[[#This Row],[Debit\]]&gt;Table822[[#This Row],[Credit.]]),Table822[[#This Row],[Debit\]]-Table822[[#This Row],[Credit.]],""),"")</f>
        <v/>
      </c>
      <c r="AE118" s="34" t="str">
        <f>IFERROR(IF(AND(OR(Table822[[#This Row],[Classification]]="Income",Table822[[#This Row],[Classification]]="Cost of Goods Sold"),Table822[[#This Row],[Credit.]]&gt;Table822[[#This Row],[Debit\]]),Table822[[#This Row],[Credit.]]-Table822[[#This Row],[Debit\]],""),"")</f>
        <v/>
      </c>
      <c r="AF118" s="34"/>
      <c r="AG118" s="34" t="str">
        <f>IFERROR(IF(AND(Table822[[#This Row],[Classification]]="Assets",Table822[[#This Row],[Debit\]]-Table822[[#This Row],[Credit.]]),Table822[[#This Row],[Debit\]]-Table822[[#This Row],[Credit.]],""),"")</f>
        <v/>
      </c>
      <c r="AH118" s="34" t="str">
        <f>IFERROR(IF(AND(OR(Table822[[#This Row],[Classification]]="Liabilities",Table822[[#This Row],[Classification]]="Owner´s Equity"),Table822[[#This Row],[Credit.]]&gt;Table822[[#This Row],[Debit\]]),Table822[[#This Row],[Credit.]]-Table822[[#This Row],[Debit\]],""),"")</f>
        <v/>
      </c>
    </row>
    <row r="119" spans="2:34" hidden="1" x14ac:dyDescent="0.25">
      <c r="B119" s="34"/>
      <c r="C119" s="45"/>
      <c r="D119" s="34"/>
      <c r="E119" s="34"/>
      <c r="G119" s="39"/>
      <c r="H119" s="43"/>
      <c r="I119" s="41"/>
      <c r="J119" s="41"/>
      <c r="L119" s="34">
        <v>112</v>
      </c>
      <c r="M119" s="35"/>
      <c r="N119" s="35"/>
      <c r="O119" s="34">
        <f>IFERROR(SUMIF(Table419[,],Table621[[#This Row],[Accounts Name]],Table419[,3]),"")</f>
        <v>0</v>
      </c>
      <c r="P119" s="34">
        <f>IFERROR(SUMIF(Table419[,],Table621[[#This Row],[Accounts Name]],Table419[,2]),"")</f>
        <v>0</v>
      </c>
      <c r="S119" s="36">
        <f t="shared" si="1"/>
        <v>112</v>
      </c>
      <c r="T119" s="34"/>
      <c r="U119" s="37"/>
      <c r="V119" s="34">
        <f>IFERROR(SUMIF(Table621[Sub-Accounts],Table822[[#This Row],[Update your chart of accounts here]],Table621[Debit]),"")</f>
        <v>0</v>
      </c>
      <c r="W119" s="34">
        <f>IFERROR(SUMIF(Table621[Sub-Accounts],Table822[[#This Row],[Update your chart of accounts here]],Table621[Credit]),"")</f>
        <v>0</v>
      </c>
      <c r="X119" s="34"/>
      <c r="Y119" s="34"/>
      <c r="Z119" s="34"/>
      <c r="AA119" s="34"/>
      <c r="AB119" s="34">
        <f>MAX(Table822[[#This Row],[Debit]]+Table822[[#This Row],[Debit -]]-Table822[[#This Row],[Credit]]-Table822[[#This Row],[Credit +]],0)</f>
        <v>0</v>
      </c>
      <c r="AC119" s="34">
        <f>MAX(Table822[[#This Row],[Credit]]-Table822[[#This Row],[Debit]]+Table822[[#This Row],[Credit +]]-Table822[[#This Row],[Debit -]],0)</f>
        <v>0</v>
      </c>
      <c r="AD119" s="34" t="str">
        <f>IFERROR(IF(AND(OR(Table822[[#This Row],[Classification]]="Expense",Table822[[#This Row],[Classification]]="Cost of Goods Sold"),Table822[[#This Row],[Debit\]]&gt;Table822[[#This Row],[Credit.]]),Table822[[#This Row],[Debit\]]-Table822[[#This Row],[Credit.]],""),"")</f>
        <v/>
      </c>
      <c r="AE119" s="34" t="str">
        <f>IFERROR(IF(AND(OR(Table822[[#This Row],[Classification]]="Income",Table822[[#This Row],[Classification]]="Cost of Goods Sold"),Table822[[#This Row],[Credit.]]&gt;Table822[[#This Row],[Debit\]]),Table822[[#This Row],[Credit.]]-Table822[[#This Row],[Debit\]],""),"")</f>
        <v/>
      </c>
      <c r="AF119" s="34"/>
      <c r="AG119" s="34" t="str">
        <f>IFERROR(IF(AND(Table822[[#This Row],[Classification]]="Assets",Table822[[#This Row],[Debit\]]-Table822[[#This Row],[Credit.]]),Table822[[#This Row],[Debit\]]-Table822[[#This Row],[Credit.]],""),"")</f>
        <v/>
      </c>
      <c r="AH119" s="34" t="str">
        <f>IFERROR(IF(AND(OR(Table822[[#This Row],[Classification]]="Liabilities",Table822[[#This Row],[Classification]]="Owner´s Equity"),Table822[[#This Row],[Credit.]]&gt;Table822[[#This Row],[Debit\]]),Table822[[#This Row],[Credit.]]-Table822[[#This Row],[Debit\]],""),"")</f>
        <v/>
      </c>
    </row>
    <row r="120" spans="2:34" hidden="1" x14ac:dyDescent="0.25">
      <c r="B120" s="34"/>
      <c r="C120" s="45"/>
      <c r="D120" s="34"/>
      <c r="E120" s="34"/>
      <c r="G120" s="39"/>
      <c r="H120" s="40"/>
      <c r="I120" s="41"/>
      <c r="J120" s="41"/>
      <c r="L120" s="34">
        <v>113</v>
      </c>
      <c r="M120" s="35"/>
      <c r="N120" s="35"/>
      <c r="O120" s="34">
        <f>IFERROR(SUMIF(Table419[,],Table621[[#This Row],[Accounts Name]],Table419[,3]),"")</f>
        <v>0</v>
      </c>
      <c r="P120" s="34">
        <f>IFERROR(SUMIF(Table419[,],Table621[[#This Row],[Accounts Name]],Table419[,2]),"")</f>
        <v>0</v>
      </c>
      <c r="S120" s="36">
        <f t="shared" si="1"/>
        <v>113</v>
      </c>
      <c r="T120" s="34"/>
      <c r="U120" s="37"/>
      <c r="V120" s="34">
        <f>IFERROR(SUMIF(Table621[Sub-Accounts],Table822[[#This Row],[Update your chart of accounts here]],Table621[Debit]),"")</f>
        <v>0</v>
      </c>
      <c r="W120" s="34">
        <f>IFERROR(SUMIF(Table621[Sub-Accounts],Table822[[#This Row],[Update your chart of accounts here]],Table621[Credit]),"")</f>
        <v>0</v>
      </c>
      <c r="X120" s="34"/>
      <c r="Y120" s="34"/>
      <c r="Z120" s="34"/>
      <c r="AA120" s="34"/>
      <c r="AB120" s="34">
        <f>MAX(Table822[[#This Row],[Debit]]+Table822[[#This Row],[Debit -]]-Table822[[#This Row],[Credit]]-Table822[[#This Row],[Credit +]],0)</f>
        <v>0</v>
      </c>
      <c r="AC120" s="34">
        <f>MAX(Table822[[#This Row],[Credit]]-Table822[[#This Row],[Debit]]+Table822[[#This Row],[Credit +]]-Table822[[#This Row],[Debit -]],0)</f>
        <v>0</v>
      </c>
      <c r="AD120" s="34" t="str">
        <f>IFERROR(IF(AND(OR(Table822[[#This Row],[Classification]]="Expense",Table822[[#This Row],[Classification]]="Cost of Goods Sold"),Table822[[#This Row],[Debit\]]&gt;Table822[[#This Row],[Credit.]]),Table822[[#This Row],[Debit\]]-Table822[[#This Row],[Credit.]],""),"")</f>
        <v/>
      </c>
      <c r="AE120" s="34" t="str">
        <f>IFERROR(IF(AND(OR(Table822[[#This Row],[Classification]]="Income",Table822[[#This Row],[Classification]]="Cost of Goods Sold"),Table822[[#This Row],[Credit.]]&gt;Table822[[#This Row],[Debit\]]),Table822[[#This Row],[Credit.]]-Table822[[#This Row],[Debit\]],""),"")</f>
        <v/>
      </c>
      <c r="AF120" s="34"/>
      <c r="AG120" s="34" t="str">
        <f>IFERROR(IF(AND(Table822[[#This Row],[Classification]]="Assets",Table822[[#This Row],[Debit\]]-Table822[[#This Row],[Credit.]]),Table822[[#This Row],[Debit\]]-Table822[[#This Row],[Credit.]],""),"")</f>
        <v/>
      </c>
      <c r="AH120" s="34" t="str">
        <f>IFERROR(IF(AND(OR(Table822[[#This Row],[Classification]]="Liabilities",Table822[[#This Row],[Classification]]="Owner´s Equity"),Table822[[#This Row],[Credit.]]&gt;Table822[[#This Row],[Debit\]]),Table822[[#This Row],[Credit.]]-Table822[[#This Row],[Debit\]],""),"")</f>
        <v/>
      </c>
    </row>
    <row r="121" spans="2:34" hidden="1" x14ac:dyDescent="0.25">
      <c r="B121" s="34"/>
      <c r="C121" s="45"/>
      <c r="D121" s="34"/>
      <c r="E121" s="34"/>
      <c r="G121" s="39"/>
      <c r="H121" s="40"/>
      <c r="I121" s="41"/>
      <c r="J121" s="41"/>
      <c r="L121" s="34">
        <v>114</v>
      </c>
      <c r="M121" s="35"/>
      <c r="N121" s="35"/>
      <c r="O121" s="34">
        <f>IFERROR(SUMIF(Table419[,],Table621[[#This Row],[Accounts Name]],Table419[,3]),"")</f>
        <v>0</v>
      </c>
      <c r="P121" s="34">
        <f>IFERROR(SUMIF(Table419[,],Table621[[#This Row],[Accounts Name]],Table419[,2]),"")</f>
        <v>0</v>
      </c>
      <c r="S121" s="36">
        <f t="shared" si="1"/>
        <v>114</v>
      </c>
      <c r="T121" s="34"/>
      <c r="U121" s="37"/>
      <c r="V121" s="34">
        <f>IFERROR(SUMIF(Table621[Sub-Accounts],Table822[[#This Row],[Update your chart of accounts here]],Table621[Debit]),"")</f>
        <v>0</v>
      </c>
      <c r="W121" s="34">
        <f>IFERROR(SUMIF(Table621[Sub-Accounts],Table822[[#This Row],[Update your chart of accounts here]],Table621[Credit]),"")</f>
        <v>0</v>
      </c>
      <c r="X121" s="34"/>
      <c r="Y121" s="34"/>
      <c r="Z121" s="34"/>
      <c r="AA121" s="34"/>
      <c r="AB121" s="34">
        <f>MAX(Table822[[#This Row],[Debit]]+Table822[[#This Row],[Debit -]]-Table822[[#This Row],[Credit]]-Table822[[#This Row],[Credit +]],0)</f>
        <v>0</v>
      </c>
      <c r="AC121" s="34">
        <f>MAX(Table822[[#This Row],[Credit]]-Table822[[#This Row],[Debit]]+Table822[[#This Row],[Credit +]]-Table822[[#This Row],[Debit -]],0)</f>
        <v>0</v>
      </c>
      <c r="AD121" s="34" t="str">
        <f>IFERROR(IF(AND(OR(Table822[[#This Row],[Classification]]="Expense",Table822[[#This Row],[Classification]]="Cost of Goods Sold"),Table822[[#This Row],[Debit\]]&gt;Table822[[#This Row],[Credit.]]),Table822[[#This Row],[Debit\]]-Table822[[#This Row],[Credit.]],""),"")</f>
        <v/>
      </c>
      <c r="AE121" s="34" t="str">
        <f>IFERROR(IF(AND(OR(Table822[[#This Row],[Classification]]="Income",Table822[[#This Row],[Classification]]="Cost of Goods Sold"),Table822[[#This Row],[Credit.]]&gt;Table822[[#This Row],[Debit\]]),Table822[[#This Row],[Credit.]]-Table822[[#This Row],[Debit\]],""),"")</f>
        <v/>
      </c>
      <c r="AF121" s="34"/>
      <c r="AG121" s="34" t="str">
        <f>IFERROR(IF(AND(Table822[[#This Row],[Classification]]="Assets",Table822[[#This Row],[Debit\]]-Table822[[#This Row],[Credit.]]),Table822[[#This Row],[Debit\]]-Table822[[#This Row],[Credit.]],""),"")</f>
        <v/>
      </c>
      <c r="AH121" s="34" t="str">
        <f>IFERROR(IF(AND(OR(Table822[[#This Row],[Classification]]="Liabilities",Table822[[#This Row],[Classification]]="Owner´s Equity"),Table822[[#This Row],[Credit.]]&gt;Table822[[#This Row],[Debit\]]),Table822[[#This Row],[Credit.]]-Table822[[#This Row],[Debit\]],""),"")</f>
        <v/>
      </c>
    </row>
    <row r="122" spans="2:34" hidden="1" x14ac:dyDescent="0.25">
      <c r="B122" s="34"/>
      <c r="C122" s="45"/>
      <c r="D122" s="34"/>
      <c r="E122" s="34"/>
      <c r="G122" s="39"/>
      <c r="H122" s="43"/>
      <c r="I122" s="41"/>
      <c r="J122" s="41"/>
      <c r="L122" s="34">
        <v>115</v>
      </c>
      <c r="M122" s="35"/>
      <c r="N122" s="35"/>
      <c r="O122" s="34">
        <f>IFERROR(SUMIF(Table419[,],Table621[[#This Row],[Accounts Name]],Table419[,3]),"")</f>
        <v>0</v>
      </c>
      <c r="P122" s="34">
        <f>IFERROR(SUMIF(Table419[,],Table621[[#This Row],[Accounts Name]],Table419[,2]),"")</f>
        <v>0</v>
      </c>
      <c r="S122" s="36">
        <f t="shared" si="1"/>
        <v>115</v>
      </c>
      <c r="T122" s="34"/>
      <c r="U122" s="37"/>
      <c r="V122" s="34">
        <f>IFERROR(SUMIF(Table621[Sub-Accounts],Table822[[#This Row],[Update your chart of accounts here]],Table621[Debit]),"")</f>
        <v>0</v>
      </c>
      <c r="W122" s="34">
        <f>IFERROR(SUMIF(Table621[Sub-Accounts],Table822[[#This Row],[Update your chart of accounts here]],Table621[Credit]),"")</f>
        <v>0</v>
      </c>
      <c r="X122" s="34"/>
      <c r="Y122" s="34"/>
      <c r="Z122" s="34"/>
      <c r="AA122" s="34"/>
      <c r="AB122" s="34">
        <f>MAX(Table822[[#This Row],[Debit]]+Table822[[#This Row],[Debit -]]-Table822[[#This Row],[Credit]]-Table822[[#This Row],[Credit +]],0)</f>
        <v>0</v>
      </c>
      <c r="AC122" s="34">
        <f>MAX(Table822[[#This Row],[Credit]]-Table822[[#This Row],[Debit]]+Table822[[#This Row],[Credit +]]-Table822[[#This Row],[Debit -]],0)</f>
        <v>0</v>
      </c>
      <c r="AD122" s="34" t="str">
        <f>IFERROR(IF(AND(OR(Table822[[#This Row],[Classification]]="Expense",Table822[[#This Row],[Classification]]="Cost of Goods Sold"),Table822[[#This Row],[Debit\]]&gt;Table822[[#This Row],[Credit.]]),Table822[[#This Row],[Debit\]]-Table822[[#This Row],[Credit.]],""),"")</f>
        <v/>
      </c>
      <c r="AE122" s="34" t="str">
        <f>IFERROR(IF(AND(OR(Table822[[#This Row],[Classification]]="Income",Table822[[#This Row],[Classification]]="Cost of Goods Sold"),Table822[[#This Row],[Credit.]]&gt;Table822[[#This Row],[Debit\]]),Table822[[#This Row],[Credit.]]-Table822[[#This Row],[Debit\]],""),"")</f>
        <v/>
      </c>
      <c r="AF122" s="34"/>
      <c r="AG122" s="34" t="str">
        <f>IFERROR(IF(AND(Table822[[#This Row],[Classification]]="Assets",Table822[[#This Row],[Debit\]]-Table822[[#This Row],[Credit.]]),Table822[[#This Row],[Debit\]]-Table822[[#This Row],[Credit.]],""),"")</f>
        <v/>
      </c>
      <c r="AH122" s="34" t="str">
        <f>IFERROR(IF(AND(OR(Table822[[#This Row],[Classification]]="Liabilities",Table822[[#This Row],[Classification]]="Owner´s Equity"),Table822[[#This Row],[Credit.]]&gt;Table822[[#This Row],[Debit\]]),Table822[[#This Row],[Credit.]]-Table822[[#This Row],[Debit\]],""),"")</f>
        <v/>
      </c>
    </row>
    <row r="123" spans="2:34" hidden="1" x14ac:dyDescent="0.25">
      <c r="B123" s="34"/>
      <c r="C123" s="45"/>
      <c r="D123" s="34"/>
      <c r="E123" s="34"/>
      <c r="G123" s="39"/>
      <c r="H123" s="40"/>
      <c r="I123" s="41"/>
      <c r="J123" s="41"/>
      <c r="L123" s="34">
        <v>116</v>
      </c>
      <c r="M123" s="35"/>
      <c r="N123" s="35"/>
      <c r="O123" s="34">
        <f>IFERROR(SUMIF(Table419[,],Table621[[#This Row],[Accounts Name]],Table419[,3]),"")</f>
        <v>0</v>
      </c>
      <c r="P123" s="34">
        <f>IFERROR(SUMIF(Table419[,],Table621[[#This Row],[Accounts Name]],Table419[,2]),"")</f>
        <v>0</v>
      </c>
      <c r="S123" s="36">
        <f t="shared" si="1"/>
        <v>116</v>
      </c>
      <c r="T123" s="34"/>
      <c r="U123" s="37"/>
      <c r="V123" s="34">
        <f>IFERROR(SUMIF(Table621[Sub-Accounts],Table822[[#This Row],[Update your chart of accounts here]],Table621[Debit]),"")</f>
        <v>0</v>
      </c>
      <c r="W123" s="34">
        <f>IFERROR(SUMIF(Table621[Sub-Accounts],Table822[[#This Row],[Update your chart of accounts here]],Table621[Credit]),"")</f>
        <v>0</v>
      </c>
      <c r="X123" s="34"/>
      <c r="Y123" s="34"/>
      <c r="Z123" s="34"/>
      <c r="AA123" s="34"/>
      <c r="AB123" s="34">
        <f>MAX(Table822[[#This Row],[Debit]]+Table822[[#This Row],[Debit -]]-Table822[[#This Row],[Credit]]-Table822[[#This Row],[Credit +]],0)</f>
        <v>0</v>
      </c>
      <c r="AC123" s="34">
        <f>MAX(Table822[[#This Row],[Credit]]-Table822[[#This Row],[Debit]]+Table822[[#This Row],[Credit +]]-Table822[[#This Row],[Debit -]],0)</f>
        <v>0</v>
      </c>
      <c r="AD123" s="34" t="str">
        <f>IFERROR(IF(AND(OR(Table822[[#This Row],[Classification]]="Expense",Table822[[#This Row],[Classification]]="Cost of Goods Sold"),Table822[[#This Row],[Debit\]]&gt;Table822[[#This Row],[Credit.]]),Table822[[#This Row],[Debit\]]-Table822[[#This Row],[Credit.]],""),"")</f>
        <v/>
      </c>
      <c r="AE123" s="34" t="str">
        <f>IFERROR(IF(AND(OR(Table822[[#This Row],[Classification]]="Income",Table822[[#This Row],[Classification]]="Cost of Goods Sold"),Table822[[#This Row],[Credit.]]&gt;Table822[[#This Row],[Debit\]]),Table822[[#This Row],[Credit.]]-Table822[[#This Row],[Debit\]],""),"")</f>
        <v/>
      </c>
      <c r="AF123" s="34"/>
      <c r="AG123" s="34" t="str">
        <f>IFERROR(IF(AND(Table822[[#This Row],[Classification]]="Assets",Table822[[#This Row],[Debit\]]-Table822[[#This Row],[Credit.]]),Table822[[#This Row],[Debit\]]-Table822[[#This Row],[Credit.]],""),"")</f>
        <v/>
      </c>
      <c r="AH123" s="34" t="str">
        <f>IFERROR(IF(AND(OR(Table822[[#This Row],[Classification]]="Liabilities",Table822[[#This Row],[Classification]]="Owner´s Equity"),Table822[[#This Row],[Credit.]]&gt;Table822[[#This Row],[Debit\]]),Table822[[#This Row],[Credit.]]-Table822[[#This Row],[Debit\]],""),"")</f>
        <v/>
      </c>
    </row>
    <row r="124" spans="2:34" hidden="1" x14ac:dyDescent="0.25">
      <c r="B124" s="34"/>
      <c r="C124" s="45"/>
      <c r="D124" s="34"/>
      <c r="E124" s="34"/>
      <c r="G124" s="39"/>
      <c r="H124" s="40"/>
      <c r="I124" s="41"/>
      <c r="J124" s="41"/>
      <c r="L124" s="34">
        <v>117</v>
      </c>
      <c r="M124" s="35"/>
      <c r="N124" s="35"/>
      <c r="O124" s="34">
        <f>IFERROR(SUMIF(Table419[,],Table621[[#This Row],[Accounts Name]],Table419[,3]),"")</f>
        <v>0</v>
      </c>
      <c r="P124" s="34">
        <f>IFERROR(SUMIF(Table419[,],Table621[[#This Row],[Accounts Name]],Table419[,2]),"")</f>
        <v>0</v>
      </c>
      <c r="S124" s="36">
        <f t="shared" si="1"/>
        <v>117</v>
      </c>
      <c r="T124" s="34"/>
      <c r="U124" s="37"/>
      <c r="V124" s="34">
        <f>IFERROR(SUMIF(Table621[Sub-Accounts],Table822[[#This Row],[Update your chart of accounts here]],Table621[Debit]),"")</f>
        <v>0</v>
      </c>
      <c r="W124" s="34">
        <f>IFERROR(SUMIF(Table621[Sub-Accounts],Table822[[#This Row],[Update your chart of accounts here]],Table621[Credit]),"")</f>
        <v>0</v>
      </c>
      <c r="X124" s="34"/>
      <c r="Y124" s="34"/>
      <c r="Z124" s="34"/>
      <c r="AA124" s="34"/>
      <c r="AB124" s="34">
        <f>MAX(Table822[[#This Row],[Debit]]+Table822[[#This Row],[Debit -]]-Table822[[#This Row],[Credit]]-Table822[[#This Row],[Credit +]],0)</f>
        <v>0</v>
      </c>
      <c r="AC124" s="34">
        <f>MAX(Table822[[#This Row],[Credit]]-Table822[[#This Row],[Debit]]+Table822[[#This Row],[Credit +]]-Table822[[#This Row],[Debit -]],0)</f>
        <v>0</v>
      </c>
      <c r="AD124" s="34" t="str">
        <f>IFERROR(IF(AND(OR(Table822[[#This Row],[Classification]]="Expense",Table822[[#This Row],[Classification]]="Cost of Goods Sold"),Table822[[#This Row],[Debit\]]&gt;Table822[[#This Row],[Credit.]]),Table822[[#This Row],[Debit\]]-Table822[[#This Row],[Credit.]],""),"")</f>
        <v/>
      </c>
      <c r="AE124" s="34" t="str">
        <f>IFERROR(IF(AND(OR(Table822[[#This Row],[Classification]]="Income",Table822[[#This Row],[Classification]]="Cost of Goods Sold"),Table822[[#This Row],[Credit.]]&gt;Table822[[#This Row],[Debit\]]),Table822[[#This Row],[Credit.]]-Table822[[#This Row],[Debit\]],""),"")</f>
        <v/>
      </c>
      <c r="AF124" s="34"/>
      <c r="AG124" s="34" t="str">
        <f>IFERROR(IF(AND(Table822[[#This Row],[Classification]]="Assets",Table822[[#This Row],[Debit\]]-Table822[[#This Row],[Credit.]]),Table822[[#This Row],[Debit\]]-Table822[[#This Row],[Credit.]],""),"")</f>
        <v/>
      </c>
      <c r="AH124" s="34" t="str">
        <f>IFERROR(IF(AND(OR(Table822[[#This Row],[Classification]]="Liabilities",Table822[[#This Row],[Classification]]="Owner´s Equity"),Table822[[#This Row],[Credit.]]&gt;Table822[[#This Row],[Debit\]]),Table822[[#This Row],[Credit.]]-Table822[[#This Row],[Debit\]],""),"")</f>
        <v/>
      </c>
    </row>
    <row r="125" spans="2:34" hidden="1" x14ac:dyDescent="0.25">
      <c r="B125" s="34"/>
      <c r="C125" s="45"/>
      <c r="D125" s="34"/>
      <c r="E125" s="34"/>
      <c r="G125" s="39"/>
      <c r="H125" s="43"/>
      <c r="I125" s="41"/>
      <c r="J125" s="41"/>
      <c r="L125" s="34">
        <v>118</v>
      </c>
      <c r="M125" s="35"/>
      <c r="N125" s="35"/>
      <c r="O125" s="34">
        <f>IFERROR(SUMIF(Table419[,],Table621[[#This Row],[Accounts Name]],Table419[,3]),"")</f>
        <v>0</v>
      </c>
      <c r="P125" s="34">
        <f>IFERROR(SUMIF(Table419[,],Table621[[#This Row],[Accounts Name]],Table419[,2]),"")</f>
        <v>0</v>
      </c>
      <c r="S125" s="36">
        <f t="shared" si="1"/>
        <v>118</v>
      </c>
      <c r="T125" s="34"/>
      <c r="U125" s="37"/>
      <c r="V125" s="34">
        <f>IFERROR(SUMIF(Table621[Sub-Accounts],Table822[[#This Row],[Update your chart of accounts here]],Table621[Debit]),"")</f>
        <v>0</v>
      </c>
      <c r="W125" s="34">
        <f>IFERROR(SUMIF(Table621[Sub-Accounts],Table822[[#This Row],[Update your chart of accounts here]],Table621[Credit]),"")</f>
        <v>0</v>
      </c>
      <c r="X125" s="34"/>
      <c r="Y125" s="34"/>
      <c r="Z125" s="34"/>
      <c r="AA125" s="34"/>
      <c r="AB125" s="34">
        <f>MAX(Table822[[#This Row],[Debit]]+Table822[[#This Row],[Debit -]]-Table822[[#This Row],[Credit]]-Table822[[#This Row],[Credit +]],0)</f>
        <v>0</v>
      </c>
      <c r="AC125" s="34">
        <f>MAX(Table822[[#This Row],[Credit]]-Table822[[#This Row],[Debit]]+Table822[[#This Row],[Credit +]]-Table822[[#This Row],[Debit -]],0)</f>
        <v>0</v>
      </c>
      <c r="AD125" s="34" t="str">
        <f>IFERROR(IF(AND(OR(Table822[[#This Row],[Classification]]="Expense",Table822[[#This Row],[Classification]]="Cost of Goods Sold"),Table822[[#This Row],[Debit\]]&gt;Table822[[#This Row],[Credit.]]),Table822[[#This Row],[Debit\]]-Table822[[#This Row],[Credit.]],""),"")</f>
        <v/>
      </c>
      <c r="AE125" s="34" t="str">
        <f>IFERROR(IF(AND(OR(Table822[[#This Row],[Classification]]="Income",Table822[[#This Row],[Classification]]="Cost of Goods Sold"),Table822[[#This Row],[Credit.]]&gt;Table822[[#This Row],[Debit\]]),Table822[[#This Row],[Credit.]]-Table822[[#This Row],[Debit\]],""),"")</f>
        <v/>
      </c>
      <c r="AF125" s="34"/>
      <c r="AG125" s="34" t="str">
        <f>IFERROR(IF(AND(Table822[[#This Row],[Classification]]="Assets",Table822[[#This Row],[Debit\]]-Table822[[#This Row],[Credit.]]),Table822[[#This Row],[Debit\]]-Table822[[#This Row],[Credit.]],""),"")</f>
        <v/>
      </c>
      <c r="AH125" s="34" t="str">
        <f>IFERROR(IF(AND(OR(Table822[[#This Row],[Classification]]="Liabilities",Table822[[#This Row],[Classification]]="Owner´s Equity"),Table822[[#This Row],[Credit.]]&gt;Table822[[#This Row],[Debit\]]),Table822[[#This Row],[Credit.]]-Table822[[#This Row],[Debit\]],""),"")</f>
        <v/>
      </c>
    </row>
    <row r="126" spans="2:34" hidden="1" x14ac:dyDescent="0.25">
      <c r="B126" s="34"/>
      <c r="C126" s="45"/>
      <c r="D126" s="34"/>
      <c r="E126" s="34"/>
      <c r="G126" s="39"/>
      <c r="H126" s="40"/>
      <c r="I126" s="41"/>
      <c r="J126" s="41"/>
      <c r="L126" s="34">
        <v>119</v>
      </c>
      <c r="M126" s="35"/>
      <c r="N126" s="35"/>
      <c r="O126" s="34">
        <f>IFERROR(SUMIF(Table419[,],Table621[[#This Row],[Accounts Name]],Table419[,3]),"")</f>
        <v>0</v>
      </c>
      <c r="P126" s="34">
        <f>IFERROR(SUMIF(Table419[,],Table621[[#This Row],[Accounts Name]],Table419[,2]),"")</f>
        <v>0</v>
      </c>
      <c r="S126" s="36">
        <f t="shared" si="1"/>
        <v>119</v>
      </c>
      <c r="T126" s="34"/>
      <c r="U126" s="37"/>
      <c r="V126" s="34">
        <f>IFERROR(SUMIF(Table621[Sub-Accounts],Table822[[#This Row],[Update your chart of accounts here]],Table621[Debit]),"")</f>
        <v>0</v>
      </c>
      <c r="W126" s="34">
        <f>IFERROR(SUMIF(Table621[Sub-Accounts],Table822[[#This Row],[Update your chart of accounts here]],Table621[Credit]),"")</f>
        <v>0</v>
      </c>
      <c r="X126" s="34"/>
      <c r="Y126" s="34"/>
      <c r="Z126" s="34"/>
      <c r="AA126" s="34"/>
      <c r="AB126" s="34">
        <f>MAX(Table822[[#This Row],[Debit]]+Table822[[#This Row],[Debit -]]-Table822[[#This Row],[Credit]]-Table822[[#This Row],[Credit +]],0)</f>
        <v>0</v>
      </c>
      <c r="AC126" s="34">
        <f>MAX(Table822[[#This Row],[Credit]]-Table822[[#This Row],[Debit]]+Table822[[#This Row],[Credit +]]-Table822[[#This Row],[Debit -]],0)</f>
        <v>0</v>
      </c>
      <c r="AD126" s="34" t="str">
        <f>IFERROR(IF(AND(OR(Table822[[#This Row],[Classification]]="Expense",Table822[[#This Row],[Classification]]="Cost of Goods Sold"),Table822[[#This Row],[Debit\]]&gt;Table822[[#This Row],[Credit.]]),Table822[[#This Row],[Debit\]]-Table822[[#This Row],[Credit.]],""),"")</f>
        <v/>
      </c>
      <c r="AE126" s="34" t="str">
        <f>IFERROR(IF(AND(OR(Table822[[#This Row],[Classification]]="Income",Table822[[#This Row],[Classification]]="Cost of Goods Sold"),Table822[[#This Row],[Credit.]]&gt;Table822[[#This Row],[Debit\]]),Table822[[#This Row],[Credit.]]-Table822[[#This Row],[Debit\]],""),"")</f>
        <v/>
      </c>
      <c r="AF126" s="34"/>
      <c r="AG126" s="34" t="str">
        <f>IFERROR(IF(AND(Table822[[#This Row],[Classification]]="Assets",Table822[[#This Row],[Debit\]]-Table822[[#This Row],[Credit.]]),Table822[[#This Row],[Debit\]]-Table822[[#This Row],[Credit.]],""),"")</f>
        <v/>
      </c>
      <c r="AH126" s="34" t="str">
        <f>IFERROR(IF(AND(OR(Table822[[#This Row],[Classification]]="Liabilities",Table822[[#This Row],[Classification]]="Owner´s Equity"),Table822[[#This Row],[Credit.]]&gt;Table822[[#This Row],[Debit\]]),Table822[[#This Row],[Credit.]]-Table822[[#This Row],[Debit\]],""),"")</f>
        <v/>
      </c>
    </row>
    <row r="127" spans="2:34" hidden="1" x14ac:dyDescent="0.25">
      <c r="B127" s="34"/>
      <c r="C127" s="45"/>
      <c r="D127" s="34"/>
      <c r="E127" s="34"/>
      <c r="G127" s="39"/>
      <c r="H127" s="40"/>
      <c r="I127" s="41"/>
      <c r="J127" s="41"/>
      <c r="L127" s="34">
        <v>120</v>
      </c>
      <c r="M127" s="35"/>
      <c r="N127" s="35"/>
      <c r="O127" s="34">
        <f>IFERROR(SUMIF(Table419[,],Table621[[#This Row],[Accounts Name]],Table419[,3]),"")</f>
        <v>0</v>
      </c>
      <c r="P127" s="34">
        <f>IFERROR(SUMIF(Table419[,],Table621[[#This Row],[Accounts Name]],Table419[,2]),"")</f>
        <v>0</v>
      </c>
      <c r="S127" s="36">
        <f t="shared" si="1"/>
        <v>120</v>
      </c>
      <c r="T127" s="34"/>
      <c r="U127" s="37"/>
      <c r="V127" s="34">
        <f>IFERROR(SUMIF(Table621[Sub-Accounts],Table822[[#This Row],[Update your chart of accounts here]],Table621[Debit]),"")</f>
        <v>0</v>
      </c>
      <c r="W127" s="34">
        <f>IFERROR(SUMIF(Table621[Sub-Accounts],Table822[[#This Row],[Update your chart of accounts here]],Table621[Credit]),"")</f>
        <v>0</v>
      </c>
      <c r="X127" s="34"/>
      <c r="Y127" s="34"/>
      <c r="Z127" s="34"/>
      <c r="AA127" s="34"/>
      <c r="AB127" s="34">
        <f>MAX(Table822[[#This Row],[Debit]]+Table822[[#This Row],[Debit -]]-Table822[[#This Row],[Credit]]-Table822[[#This Row],[Credit +]],0)</f>
        <v>0</v>
      </c>
      <c r="AC127" s="34">
        <f>MAX(Table822[[#This Row],[Credit]]-Table822[[#This Row],[Debit]]+Table822[[#This Row],[Credit +]]-Table822[[#This Row],[Debit -]],0)</f>
        <v>0</v>
      </c>
      <c r="AD127" s="34" t="str">
        <f>IFERROR(IF(AND(OR(Table822[[#This Row],[Classification]]="Expense",Table822[[#This Row],[Classification]]="Cost of Goods Sold"),Table822[[#This Row],[Debit\]]&gt;Table822[[#This Row],[Credit.]]),Table822[[#This Row],[Debit\]]-Table822[[#This Row],[Credit.]],""),"")</f>
        <v/>
      </c>
      <c r="AE127" s="34" t="str">
        <f>IFERROR(IF(AND(OR(Table822[[#This Row],[Classification]]="Income",Table822[[#This Row],[Classification]]="Cost of Goods Sold"),Table822[[#This Row],[Credit.]]&gt;Table822[[#This Row],[Debit\]]),Table822[[#This Row],[Credit.]]-Table822[[#This Row],[Debit\]],""),"")</f>
        <v/>
      </c>
      <c r="AF127" s="34"/>
      <c r="AG127" s="34" t="str">
        <f>IFERROR(IF(AND(Table822[[#This Row],[Classification]]="Assets",Table822[[#This Row],[Debit\]]-Table822[[#This Row],[Credit.]]),Table822[[#This Row],[Debit\]]-Table822[[#This Row],[Credit.]],""),"")</f>
        <v/>
      </c>
      <c r="AH127" s="34" t="str">
        <f>IFERROR(IF(AND(OR(Table822[[#This Row],[Classification]]="Liabilities",Table822[[#This Row],[Classification]]="Owner´s Equity"),Table822[[#This Row],[Credit.]]&gt;Table822[[#This Row],[Debit\]]),Table822[[#This Row],[Credit.]]-Table822[[#This Row],[Debit\]],""),"")</f>
        <v/>
      </c>
    </row>
    <row r="128" spans="2:34" hidden="1" x14ac:dyDescent="0.25">
      <c r="B128" s="34"/>
      <c r="C128" s="45"/>
      <c r="D128" s="34"/>
      <c r="E128" s="34"/>
      <c r="G128" s="39"/>
      <c r="H128" s="43"/>
      <c r="I128" s="41"/>
      <c r="J128" s="41"/>
      <c r="L128" s="34">
        <v>121</v>
      </c>
      <c r="M128" s="35"/>
      <c r="N128" s="35"/>
      <c r="O128" s="34">
        <f>IFERROR(SUMIF(Table419[,],Table621[[#This Row],[Accounts Name]],Table419[,3]),"")</f>
        <v>0</v>
      </c>
      <c r="P128" s="34">
        <f>IFERROR(SUMIF(Table419[,],Table621[[#This Row],[Accounts Name]],Table419[,2]),"")</f>
        <v>0</v>
      </c>
      <c r="S128" s="36">
        <f t="shared" si="1"/>
        <v>121</v>
      </c>
      <c r="T128" s="34"/>
      <c r="U128" s="37"/>
      <c r="V128" s="34">
        <f>IFERROR(SUMIF(Table621[Sub-Accounts],Table822[[#This Row],[Update your chart of accounts here]],Table621[Debit]),"")</f>
        <v>0</v>
      </c>
      <c r="W128" s="34">
        <f>IFERROR(SUMIF(Table621[Sub-Accounts],Table822[[#This Row],[Update your chart of accounts here]],Table621[Credit]),"")</f>
        <v>0</v>
      </c>
      <c r="X128" s="34"/>
      <c r="Y128" s="34"/>
      <c r="Z128" s="34"/>
      <c r="AA128" s="34"/>
      <c r="AB128" s="34">
        <f>MAX(Table822[[#This Row],[Debit]]+Table822[[#This Row],[Debit -]]-Table822[[#This Row],[Credit]]-Table822[[#This Row],[Credit +]],0)</f>
        <v>0</v>
      </c>
      <c r="AC128" s="34">
        <f>MAX(Table822[[#This Row],[Credit]]-Table822[[#This Row],[Debit]]+Table822[[#This Row],[Credit +]]-Table822[[#This Row],[Debit -]],0)</f>
        <v>0</v>
      </c>
      <c r="AD128" s="34" t="str">
        <f>IFERROR(IF(AND(OR(Table822[[#This Row],[Classification]]="Expense",Table822[[#This Row],[Classification]]="Cost of Goods Sold"),Table822[[#This Row],[Debit\]]&gt;Table822[[#This Row],[Credit.]]),Table822[[#This Row],[Debit\]]-Table822[[#This Row],[Credit.]],""),"")</f>
        <v/>
      </c>
      <c r="AE128" s="34" t="str">
        <f>IFERROR(IF(AND(OR(Table822[[#This Row],[Classification]]="Income",Table822[[#This Row],[Classification]]="Cost of Goods Sold"),Table822[[#This Row],[Credit.]]&gt;Table822[[#This Row],[Debit\]]),Table822[[#This Row],[Credit.]]-Table822[[#This Row],[Debit\]],""),"")</f>
        <v/>
      </c>
      <c r="AF128" s="34"/>
      <c r="AG128" s="34" t="str">
        <f>IFERROR(IF(AND(Table822[[#This Row],[Classification]]="Assets",Table822[[#This Row],[Debit\]]-Table822[[#This Row],[Credit.]]),Table822[[#This Row],[Debit\]]-Table822[[#This Row],[Credit.]],""),"")</f>
        <v/>
      </c>
      <c r="AH128" s="34" t="str">
        <f>IFERROR(IF(AND(OR(Table822[[#This Row],[Classification]]="Liabilities",Table822[[#This Row],[Classification]]="Owner´s Equity"),Table822[[#This Row],[Credit.]]&gt;Table822[[#This Row],[Debit\]]),Table822[[#This Row],[Credit.]]-Table822[[#This Row],[Debit\]],""),"")</f>
        <v/>
      </c>
    </row>
    <row r="129" spans="2:34" hidden="1" x14ac:dyDescent="0.25">
      <c r="B129" s="34"/>
      <c r="C129" s="45"/>
      <c r="D129" s="34"/>
      <c r="E129" s="34"/>
      <c r="G129" s="39"/>
      <c r="H129" s="40"/>
      <c r="I129" s="41"/>
      <c r="J129" s="41"/>
      <c r="L129" s="34">
        <v>122</v>
      </c>
      <c r="M129" s="35"/>
      <c r="N129" s="35"/>
      <c r="O129" s="34">
        <f>IFERROR(SUMIF(Table419[,],Table621[[#This Row],[Accounts Name]],Table419[,3]),"")</f>
        <v>0</v>
      </c>
      <c r="P129" s="34">
        <f>IFERROR(SUMIF(Table419[,],Table621[[#This Row],[Accounts Name]],Table419[,2]),"")</f>
        <v>0</v>
      </c>
      <c r="S129" s="36">
        <f t="shared" si="1"/>
        <v>122</v>
      </c>
      <c r="T129" s="34"/>
      <c r="U129" s="37"/>
      <c r="V129" s="34">
        <f>IFERROR(SUMIF(Table621[Sub-Accounts],Table822[[#This Row],[Update your chart of accounts here]],Table621[Debit]),"")</f>
        <v>0</v>
      </c>
      <c r="W129" s="34">
        <f>IFERROR(SUMIF(Table621[Sub-Accounts],Table822[[#This Row],[Update your chart of accounts here]],Table621[Credit]),"")</f>
        <v>0</v>
      </c>
      <c r="X129" s="34"/>
      <c r="Y129" s="34"/>
      <c r="Z129" s="34"/>
      <c r="AA129" s="34"/>
      <c r="AB129" s="34">
        <f>MAX(Table822[[#This Row],[Debit]]+Table822[[#This Row],[Debit -]]-Table822[[#This Row],[Credit]]-Table822[[#This Row],[Credit +]],0)</f>
        <v>0</v>
      </c>
      <c r="AC129" s="34">
        <f>MAX(Table822[[#This Row],[Credit]]-Table822[[#This Row],[Debit]]+Table822[[#This Row],[Credit +]]-Table822[[#This Row],[Debit -]],0)</f>
        <v>0</v>
      </c>
      <c r="AD129" s="34" t="str">
        <f>IFERROR(IF(AND(OR(Table822[[#This Row],[Classification]]="Expense",Table822[[#This Row],[Classification]]="Cost of Goods Sold"),Table822[[#This Row],[Debit\]]&gt;Table822[[#This Row],[Credit.]]),Table822[[#This Row],[Debit\]]-Table822[[#This Row],[Credit.]],""),"")</f>
        <v/>
      </c>
      <c r="AE129" s="34" t="str">
        <f>IFERROR(IF(AND(OR(Table822[[#This Row],[Classification]]="Income",Table822[[#This Row],[Classification]]="Cost of Goods Sold"),Table822[[#This Row],[Credit.]]&gt;Table822[[#This Row],[Debit\]]),Table822[[#This Row],[Credit.]]-Table822[[#This Row],[Debit\]],""),"")</f>
        <v/>
      </c>
      <c r="AF129" s="34"/>
      <c r="AG129" s="34" t="str">
        <f>IFERROR(IF(AND(Table822[[#This Row],[Classification]]="Assets",Table822[[#This Row],[Debit\]]-Table822[[#This Row],[Credit.]]),Table822[[#This Row],[Debit\]]-Table822[[#This Row],[Credit.]],""),"")</f>
        <v/>
      </c>
      <c r="AH129" s="34" t="str">
        <f>IFERROR(IF(AND(OR(Table822[[#This Row],[Classification]]="Liabilities",Table822[[#This Row],[Classification]]="Owner´s Equity"),Table822[[#This Row],[Credit.]]&gt;Table822[[#This Row],[Debit\]]),Table822[[#This Row],[Credit.]]-Table822[[#This Row],[Debit\]],""),"")</f>
        <v/>
      </c>
    </row>
    <row r="130" spans="2:34" hidden="1" x14ac:dyDescent="0.25">
      <c r="B130" s="34"/>
      <c r="C130" s="45"/>
      <c r="D130" s="34"/>
      <c r="E130" s="34"/>
      <c r="G130" s="39"/>
      <c r="H130" s="40"/>
      <c r="I130" s="41"/>
      <c r="J130" s="41"/>
      <c r="L130" s="34">
        <v>123</v>
      </c>
      <c r="M130" s="35"/>
      <c r="N130" s="35"/>
      <c r="O130" s="34">
        <f>IFERROR(SUMIF(Table419[,],Table621[[#This Row],[Accounts Name]],Table419[,3]),"")</f>
        <v>0</v>
      </c>
      <c r="P130" s="34">
        <f>IFERROR(SUMIF(Table419[,],Table621[[#This Row],[Accounts Name]],Table419[,2]),"")</f>
        <v>0</v>
      </c>
      <c r="S130" s="36">
        <f t="shared" si="1"/>
        <v>123</v>
      </c>
      <c r="T130" s="34"/>
      <c r="U130" s="37"/>
      <c r="V130" s="34">
        <f>IFERROR(SUMIF(Table621[Sub-Accounts],Table822[[#This Row],[Update your chart of accounts here]],Table621[Debit]),"")</f>
        <v>0</v>
      </c>
      <c r="W130" s="34">
        <f>IFERROR(SUMIF(Table621[Sub-Accounts],Table822[[#This Row],[Update your chart of accounts here]],Table621[Credit]),"")</f>
        <v>0</v>
      </c>
      <c r="X130" s="34"/>
      <c r="Y130" s="34"/>
      <c r="Z130" s="34"/>
      <c r="AA130" s="34"/>
      <c r="AB130" s="34">
        <f>MAX(Table822[[#This Row],[Debit]]+Table822[[#This Row],[Debit -]]-Table822[[#This Row],[Credit]]-Table822[[#This Row],[Credit +]],0)</f>
        <v>0</v>
      </c>
      <c r="AC130" s="34">
        <f>MAX(Table822[[#This Row],[Credit]]-Table822[[#This Row],[Debit]]+Table822[[#This Row],[Credit +]]-Table822[[#This Row],[Debit -]],0)</f>
        <v>0</v>
      </c>
      <c r="AD130" s="34" t="str">
        <f>IFERROR(IF(AND(OR(Table822[[#This Row],[Classification]]="Expense",Table822[[#This Row],[Classification]]="Cost of Goods Sold"),Table822[[#This Row],[Debit\]]&gt;Table822[[#This Row],[Credit.]]),Table822[[#This Row],[Debit\]]-Table822[[#This Row],[Credit.]],""),"")</f>
        <v/>
      </c>
      <c r="AE130" s="34" t="str">
        <f>IFERROR(IF(AND(OR(Table822[[#This Row],[Classification]]="Income",Table822[[#This Row],[Classification]]="Cost of Goods Sold"),Table822[[#This Row],[Credit.]]&gt;Table822[[#This Row],[Debit\]]),Table822[[#This Row],[Credit.]]-Table822[[#This Row],[Debit\]],""),"")</f>
        <v/>
      </c>
      <c r="AF130" s="34"/>
      <c r="AG130" s="34" t="str">
        <f>IFERROR(IF(AND(Table822[[#This Row],[Classification]]="Assets",Table822[[#This Row],[Debit\]]-Table822[[#This Row],[Credit.]]),Table822[[#This Row],[Debit\]]-Table822[[#This Row],[Credit.]],""),"")</f>
        <v/>
      </c>
      <c r="AH130" s="34" t="str">
        <f>IFERROR(IF(AND(OR(Table822[[#This Row],[Classification]]="Liabilities",Table822[[#This Row],[Classification]]="Owner´s Equity"),Table822[[#This Row],[Credit.]]&gt;Table822[[#This Row],[Debit\]]),Table822[[#This Row],[Credit.]]-Table822[[#This Row],[Debit\]],""),"")</f>
        <v/>
      </c>
    </row>
    <row r="131" spans="2:34" hidden="1" x14ac:dyDescent="0.25">
      <c r="B131" s="34"/>
      <c r="C131" s="45"/>
      <c r="D131" s="34"/>
      <c r="E131" s="34"/>
      <c r="G131" s="39"/>
      <c r="H131" s="43"/>
      <c r="I131" s="41"/>
      <c r="J131" s="41"/>
      <c r="L131" s="34">
        <v>124</v>
      </c>
      <c r="M131" s="35"/>
      <c r="N131" s="35"/>
      <c r="O131" s="34">
        <f>IFERROR(SUMIF(Table419[,],Table621[[#This Row],[Accounts Name]],Table419[,3]),"")</f>
        <v>0</v>
      </c>
      <c r="P131" s="34">
        <f>IFERROR(SUMIF(Table419[,],Table621[[#This Row],[Accounts Name]],Table419[,2]),"")</f>
        <v>0</v>
      </c>
      <c r="S131" s="36">
        <f t="shared" si="1"/>
        <v>124</v>
      </c>
      <c r="T131" s="34"/>
      <c r="U131" s="37"/>
      <c r="V131" s="34">
        <f>IFERROR(SUMIF(Table621[Sub-Accounts],Table822[[#This Row],[Update your chart of accounts here]],Table621[Debit]),"")</f>
        <v>0</v>
      </c>
      <c r="W131" s="34">
        <f>IFERROR(SUMIF(Table621[Sub-Accounts],Table822[[#This Row],[Update your chart of accounts here]],Table621[Credit]),"")</f>
        <v>0</v>
      </c>
      <c r="X131" s="34"/>
      <c r="Y131" s="34"/>
      <c r="Z131" s="34"/>
      <c r="AA131" s="34"/>
      <c r="AB131" s="34">
        <f>MAX(Table822[[#This Row],[Debit]]+Table822[[#This Row],[Debit -]]-Table822[[#This Row],[Credit]]-Table822[[#This Row],[Credit +]],0)</f>
        <v>0</v>
      </c>
      <c r="AC131" s="34">
        <f>MAX(Table822[[#This Row],[Credit]]-Table822[[#This Row],[Debit]]+Table822[[#This Row],[Credit +]]-Table822[[#This Row],[Debit -]],0)</f>
        <v>0</v>
      </c>
      <c r="AD131" s="34" t="str">
        <f>IFERROR(IF(AND(OR(Table822[[#This Row],[Classification]]="Expense",Table822[[#This Row],[Classification]]="Cost of Goods Sold"),Table822[[#This Row],[Debit\]]&gt;Table822[[#This Row],[Credit.]]),Table822[[#This Row],[Debit\]]-Table822[[#This Row],[Credit.]],""),"")</f>
        <v/>
      </c>
      <c r="AE131" s="34" t="str">
        <f>IFERROR(IF(AND(OR(Table822[[#This Row],[Classification]]="Income",Table822[[#This Row],[Classification]]="Cost of Goods Sold"),Table822[[#This Row],[Credit.]]&gt;Table822[[#This Row],[Debit\]]),Table822[[#This Row],[Credit.]]-Table822[[#This Row],[Debit\]],""),"")</f>
        <v/>
      </c>
      <c r="AF131" s="34"/>
      <c r="AG131" s="34" t="str">
        <f>IFERROR(IF(AND(Table822[[#This Row],[Classification]]="Assets",Table822[[#This Row],[Debit\]]-Table822[[#This Row],[Credit.]]),Table822[[#This Row],[Debit\]]-Table822[[#This Row],[Credit.]],""),"")</f>
        <v/>
      </c>
      <c r="AH131" s="34" t="str">
        <f>IFERROR(IF(AND(OR(Table822[[#This Row],[Classification]]="Liabilities",Table822[[#This Row],[Classification]]="Owner´s Equity"),Table822[[#This Row],[Credit.]]&gt;Table822[[#This Row],[Debit\]]),Table822[[#This Row],[Credit.]]-Table822[[#This Row],[Debit\]],""),"")</f>
        <v/>
      </c>
    </row>
    <row r="132" spans="2:34" hidden="1" x14ac:dyDescent="0.25">
      <c r="B132" s="34"/>
      <c r="C132" s="45"/>
      <c r="D132" s="34"/>
      <c r="E132" s="34"/>
      <c r="G132" s="39"/>
      <c r="H132" s="40"/>
      <c r="I132" s="41"/>
      <c r="J132" s="41"/>
      <c r="L132" s="34">
        <v>125</v>
      </c>
      <c r="M132" s="35"/>
      <c r="N132" s="35"/>
      <c r="O132" s="34">
        <f>IFERROR(SUMIF(Table419[,],Table621[[#This Row],[Accounts Name]],Table419[,3]),"")</f>
        <v>0</v>
      </c>
      <c r="P132" s="34">
        <f>IFERROR(SUMIF(Table419[,],Table621[[#This Row],[Accounts Name]],Table419[,2]),"")</f>
        <v>0</v>
      </c>
      <c r="S132" s="36">
        <f t="shared" si="1"/>
        <v>125</v>
      </c>
      <c r="T132" s="34"/>
      <c r="U132" s="37"/>
      <c r="V132" s="34">
        <f>IFERROR(SUMIF(Table621[Sub-Accounts],Table822[[#This Row],[Update your chart of accounts here]],Table621[Debit]),"")</f>
        <v>0</v>
      </c>
      <c r="W132" s="34">
        <f>IFERROR(SUMIF(Table621[Sub-Accounts],Table822[[#This Row],[Update your chart of accounts here]],Table621[Credit]),"")</f>
        <v>0</v>
      </c>
      <c r="X132" s="34"/>
      <c r="Y132" s="34"/>
      <c r="Z132" s="34"/>
      <c r="AA132" s="34"/>
      <c r="AB132" s="34">
        <f>MAX(Table822[[#This Row],[Debit]]+Table822[[#This Row],[Debit -]]-Table822[[#This Row],[Credit]]-Table822[[#This Row],[Credit +]],0)</f>
        <v>0</v>
      </c>
      <c r="AC132" s="34">
        <f>MAX(Table822[[#This Row],[Credit]]-Table822[[#This Row],[Debit]]+Table822[[#This Row],[Credit +]]-Table822[[#This Row],[Debit -]],0)</f>
        <v>0</v>
      </c>
      <c r="AD132" s="34" t="str">
        <f>IFERROR(IF(AND(OR(Table822[[#This Row],[Classification]]="Expense",Table822[[#This Row],[Classification]]="Cost of Goods Sold"),Table822[[#This Row],[Debit\]]&gt;Table822[[#This Row],[Credit.]]),Table822[[#This Row],[Debit\]]-Table822[[#This Row],[Credit.]],""),"")</f>
        <v/>
      </c>
      <c r="AE132" s="34" t="str">
        <f>IFERROR(IF(AND(OR(Table822[[#This Row],[Classification]]="Income",Table822[[#This Row],[Classification]]="Cost of Goods Sold"),Table822[[#This Row],[Credit.]]&gt;Table822[[#This Row],[Debit\]]),Table822[[#This Row],[Credit.]]-Table822[[#This Row],[Debit\]],""),"")</f>
        <v/>
      </c>
      <c r="AF132" s="34"/>
      <c r="AG132" s="34" t="str">
        <f>IFERROR(IF(AND(Table822[[#This Row],[Classification]]="Assets",Table822[[#This Row],[Debit\]]-Table822[[#This Row],[Credit.]]),Table822[[#This Row],[Debit\]]-Table822[[#This Row],[Credit.]],""),"")</f>
        <v/>
      </c>
      <c r="AH132" s="34" t="str">
        <f>IFERROR(IF(AND(OR(Table822[[#This Row],[Classification]]="Liabilities",Table822[[#This Row],[Classification]]="Owner´s Equity"),Table822[[#This Row],[Credit.]]&gt;Table822[[#This Row],[Debit\]]),Table822[[#This Row],[Credit.]]-Table822[[#This Row],[Debit\]],""),"")</f>
        <v/>
      </c>
    </row>
    <row r="133" spans="2:34" hidden="1" x14ac:dyDescent="0.25">
      <c r="B133" s="34"/>
      <c r="C133" s="45"/>
      <c r="D133" s="34"/>
      <c r="E133" s="34"/>
      <c r="G133" s="39"/>
      <c r="H133" s="40"/>
      <c r="I133" s="41"/>
      <c r="J133" s="41"/>
      <c r="L133" s="34">
        <v>126</v>
      </c>
      <c r="M133" s="35"/>
      <c r="N133" s="35"/>
      <c r="O133" s="34">
        <f>IFERROR(SUMIF(Table419[,],Table621[[#This Row],[Accounts Name]],Table419[,3]),"")</f>
        <v>0</v>
      </c>
      <c r="P133" s="34">
        <f>IFERROR(SUMIF(Table419[,],Table621[[#This Row],[Accounts Name]],Table419[,2]),"")</f>
        <v>0</v>
      </c>
      <c r="S133" s="36">
        <f t="shared" si="1"/>
        <v>126</v>
      </c>
      <c r="T133" s="34"/>
      <c r="U133" s="37"/>
      <c r="V133" s="34">
        <f>IFERROR(SUMIF(Table621[Sub-Accounts],Table822[[#This Row],[Update your chart of accounts here]],Table621[Debit]),"")</f>
        <v>0</v>
      </c>
      <c r="W133" s="34">
        <f>IFERROR(SUMIF(Table621[Sub-Accounts],Table822[[#This Row],[Update your chart of accounts here]],Table621[Credit]),"")</f>
        <v>0</v>
      </c>
      <c r="X133" s="34"/>
      <c r="Y133" s="34"/>
      <c r="Z133" s="34"/>
      <c r="AA133" s="34"/>
      <c r="AB133" s="34">
        <f>MAX(Table822[[#This Row],[Debit]]+Table822[[#This Row],[Debit -]]-Table822[[#This Row],[Credit]]-Table822[[#This Row],[Credit +]],0)</f>
        <v>0</v>
      </c>
      <c r="AC133" s="34">
        <f>MAX(Table822[[#This Row],[Credit]]-Table822[[#This Row],[Debit]]+Table822[[#This Row],[Credit +]]-Table822[[#This Row],[Debit -]],0)</f>
        <v>0</v>
      </c>
      <c r="AD133" s="34" t="str">
        <f>IFERROR(IF(AND(OR(Table822[[#This Row],[Classification]]="Expense",Table822[[#This Row],[Classification]]="Cost of Goods Sold"),Table822[[#This Row],[Debit\]]&gt;Table822[[#This Row],[Credit.]]),Table822[[#This Row],[Debit\]]-Table822[[#This Row],[Credit.]],""),"")</f>
        <v/>
      </c>
      <c r="AE133" s="34" t="str">
        <f>IFERROR(IF(AND(OR(Table822[[#This Row],[Classification]]="Income",Table822[[#This Row],[Classification]]="Cost of Goods Sold"),Table822[[#This Row],[Credit.]]&gt;Table822[[#This Row],[Debit\]]),Table822[[#This Row],[Credit.]]-Table822[[#This Row],[Debit\]],""),"")</f>
        <v/>
      </c>
      <c r="AF133" s="34"/>
      <c r="AG133" s="34" t="str">
        <f>IFERROR(IF(AND(Table822[[#This Row],[Classification]]="Assets",Table822[[#This Row],[Debit\]]-Table822[[#This Row],[Credit.]]),Table822[[#This Row],[Debit\]]-Table822[[#This Row],[Credit.]],""),"")</f>
        <v/>
      </c>
      <c r="AH133" s="34" t="str">
        <f>IFERROR(IF(AND(OR(Table822[[#This Row],[Classification]]="Liabilities",Table822[[#This Row],[Classification]]="Owner´s Equity"),Table822[[#This Row],[Credit.]]&gt;Table822[[#This Row],[Debit\]]),Table822[[#This Row],[Credit.]]-Table822[[#This Row],[Debit\]],""),"")</f>
        <v/>
      </c>
    </row>
    <row r="134" spans="2:34" hidden="1" x14ac:dyDescent="0.25">
      <c r="B134" s="34"/>
      <c r="C134" s="45"/>
      <c r="D134" s="34"/>
      <c r="E134" s="34"/>
      <c r="G134" s="39"/>
      <c r="H134" s="43"/>
      <c r="I134" s="41"/>
      <c r="J134" s="41"/>
      <c r="L134" s="34">
        <v>127</v>
      </c>
      <c r="M134" s="35"/>
      <c r="N134" s="35"/>
      <c r="O134" s="34">
        <f>IFERROR(SUMIF(Table419[,],Table621[[#This Row],[Accounts Name]],Table419[,3]),"")</f>
        <v>0</v>
      </c>
      <c r="P134" s="34">
        <f>IFERROR(SUMIF(Table419[,],Table621[[#This Row],[Accounts Name]],Table419[,2]),"")</f>
        <v>0</v>
      </c>
      <c r="S134" s="36">
        <f t="shared" si="1"/>
        <v>127</v>
      </c>
      <c r="T134" s="34"/>
      <c r="U134" s="37"/>
      <c r="V134" s="34">
        <f>IFERROR(SUMIF(Table621[Sub-Accounts],Table822[[#This Row],[Update your chart of accounts here]],Table621[Debit]),"")</f>
        <v>0</v>
      </c>
      <c r="W134" s="34">
        <f>IFERROR(SUMIF(Table621[Sub-Accounts],Table822[[#This Row],[Update your chart of accounts here]],Table621[Credit]),"")</f>
        <v>0</v>
      </c>
      <c r="X134" s="34"/>
      <c r="Y134" s="34"/>
      <c r="Z134" s="34"/>
      <c r="AA134" s="34"/>
      <c r="AB134" s="34">
        <f>MAX(Table822[[#This Row],[Debit]]+Table822[[#This Row],[Debit -]]-Table822[[#This Row],[Credit]]-Table822[[#This Row],[Credit +]],0)</f>
        <v>0</v>
      </c>
      <c r="AC134" s="34">
        <f>MAX(Table822[[#This Row],[Credit]]-Table822[[#This Row],[Debit]]+Table822[[#This Row],[Credit +]]-Table822[[#This Row],[Debit -]],0)</f>
        <v>0</v>
      </c>
      <c r="AD134" s="34" t="str">
        <f>IFERROR(IF(AND(OR(Table822[[#This Row],[Classification]]="Expense",Table822[[#This Row],[Classification]]="Cost of Goods Sold"),Table822[[#This Row],[Debit\]]&gt;Table822[[#This Row],[Credit.]]),Table822[[#This Row],[Debit\]]-Table822[[#This Row],[Credit.]],""),"")</f>
        <v/>
      </c>
      <c r="AE134" s="34" t="str">
        <f>IFERROR(IF(AND(OR(Table822[[#This Row],[Classification]]="Income",Table822[[#This Row],[Classification]]="Cost of Goods Sold"),Table822[[#This Row],[Credit.]]&gt;Table822[[#This Row],[Debit\]]),Table822[[#This Row],[Credit.]]-Table822[[#This Row],[Debit\]],""),"")</f>
        <v/>
      </c>
      <c r="AF134" s="34"/>
      <c r="AG134" s="34" t="str">
        <f>IFERROR(IF(AND(Table822[[#This Row],[Classification]]="Assets",Table822[[#This Row],[Debit\]]-Table822[[#This Row],[Credit.]]),Table822[[#This Row],[Debit\]]-Table822[[#This Row],[Credit.]],""),"")</f>
        <v/>
      </c>
      <c r="AH134" s="34" t="str">
        <f>IFERROR(IF(AND(OR(Table822[[#This Row],[Classification]]="Liabilities",Table822[[#This Row],[Classification]]="Owner´s Equity"),Table822[[#This Row],[Credit.]]&gt;Table822[[#This Row],[Debit\]]),Table822[[#This Row],[Credit.]]-Table822[[#This Row],[Debit\]],""),"")</f>
        <v/>
      </c>
    </row>
    <row r="135" spans="2:34" hidden="1" x14ac:dyDescent="0.25">
      <c r="B135" s="34"/>
      <c r="C135" s="45"/>
      <c r="D135" s="34"/>
      <c r="E135" s="34"/>
      <c r="G135" s="39"/>
      <c r="H135" s="40"/>
      <c r="I135" s="41"/>
      <c r="J135" s="41"/>
      <c r="L135" s="34">
        <v>128</v>
      </c>
      <c r="M135" s="35"/>
      <c r="N135" s="35"/>
      <c r="O135" s="34">
        <f>IFERROR(SUMIF(Table419[,],Table621[[#This Row],[Accounts Name]],Table419[,3]),"")</f>
        <v>0</v>
      </c>
      <c r="P135" s="34">
        <f>IFERROR(SUMIF(Table419[,],Table621[[#This Row],[Accounts Name]],Table419[,2]),"")</f>
        <v>0</v>
      </c>
      <c r="S135" s="36">
        <f t="shared" si="1"/>
        <v>128</v>
      </c>
      <c r="T135" s="34"/>
      <c r="U135" s="37"/>
      <c r="V135" s="34">
        <f>IFERROR(SUMIF(Table621[Sub-Accounts],Table822[[#This Row],[Update your chart of accounts here]],Table621[Debit]),"")</f>
        <v>0</v>
      </c>
      <c r="W135" s="34">
        <f>IFERROR(SUMIF(Table621[Sub-Accounts],Table822[[#This Row],[Update your chart of accounts here]],Table621[Credit]),"")</f>
        <v>0</v>
      </c>
      <c r="X135" s="34"/>
      <c r="Y135" s="34"/>
      <c r="Z135" s="34"/>
      <c r="AA135" s="34"/>
      <c r="AB135" s="34">
        <f>MAX(Table822[[#This Row],[Debit]]+Table822[[#This Row],[Debit -]]-Table822[[#This Row],[Credit]]-Table822[[#This Row],[Credit +]],0)</f>
        <v>0</v>
      </c>
      <c r="AC135" s="34">
        <f>MAX(Table822[[#This Row],[Credit]]-Table822[[#This Row],[Debit]]+Table822[[#This Row],[Credit +]]-Table822[[#This Row],[Debit -]],0)</f>
        <v>0</v>
      </c>
      <c r="AD135" s="34" t="str">
        <f>IFERROR(IF(AND(OR(Table822[[#This Row],[Classification]]="Expense",Table822[[#This Row],[Classification]]="Cost of Goods Sold"),Table822[[#This Row],[Debit\]]&gt;Table822[[#This Row],[Credit.]]),Table822[[#This Row],[Debit\]]-Table822[[#This Row],[Credit.]],""),"")</f>
        <v/>
      </c>
      <c r="AE135" s="34" t="str">
        <f>IFERROR(IF(AND(OR(Table822[[#This Row],[Classification]]="Income",Table822[[#This Row],[Classification]]="Cost of Goods Sold"),Table822[[#This Row],[Credit.]]&gt;Table822[[#This Row],[Debit\]]),Table822[[#This Row],[Credit.]]-Table822[[#This Row],[Debit\]],""),"")</f>
        <v/>
      </c>
      <c r="AF135" s="34"/>
      <c r="AG135" s="34" t="str">
        <f>IFERROR(IF(AND(Table822[[#This Row],[Classification]]="Assets",Table822[[#This Row],[Debit\]]-Table822[[#This Row],[Credit.]]),Table822[[#This Row],[Debit\]]-Table822[[#This Row],[Credit.]],""),"")</f>
        <v/>
      </c>
      <c r="AH135" s="34" t="str">
        <f>IFERROR(IF(AND(OR(Table822[[#This Row],[Classification]]="Liabilities",Table822[[#This Row],[Classification]]="Owner´s Equity"),Table822[[#This Row],[Credit.]]&gt;Table822[[#This Row],[Debit\]]),Table822[[#This Row],[Credit.]]-Table822[[#This Row],[Debit\]],""),"")</f>
        <v/>
      </c>
    </row>
    <row r="136" spans="2:34" hidden="1" x14ac:dyDescent="0.25">
      <c r="B136" s="34"/>
      <c r="C136" s="45"/>
      <c r="D136" s="34"/>
      <c r="E136" s="34"/>
      <c r="G136" s="39"/>
      <c r="H136" s="40"/>
      <c r="I136" s="41"/>
      <c r="J136" s="41"/>
      <c r="L136" s="34">
        <v>129</v>
      </c>
      <c r="M136" s="35"/>
      <c r="N136" s="35"/>
      <c r="O136" s="34">
        <f>IFERROR(SUMIF(Table419[,],Table621[[#This Row],[Accounts Name]],Table419[,3]),"")</f>
        <v>0</v>
      </c>
      <c r="P136" s="34">
        <f>IFERROR(SUMIF(Table419[,],Table621[[#This Row],[Accounts Name]],Table419[,2]),"")</f>
        <v>0</v>
      </c>
      <c r="S136" s="36">
        <f t="shared" si="1"/>
        <v>129</v>
      </c>
      <c r="T136" s="34"/>
      <c r="U136" s="37"/>
      <c r="V136" s="34">
        <f>IFERROR(SUMIF(Table621[Sub-Accounts],Table822[[#This Row],[Update your chart of accounts here]],Table621[Debit]),"")</f>
        <v>0</v>
      </c>
      <c r="W136" s="34">
        <f>IFERROR(SUMIF(Table621[Sub-Accounts],Table822[[#This Row],[Update your chart of accounts here]],Table621[Credit]),"")</f>
        <v>0</v>
      </c>
      <c r="X136" s="34"/>
      <c r="Y136" s="34"/>
      <c r="Z136" s="34"/>
      <c r="AA136" s="34"/>
      <c r="AB136" s="34">
        <f>MAX(Table822[[#This Row],[Debit]]+Table822[[#This Row],[Debit -]]-Table822[[#This Row],[Credit]]-Table822[[#This Row],[Credit +]],0)</f>
        <v>0</v>
      </c>
      <c r="AC136" s="34">
        <f>MAX(Table822[[#This Row],[Credit]]-Table822[[#This Row],[Debit]]+Table822[[#This Row],[Credit +]]-Table822[[#This Row],[Debit -]],0)</f>
        <v>0</v>
      </c>
      <c r="AD136" s="34" t="str">
        <f>IFERROR(IF(AND(OR(Table822[[#This Row],[Classification]]="Expense",Table822[[#This Row],[Classification]]="Cost of Goods Sold"),Table822[[#This Row],[Debit\]]&gt;Table822[[#This Row],[Credit.]]),Table822[[#This Row],[Debit\]]-Table822[[#This Row],[Credit.]],""),"")</f>
        <v/>
      </c>
      <c r="AE136" s="34" t="str">
        <f>IFERROR(IF(AND(OR(Table822[[#This Row],[Classification]]="Income",Table822[[#This Row],[Classification]]="Cost of Goods Sold"),Table822[[#This Row],[Credit.]]&gt;Table822[[#This Row],[Debit\]]),Table822[[#This Row],[Credit.]]-Table822[[#This Row],[Debit\]],""),"")</f>
        <v/>
      </c>
      <c r="AF136" s="34"/>
      <c r="AG136" s="34" t="str">
        <f>IFERROR(IF(AND(Table822[[#This Row],[Classification]]="Assets",Table822[[#This Row],[Debit\]]-Table822[[#This Row],[Credit.]]),Table822[[#This Row],[Debit\]]-Table822[[#This Row],[Credit.]],""),"")</f>
        <v/>
      </c>
      <c r="AH136" s="34" t="str">
        <f>IFERROR(IF(AND(OR(Table822[[#This Row],[Classification]]="Liabilities",Table822[[#This Row],[Classification]]="Owner´s Equity"),Table822[[#This Row],[Credit.]]&gt;Table822[[#This Row],[Debit\]]),Table822[[#This Row],[Credit.]]-Table822[[#This Row],[Debit\]],""),"")</f>
        <v/>
      </c>
    </row>
    <row r="137" spans="2:34" hidden="1" x14ac:dyDescent="0.25">
      <c r="B137" s="34"/>
      <c r="C137" s="45"/>
      <c r="D137" s="34"/>
      <c r="E137" s="34"/>
      <c r="G137" s="39"/>
      <c r="H137" s="43"/>
      <c r="I137" s="41"/>
      <c r="J137" s="41"/>
      <c r="L137" s="34">
        <v>130</v>
      </c>
      <c r="M137" s="35"/>
      <c r="N137" s="35"/>
      <c r="O137" s="34">
        <f>IFERROR(SUMIF(Table419[,],Table621[[#This Row],[Accounts Name]],Table419[,3]),"")</f>
        <v>0</v>
      </c>
      <c r="P137" s="34">
        <f>IFERROR(SUMIF(Table419[,],Table621[[#This Row],[Accounts Name]],Table419[,2]),"")</f>
        <v>0</v>
      </c>
      <c r="S137" s="36">
        <f t="shared" si="1"/>
        <v>130</v>
      </c>
      <c r="T137" s="34"/>
      <c r="U137" s="37"/>
      <c r="V137" s="34">
        <f>IFERROR(SUMIF(Table621[Sub-Accounts],Table822[[#This Row],[Update your chart of accounts here]],Table621[Debit]),"")</f>
        <v>0</v>
      </c>
      <c r="W137" s="34">
        <f>IFERROR(SUMIF(Table621[Sub-Accounts],Table822[[#This Row],[Update your chart of accounts here]],Table621[Credit]),"")</f>
        <v>0</v>
      </c>
      <c r="X137" s="34"/>
      <c r="Y137" s="34"/>
      <c r="Z137" s="34"/>
      <c r="AA137" s="34"/>
      <c r="AB137" s="34">
        <f>MAX(Table822[[#This Row],[Debit]]+Table822[[#This Row],[Debit -]]-Table822[[#This Row],[Credit]]-Table822[[#This Row],[Credit +]],0)</f>
        <v>0</v>
      </c>
      <c r="AC137" s="34">
        <f>MAX(Table822[[#This Row],[Credit]]-Table822[[#This Row],[Debit]]+Table822[[#This Row],[Credit +]]-Table822[[#This Row],[Debit -]],0)</f>
        <v>0</v>
      </c>
      <c r="AD137" s="34" t="str">
        <f>IFERROR(IF(AND(OR(Table822[[#This Row],[Classification]]="Expense",Table822[[#This Row],[Classification]]="Cost of Goods Sold"),Table822[[#This Row],[Debit\]]&gt;Table822[[#This Row],[Credit.]]),Table822[[#This Row],[Debit\]]-Table822[[#This Row],[Credit.]],""),"")</f>
        <v/>
      </c>
      <c r="AE137" s="34" t="str">
        <f>IFERROR(IF(AND(OR(Table822[[#This Row],[Classification]]="Income",Table822[[#This Row],[Classification]]="Cost of Goods Sold"),Table822[[#This Row],[Credit.]]&gt;Table822[[#This Row],[Debit\]]),Table822[[#This Row],[Credit.]]-Table822[[#This Row],[Debit\]],""),"")</f>
        <v/>
      </c>
      <c r="AF137" s="34"/>
      <c r="AG137" s="34" t="str">
        <f>IFERROR(IF(AND(Table822[[#This Row],[Classification]]="Assets",Table822[[#This Row],[Debit\]]-Table822[[#This Row],[Credit.]]),Table822[[#This Row],[Debit\]]-Table822[[#This Row],[Credit.]],""),"")</f>
        <v/>
      </c>
      <c r="AH137" s="34" t="str">
        <f>IFERROR(IF(AND(OR(Table822[[#This Row],[Classification]]="Liabilities",Table822[[#This Row],[Classification]]="Owner´s Equity"),Table822[[#This Row],[Credit.]]&gt;Table822[[#This Row],[Debit\]]),Table822[[#This Row],[Credit.]]-Table822[[#This Row],[Debit\]],""),"")</f>
        <v/>
      </c>
    </row>
    <row r="138" spans="2:34" hidden="1" x14ac:dyDescent="0.25">
      <c r="B138" s="34"/>
      <c r="C138" s="45"/>
      <c r="D138" s="34"/>
      <c r="E138" s="34"/>
      <c r="G138" s="39"/>
      <c r="H138" s="40"/>
      <c r="I138" s="41"/>
      <c r="J138" s="41"/>
      <c r="L138" s="34">
        <v>131</v>
      </c>
      <c r="M138" s="35"/>
      <c r="N138" s="35"/>
      <c r="O138" s="34">
        <f>IFERROR(SUMIF(Table419[,],Table621[[#This Row],[Accounts Name]],Table419[,3]),"")</f>
        <v>0</v>
      </c>
      <c r="P138" s="34">
        <f>IFERROR(SUMIF(Table419[,],Table621[[#This Row],[Accounts Name]],Table419[,2]),"")</f>
        <v>0</v>
      </c>
      <c r="S138" s="36">
        <f t="shared" ref="S138:S200" si="2">S137+1</f>
        <v>131</v>
      </c>
      <c r="T138" s="34"/>
      <c r="U138" s="37"/>
      <c r="V138" s="34">
        <f>IFERROR(SUMIF(Table621[Sub-Accounts],Table822[[#This Row],[Update your chart of accounts here]],Table621[Debit]),"")</f>
        <v>0</v>
      </c>
      <c r="W138" s="34">
        <f>IFERROR(SUMIF(Table621[Sub-Accounts],Table822[[#This Row],[Update your chart of accounts here]],Table621[Credit]),"")</f>
        <v>0</v>
      </c>
      <c r="X138" s="34"/>
      <c r="Y138" s="34"/>
      <c r="Z138" s="34"/>
      <c r="AA138" s="34"/>
      <c r="AB138" s="34">
        <f>MAX(Table822[[#This Row],[Debit]]+Table822[[#This Row],[Debit -]]-Table822[[#This Row],[Credit]]-Table822[[#This Row],[Credit +]],0)</f>
        <v>0</v>
      </c>
      <c r="AC138" s="34">
        <f>MAX(Table822[[#This Row],[Credit]]-Table822[[#This Row],[Debit]]+Table822[[#This Row],[Credit +]]-Table822[[#This Row],[Debit -]],0)</f>
        <v>0</v>
      </c>
      <c r="AD138" s="34" t="str">
        <f>IFERROR(IF(AND(OR(Table822[[#This Row],[Classification]]="Expense",Table822[[#This Row],[Classification]]="Cost of Goods Sold"),Table822[[#This Row],[Debit\]]&gt;Table822[[#This Row],[Credit.]]),Table822[[#This Row],[Debit\]]-Table822[[#This Row],[Credit.]],""),"")</f>
        <v/>
      </c>
      <c r="AE138" s="34" t="str">
        <f>IFERROR(IF(AND(OR(Table822[[#This Row],[Classification]]="Income",Table822[[#This Row],[Classification]]="Cost of Goods Sold"),Table822[[#This Row],[Credit.]]&gt;Table822[[#This Row],[Debit\]]),Table822[[#This Row],[Credit.]]-Table822[[#This Row],[Debit\]],""),"")</f>
        <v/>
      </c>
      <c r="AF138" s="34"/>
      <c r="AG138" s="34" t="str">
        <f>IFERROR(IF(AND(Table822[[#This Row],[Classification]]="Assets",Table822[[#This Row],[Debit\]]-Table822[[#This Row],[Credit.]]),Table822[[#This Row],[Debit\]]-Table822[[#This Row],[Credit.]],""),"")</f>
        <v/>
      </c>
      <c r="AH138" s="34" t="str">
        <f>IFERROR(IF(AND(OR(Table822[[#This Row],[Classification]]="Liabilities",Table822[[#This Row],[Classification]]="Owner´s Equity"),Table822[[#This Row],[Credit.]]&gt;Table822[[#This Row],[Debit\]]),Table822[[#This Row],[Credit.]]-Table822[[#This Row],[Debit\]],""),"")</f>
        <v/>
      </c>
    </row>
    <row r="139" spans="2:34" hidden="1" x14ac:dyDescent="0.25">
      <c r="B139" s="34"/>
      <c r="C139" s="45"/>
      <c r="D139" s="34"/>
      <c r="E139" s="34"/>
      <c r="G139" s="39"/>
      <c r="H139" s="40"/>
      <c r="I139" s="41"/>
      <c r="J139" s="41"/>
      <c r="L139" s="34">
        <v>132</v>
      </c>
      <c r="M139" s="35"/>
      <c r="N139" s="35"/>
      <c r="O139" s="34">
        <f>IFERROR(SUMIF(Table419[,],Table621[[#This Row],[Accounts Name]],Table419[,3]),"")</f>
        <v>0</v>
      </c>
      <c r="P139" s="34">
        <f>IFERROR(SUMIF(Table419[,],Table621[[#This Row],[Accounts Name]],Table419[,2]),"")</f>
        <v>0</v>
      </c>
      <c r="S139" s="36">
        <f t="shared" si="2"/>
        <v>132</v>
      </c>
      <c r="T139" s="34"/>
      <c r="U139" s="37"/>
      <c r="V139" s="34">
        <f>IFERROR(SUMIF(Table621[Sub-Accounts],Table822[[#This Row],[Update your chart of accounts here]],Table621[Debit]),"")</f>
        <v>0</v>
      </c>
      <c r="W139" s="34">
        <f>IFERROR(SUMIF(Table621[Sub-Accounts],Table822[[#This Row],[Update your chart of accounts here]],Table621[Credit]),"")</f>
        <v>0</v>
      </c>
      <c r="X139" s="34"/>
      <c r="Y139" s="34"/>
      <c r="Z139" s="34"/>
      <c r="AA139" s="34"/>
      <c r="AB139" s="34">
        <f>MAX(Table822[[#This Row],[Debit]]+Table822[[#This Row],[Debit -]]-Table822[[#This Row],[Credit]]-Table822[[#This Row],[Credit +]],0)</f>
        <v>0</v>
      </c>
      <c r="AC139" s="34">
        <f>MAX(Table822[[#This Row],[Credit]]-Table822[[#This Row],[Debit]]+Table822[[#This Row],[Credit +]]-Table822[[#This Row],[Debit -]],0)</f>
        <v>0</v>
      </c>
      <c r="AD139" s="34" t="str">
        <f>IFERROR(IF(AND(OR(Table822[[#This Row],[Classification]]="Expense",Table822[[#This Row],[Classification]]="Cost of Goods Sold"),Table822[[#This Row],[Debit\]]&gt;Table822[[#This Row],[Credit.]]),Table822[[#This Row],[Debit\]]-Table822[[#This Row],[Credit.]],""),"")</f>
        <v/>
      </c>
      <c r="AE139" s="34" t="str">
        <f>IFERROR(IF(AND(OR(Table822[[#This Row],[Classification]]="Income",Table822[[#This Row],[Classification]]="Cost of Goods Sold"),Table822[[#This Row],[Credit.]]&gt;Table822[[#This Row],[Debit\]]),Table822[[#This Row],[Credit.]]-Table822[[#This Row],[Debit\]],""),"")</f>
        <v/>
      </c>
      <c r="AF139" s="34"/>
      <c r="AG139" s="34" t="str">
        <f>IFERROR(IF(AND(Table822[[#This Row],[Classification]]="Assets",Table822[[#This Row],[Debit\]]-Table822[[#This Row],[Credit.]]),Table822[[#This Row],[Debit\]]-Table822[[#This Row],[Credit.]],""),"")</f>
        <v/>
      </c>
      <c r="AH139" s="34" t="str">
        <f>IFERROR(IF(AND(OR(Table822[[#This Row],[Classification]]="Liabilities",Table822[[#This Row],[Classification]]="Owner´s Equity"),Table822[[#This Row],[Credit.]]&gt;Table822[[#This Row],[Debit\]]),Table822[[#This Row],[Credit.]]-Table822[[#This Row],[Debit\]],""),"")</f>
        <v/>
      </c>
    </row>
    <row r="140" spans="2:34" hidden="1" x14ac:dyDescent="0.25">
      <c r="B140" s="34"/>
      <c r="C140" s="45"/>
      <c r="D140" s="34"/>
      <c r="E140" s="34"/>
      <c r="G140" s="39"/>
      <c r="H140" s="43"/>
      <c r="I140" s="41"/>
      <c r="J140" s="41"/>
      <c r="L140" s="34">
        <v>133</v>
      </c>
      <c r="M140" s="35"/>
      <c r="N140" s="35"/>
      <c r="O140" s="34">
        <f>IFERROR(SUMIF(Table419[,],Table621[[#This Row],[Accounts Name]],Table419[,3]),"")</f>
        <v>0</v>
      </c>
      <c r="P140" s="34">
        <f>IFERROR(SUMIF(Table419[,],Table621[[#This Row],[Accounts Name]],Table419[,2]),"")</f>
        <v>0</v>
      </c>
      <c r="S140" s="36">
        <f t="shared" si="2"/>
        <v>133</v>
      </c>
      <c r="T140" s="34"/>
      <c r="U140" s="37"/>
      <c r="V140" s="34">
        <f>IFERROR(SUMIF(Table621[Sub-Accounts],Table822[[#This Row],[Update your chart of accounts here]],Table621[Debit]),"")</f>
        <v>0</v>
      </c>
      <c r="W140" s="34">
        <f>IFERROR(SUMIF(Table621[Sub-Accounts],Table822[[#This Row],[Update your chart of accounts here]],Table621[Credit]),"")</f>
        <v>0</v>
      </c>
      <c r="X140" s="34"/>
      <c r="Y140" s="34"/>
      <c r="Z140" s="34"/>
      <c r="AA140" s="34"/>
      <c r="AB140" s="34">
        <f>MAX(Table822[[#This Row],[Debit]]+Table822[[#This Row],[Debit -]]-Table822[[#This Row],[Credit]]-Table822[[#This Row],[Credit +]],0)</f>
        <v>0</v>
      </c>
      <c r="AC140" s="34">
        <f>MAX(Table822[[#This Row],[Credit]]-Table822[[#This Row],[Debit]]+Table822[[#This Row],[Credit +]]-Table822[[#This Row],[Debit -]],0)</f>
        <v>0</v>
      </c>
      <c r="AD140" s="34" t="str">
        <f>IFERROR(IF(AND(OR(Table822[[#This Row],[Classification]]="Expense",Table822[[#This Row],[Classification]]="Cost of Goods Sold"),Table822[[#This Row],[Debit\]]&gt;Table822[[#This Row],[Credit.]]),Table822[[#This Row],[Debit\]]-Table822[[#This Row],[Credit.]],""),"")</f>
        <v/>
      </c>
      <c r="AE140" s="34" t="str">
        <f>IFERROR(IF(AND(OR(Table822[[#This Row],[Classification]]="Income",Table822[[#This Row],[Classification]]="Cost of Goods Sold"),Table822[[#This Row],[Credit.]]&gt;Table822[[#This Row],[Debit\]]),Table822[[#This Row],[Credit.]]-Table822[[#This Row],[Debit\]],""),"")</f>
        <v/>
      </c>
      <c r="AF140" s="34"/>
      <c r="AG140" s="34" t="str">
        <f>IFERROR(IF(AND(Table822[[#This Row],[Classification]]="Assets",Table822[[#This Row],[Debit\]]-Table822[[#This Row],[Credit.]]),Table822[[#This Row],[Debit\]]-Table822[[#This Row],[Credit.]],""),"")</f>
        <v/>
      </c>
      <c r="AH140" s="34" t="str">
        <f>IFERROR(IF(AND(OR(Table822[[#This Row],[Classification]]="Liabilities",Table822[[#This Row],[Classification]]="Owner´s Equity"),Table822[[#This Row],[Credit.]]&gt;Table822[[#This Row],[Debit\]]),Table822[[#This Row],[Credit.]]-Table822[[#This Row],[Debit\]],""),"")</f>
        <v/>
      </c>
    </row>
    <row r="141" spans="2:34" hidden="1" x14ac:dyDescent="0.25">
      <c r="B141" s="34"/>
      <c r="C141" s="45"/>
      <c r="D141" s="34"/>
      <c r="E141" s="34"/>
      <c r="G141" s="39"/>
      <c r="H141" s="40"/>
      <c r="I141" s="41"/>
      <c r="J141" s="41"/>
      <c r="L141" s="34">
        <v>134</v>
      </c>
      <c r="M141" s="35"/>
      <c r="N141" s="35"/>
      <c r="O141" s="34">
        <f>IFERROR(SUMIF(Table419[,],Table621[[#This Row],[Accounts Name]],Table419[,3]),"")</f>
        <v>0</v>
      </c>
      <c r="P141" s="34">
        <f>IFERROR(SUMIF(Table419[,],Table621[[#This Row],[Accounts Name]],Table419[,2]),"")</f>
        <v>0</v>
      </c>
      <c r="S141" s="36">
        <f t="shared" si="2"/>
        <v>134</v>
      </c>
      <c r="T141" s="34"/>
      <c r="U141" s="37"/>
      <c r="V141" s="34">
        <f>IFERROR(SUMIF(Table621[Sub-Accounts],Table822[[#This Row],[Update your chart of accounts here]],Table621[Debit]),"")</f>
        <v>0</v>
      </c>
      <c r="W141" s="34">
        <f>IFERROR(SUMIF(Table621[Sub-Accounts],Table822[[#This Row],[Update your chart of accounts here]],Table621[Credit]),"")</f>
        <v>0</v>
      </c>
      <c r="X141" s="34"/>
      <c r="Y141" s="34"/>
      <c r="Z141" s="34"/>
      <c r="AA141" s="34"/>
      <c r="AB141" s="34">
        <f>MAX(Table822[[#This Row],[Debit]]+Table822[[#This Row],[Debit -]]-Table822[[#This Row],[Credit]]-Table822[[#This Row],[Credit +]],0)</f>
        <v>0</v>
      </c>
      <c r="AC141" s="34">
        <f>MAX(Table822[[#This Row],[Credit]]-Table822[[#This Row],[Debit]]+Table822[[#This Row],[Credit +]]-Table822[[#This Row],[Debit -]],0)</f>
        <v>0</v>
      </c>
      <c r="AD141" s="34" t="str">
        <f>IFERROR(IF(AND(OR(Table822[[#This Row],[Classification]]="Expense",Table822[[#This Row],[Classification]]="Cost of Goods Sold"),Table822[[#This Row],[Debit\]]&gt;Table822[[#This Row],[Credit.]]),Table822[[#This Row],[Debit\]]-Table822[[#This Row],[Credit.]],""),"")</f>
        <v/>
      </c>
      <c r="AE141" s="34" t="str">
        <f>IFERROR(IF(AND(OR(Table822[[#This Row],[Classification]]="Income",Table822[[#This Row],[Classification]]="Cost of Goods Sold"),Table822[[#This Row],[Credit.]]&gt;Table822[[#This Row],[Debit\]]),Table822[[#This Row],[Credit.]]-Table822[[#This Row],[Debit\]],""),"")</f>
        <v/>
      </c>
      <c r="AF141" s="34"/>
      <c r="AG141" s="34" t="str">
        <f>IFERROR(IF(AND(Table822[[#This Row],[Classification]]="Assets",Table822[[#This Row],[Debit\]]-Table822[[#This Row],[Credit.]]),Table822[[#This Row],[Debit\]]-Table822[[#This Row],[Credit.]],""),"")</f>
        <v/>
      </c>
      <c r="AH141" s="34" t="str">
        <f>IFERROR(IF(AND(OR(Table822[[#This Row],[Classification]]="Liabilities",Table822[[#This Row],[Classification]]="Owner´s Equity"),Table822[[#This Row],[Credit.]]&gt;Table822[[#This Row],[Debit\]]),Table822[[#This Row],[Credit.]]-Table822[[#This Row],[Debit\]],""),"")</f>
        <v/>
      </c>
    </row>
    <row r="142" spans="2:34" hidden="1" x14ac:dyDescent="0.25">
      <c r="B142" s="34"/>
      <c r="C142" s="45"/>
      <c r="D142" s="34"/>
      <c r="E142" s="34"/>
      <c r="G142" s="39"/>
      <c r="H142" s="40"/>
      <c r="I142" s="41"/>
      <c r="J142" s="41"/>
      <c r="L142" s="34">
        <v>135</v>
      </c>
      <c r="M142" s="35"/>
      <c r="N142" s="35"/>
      <c r="O142" s="34">
        <f>IFERROR(SUMIF(Table419[,],Table621[[#This Row],[Accounts Name]],Table419[,3]),"")</f>
        <v>0</v>
      </c>
      <c r="P142" s="34">
        <f>IFERROR(SUMIF(Table419[,],Table621[[#This Row],[Accounts Name]],Table419[,2]),"")</f>
        <v>0</v>
      </c>
      <c r="S142" s="36">
        <f t="shared" si="2"/>
        <v>135</v>
      </c>
      <c r="T142" s="34"/>
      <c r="U142" s="37"/>
      <c r="V142" s="34">
        <f>IFERROR(SUMIF(Table621[Sub-Accounts],Table822[[#This Row],[Update your chart of accounts here]],Table621[Debit]),"")</f>
        <v>0</v>
      </c>
      <c r="W142" s="34">
        <f>IFERROR(SUMIF(Table621[Sub-Accounts],Table822[[#This Row],[Update your chart of accounts here]],Table621[Credit]),"")</f>
        <v>0</v>
      </c>
      <c r="X142" s="34"/>
      <c r="Y142" s="34"/>
      <c r="Z142" s="34"/>
      <c r="AA142" s="34"/>
      <c r="AB142" s="34">
        <f>MAX(Table822[[#This Row],[Debit]]+Table822[[#This Row],[Debit -]]-Table822[[#This Row],[Credit]]-Table822[[#This Row],[Credit +]],0)</f>
        <v>0</v>
      </c>
      <c r="AC142" s="34">
        <f>MAX(Table822[[#This Row],[Credit]]-Table822[[#This Row],[Debit]]+Table822[[#This Row],[Credit +]]-Table822[[#This Row],[Debit -]],0)</f>
        <v>0</v>
      </c>
      <c r="AD142" s="34" t="str">
        <f>IFERROR(IF(AND(OR(Table822[[#This Row],[Classification]]="Expense",Table822[[#This Row],[Classification]]="Cost of Goods Sold"),Table822[[#This Row],[Debit\]]&gt;Table822[[#This Row],[Credit.]]),Table822[[#This Row],[Debit\]]-Table822[[#This Row],[Credit.]],""),"")</f>
        <v/>
      </c>
      <c r="AE142" s="34" t="str">
        <f>IFERROR(IF(AND(OR(Table822[[#This Row],[Classification]]="Income",Table822[[#This Row],[Classification]]="Cost of Goods Sold"),Table822[[#This Row],[Credit.]]&gt;Table822[[#This Row],[Debit\]]),Table822[[#This Row],[Credit.]]-Table822[[#This Row],[Debit\]],""),"")</f>
        <v/>
      </c>
      <c r="AF142" s="34"/>
      <c r="AG142" s="34" t="str">
        <f>IFERROR(IF(AND(Table822[[#This Row],[Classification]]="Assets",Table822[[#This Row],[Debit\]]-Table822[[#This Row],[Credit.]]),Table822[[#This Row],[Debit\]]-Table822[[#This Row],[Credit.]],""),"")</f>
        <v/>
      </c>
      <c r="AH142" s="34" t="str">
        <f>IFERROR(IF(AND(OR(Table822[[#This Row],[Classification]]="Liabilities",Table822[[#This Row],[Classification]]="Owner´s Equity"),Table822[[#This Row],[Credit.]]&gt;Table822[[#This Row],[Debit\]]),Table822[[#This Row],[Credit.]]-Table822[[#This Row],[Debit\]],""),"")</f>
        <v/>
      </c>
    </row>
    <row r="143" spans="2:34" hidden="1" x14ac:dyDescent="0.25">
      <c r="B143" s="34"/>
      <c r="C143" s="45"/>
      <c r="D143" s="34"/>
      <c r="E143" s="34"/>
      <c r="G143" s="39"/>
      <c r="H143" s="43"/>
      <c r="I143" s="41"/>
      <c r="J143" s="41"/>
      <c r="L143" s="34">
        <v>136</v>
      </c>
      <c r="M143" s="35"/>
      <c r="N143" s="35"/>
      <c r="O143" s="34">
        <f>IFERROR(SUMIF(Table419[,],Table621[[#This Row],[Accounts Name]],Table419[,3]),"")</f>
        <v>0</v>
      </c>
      <c r="P143" s="34">
        <f>IFERROR(SUMIF(Table419[,],Table621[[#This Row],[Accounts Name]],Table419[,2]),"")</f>
        <v>0</v>
      </c>
      <c r="S143" s="36">
        <f t="shared" si="2"/>
        <v>136</v>
      </c>
      <c r="T143" s="34"/>
      <c r="U143" s="37"/>
      <c r="V143" s="34">
        <f>IFERROR(SUMIF(Table621[Sub-Accounts],Table822[[#This Row],[Update your chart of accounts here]],Table621[Debit]),"")</f>
        <v>0</v>
      </c>
      <c r="W143" s="34">
        <f>IFERROR(SUMIF(Table621[Sub-Accounts],Table822[[#This Row],[Update your chart of accounts here]],Table621[Credit]),"")</f>
        <v>0</v>
      </c>
      <c r="X143" s="34"/>
      <c r="Y143" s="34"/>
      <c r="Z143" s="34"/>
      <c r="AA143" s="34"/>
      <c r="AB143" s="34">
        <f>MAX(Table822[[#This Row],[Debit]]+Table822[[#This Row],[Debit -]]-Table822[[#This Row],[Credit]]-Table822[[#This Row],[Credit +]],0)</f>
        <v>0</v>
      </c>
      <c r="AC143" s="34">
        <f>MAX(Table822[[#This Row],[Credit]]-Table822[[#This Row],[Debit]]+Table822[[#This Row],[Credit +]]-Table822[[#This Row],[Debit -]],0)</f>
        <v>0</v>
      </c>
      <c r="AD143" s="34" t="str">
        <f>IFERROR(IF(AND(OR(Table822[[#This Row],[Classification]]="Expense",Table822[[#This Row],[Classification]]="Cost of Goods Sold"),Table822[[#This Row],[Debit\]]&gt;Table822[[#This Row],[Credit.]]),Table822[[#This Row],[Debit\]]-Table822[[#This Row],[Credit.]],""),"")</f>
        <v/>
      </c>
      <c r="AE143" s="34" t="str">
        <f>IFERROR(IF(AND(OR(Table822[[#This Row],[Classification]]="Income",Table822[[#This Row],[Classification]]="Cost of Goods Sold"),Table822[[#This Row],[Credit.]]&gt;Table822[[#This Row],[Debit\]]),Table822[[#This Row],[Credit.]]-Table822[[#This Row],[Debit\]],""),"")</f>
        <v/>
      </c>
      <c r="AF143" s="34"/>
      <c r="AG143" s="34" t="str">
        <f>IFERROR(IF(AND(Table822[[#This Row],[Classification]]="Assets",Table822[[#This Row],[Debit\]]-Table822[[#This Row],[Credit.]]),Table822[[#This Row],[Debit\]]-Table822[[#This Row],[Credit.]],""),"")</f>
        <v/>
      </c>
      <c r="AH143" s="34" t="str">
        <f>IFERROR(IF(AND(OR(Table822[[#This Row],[Classification]]="Liabilities",Table822[[#This Row],[Classification]]="Owner´s Equity"),Table822[[#This Row],[Credit.]]&gt;Table822[[#This Row],[Debit\]]),Table822[[#This Row],[Credit.]]-Table822[[#This Row],[Debit\]],""),"")</f>
        <v/>
      </c>
    </row>
    <row r="144" spans="2:34" hidden="1" x14ac:dyDescent="0.25">
      <c r="B144" s="34"/>
      <c r="C144" s="45"/>
      <c r="D144" s="34"/>
      <c r="E144" s="34"/>
      <c r="G144" s="39"/>
      <c r="H144" s="40"/>
      <c r="I144" s="41"/>
      <c r="J144" s="41"/>
      <c r="L144" s="34">
        <v>137</v>
      </c>
      <c r="M144" s="35"/>
      <c r="N144" s="35"/>
      <c r="O144" s="34">
        <f>IFERROR(SUMIF(Table419[,],Table621[[#This Row],[Accounts Name]],Table419[,3]),"")</f>
        <v>0</v>
      </c>
      <c r="P144" s="34">
        <f>IFERROR(SUMIF(Table419[,],Table621[[#This Row],[Accounts Name]],Table419[,2]),"")</f>
        <v>0</v>
      </c>
      <c r="S144" s="36">
        <f t="shared" si="2"/>
        <v>137</v>
      </c>
      <c r="T144" s="34"/>
      <c r="U144" s="37"/>
      <c r="V144" s="34">
        <f>IFERROR(SUMIF(Table621[Sub-Accounts],Table822[[#This Row],[Update your chart of accounts here]],Table621[Debit]),"")</f>
        <v>0</v>
      </c>
      <c r="W144" s="34">
        <f>IFERROR(SUMIF(Table621[Sub-Accounts],Table822[[#This Row],[Update your chart of accounts here]],Table621[Credit]),"")</f>
        <v>0</v>
      </c>
      <c r="X144" s="34"/>
      <c r="Y144" s="34"/>
      <c r="Z144" s="34"/>
      <c r="AA144" s="34"/>
      <c r="AB144" s="34">
        <f>MAX(Table822[[#This Row],[Debit]]+Table822[[#This Row],[Debit -]]-Table822[[#This Row],[Credit]]-Table822[[#This Row],[Credit +]],0)</f>
        <v>0</v>
      </c>
      <c r="AC144" s="34">
        <f>MAX(Table822[[#This Row],[Credit]]-Table822[[#This Row],[Debit]]+Table822[[#This Row],[Credit +]]-Table822[[#This Row],[Debit -]],0)</f>
        <v>0</v>
      </c>
      <c r="AD144" s="34" t="str">
        <f>IFERROR(IF(AND(OR(Table822[[#This Row],[Classification]]="Expense",Table822[[#This Row],[Classification]]="Cost of Goods Sold"),Table822[[#This Row],[Debit\]]&gt;Table822[[#This Row],[Credit.]]),Table822[[#This Row],[Debit\]]-Table822[[#This Row],[Credit.]],""),"")</f>
        <v/>
      </c>
      <c r="AE144" s="34" t="str">
        <f>IFERROR(IF(AND(OR(Table822[[#This Row],[Classification]]="Income",Table822[[#This Row],[Classification]]="Cost of Goods Sold"),Table822[[#This Row],[Credit.]]&gt;Table822[[#This Row],[Debit\]]),Table822[[#This Row],[Credit.]]-Table822[[#This Row],[Debit\]],""),"")</f>
        <v/>
      </c>
      <c r="AF144" s="34"/>
      <c r="AG144" s="34" t="str">
        <f>IFERROR(IF(AND(Table822[[#This Row],[Classification]]="Assets",Table822[[#This Row],[Debit\]]-Table822[[#This Row],[Credit.]]),Table822[[#This Row],[Debit\]]-Table822[[#This Row],[Credit.]],""),"")</f>
        <v/>
      </c>
      <c r="AH144" s="34" t="str">
        <f>IFERROR(IF(AND(OR(Table822[[#This Row],[Classification]]="Liabilities",Table822[[#This Row],[Classification]]="Owner´s Equity"),Table822[[#This Row],[Credit.]]&gt;Table822[[#This Row],[Debit\]]),Table822[[#This Row],[Credit.]]-Table822[[#This Row],[Debit\]],""),"")</f>
        <v/>
      </c>
    </row>
    <row r="145" spans="2:34" hidden="1" x14ac:dyDescent="0.25">
      <c r="B145" s="34"/>
      <c r="C145" s="45"/>
      <c r="D145" s="34"/>
      <c r="E145" s="34"/>
      <c r="G145" s="39"/>
      <c r="H145" s="40"/>
      <c r="I145" s="41"/>
      <c r="J145" s="41"/>
      <c r="L145" s="34">
        <v>138</v>
      </c>
      <c r="M145" s="35"/>
      <c r="N145" s="35"/>
      <c r="O145" s="34">
        <f>IFERROR(SUMIF(Table419[,],Table621[[#This Row],[Accounts Name]],Table419[,3]),"")</f>
        <v>0</v>
      </c>
      <c r="P145" s="34">
        <f>IFERROR(SUMIF(Table419[,],Table621[[#This Row],[Accounts Name]],Table419[,2]),"")</f>
        <v>0</v>
      </c>
      <c r="S145" s="36">
        <f t="shared" si="2"/>
        <v>138</v>
      </c>
      <c r="T145" s="34"/>
      <c r="U145" s="37"/>
      <c r="V145" s="34">
        <f>IFERROR(SUMIF(Table621[Sub-Accounts],Table822[[#This Row],[Update your chart of accounts here]],Table621[Debit]),"")</f>
        <v>0</v>
      </c>
      <c r="W145" s="34">
        <f>IFERROR(SUMIF(Table621[Sub-Accounts],Table822[[#This Row],[Update your chart of accounts here]],Table621[Credit]),"")</f>
        <v>0</v>
      </c>
      <c r="X145" s="34"/>
      <c r="Y145" s="34"/>
      <c r="Z145" s="34"/>
      <c r="AA145" s="34"/>
      <c r="AB145" s="34">
        <f>MAX(Table822[[#This Row],[Debit]]+Table822[[#This Row],[Debit -]]-Table822[[#This Row],[Credit]]-Table822[[#This Row],[Credit +]],0)</f>
        <v>0</v>
      </c>
      <c r="AC145" s="34">
        <f>MAX(Table822[[#This Row],[Credit]]-Table822[[#This Row],[Debit]]+Table822[[#This Row],[Credit +]]-Table822[[#This Row],[Debit -]],0)</f>
        <v>0</v>
      </c>
      <c r="AD145" s="34" t="str">
        <f>IFERROR(IF(AND(OR(Table822[[#This Row],[Classification]]="Expense",Table822[[#This Row],[Classification]]="Cost of Goods Sold"),Table822[[#This Row],[Debit\]]&gt;Table822[[#This Row],[Credit.]]),Table822[[#This Row],[Debit\]]-Table822[[#This Row],[Credit.]],""),"")</f>
        <v/>
      </c>
      <c r="AE145" s="34" t="str">
        <f>IFERROR(IF(AND(OR(Table822[[#This Row],[Classification]]="Income",Table822[[#This Row],[Classification]]="Cost of Goods Sold"),Table822[[#This Row],[Credit.]]&gt;Table822[[#This Row],[Debit\]]),Table822[[#This Row],[Credit.]]-Table822[[#This Row],[Debit\]],""),"")</f>
        <v/>
      </c>
      <c r="AF145" s="34"/>
      <c r="AG145" s="34" t="str">
        <f>IFERROR(IF(AND(Table822[[#This Row],[Classification]]="Assets",Table822[[#This Row],[Debit\]]-Table822[[#This Row],[Credit.]]),Table822[[#This Row],[Debit\]]-Table822[[#This Row],[Credit.]],""),"")</f>
        <v/>
      </c>
      <c r="AH145" s="34" t="str">
        <f>IFERROR(IF(AND(OR(Table822[[#This Row],[Classification]]="Liabilities",Table822[[#This Row],[Classification]]="Owner´s Equity"),Table822[[#This Row],[Credit.]]&gt;Table822[[#This Row],[Debit\]]),Table822[[#This Row],[Credit.]]-Table822[[#This Row],[Debit\]],""),"")</f>
        <v/>
      </c>
    </row>
    <row r="146" spans="2:34" hidden="1" x14ac:dyDescent="0.25">
      <c r="B146" s="34"/>
      <c r="C146" s="45"/>
      <c r="D146" s="34"/>
      <c r="E146" s="34"/>
      <c r="G146" s="39"/>
      <c r="H146" s="43"/>
      <c r="I146" s="41"/>
      <c r="J146" s="41"/>
      <c r="L146" s="34">
        <v>139</v>
      </c>
      <c r="M146" s="35"/>
      <c r="N146" s="35"/>
      <c r="O146" s="34">
        <f>IFERROR(SUMIF(Table419[,],Table621[[#This Row],[Accounts Name]],Table419[,3]),"")</f>
        <v>0</v>
      </c>
      <c r="P146" s="34">
        <f>IFERROR(SUMIF(Table419[,],Table621[[#This Row],[Accounts Name]],Table419[,2]),"")</f>
        <v>0</v>
      </c>
      <c r="S146" s="36">
        <f t="shared" si="2"/>
        <v>139</v>
      </c>
      <c r="T146" s="34"/>
      <c r="U146" s="37"/>
      <c r="V146" s="34">
        <f>IFERROR(SUMIF(Table621[Sub-Accounts],Table822[[#This Row],[Update your chart of accounts here]],Table621[Debit]),"")</f>
        <v>0</v>
      </c>
      <c r="W146" s="34">
        <f>IFERROR(SUMIF(Table621[Sub-Accounts],Table822[[#This Row],[Update your chart of accounts here]],Table621[Credit]),"")</f>
        <v>0</v>
      </c>
      <c r="X146" s="34"/>
      <c r="Y146" s="34"/>
      <c r="Z146" s="34"/>
      <c r="AA146" s="34"/>
      <c r="AB146" s="34">
        <f>MAX(Table822[[#This Row],[Debit]]+Table822[[#This Row],[Debit -]]-Table822[[#This Row],[Credit]]-Table822[[#This Row],[Credit +]],0)</f>
        <v>0</v>
      </c>
      <c r="AC146" s="34">
        <f>MAX(Table822[[#This Row],[Credit]]-Table822[[#This Row],[Debit]]+Table822[[#This Row],[Credit +]]-Table822[[#This Row],[Debit -]],0)</f>
        <v>0</v>
      </c>
      <c r="AD146" s="34" t="str">
        <f>IFERROR(IF(AND(OR(Table822[[#This Row],[Classification]]="Expense",Table822[[#This Row],[Classification]]="Cost of Goods Sold"),Table822[[#This Row],[Debit\]]&gt;Table822[[#This Row],[Credit.]]),Table822[[#This Row],[Debit\]]-Table822[[#This Row],[Credit.]],""),"")</f>
        <v/>
      </c>
      <c r="AE146" s="34" t="str">
        <f>IFERROR(IF(AND(OR(Table822[[#This Row],[Classification]]="Income",Table822[[#This Row],[Classification]]="Cost of Goods Sold"),Table822[[#This Row],[Credit.]]&gt;Table822[[#This Row],[Debit\]]),Table822[[#This Row],[Credit.]]-Table822[[#This Row],[Debit\]],""),"")</f>
        <v/>
      </c>
      <c r="AF146" s="34"/>
      <c r="AG146" s="34" t="str">
        <f>IFERROR(IF(AND(Table822[[#This Row],[Classification]]="Assets",Table822[[#This Row],[Debit\]]-Table822[[#This Row],[Credit.]]),Table822[[#This Row],[Debit\]]-Table822[[#This Row],[Credit.]],""),"")</f>
        <v/>
      </c>
      <c r="AH146" s="34" t="str">
        <f>IFERROR(IF(AND(OR(Table822[[#This Row],[Classification]]="Liabilities",Table822[[#This Row],[Classification]]="Owner´s Equity"),Table822[[#This Row],[Credit.]]&gt;Table822[[#This Row],[Debit\]]),Table822[[#This Row],[Credit.]]-Table822[[#This Row],[Debit\]],""),"")</f>
        <v/>
      </c>
    </row>
    <row r="147" spans="2:34" hidden="1" x14ac:dyDescent="0.25">
      <c r="B147" s="34"/>
      <c r="C147" s="45"/>
      <c r="D147" s="34"/>
      <c r="E147" s="34"/>
      <c r="G147" s="39"/>
      <c r="H147" s="40"/>
      <c r="I147" s="41"/>
      <c r="J147" s="41"/>
      <c r="L147" s="34">
        <v>140</v>
      </c>
      <c r="M147" s="35"/>
      <c r="N147" s="35"/>
      <c r="O147" s="34">
        <f>IFERROR(SUMIF(Table419[,],Table621[[#This Row],[Accounts Name]],Table419[,3]),"")</f>
        <v>0</v>
      </c>
      <c r="P147" s="34">
        <f>IFERROR(SUMIF(Table419[,],Table621[[#This Row],[Accounts Name]],Table419[,2]),"")</f>
        <v>0</v>
      </c>
      <c r="S147" s="36">
        <f t="shared" si="2"/>
        <v>140</v>
      </c>
      <c r="T147" s="34"/>
      <c r="U147" s="37"/>
      <c r="V147" s="34">
        <f>IFERROR(SUMIF(Table621[Sub-Accounts],Table822[[#This Row],[Update your chart of accounts here]],Table621[Debit]),"")</f>
        <v>0</v>
      </c>
      <c r="W147" s="34">
        <f>IFERROR(SUMIF(Table621[Sub-Accounts],Table822[[#This Row],[Update your chart of accounts here]],Table621[Credit]),"")</f>
        <v>0</v>
      </c>
      <c r="X147" s="34"/>
      <c r="Y147" s="34"/>
      <c r="Z147" s="34"/>
      <c r="AA147" s="34"/>
      <c r="AB147" s="34">
        <f>MAX(Table822[[#This Row],[Debit]]+Table822[[#This Row],[Debit -]]-Table822[[#This Row],[Credit]]-Table822[[#This Row],[Credit +]],0)</f>
        <v>0</v>
      </c>
      <c r="AC147" s="34">
        <f>MAX(Table822[[#This Row],[Credit]]-Table822[[#This Row],[Debit]]+Table822[[#This Row],[Credit +]]-Table822[[#This Row],[Debit -]],0)</f>
        <v>0</v>
      </c>
      <c r="AD147" s="34" t="str">
        <f>IFERROR(IF(AND(OR(Table822[[#This Row],[Classification]]="Expense",Table822[[#This Row],[Classification]]="Cost of Goods Sold"),Table822[[#This Row],[Debit\]]&gt;Table822[[#This Row],[Credit.]]),Table822[[#This Row],[Debit\]]-Table822[[#This Row],[Credit.]],""),"")</f>
        <v/>
      </c>
      <c r="AE147" s="34" t="str">
        <f>IFERROR(IF(AND(OR(Table822[[#This Row],[Classification]]="Income",Table822[[#This Row],[Classification]]="Cost of Goods Sold"),Table822[[#This Row],[Credit.]]&gt;Table822[[#This Row],[Debit\]]),Table822[[#This Row],[Credit.]]-Table822[[#This Row],[Debit\]],""),"")</f>
        <v/>
      </c>
      <c r="AF147" s="34"/>
      <c r="AG147" s="34" t="str">
        <f>IFERROR(IF(AND(Table822[[#This Row],[Classification]]="Assets",Table822[[#This Row],[Debit\]]-Table822[[#This Row],[Credit.]]),Table822[[#This Row],[Debit\]]-Table822[[#This Row],[Credit.]],""),"")</f>
        <v/>
      </c>
      <c r="AH147" s="34" t="str">
        <f>IFERROR(IF(AND(OR(Table822[[#This Row],[Classification]]="Liabilities",Table822[[#This Row],[Classification]]="Owner´s Equity"),Table822[[#This Row],[Credit.]]&gt;Table822[[#This Row],[Debit\]]),Table822[[#This Row],[Credit.]]-Table822[[#This Row],[Debit\]],""),"")</f>
        <v/>
      </c>
    </row>
    <row r="148" spans="2:34" hidden="1" x14ac:dyDescent="0.25">
      <c r="B148" s="34"/>
      <c r="C148" s="45"/>
      <c r="D148" s="34"/>
      <c r="E148" s="34"/>
      <c r="G148" s="39"/>
      <c r="H148" s="40"/>
      <c r="I148" s="41"/>
      <c r="J148" s="41"/>
      <c r="L148" s="34">
        <v>141</v>
      </c>
      <c r="M148" s="35"/>
      <c r="N148" s="35"/>
      <c r="O148" s="34">
        <f>IFERROR(SUMIF(Table419[,],Table621[[#This Row],[Accounts Name]],Table419[,3]),"")</f>
        <v>0</v>
      </c>
      <c r="P148" s="34">
        <f>IFERROR(SUMIF(Table419[,],Table621[[#This Row],[Accounts Name]],Table419[,2]),"")</f>
        <v>0</v>
      </c>
      <c r="S148" s="36">
        <f t="shared" si="2"/>
        <v>141</v>
      </c>
      <c r="T148" s="34"/>
      <c r="U148" s="37"/>
      <c r="V148" s="34">
        <f>IFERROR(SUMIF(Table621[Sub-Accounts],Table822[[#This Row],[Update your chart of accounts here]],Table621[Debit]),"")</f>
        <v>0</v>
      </c>
      <c r="W148" s="34">
        <f>IFERROR(SUMIF(Table621[Sub-Accounts],Table822[[#This Row],[Update your chart of accounts here]],Table621[Credit]),"")</f>
        <v>0</v>
      </c>
      <c r="X148" s="34"/>
      <c r="Y148" s="34"/>
      <c r="Z148" s="34"/>
      <c r="AA148" s="34"/>
      <c r="AB148" s="34">
        <f>MAX(Table822[[#This Row],[Debit]]+Table822[[#This Row],[Debit -]]-Table822[[#This Row],[Credit]]-Table822[[#This Row],[Credit +]],0)</f>
        <v>0</v>
      </c>
      <c r="AC148" s="34">
        <f>MAX(Table822[[#This Row],[Credit]]-Table822[[#This Row],[Debit]]+Table822[[#This Row],[Credit +]]-Table822[[#This Row],[Debit -]],0)</f>
        <v>0</v>
      </c>
      <c r="AD148" s="34" t="str">
        <f>IFERROR(IF(AND(OR(Table822[[#This Row],[Classification]]="Expense",Table822[[#This Row],[Classification]]="Cost of Goods Sold"),Table822[[#This Row],[Debit\]]&gt;Table822[[#This Row],[Credit.]]),Table822[[#This Row],[Debit\]]-Table822[[#This Row],[Credit.]],""),"")</f>
        <v/>
      </c>
      <c r="AE148" s="34" t="str">
        <f>IFERROR(IF(AND(OR(Table822[[#This Row],[Classification]]="Income",Table822[[#This Row],[Classification]]="Cost of Goods Sold"),Table822[[#This Row],[Credit.]]&gt;Table822[[#This Row],[Debit\]]),Table822[[#This Row],[Credit.]]-Table822[[#This Row],[Debit\]],""),"")</f>
        <v/>
      </c>
      <c r="AF148" s="34"/>
      <c r="AG148" s="34" t="str">
        <f>IFERROR(IF(AND(Table822[[#This Row],[Classification]]="Assets",Table822[[#This Row],[Debit\]]-Table822[[#This Row],[Credit.]]),Table822[[#This Row],[Debit\]]-Table822[[#This Row],[Credit.]],""),"")</f>
        <v/>
      </c>
      <c r="AH148" s="34" t="str">
        <f>IFERROR(IF(AND(OR(Table822[[#This Row],[Classification]]="Liabilities",Table822[[#This Row],[Classification]]="Owner´s Equity"),Table822[[#This Row],[Credit.]]&gt;Table822[[#This Row],[Debit\]]),Table822[[#This Row],[Credit.]]-Table822[[#This Row],[Debit\]],""),"")</f>
        <v/>
      </c>
    </row>
    <row r="149" spans="2:34" hidden="1" x14ac:dyDescent="0.25">
      <c r="B149" s="34"/>
      <c r="C149" s="45"/>
      <c r="D149" s="34"/>
      <c r="E149" s="34"/>
      <c r="G149" s="39"/>
      <c r="H149" s="43"/>
      <c r="I149" s="41"/>
      <c r="J149" s="41"/>
      <c r="L149" s="34">
        <v>142</v>
      </c>
      <c r="M149" s="35"/>
      <c r="N149" s="35"/>
      <c r="O149" s="34">
        <f>IFERROR(SUMIF(Table419[,],Table621[[#This Row],[Accounts Name]],Table419[,3]),"")</f>
        <v>0</v>
      </c>
      <c r="P149" s="34">
        <f>IFERROR(SUMIF(Table419[,],Table621[[#This Row],[Accounts Name]],Table419[,2]),"")</f>
        <v>0</v>
      </c>
      <c r="S149" s="36">
        <f t="shared" si="2"/>
        <v>142</v>
      </c>
      <c r="T149" s="34"/>
      <c r="U149" s="37"/>
      <c r="V149" s="34">
        <f>IFERROR(SUMIF(Table621[Sub-Accounts],Table822[[#This Row],[Update your chart of accounts here]],Table621[Debit]),"")</f>
        <v>0</v>
      </c>
      <c r="W149" s="34">
        <f>IFERROR(SUMIF(Table621[Sub-Accounts],Table822[[#This Row],[Update your chart of accounts here]],Table621[Credit]),"")</f>
        <v>0</v>
      </c>
      <c r="X149" s="34"/>
      <c r="Y149" s="34"/>
      <c r="Z149" s="34"/>
      <c r="AA149" s="34"/>
      <c r="AB149" s="34">
        <f>MAX(Table822[[#This Row],[Debit]]+Table822[[#This Row],[Debit -]]-Table822[[#This Row],[Credit]]-Table822[[#This Row],[Credit +]],0)</f>
        <v>0</v>
      </c>
      <c r="AC149" s="34">
        <f>MAX(Table822[[#This Row],[Credit]]-Table822[[#This Row],[Debit]]+Table822[[#This Row],[Credit +]]-Table822[[#This Row],[Debit -]],0)</f>
        <v>0</v>
      </c>
      <c r="AD149" s="34" t="str">
        <f>IFERROR(IF(AND(OR(Table822[[#This Row],[Classification]]="Expense",Table822[[#This Row],[Classification]]="Cost of Goods Sold"),Table822[[#This Row],[Debit\]]&gt;Table822[[#This Row],[Credit.]]),Table822[[#This Row],[Debit\]]-Table822[[#This Row],[Credit.]],""),"")</f>
        <v/>
      </c>
      <c r="AE149" s="34" t="str">
        <f>IFERROR(IF(AND(OR(Table822[[#This Row],[Classification]]="Income",Table822[[#This Row],[Classification]]="Cost of Goods Sold"),Table822[[#This Row],[Credit.]]&gt;Table822[[#This Row],[Debit\]]),Table822[[#This Row],[Credit.]]-Table822[[#This Row],[Debit\]],""),"")</f>
        <v/>
      </c>
      <c r="AF149" s="34"/>
      <c r="AG149" s="34" t="str">
        <f>IFERROR(IF(AND(Table822[[#This Row],[Classification]]="Assets",Table822[[#This Row],[Debit\]]-Table822[[#This Row],[Credit.]]),Table822[[#This Row],[Debit\]]-Table822[[#This Row],[Credit.]],""),"")</f>
        <v/>
      </c>
      <c r="AH149" s="34" t="str">
        <f>IFERROR(IF(AND(OR(Table822[[#This Row],[Classification]]="Liabilities",Table822[[#This Row],[Classification]]="Owner´s Equity"),Table822[[#This Row],[Credit.]]&gt;Table822[[#This Row],[Debit\]]),Table822[[#This Row],[Credit.]]-Table822[[#This Row],[Debit\]],""),"")</f>
        <v/>
      </c>
    </row>
    <row r="150" spans="2:34" hidden="1" x14ac:dyDescent="0.25">
      <c r="B150" s="34"/>
      <c r="C150" s="45"/>
      <c r="D150" s="34"/>
      <c r="E150" s="34"/>
      <c r="G150" s="39"/>
      <c r="H150" s="40"/>
      <c r="I150" s="41"/>
      <c r="J150" s="41"/>
      <c r="L150" s="34">
        <v>143</v>
      </c>
      <c r="M150" s="35"/>
      <c r="N150" s="35"/>
      <c r="O150" s="34">
        <f>IFERROR(SUMIF(Table419[,],Table621[[#This Row],[Accounts Name]],Table419[,3]),"")</f>
        <v>0</v>
      </c>
      <c r="P150" s="34">
        <f>IFERROR(SUMIF(Table419[,],Table621[[#This Row],[Accounts Name]],Table419[,2]),"")</f>
        <v>0</v>
      </c>
      <c r="S150" s="36">
        <f t="shared" si="2"/>
        <v>143</v>
      </c>
      <c r="T150" s="34"/>
      <c r="U150" s="37"/>
      <c r="V150" s="34">
        <f>IFERROR(SUMIF(Table621[Sub-Accounts],Table822[[#This Row],[Update your chart of accounts here]],Table621[Debit]),"")</f>
        <v>0</v>
      </c>
      <c r="W150" s="34">
        <f>IFERROR(SUMIF(Table621[Sub-Accounts],Table822[[#This Row],[Update your chart of accounts here]],Table621[Credit]),"")</f>
        <v>0</v>
      </c>
      <c r="X150" s="34"/>
      <c r="Y150" s="34"/>
      <c r="Z150" s="34"/>
      <c r="AA150" s="34"/>
      <c r="AB150" s="34">
        <f>MAX(Table822[[#This Row],[Debit]]+Table822[[#This Row],[Debit -]]-Table822[[#This Row],[Credit]]-Table822[[#This Row],[Credit +]],0)</f>
        <v>0</v>
      </c>
      <c r="AC150" s="34">
        <f>MAX(Table822[[#This Row],[Credit]]-Table822[[#This Row],[Debit]]+Table822[[#This Row],[Credit +]]-Table822[[#This Row],[Debit -]],0)</f>
        <v>0</v>
      </c>
      <c r="AD150" s="34" t="str">
        <f>IFERROR(IF(AND(OR(Table822[[#This Row],[Classification]]="Expense",Table822[[#This Row],[Classification]]="Cost of Goods Sold"),Table822[[#This Row],[Debit\]]&gt;Table822[[#This Row],[Credit.]]),Table822[[#This Row],[Debit\]]-Table822[[#This Row],[Credit.]],""),"")</f>
        <v/>
      </c>
      <c r="AE150" s="34" t="str">
        <f>IFERROR(IF(AND(OR(Table822[[#This Row],[Classification]]="Income",Table822[[#This Row],[Classification]]="Cost of Goods Sold"),Table822[[#This Row],[Credit.]]&gt;Table822[[#This Row],[Debit\]]),Table822[[#This Row],[Credit.]]-Table822[[#This Row],[Debit\]],""),"")</f>
        <v/>
      </c>
      <c r="AF150" s="34"/>
      <c r="AG150" s="34" t="str">
        <f>IFERROR(IF(AND(Table822[[#This Row],[Classification]]="Assets",Table822[[#This Row],[Debit\]]-Table822[[#This Row],[Credit.]]),Table822[[#This Row],[Debit\]]-Table822[[#This Row],[Credit.]],""),"")</f>
        <v/>
      </c>
      <c r="AH150" s="34" t="str">
        <f>IFERROR(IF(AND(OR(Table822[[#This Row],[Classification]]="Liabilities",Table822[[#This Row],[Classification]]="Owner´s Equity"),Table822[[#This Row],[Credit.]]&gt;Table822[[#This Row],[Debit\]]),Table822[[#This Row],[Credit.]]-Table822[[#This Row],[Debit\]],""),"")</f>
        <v/>
      </c>
    </row>
    <row r="151" spans="2:34" hidden="1" x14ac:dyDescent="0.25">
      <c r="B151" s="34"/>
      <c r="C151" s="45"/>
      <c r="D151" s="34"/>
      <c r="E151" s="34"/>
      <c r="G151" s="39"/>
      <c r="H151" s="40"/>
      <c r="I151" s="41"/>
      <c r="J151" s="41"/>
      <c r="L151" s="34">
        <v>144</v>
      </c>
      <c r="M151" s="35"/>
      <c r="N151" s="35"/>
      <c r="O151" s="34">
        <f>IFERROR(SUMIF(Table419[,],Table621[[#This Row],[Accounts Name]],Table419[,3]),"")</f>
        <v>0</v>
      </c>
      <c r="P151" s="34">
        <f>IFERROR(SUMIF(Table419[,],Table621[[#This Row],[Accounts Name]],Table419[,2]),"")</f>
        <v>0</v>
      </c>
      <c r="S151" s="36">
        <f t="shared" si="2"/>
        <v>144</v>
      </c>
      <c r="T151" s="34"/>
      <c r="U151" s="37"/>
      <c r="V151" s="34">
        <f>IFERROR(SUMIF(Table621[Sub-Accounts],Table822[[#This Row],[Update your chart of accounts here]],Table621[Debit]),"")</f>
        <v>0</v>
      </c>
      <c r="W151" s="34">
        <f>IFERROR(SUMIF(Table621[Sub-Accounts],Table822[[#This Row],[Update your chart of accounts here]],Table621[Credit]),"")</f>
        <v>0</v>
      </c>
      <c r="X151" s="34"/>
      <c r="Y151" s="34"/>
      <c r="Z151" s="34"/>
      <c r="AA151" s="34"/>
      <c r="AB151" s="34">
        <f>MAX(Table822[[#This Row],[Debit]]+Table822[[#This Row],[Debit -]]-Table822[[#This Row],[Credit]]-Table822[[#This Row],[Credit +]],0)</f>
        <v>0</v>
      </c>
      <c r="AC151" s="34">
        <f>MAX(Table822[[#This Row],[Credit]]-Table822[[#This Row],[Debit]]+Table822[[#This Row],[Credit +]]-Table822[[#This Row],[Debit -]],0)</f>
        <v>0</v>
      </c>
      <c r="AD151" s="34" t="str">
        <f>IFERROR(IF(AND(OR(Table822[[#This Row],[Classification]]="Expense",Table822[[#This Row],[Classification]]="Cost of Goods Sold"),Table822[[#This Row],[Debit\]]&gt;Table822[[#This Row],[Credit.]]),Table822[[#This Row],[Debit\]]-Table822[[#This Row],[Credit.]],""),"")</f>
        <v/>
      </c>
      <c r="AE151" s="34" t="str">
        <f>IFERROR(IF(AND(OR(Table822[[#This Row],[Classification]]="Income",Table822[[#This Row],[Classification]]="Cost of Goods Sold"),Table822[[#This Row],[Credit.]]&gt;Table822[[#This Row],[Debit\]]),Table822[[#This Row],[Credit.]]-Table822[[#This Row],[Debit\]],""),"")</f>
        <v/>
      </c>
      <c r="AF151" s="34"/>
      <c r="AG151" s="34" t="str">
        <f>IFERROR(IF(AND(Table822[[#This Row],[Classification]]="Assets",Table822[[#This Row],[Debit\]]-Table822[[#This Row],[Credit.]]),Table822[[#This Row],[Debit\]]-Table822[[#This Row],[Credit.]],""),"")</f>
        <v/>
      </c>
      <c r="AH151" s="34" t="str">
        <f>IFERROR(IF(AND(OR(Table822[[#This Row],[Classification]]="Liabilities",Table822[[#This Row],[Classification]]="Owner´s Equity"),Table822[[#This Row],[Credit.]]&gt;Table822[[#This Row],[Debit\]]),Table822[[#This Row],[Credit.]]-Table822[[#This Row],[Debit\]],""),"")</f>
        <v/>
      </c>
    </row>
    <row r="152" spans="2:34" hidden="1" x14ac:dyDescent="0.25">
      <c r="B152" s="34"/>
      <c r="C152" s="45"/>
      <c r="D152" s="34"/>
      <c r="E152" s="34"/>
      <c r="G152" s="39"/>
      <c r="H152" s="43"/>
      <c r="I152" s="41"/>
      <c r="J152" s="41"/>
      <c r="L152" s="34">
        <v>145</v>
      </c>
      <c r="M152" s="35"/>
      <c r="N152" s="35"/>
      <c r="O152" s="34">
        <f>IFERROR(SUMIF(Table419[,],Table621[[#This Row],[Accounts Name]],Table419[,3]),"")</f>
        <v>0</v>
      </c>
      <c r="P152" s="34">
        <f>IFERROR(SUMIF(Table419[,],Table621[[#This Row],[Accounts Name]],Table419[,2]),"")</f>
        <v>0</v>
      </c>
      <c r="S152" s="36">
        <f t="shared" si="2"/>
        <v>145</v>
      </c>
      <c r="T152" s="34"/>
      <c r="U152" s="37"/>
      <c r="V152" s="34">
        <f>IFERROR(SUMIF(Table621[Sub-Accounts],Table822[[#This Row],[Update your chart of accounts here]],Table621[Debit]),"")</f>
        <v>0</v>
      </c>
      <c r="W152" s="34">
        <f>IFERROR(SUMIF(Table621[Sub-Accounts],Table822[[#This Row],[Update your chart of accounts here]],Table621[Credit]),"")</f>
        <v>0</v>
      </c>
      <c r="X152" s="34"/>
      <c r="Y152" s="34"/>
      <c r="Z152" s="34"/>
      <c r="AA152" s="34"/>
      <c r="AB152" s="34">
        <f>MAX(Table822[[#This Row],[Debit]]+Table822[[#This Row],[Debit -]]-Table822[[#This Row],[Credit]]-Table822[[#This Row],[Credit +]],0)</f>
        <v>0</v>
      </c>
      <c r="AC152" s="34">
        <f>MAX(Table822[[#This Row],[Credit]]-Table822[[#This Row],[Debit]]+Table822[[#This Row],[Credit +]]-Table822[[#This Row],[Debit -]],0)</f>
        <v>0</v>
      </c>
      <c r="AD152" s="34" t="str">
        <f>IFERROR(IF(AND(OR(Table822[[#This Row],[Classification]]="Expense",Table822[[#This Row],[Classification]]="Cost of Goods Sold"),Table822[[#This Row],[Debit\]]&gt;Table822[[#This Row],[Credit.]]),Table822[[#This Row],[Debit\]]-Table822[[#This Row],[Credit.]],""),"")</f>
        <v/>
      </c>
      <c r="AE152" s="34" t="str">
        <f>IFERROR(IF(AND(OR(Table822[[#This Row],[Classification]]="Income",Table822[[#This Row],[Classification]]="Cost of Goods Sold"),Table822[[#This Row],[Credit.]]&gt;Table822[[#This Row],[Debit\]]),Table822[[#This Row],[Credit.]]-Table822[[#This Row],[Debit\]],""),"")</f>
        <v/>
      </c>
      <c r="AF152" s="34"/>
      <c r="AG152" s="34" t="str">
        <f>IFERROR(IF(AND(Table822[[#This Row],[Classification]]="Assets",Table822[[#This Row],[Debit\]]-Table822[[#This Row],[Credit.]]),Table822[[#This Row],[Debit\]]-Table822[[#This Row],[Credit.]],""),"")</f>
        <v/>
      </c>
      <c r="AH152" s="34" t="str">
        <f>IFERROR(IF(AND(OR(Table822[[#This Row],[Classification]]="Liabilities",Table822[[#This Row],[Classification]]="Owner´s Equity"),Table822[[#This Row],[Credit.]]&gt;Table822[[#This Row],[Debit\]]),Table822[[#This Row],[Credit.]]-Table822[[#This Row],[Debit\]],""),"")</f>
        <v/>
      </c>
    </row>
    <row r="153" spans="2:34" hidden="1" x14ac:dyDescent="0.25">
      <c r="B153" s="34"/>
      <c r="C153" s="45"/>
      <c r="D153" s="34"/>
      <c r="E153" s="34"/>
      <c r="G153" s="39"/>
      <c r="H153" s="40"/>
      <c r="I153" s="41"/>
      <c r="J153" s="41"/>
      <c r="L153" s="34">
        <v>146</v>
      </c>
      <c r="M153" s="35"/>
      <c r="N153" s="35"/>
      <c r="O153" s="34">
        <f>IFERROR(SUMIF(Table419[,],Table621[[#This Row],[Accounts Name]],Table419[,3]),"")</f>
        <v>0</v>
      </c>
      <c r="P153" s="34">
        <f>IFERROR(SUMIF(Table419[,],Table621[[#This Row],[Accounts Name]],Table419[,2]),"")</f>
        <v>0</v>
      </c>
      <c r="S153" s="36">
        <f t="shared" si="2"/>
        <v>146</v>
      </c>
      <c r="T153" s="34"/>
      <c r="U153" s="37"/>
      <c r="V153" s="34">
        <f>IFERROR(SUMIF(Table621[Sub-Accounts],Table822[[#This Row],[Update your chart of accounts here]],Table621[Debit]),"")</f>
        <v>0</v>
      </c>
      <c r="W153" s="34">
        <f>IFERROR(SUMIF(Table621[Sub-Accounts],Table822[[#This Row],[Update your chart of accounts here]],Table621[Credit]),"")</f>
        <v>0</v>
      </c>
      <c r="X153" s="34"/>
      <c r="Y153" s="34"/>
      <c r="Z153" s="34"/>
      <c r="AA153" s="34"/>
      <c r="AB153" s="34">
        <f>MAX(Table822[[#This Row],[Debit]]+Table822[[#This Row],[Debit -]]-Table822[[#This Row],[Credit]]-Table822[[#This Row],[Credit +]],0)</f>
        <v>0</v>
      </c>
      <c r="AC153" s="34">
        <f>MAX(Table822[[#This Row],[Credit]]-Table822[[#This Row],[Debit]]+Table822[[#This Row],[Credit +]]-Table822[[#This Row],[Debit -]],0)</f>
        <v>0</v>
      </c>
      <c r="AD153" s="34" t="str">
        <f>IFERROR(IF(AND(OR(Table822[[#This Row],[Classification]]="Expense",Table822[[#This Row],[Classification]]="Cost of Goods Sold"),Table822[[#This Row],[Debit\]]&gt;Table822[[#This Row],[Credit.]]),Table822[[#This Row],[Debit\]]-Table822[[#This Row],[Credit.]],""),"")</f>
        <v/>
      </c>
      <c r="AE153" s="34" t="str">
        <f>IFERROR(IF(AND(OR(Table822[[#This Row],[Classification]]="Income",Table822[[#This Row],[Classification]]="Cost of Goods Sold"),Table822[[#This Row],[Credit.]]&gt;Table822[[#This Row],[Debit\]]),Table822[[#This Row],[Credit.]]-Table822[[#This Row],[Debit\]],""),"")</f>
        <v/>
      </c>
      <c r="AF153" s="34"/>
      <c r="AG153" s="34" t="str">
        <f>IFERROR(IF(AND(Table822[[#This Row],[Classification]]="Assets",Table822[[#This Row],[Debit\]]-Table822[[#This Row],[Credit.]]),Table822[[#This Row],[Debit\]]-Table822[[#This Row],[Credit.]],""),"")</f>
        <v/>
      </c>
      <c r="AH153" s="34" t="str">
        <f>IFERROR(IF(AND(OR(Table822[[#This Row],[Classification]]="Liabilities",Table822[[#This Row],[Classification]]="Owner´s Equity"),Table822[[#This Row],[Credit.]]&gt;Table822[[#This Row],[Debit\]]),Table822[[#This Row],[Credit.]]-Table822[[#This Row],[Debit\]],""),"")</f>
        <v/>
      </c>
    </row>
    <row r="154" spans="2:34" hidden="1" x14ac:dyDescent="0.25">
      <c r="B154" s="34"/>
      <c r="C154" s="45"/>
      <c r="D154" s="34"/>
      <c r="E154" s="34"/>
      <c r="G154" s="39"/>
      <c r="H154" s="40"/>
      <c r="I154" s="41"/>
      <c r="J154" s="41"/>
      <c r="L154" s="34">
        <v>147</v>
      </c>
      <c r="M154" s="35"/>
      <c r="N154" s="35"/>
      <c r="O154" s="34">
        <f>IFERROR(SUMIF(Table419[,],Table621[[#This Row],[Accounts Name]],Table419[,3]),"")</f>
        <v>0</v>
      </c>
      <c r="P154" s="34">
        <f>IFERROR(SUMIF(Table419[,],Table621[[#This Row],[Accounts Name]],Table419[,2]),"")</f>
        <v>0</v>
      </c>
      <c r="S154" s="36">
        <f t="shared" si="2"/>
        <v>147</v>
      </c>
      <c r="T154" s="34"/>
      <c r="U154" s="37"/>
      <c r="V154" s="34">
        <f>IFERROR(SUMIF(Table621[Sub-Accounts],Table822[[#This Row],[Update your chart of accounts here]],Table621[Debit]),"")</f>
        <v>0</v>
      </c>
      <c r="W154" s="34">
        <f>IFERROR(SUMIF(Table621[Sub-Accounts],Table822[[#This Row],[Update your chart of accounts here]],Table621[Credit]),"")</f>
        <v>0</v>
      </c>
      <c r="X154" s="34"/>
      <c r="Y154" s="34"/>
      <c r="Z154" s="34"/>
      <c r="AA154" s="34"/>
      <c r="AB154" s="34">
        <f>MAX(Table822[[#This Row],[Debit]]+Table822[[#This Row],[Debit -]]-Table822[[#This Row],[Credit]]-Table822[[#This Row],[Credit +]],0)</f>
        <v>0</v>
      </c>
      <c r="AC154" s="34">
        <f>MAX(Table822[[#This Row],[Credit]]-Table822[[#This Row],[Debit]]+Table822[[#This Row],[Credit +]]-Table822[[#This Row],[Debit -]],0)</f>
        <v>0</v>
      </c>
      <c r="AD154" s="34" t="str">
        <f>IFERROR(IF(AND(OR(Table822[[#This Row],[Classification]]="Expense",Table822[[#This Row],[Classification]]="Cost of Goods Sold"),Table822[[#This Row],[Debit\]]&gt;Table822[[#This Row],[Credit.]]),Table822[[#This Row],[Debit\]]-Table822[[#This Row],[Credit.]],""),"")</f>
        <v/>
      </c>
      <c r="AE154" s="34" t="str">
        <f>IFERROR(IF(AND(OR(Table822[[#This Row],[Classification]]="Income",Table822[[#This Row],[Classification]]="Cost of Goods Sold"),Table822[[#This Row],[Credit.]]&gt;Table822[[#This Row],[Debit\]]),Table822[[#This Row],[Credit.]]-Table822[[#This Row],[Debit\]],""),"")</f>
        <v/>
      </c>
      <c r="AF154" s="34"/>
      <c r="AG154" s="34" t="str">
        <f>IFERROR(IF(AND(Table822[[#This Row],[Classification]]="Assets",Table822[[#This Row],[Debit\]]-Table822[[#This Row],[Credit.]]),Table822[[#This Row],[Debit\]]-Table822[[#This Row],[Credit.]],""),"")</f>
        <v/>
      </c>
      <c r="AH154" s="34" t="str">
        <f>IFERROR(IF(AND(OR(Table822[[#This Row],[Classification]]="Liabilities",Table822[[#This Row],[Classification]]="Owner´s Equity"),Table822[[#This Row],[Credit.]]&gt;Table822[[#This Row],[Debit\]]),Table822[[#This Row],[Credit.]]-Table822[[#This Row],[Debit\]],""),"")</f>
        <v/>
      </c>
    </row>
    <row r="155" spans="2:34" hidden="1" x14ac:dyDescent="0.25">
      <c r="B155" s="34"/>
      <c r="C155" s="45"/>
      <c r="D155" s="34"/>
      <c r="E155" s="34"/>
      <c r="G155" s="39"/>
      <c r="H155" s="43"/>
      <c r="I155" s="41"/>
      <c r="J155" s="41"/>
      <c r="L155" s="34">
        <v>148</v>
      </c>
      <c r="M155" s="35"/>
      <c r="N155" s="35"/>
      <c r="O155" s="34">
        <f>IFERROR(SUMIF(Table419[,],Table621[[#This Row],[Accounts Name]],Table419[,3]),"")</f>
        <v>0</v>
      </c>
      <c r="P155" s="34">
        <f>IFERROR(SUMIF(Table419[,],Table621[[#This Row],[Accounts Name]],Table419[,2]),"")</f>
        <v>0</v>
      </c>
      <c r="S155" s="36">
        <f t="shared" si="2"/>
        <v>148</v>
      </c>
      <c r="T155" s="34"/>
      <c r="U155" s="37"/>
      <c r="V155" s="34">
        <f>IFERROR(SUMIF(Table621[Sub-Accounts],Table822[[#This Row],[Update your chart of accounts here]],Table621[Debit]),"")</f>
        <v>0</v>
      </c>
      <c r="W155" s="34">
        <f>IFERROR(SUMIF(Table621[Sub-Accounts],Table822[[#This Row],[Update your chart of accounts here]],Table621[Credit]),"")</f>
        <v>0</v>
      </c>
      <c r="X155" s="34"/>
      <c r="Y155" s="34"/>
      <c r="Z155" s="34"/>
      <c r="AA155" s="34"/>
      <c r="AB155" s="34">
        <f>MAX(Table822[[#This Row],[Debit]]+Table822[[#This Row],[Debit -]]-Table822[[#This Row],[Credit]]-Table822[[#This Row],[Credit +]],0)</f>
        <v>0</v>
      </c>
      <c r="AC155" s="34">
        <f>MAX(Table822[[#This Row],[Credit]]-Table822[[#This Row],[Debit]]+Table822[[#This Row],[Credit +]]-Table822[[#This Row],[Debit -]],0)</f>
        <v>0</v>
      </c>
      <c r="AD155" s="34" t="str">
        <f>IFERROR(IF(AND(OR(Table822[[#This Row],[Classification]]="Expense",Table822[[#This Row],[Classification]]="Cost of Goods Sold"),Table822[[#This Row],[Debit\]]&gt;Table822[[#This Row],[Credit.]]),Table822[[#This Row],[Debit\]]-Table822[[#This Row],[Credit.]],""),"")</f>
        <v/>
      </c>
      <c r="AE155" s="34" t="str">
        <f>IFERROR(IF(AND(OR(Table822[[#This Row],[Classification]]="Income",Table822[[#This Row],[Classification]]="Cost of Goods Sold"),Table822[[#This Row],[Credit.]]&gt;Table822[[#This Row],[Debit\]]),Table822[[#This Row],[Credit.]]-Table822[[#This Row],[Debit\]],""),"")</f>
        <v/>
      </c>
      <c r="AF155" s="34"/>
      <c r="AG155" s="34" t="str">
        <f>IFERROR(IF(AND(Table822[[#This Row],[Classification]]="Assets",Table822[[#This Row],[Debit\]]-Table822[[#This Row],[Credit.]]),Table822[[#This Row],[Debit\]]-Table822[[#This Row],[Credit.]],""),"")</f>
        <v/>
      </c>
      <c r="AH155" s="34" t="str">
        <f>IFERROR(IF(AND(OR(Table822[[#This Row],[Classification]]="Liabilities",Table822[[#This Row],[Classification]]="Owner´s Equity"),Table822[[#This Row],[Credit.]]&gt;Table822[[#This Row],[Debit\]]),Table822[[#This Row],[Credit.]]-Table822[[#This Row],[Debit\]],""),"")</f>
        <v/>
      </c>
    </row>
    <row r="156" spans="2:34" hidden="1" x14ac:dyDescent="0.25">
      <c r="B156" s="34"/>
      <c r="C156" s="45"/>
      <c r="D156" s="34"/>
      <c r="E156" s="34"/>
      <c r="G156" s="39"/>
      <c r="H156" s="40"/>
      <c r="I156" s="41"/>
      <c r="J156" s="41"/>
      <c r="L156" s="34">
        <v>149</v>
      </c>
      <c r="M156" s="35"/>
      <c r="N156" s="35"/>
      <c r="O156" s="34">
        <f>IFERROR(SUMIF(Table419[,],Table621[[#This Row],[Accounts Name]],Table419[,3]),"")</f>
        <v>0</v>
      </c>
      <c r="P156" s="34">
        <f>IFERROR(SUMIF(Table419[,],Table621[[#This Row],[Accounts Name]],Table419[,2]),"")</f>
        <v>0</v>
      </c>
      <c r="S156" s="36">
        <f t="shared" si="2"/>
        <v>149</v>
      </c>
      <c r="T156" s="34"/>
      <c r="U156" s="37"/>
      <c r="V156" s="34">
        <f>IFERROR(SUMIF(Table621[Sub-Accounts],Table822[[#This Row],[Update your chart of accounts here]],Table621[Debit]),"")</f>
        <v>0</v>
      </c>
      <c r="W156" s="34">
        <f>IFERROR(SUMIF(Table621[Sub-Accounts],Table822[[#This Row],[Update your chart of accounts here]],Table621[Credit]),"")</f>
        <v>0</v>
      </c>
      <c r="X156" s="34"/>
      <c r="Y156" s="34"/>
      <c r="Z156" s="34"/>
      <c r="AA156" s="34"/>
      <c r="AB156" s="34">
        <f>MAX(Table822[[#This Row],[Debit]]+Table822[[#This Row],[Debit -]]-Table822[[#This Row],[Credit]]-Table822[[#This Row],[Credit +]],0)</f>
        <v>0</v>
      </c>
      <c r="AC156" s="34">
        <f>MAX(Table822[[#This Row],[Credit]]-Table822[[#This Row],[Debit]]+Table822[[#This Row],[Credit +]]-Table822[[#This Row],[Debit -]],0)</f>
        <v>0</v>
      </c>
      <c r="AD156" s="34" t="str">
        <f>IFERROR(IF(AND(OR(Table822[[#This Row],[Classification]]="Expense",Table822[[#This Row],[Classification]]="Cost of Goods Sold"),Table822[[#This Row],[Debit\]]&gt;Table822[[#This Row],[Credit.]]),Table822[[#This Row],[Debit\]]-Table822[[#This Row],[Credit.]],""),"")</f>
        <v/>
      </c>
      <c r="AE156" s="34" t="str">
        <f>IFERROR(IF(AND(OR(Table822[[#This Row],[Classification]]="Income",Table822[[#This Row],[Classification]]="Cost of Goods Sold"),Table822[[#This Row],[Credit.]]&gt;Table822[[#This Row],[Debit\]]),Table822[[#This Row],[Credit.]]-Table822[[#This Row],[Debit\]],""),"")</f>
        <v/>
      </c>
      <c r="AF156" s="34"/>
      <c r="AG156" s="34" t="str">
        <f>IFERROR(IF(AND(Table822[[#This Row],[Classification]]="Assets",Table822[[#This Row],[Debit\]]-Table822[[#This Row],[Credit.]]),Table822[[#This Row],[Debit\]]-Table822[[#This Row],[Credit.]],""),"")</f>
        <v/>
      </c>
      <c r="AH156" s="34" t="str">
        <f>IFERROR(IF(AND(OR(Table822[[#This Row],[Classification]]="Liabilities",Table822[[#This Row],[Classification]]="Owner´s Equity"),Table822[[#This Row],[Credit.]]&gt;Table822[[#This Row],[Debit\]]),Table822[[#This Row],[Credit.]]-Table822[[#This Row],[Debit\]],""),"")</f>
        <v/>
      </c>
    </row>
    <row r="157" spans="2:34" hidden="1" x14ac:dyDescent="0.25">
      <c r="B157" s="34"/>
      <c r="C157" s="45"/>
      <c r="D157" s="34"/>
      <c r="E157" s="34"/>
      <c r="G157" s="39"/>
      <c r="H157" s="40"/>
      <c r="I157" s="41"/>
      <c r="J157" s="41"/>
      <c r="L157" s="34">
        <v>150</v>
      </c>
      <c r="M157" s="35"/>
      <c r="N157" s="35"/>
      <c r="O157" s="34">
        <f>IFERROR(SUMIF(Table419[,],Table621[[#This Row],[Accounts Name]],Table419[,3]),"")</f>
        <v>0</v>
      </c>
      <c r="P157" s="34">
        <f>IFERROR(SUMIF(Table419[,],Table621[[#This Row],[Accounts Name]],Table419[,2]),"")</f>
        <v>0</v>
      </c>
      <c r="S157" s="36">
        <f t="shared" si="2"/>
        <v>150</v>
      </c>
      <c r="T157" s="34"/>
      <c r="U157" s="37"/>
      <c r="V157" s="34">
        <f>IFERROR(SUMIF(Table621[Sub-Accounts],Table822[[#This Row],[Update your chart of accounts here]],Table621[Debit]),"")</f>
        <v>0</v>
      </c>
      <c r="W157" s="34">
        <f>IFERROR(SUMIF(Table621[Sub-Accounts],Table822[[#This Row],[Update your chart of accounts here]],Table621[Credit]),"")</f>
        <v>0</v>
      </c>
      <c r="X157" s="34"/>
      <c r="Y157" s="34"/>
      <c r="Z157" s="34"/>
      <c r="AA157" s="34"/>
      <c r="AB157" s="34">
        <f>MAX(Table822[[#This Row],[Debit]]+Table822[[#This Row],[Debit -]]-Table822[[#This Row],[Credit]]-Table822[[#This Row],[Credit +]],0)</f>
        <v>0</v>
      </c>
      <c r="AC157" s="34">
        <f>MAX(Table822[[#This Row],[Credit]]-Table822[[#This Row],[Debit]]+Table822[[#This Row],[Credit +]]-Table822[[#This Row],[Debit -]],0)</f>
        <v>0</v>
      </c>
      <c r="AD157" s="34" t="str">
        <f>IFERROR(IF(AND(OR(Table822[[#This Row],[Classification]]="Expense",Table822[[#This Row],[Classification]]="Cost of Goods Sold"),Table822[[#This Row],[Debit\]]&gt;Table822[[#This Row],[Credit.]]),Table822[[#This Row],[Debit\]]-Table822[[#This Row],[Credit.]],""),"")</f>
        <v/>
      </c>
      <c r="AE157" s="34" t="str">
        <f>IFERROR(IF(AND(OR(Table822[[#This Row],[Classification]]="Income",Table822[[#This Row],[Classification]]="Cost of Goods Sold"),Table822[[#This Row],[Credit.]]&gt;Table822[[#This Row],[Debit\]]),Table822[[#This Row],[Credit.]]-Table822[[#This Row],[Debit\]],""),"")</f>
        <v/>
      </c>
      <c r="AF157" s="34"/>
      <c r="AG157" s="34" t="str">
        <f>IFERROR(IF(AND(Table822[[#This Row],[Classification]]="Assets",Table822[[#This Row],[Debit\]]-Table822[[#This Row],[Credit.]]),Table822[[#This Row],[Debit\]]-Table822[[#This Row],[Credit.]],""),"")</f>
        <v/>
      </c>
      <c r="AH157" s="34" t="str">
        <f>IFERROR(IF(AND(OR(Table822[[#This Row],[Classification]]="Liabilities",Table822[[#This Row],[Classification]]="Owner´s Equity"),Table822[[#This Row],[Credit.]]&gt;Table822[[#This Row],[Debit\]]),Table822[[#This Row],[Credit.]]-Table822[[#This Row],[Debit\]],""),"")</f>
        <v/>
      </c>
    </row>
    <row r="158" spans="2:34" hidden="1" x14ac:dyDescent="0.25">
      <c r="B158" s="34"/>
      <c r="C158" s="45"/>
      <c r="D158" s="34"/>
      <c r="E158" s="34"/>
      <c r="G158" s="39"/>
      <c r="H158" s="43"/>
      <c r="I158" s="41"/>
      <c r="J158" s="41"/>
      <c r="L158" s="34">
        <v>151</v>
      </c>
      <c r="M158" s="35"/>
      <c r="N158" s="35"/>
      <c r="O158" s="34">
        <f>IFERROR(SUMIF(Table419[,],Table621[[#This Row],[Accounts Name]],Table419[,3]),"")</f>
        <v>0</v>
      </c>
      <c r="P158" s="34">
        <f>IFERROR(SUMIF(Table419[,],Table621[[#This Row],[Accounts Name]],Table419[,2]),"")</f>
        <v>0</v>
      </c>
      <c r="S158" s="36">
        <f t="shared" si="2"/>
        <v>151</v>
      </c>
      <c r="T158" s="34"/>
      <c r="U158" s="37"/>
      <c r="V158" s="34">
        <f>IFERROR(SUMIF(Table621[Sub-Accounts],Table822[[#This Row],[Update your chart of accounts here]],Table621[Debit]),"")</f>
        <v>0</v>
      </c>
      <c r="W158" s="34">
        <f>IFERROR(SUMIF(Table621[Sub-Accounts],Table822[[#This Row],[Update your chart of accounts here]],Table621[Credit]),"")</f>
        <v>0</v>
      </c>
      <c r="X158" s="34"/>
      <c r="Y158" s="34"/>
      <c r="Z158" s="34"/>
      <c r="AA158" s="34"/>
      <c r="AB158" s="34">
        <f>MAX(Table822[[#This Row],[Debit]]+Table822[[#This Row],[Debit -]]-Table822[[#This Row],[Credit]]-Table822[[#This Row],[Credit +]],0)</f>
        <v>0</v>
      </c>
      <c r="AC158" s="34">
        <f>MAX(Table822[[#This Row],[Credit]]-Table822[[#This Row],[Debit]]+Table822[[#This Row],[Credit +]]-Table822[[#This Row],[Debit -]],0)</f>
        <v>0</v>
      </c>
      <c r="AD158" s="34" t="str">
        <f>IFERROR(IF(AND(OR(Table822[[#This Row],[Classification]]="Expense",Table822[[#This Row],[Classification]]="Cost of Goods Sold"),Table822[[#This Row],[Debit\]]&gt;Table822[[#This Row],[Credit.]]),Table822[[#This Row],[Debit\]]-Table822[[#This Row],[Credit.]],""),"")</f>
        <v/>
      </c>
      <c r="AE158" s="34" t="str">
        <f>IFERROR(IF(AND(OR(Table822[[#This Row],[Classification]]="Income",Table822[[#This Row],[Classification]]="Cost of Goods Sold"),Table822[[#This Row],[Credit.]]&gt;Table822[[#This Row],[Debit\]]),Table822[[#This Row],[Credit.]]-Table822[[#This Row],[Debit\]],""),"")</f>
        <v/>
      </c>
      <c r="AF158" s="34"/>
      <c r="AG158" s="34" t="str">
        <f>IFERROR(IF(AND(Table822[[#This Row],[Classification]]="Assets",Table822[[#This Row],[Debit\]]-Table822[[#This Row],[Credit.]]),Table822[[#This Row],[Debit\]]-Table822[[#This Row],[Credit.]],""),"")</f>
        <v/>
      </c>
      <c r="AH158" s="34" t="str">
        <f>IFERROR(IF(AND(OR(Table822[[#This Row],[Classification]]="Liabilities",Table822[[#This Row],[Classification]]="Owner´s Equity"),Table822[[#This Row],[Credit.]]&gt;Table822[[#This Row],[Debit\]]),Table822[[#This Row],[Credit.]]-Table822[[#This Row],[Debit\]],""),"")</f>
        <v/>
      </c>
    </row>
    <row r="159" spans="2:34" hidden="1" x14ac:dyDescent="0.25">
      <c r="B159" s="34"/>
      <c r="C159" s="45"/>
      <c r="D159" s="34"/>
      <c r="E159" s="34"/>
      <c r="G159" s="39"/>
      <c r="H159" s="40"/>
      <c r="I159" s="41"/>
      <c r="J159" s="41"/>
      <c r="L159" s="34">
        <v>152</v>
      </c>
      <c r="M159" s="35"/>
      <c r="N159" s="35"/>
      <c r="O159" s="34">
        <f>IFERROR(SUMIF(Table419[,],Table621[[#This Row],[Accounts Name]],Table419[,3]),"")</f>
        <v>0</v>
      </c>
      <c r="P159" s="34">
        <f>IFERROR(SUMIF(Table419[,],Table621[[#This Row],[Accounts Name]],Table419[,2]),"")</f>
        <v>0</v>
      </c>
      <c r="S159" s="36">
        <f t="shared" si="2"/>
        <v>152</v>
      </c>
      <c r="T159" s="34"/>
      <c r="U159" s="37"/>
      <c r="V159" s="34">
        <f>IFERROR(SUMIF(Table621[Sub-Accounts],Table822[[#This Row],[Update your chart of accounts here]],Table621[Debit]),"")</f>
        <v>0</v>
      </c>
      <c r="W159" s="34">
        <f>IFERROR(SUMIF(Table621[Sub-Accounts],Table822[[#This Row],[Update your chart of accounts here]],Table621[Credit]),"")</f>
        <v>0</v>
      </c>
      <c r="X159" s="34"/>
      <c r="Y159" s="34"/>
      <c r="Z159" s="34"/>
      <c r="AA159" s="34"/>
      <c r="AB159" s="34">
        <f>MAX(Table822[[#This Row],[Debit]]+Table822[[#This Row],[Debit -]]-Table822[[#This Row],[Credit]]-Table822[[#This Row],[Credit +]],0)</f>
        <v>0</v>
      </c>
      <c r="AC159" s="34">
        <f>MAX(Table822[[#This Row],[Credit]]-Table822[[#This Row],[Debit]]+Table822[[#This Row],[Credit +]]-Table822[[#This Row],[Debit -]],0)</f>
        <v>0</v>
      </c>
      <c r="AD159" s="34" t="str">
        <f>IFERROR(IF(AND(OR(Table822[[#This Row],[Classification]]="Expense",Table822[[#This Row],[Classification]]="Cost of Goods Sold"),Table822[[#This Row],[Debit\]]&gt;Table822[[#This Row],[Credit.]]),Table822[[#This Row],[Debit\]]-Table822[[#This Row],[Credit.]],""),"")</f>
        <v/>
      </c>
      <c r="AE159" s="34" t="str">
        <f>IFERROR(IF(AND(OR(Table822[[#This Row],[Classification]]="Income",Table822[[#This Row],[Classification]]="Cost of Goods Sold"),Table822[[#This Row],[Credit.]]&gt;Table822[[#This Row],[Debit\]]),Table822[[#This Row],[Credit.]]-Table822[[#This Row],[Debit\]],""),"")</f>
        <v/>
      </c>
      <c r="AF159" s="34"/>
      <c r="AG159" s="34" t="str">
        <f>IFERROR(IF(AND(Table822[[#This Row],[Classification]]="Assets",Table822[[#This Row],[Debit\]]-Table822[[#This Row],[Credit.]]),Table822[[#This Row],[Debit\]]-Table822[[#This Row],[Credit.]],""),"")</f>
        <v/>
      </c>
      <c r="AH159" s="34" t="str">
        <f>IFERROR(IF(AND(OR(Table822[[#This Row],[Classification]]="Liabilities",Table822[[#This Row],[Classification]]="Owner´s Equity"),Table822[[#This Row],[Credit.]]&gt;Table822[[#This Row],[Debit\]]),Table822[[#This Row],[Credit.]]-Table822[[#This Row],[Debit\]],""),"")</f>
        <v/>
      </c>
    </row>
    <row r="160" spans="2:34" hidden="1" x14ac:dyDescent="0.25">
      <c r="B160" s="34"/>
      <c r="C160" s="45"/>
      <c r="D160" s="34"/>
      <c r="E160" s="34"/>
      <c r="G160" s="39"/>
      <c r="H160" s="40"/>
      <c r="I160" s="41"/>
      <c r="J160" s="41"/>
      <c r="L160" s="34">
        <v>153</v>
      </c>
      <c r="M160" s="35"/>
      <c r="N160" s="35"/>
      <c r="O160" s="34">
        <f>IFERROR(SUMIF(Table419[,],Table621[[#This Row],[Accounts Name]],Table419[,3]),"")</f>
        <v>0</v>
      </c>
      <c r="P160" s="34">
        <f>IFERROR(SUMIF(Table419[,],Table621[[#This Row],[Accounts Name]],Table419[,2]),"")</f>
        <v>0</v>
      </c>
      <c r="S160" s="36">
        <f t="shared" si="2"/>
        <v>153</v>
      </c>
      <c r="T160" s="34"/>
      <c r="U160" s="37"/>
      <c r="V160" s="34">
        <f>IFERROR(SUMIF(Table621[Sub-Accounts],Table822[[#This Row],[Update your chart of accounts here]],Table621[Debit]),"")</f>
        <v>0</v>
      </c>
      <c r="W160" s="34">
        <f>IFERROR(SUMIF(Table621[Sub-Accounts],Table822[[#This Row],[Update your chart of accounts here]],Table621[Credit]),"")</f>
        <v>0</v>
      </c>
      <c r="X160" s="34"/>
      <c r="Y160" s="34"/>
      <c r="Z160" s="34"/>
      <c r="AA160" s="34"/>
      <c r="AB160" s="34">
        <f>MAX(Table822[[#This Row],[Debit]]+Table822[[#This Row],[Debit -]]-Table822[[#This Row],[Credit]]-Table822[[#This Row],[Credit +]],0)</f>
        <v>0</v>
      </c>
      <c r="AC160" s="34">
        <f>MAX(Table822[[#This Row],[Credit]]-Table822[[#This Row],[Debit]]+Table822[[#This Row],[Credit +]]-Table822[[#This Row],[Debit -]],0)</f>
        <v>0</v>
      </c>
      <c r="AD160" s="34" t="str">
        <f>IFERROR(IF(AND(OR(Table822[[#This Row],[Classification]]="Expense",Table822[[#This Row],[Classification]]="Cost of Goods Sold"),Table822[[#This Row],[Debit\]]&gt;Table822[[#This Row],[Credit.]]),Table822[[#This Row],[Debit\]]-Table822[[#This Row],[Credit.]],""),"")</f>
        <v/>
      </c>
      <c r="AE160" s="34" t="str">
        <f>IFERROR(IF(AND(OR(Table822[[#This Row],[Classification]]="Income",Table822[[#This Row],[Classification]]="Cost of Goods Sold"),Table822[[#This Row],[Credit.]]&gt;Table822[[#This Row],[Debit\]]),Table822[[#This Row],[Credit.]]-Table822[[#This Row],[Debit\]],""),"")</f>
        <v/>
      </c>
      <c r="AF160" s="34"/>
      <c r="AG160" s="34" t="str">
        <f>IFERROR(IF(AND(Table822[[#This Row],[Classification]]="Assets",Table822[[#This Row],[Debit\]]-Table822[[#This Row],[Credit.]]),Table822[[#This Row],[Debit\]]-Table822[[#This Row],[Credit.]],""),"")</f>
        <v/>
      </c>
      <c r="AH160" s="34" t="str">
        <f>IFERROR(IF(AND(OR(Table822[[#This Row],[Classification]]="Liabilities",Table822[[#This Row],[Classification]]="Owner´s Equity"),Table822[[#This Row],[Credit.]]&gt;Table822[[#This Row],[Debit\]]),Table822[[#This Row],[Credit.]]-Table822[[#This Row],[Debit\]],""),"")</f>
        <v/>
      </c>
    </row>
    <row r="161" spans="2:34" hidden="1" x14ac:dyDescent="0.25">
      <c r="B161" s="34"/>
      <c r="C161" s="45"/>
      <c r="D161" s="34"/>
      <c r="E161" s="34"/>
      <c r="G161" s="39"/>
      <c r="H161" s="43"/>
      <c r="I161" s="41"/>
      <c r="J161" s="41"/>
      <c r="L161" s="34">
        <v>154</v>
      </c>
      <c r="M161" s="35"/>
      <c r="N161" s="35"/>
      <c r="O161" s="34">
        <f>IFERROR(SUMIF(Table419[,],Table621[[#This Row],[Accounts Name]],Table419[,3]),"")</f>
        <v>0</v>
      </c>
      <c r="P161" s="34">
        <f>IFERROR(SUMIF(Table419[,],Table621[[#This Row],[Accounts Name]],Table419[,2]),"")</f>
        <v>0</v>
      </c>
      <c r="S161" s="36">
        <f t="shared" si="2"/>
        <v>154</v>
      </c>
      <c r="T161" s="34"/>
      <c r="U161" s="37"/>
      <c r="V161" s="34">
        <f>IFERROR(SUMIF(Table621[Sub-Accounts],Table822[[#This Row],[Update your chart of accounts here]],Table621[Debit]),"")</f>
        <v>0</v>
      </c>
      <c r="W161" s="34">
        <f>IFERROR(SUMIF(Table621[Sub-Accounts],Table822[[#This Row],[Update your chart of accounts here]],Table621[Credit]),"")</f>
        <v>0</v>
      </c>
      <c r="X161" s="34"/>
      <c r="Y161" s="34"/>
      <c r="Z161" s="34"/>
      <c r="AA161" s="34"/>
      <c r="AB161" s="34">
        <f>MAX(Table822[[#This Row],[Debit]]+Table822[[#This Row],[Debit -]]-Table822[[#This Row],[Credit]]-Table822[[#This Row],[Credit +]],0)</f>
        <v>0</v>
      </c>
      <c r="AC161" s="34">
        <f>MAX(Table822[[#This Row],[Credit]]-Table822[[#This Row],[Debit]]+Table822[[#This Row],[Credit +]]-Table822[[#This Row],[Debit -]],0)</f>
        <v>0</v>
      </c>
      <c r="AD161" s="34" t="str">
        <f>IFERROR(IF(AND(OR(Table822[[#This Row],[Classification]]="Expense",Table822[[#This Row],[Classification]]="Cost of Goods Sold"),Table822[[#This Row],[Debit\]]&gt;Table822[[#This Row],[Credit.]]),Table822[[#This Row],[Debit\]]-Table822[[#This Row],[Credit.]],""),"")</f>
        <v/>
      </c>
      <c r="AE161" s="34" t="str">
        <f>IFERROR(IF(AND(OR(Table822[[#This Row],[Classification]]="Income",Table822[[#This Row],[Classification]]="Cost of Goods Sold"),Table822[[#This Row],[Credit.]]&gt;Table822[[#This Row],[Debit\]]),Table822[[#This Row],[Credit.]]-Table822[[#This Row],[Debit\]],""),"")</f>
        <v/>
      </c>
      <c r="AF161" s="34"/>
      <c r="AG161" s="34" t="str">
        <f>IFERROR(IF(AND(Table822[[#This Row],[Classification]]="Assets",Table822[[#This Row],[Debit\]]-Table822[[#This Row],[Credit.]]),Table822[[#This Row],[Debit\]]-Table822[[#This Row],[Credit.]],""),"")</f>
        <v/>
      </c>
      <c r="AH161" s="34" t="str">
        <f>IFERROR(IF(AND(OR(Table822[[#This Row],[Classification]]="Liabilities",Table822[[#This Row],[Classification]]="Owner´s Equity"),Table822[[#This Row],[Credit.]]&gt;Table822[[#This Row],[Debit\]]),Table822[[#This Row],[Credit.]]-Table822[[#This Row],[Debit\]],""),"")</f>
        <v/>
      </c>
    </row>
    <row r="162" spans="2:34" hidden="1" x14ac:dyDescent="0.25">
      <c r="B162" s="34"/>
      <c r="C162" s="45"/>
      <c r="D162" s="34"/>
      <c r="E162" s="34"/>
      <c r="G162" s="39"/>
      <c r="H162" s="40"/>
      <c r="I162" s="41"/>
      <c r="J162" s="41"/>
      <c r="L162" s="34">
        <v>155</v>
      </c>
      <c r="M162" s="35"/>
      <c r="N162" s="35"/>
      <c r="O162" s="34">
        <f>IFERROR(SUMIF(Table419[,],Table621[[#This Row],[Accounts Name]],Table419[,3]),"")</f>
        <v>0</v>
      </c>
      <c r="P162" s="34">
        <f>IFERROR(SUMIF(Table419[,],Table621[[#This Row],[Accounts Name]],Table419[,2]),"")</f>
        <v>0</v>
      </c>
      <c r="S162" s="36">
        <f t="shared" si="2"/>
        <v>155</v>
      </c>
      <c r="T162" s="34"/>
      <c r="U162" s="37"/>
      <c r="V162" s="34">
        <f>IFERROR(SUMIF(Table621[Sub-Accounts],Table822[[#This Row],[Update your chart of accounts here]],Table621[Debit]),"")</f>
        <v>0</v>
      </c>
      <c r="W162" s="34">
        <f>IFERROR(SUMIF(Table621[Sub-Accounts],Table822[[#This Row],[Update your chart of accounts here]],Table621[Credit]),"")</f>
        <v>0</v>
      </c>
      <c r="X162" s="34"/>
      <c r="Y162" s="34"/>
      <c r="Z162" s="34"/>
      <c r="AA162" s="34"/>
      <c r="AB162" s="34">
        <f>MAX(Table822[[#This Row],[Debit]]+Table822[[#This Row],[Debit -]]-Table822[[#This Row],[Credit]]-Table822[[#This Row],[Credit +]],0)</f>
        <v>0</v>
      </c>
      <c r="AC162" s="34">
        <f>MAX(Table822[[#This Row],[Credit]]-Table822[[#This Row],[Debit]]+Table822[[#This Row],[Credit +]]-Table822[[#This Row],[Debit -]],0)</f>
        <v>0</v>
      </c>
      <c r="AD162" s="34" t="str">
        <f>IFERROR(IF(AND(OR(Table822[[#This Row],[Classification]]="Expense",Table822[[#This Row],[Classification]]="Cost of Goods Sold"),Table822[[#This Row],[Debit\]]&gt;Table822[[#This Row],[Credit.]]),Table822[[#This Row],[Debit\]]-Table822[[#This Row],[Credit.]],""),"")</f>
        <v/>
      </c>
      <c r="AE162" s="34" t="str">
        <f>IFERROR(IF(AND(OR(Table822[[#This Row],[Classification]]="Income",Table822[[#This Row],[Classification]]="Cost of Goods Sold"),Table822[[#This Row],[Credit.]]&gt;Table822[[#This Row],[Debit\]]),Table822[[#This Row],[Credit.]]-Table822[[#This Row],[Debit\]],""),"")</f>
        <v/>
      </c>
      <c r="AF162" s="34"/>
      <c r="AG162" s="34" t="str">
        <f>IFERROR(IF(AND(Table822[[#This Row],[Classification]]="Assets",Table822[[#This Row],[Debit\]]-Table822[[#This Row],[Credit.]]),Table822[[#This Row],[Debit\]]-Table822[[#This Row],[Credit.]],""),"")</f>
        <v/>
      </c>
      <c r="AH162" s="34" t="str">
        <f>IFERROR(IF(AND(OR(Table822[[#This Row],[Classification]]="Liabilities",Table822[[#This Row],[Classification]]="Owner´s Equity"),Table822[[#This Row],[Credit.]]&gt;Table822[[#This Row],[Debit\]]),Table822[[#This Row],[Credit.]]-Table822[[#This Row],[Debit\]],""),"")</f>
        <v/>
      </c>
    </row>
    <row r="163" spans="2:34" hidden="1" x14ac:dyDescent="0.25">
      <c r="B163" s="34"/>
      <c r="C163" s="45"/>
      <c r="D163" s="34"/>
      <c r="E163" s="34"/>
      <c r="G163" s="39"/>
      <c r="H163" s="40"/>
      <c r="I163" s="41"/>
      <c r="J163" s="41"/>
      <c r="L163" s="34">
        <v>156</v>
      </c>
      <c r="M163" s="35"/>
      <c r="N163" s="35"/>
      <c r="O163" s="34">
        <f>IFERROR(SUMIF(Table419[,],Table621[[#This Row],[Accounts Name]],Table419[,3]),"")</f>
        <v>0</v>
      </c>
      <c r="P163" s="34">
        <f>IFERROR(SUMIF(Table419[,],Table621[[#This Row],[Accounts Name]],Table419[,2]),"")</f>
        <v>0</v>
      </c>
      <c r="S163" s="36">
        <f t="shared" si="2"/>
        <v>156</v>
      </c>
      <c r="T163" s="34"/>
      <c r="U163" s="37"/>
      <c r="V163" s="34">
        <f>IFERROR(SUMIF(Table621[Sub-Accounts],Table822[[#This Row],[Update your chart of accounts here]],Table621[Debit]),"")</f>
        <v>0</v>
      </c>
      <c r="W163" s="34">
        <f>IFERROR(SUMIF(Table621[Sub-Accounts],Table822[[#This Row],[Update your chart of accounts here]],Table621[Credit]),"")</f>
        <v>0</v>
      </c>
      <c r="X163" s="34"/>
      <c r="Y163" s="34"/>
      <c r="Z163" s="34"/>
      <c r="AA163" s="34"/>
      <c r="AB163" s="34">
        <f>MAX(Table822[[#This Row],[Debit]]+Table822[[#This Row],[Debit -]]-Table822[[#This Row],[Credit]]-Table822[[#This Row],[Credit +]],0)</f>
        <v>0</v>
      </c>
      <c r="AC163" s="34">
        <f>MAX(Table822[[#This Row],[Credit]]-Table822[[#This Row],[Debit]]+Table822[[#This Row],[Credit +]]-Table822[[#This Row],[Debit -]],0)</f>
        <v>0</v>
      </c>
      <c r="AD163" s="34" t="str">
        <f>IFERROR(IF(AND(OR(Table822[[#This Row],[Classification]]="Expense",Table822[[#This Row],[Classification]]="Cost of Goods Sold"),Table822[[#This Row],[Debit\]]&gt;Table822[[#This Row],[Credit.]]),Table822[[#This Row],[Debit\]]-Table822[[#This Row],[Credit.]],""),"")</f>
        <v/>
      </c>
      <c r="AE163" s="34" t="str">
        <f>IFERROR(IF(AND(OR(Table822[[#This Row],[Classification]]="Income",Table822[[#This Row],[Classification]]="Cost of Goods Sold"),Table822[[#This Row],[Credit.]]&gt;Table822[[#This Row],[Debit\]]),Table822[[#This Row],[Credit.]]-Table822[[#This Row],[Debit\]],""),"")</f>
        <v/>
      </c>
      <c r="AF163" s="34"/>
      <c r="AG163" s="34" t="str">
        <f>IFERROR(IF(AND(Table822[[#This Row],[Classification]]="Assets",Table822[[#This Row],[Debit\]]-Table822[[#This Row],[Credit.]]),Table822[[#This Row],[Debit\]]-Table822[[#This Row],[Credit.]],""),"")</f>
        <v/>
      </c>
      <c r="AH163" s="34" t="str">
        <f>IFERROR(IF(AND(OR(Table822[[#This Row],[Classification]]="Liabilities",Table822[[#This Row],[Classification]]="Owner´s Equity"),Table822[[#This Row],[Credit.]]&gt;Table822[[#This Row],[Debit\]]),Table822[[#This Row],[Credit.]]-Table822[[#This Row],[Debit\]],""),"")</f>
        <v/>
      </c>
    </row>
    <row r="164" spans="2:34" hidden="1" x14ac:dyDescent="0.25">
      <c r="B164" s="34"/>
      <c r="C164" s="45"/>
      <c r="D164" s="34"/>
      <c r="E164" s="34"/>
      <c r="G164" s="39"/>
      <c r="H164" s="43"/>
      <c r="I164" s="41"/>
      <c r="J164" s="41"/>
      <c r="L164" s="34">
        <v>157</v>
      </c>
      <c r="M164" s="35"/>
      <c r="N164" s="35"/>
      <c r="O164" s="34">
        <f>IFERROR(SUMIF(Table419[,],Table621[[#This Row],[Accounts Name]],Table419[,3]),"")</f>
        <v>0</v>
      </c>
      <c r="P164" s="34">
        <f>IFERROR(SUMIF(Table419[,],Table621[[#This Row],[Accounts Name]],Table419[,2]),"")</f>
        <v>0</v>
      </c>
      <c r="S164" s="36">
        <f t="shared" si="2"/>
        <v>157</v>
      </c>
      <c r="T164" s="34"/>
      <c r="U164" s="37"/>
      <c r="V164" s="34">
        <f>IFERROR(SUMIF(Table621[Sub-Accounts],Table822[[#This Row],[Update your chart of accounts here]],Table621[Debit]),"")</f>
        <v>0</v>
      </c>
      <c r="W164" s="34">
        <f>IFERROR(SUMIF(Table621[Sub-Accounts],Table822[[#This Row],[Update your chart of accounts here]],Table621[Credit]),"")</f>
        <v>0</v>
      </c>
      <c r="X164" s="34"/>
      <c r="Y164" s="34"/>
      <c r="Z164" s="34"/>
      <c r="AA164" s="34"/>
      <c r="AB164" s="34">
        <f>MAX(Table822[[#This Row],[Debit]]+Table822[[#This Row],[Debit -]]-Table822[[#This Row],[Credit]]-Table822[[#This Row],[Credit +]],0)</f>
        <v>0</v>
      </c>
      <c r="AC164" s="34">
        <f>MAX(Table822[[#This Row],[Credit]]-Table822[[#This Row],[Debit]]+Table822[[#This Row],[Credit +]]-Table822[[#This Row],[Debit -]],0)</f>
        <v>0</v>
      </c>
      <c r="AD164" s="34" t="str">
        <f>IFERROR(IF(AND(OR(Table822[[#This Row],[Classification]]="Expense",Table822[[#This Row],[Classification]]="Cost of Goods Sold"),Table822[[#This Row],[Debit\]]&gt;Table822[[#This Row],[Credit.]]),Table822[[#This Row],[Debit\]]-Table822[[#This Row],[Credit.]],""),"")</f>
        <v/>
      </c>
      <c r="AE164" s="34" t="str">
        <f>IFERROR(IF(AND(OR(Table822[[#This Row],[Classification]]="Income",Table822[[#This Row],[Classification]]="Cost of Goods Sold"),Table822[[#This Row],[Credit.]]&gt;Table822[[#This Row],[Debit\]]),Table822[[#This Row],[Credit.]]-Table822[[#This Row],[Debit\]],""),"")</f>
        <v/>
      </c>
      <c r="AF164" s="34"/>
      <c r="AG164" s="34" t="str">
        <f>IFERROR(IF(AND(Table822[[#This Row],[Classification]]="Assets",Table822[[#This Row],[Debit\]]-Table822[[#This Row],[Credit.]]),Table822[[#This Row],[Debit\]]-Table822[[#This Row],[Credit.]],""),"")</f>
        <v/>
      </c>
      <c r="AH164" s="34" t="str">
        <f>IFERROR(IF(AND(OR(Table822[[#This Row],[Classification]]="Liabilities",Table822[[#This Row],[Classification]]="Owner´s Equity"),Table822[[#This Row],[Credit.]]&gt;Table822[[#This Row],[Debit\]]),Table822[[#This Row],[Credit.]]-Table822[[#This Row],[Debit\]],""),"")</f>
        <v/>
      </c>
    </row>
    <row r="165" spans="2:34" hidden="1" x14ac:dyDescent="0.25">
      <c r="B165" s="34"/>
      <c r="C165" s="45"/>
      <c r="D165" s="34"/>
      <c r="E165" s="34"/>
      <c r="G165" s="39"/>
      <c r="H165" s="40"/>
      <c r="I165" s="41"/>
      <c r="J165" s="41"/>
      <c r="L165" s="34">
        <v>158</v>
      </c>
      <c r="M165" s="35"/>
      <c r="N165" s="35"/>
      <c r="O165" s="34">
        <f>IFERROR(SUMIF(Table419[,],Table621[[#This Row],[Accounts Name]],Table419[,3]),"")</f>
        <v>0</v>
      </c>
      <c r="P165" s="34">
        <f>IFERROR(SUMIF(Table419[,],Table621[[#This Row],[Accounts Name]],Table419[,2]),"")</f>
        <v>0</v>
      </c>
      <c r="S165" s="36">
        <f t="shared" si="2"/>
        <v>158</v>
      </c>
      <c r="T165" s="34"/>
      <c r="U165" s="37"/>
      <c r="V165" s="34">
        <f>IFERROR(SUMIF(Table621[Sub-Accounts],Table822[[#This Row],[Update your chart of accounts here]],Table621[Debit]),"")</f>
        <v>0</v>
      </c>
      <c r="W165" s="34">
        <f>IFERROR(SUMIF(Table621[Sub-Accounts],Table822[[#This Row],[Update your chart of accounts here]],Table621[Credit]),"")</f>
        <v>0</v>
      </c>
      <c r="X165" s="34"/>
      <c r="Y165" s="34"/>
      <c r="Z165" s="34"/>
      <c r="AA165" s="34"/>
      <c r="AB165" s="34">
        <f>MAX(Table822[[#This Row],[Debit]]+Table822[[#This Row],[Debit -]]-Table822[[#This Row],[Credit]]-Table822[[#This Row],[Credit +]],0)</f>
        <v>0</v>
      </c>
      <c r="AC165" s="34">
        <f>MAX(Table822[[#This Row],[Credit]]-Table822[[#This Row],[Debit]]+Table822[[#This Row],[Credit +]]-Table822[[#This Row],[Debit -]],0)</f>
        <v>0</v>
      </c>
      <c r="AD165" s="34" t="str">
        <f>IFERROR(IF(AND(OR(Table822[[#This Row],[Classification]]="Expense",Table822[[#This Row],[Classification]]="Cost of Goods Sold"),Table822[[#This Row],[Debit\]]&gt;Table822[[#This Row],[Credit.]]),Table822[[#This Row],[Debit\]]-Table822[[#This Row],[Credit.]],""),"")</f>
        <v/>
      </c>
      <c r="AE165" s="34" t="str">
        <f>IFERROR(IF(AND(OR(Table822[[#This Row],[Classification]]="Income",Table822[[#This Row],[Classification]]="Cost of Goods Sold"),Table822[[#This Row],[Credit.]]&gt;Table822[[#This Row],[Debit\]]),Table822[[#This Row],[Credit.]]-Table822[[#This Row],[Debit\]],""),"")</f>
        <v/>
      </c>
      <c r="AF165" s="34"/>
      <c r="AG165" s="34" t="str">
        <f>IFERROR(IF(AND(Table822[[#This Row],[Classification]]="Assets",Table822[[#This Row],[Debit\]]-Table822[[#This Row],[Credit.]]),Table822[[#This Row],[Debit\]]-Table822[[#This Row],[Credit.]],""),"")</f>
        <v/>
      </c>
      <c r="AH165" s="34" t="str">
        <f>IFERROR(IF(AND(OR(Table822[[#This Row],[Classification]]="Liabilities",Table822[[#This Row],[Classification]]="Owner´s Equity"),Table822[[#This Row],[Credit.]]&gt;Table822[[#This Row],[Debit\]]),Table822[[#This Row],[Credit.]]-Table822[[#This Row],[Debit\]],""),"")</f>
        <v/>
      </c>
    </row>
    <row r="166" spans="2:34" hidden="1" x14ac:dyDescent="0.25">
      <c r="B166" s="34"/>
      <c r="C166" s="45"/>
      <c r="D166" s="34"/>
      <c r="E166" s="34"/>
      <c r="G166" s="39"/>
      <c r="H166" s="40"/>
      <c r="I166" s="41"/>
      <c r="J166" s="41"/>
      <c r="L166" s="34">
        <v>159</v>
      </c>
      <c r="M166" s="35"/>
      <c r="N166" s="35"/>
      <c r="O166" s="34">
        <f>IFERROR(SUMIF(Table419[,],Table621[[#This Row],[Accounts Name]],Table419[,3]),"")</f>
        <v>0</v>
      </c>
      <c r="P166" s="34">
        <f>IFERROR(SUMIF(Table419[,],Table621[[#This Row],[Accounts Name]],Table419[,2]),"")</f>
        <v>0</v>
      </c>
      <c r="S166" s="36">
        <f t="shared" si="2"/>
        <v>159</v>
      </c>
      <c r="T166" s="34"/>
      <c r="U166" s="37"/>
      <c r="V166" s="34">
        <f>IFERROR(SUMIF(Table621[Sub-Accounts],Table822[[#This Row],[Update your chart of accounts here]],Table621[Debit]),"")</f>
        <v>0</v>
      </c>
      <c r="W166" s="34">
        <f>IFERROR(SUMIF(Table621[Sub-Accounts],Table822[[#This Row],[Update your chart of accounts here]],Table621[Credit]),"")</f>
        <v>0</v>
      </c>
      <c r="X166" s="34"/>
      <c r="Y166" s="34"/>
      <c r="Z166" s="34"/>
      <c r="AA166" s="34"/>
      <c r="AB166" s="34">
        <f>MAX(Table822[[#This Row],[Debit]]+Table822[[#This Row],[Debit -]]-Table822[[#This Row],[Credit]]-Table822[[#This Row],[Credit +]],0)</f>
        <v>0</v>
      </c>
      <c r="AC166" s="34">
        <f>MAX(Table822[[#This Row],[Credit]]-Table822[[#This Row],[Debit]]+Table822[[#This Row],[Credit +]]-Table822[[#This Row],[Debit -]],0)</f>
        <v>0</v>
      </c>
      <c r="AD166" s="34" t="str">
        <f>IFERROR(IF(AND(OR(Table822[[#This Row],[Classification]]="Expense",Table822[[#This Row],[Classification]]="Cost of Goods Sold"),Table822[[#This Row],[Debit\]]&gt;Table822[[#This Row],[Credit.]]),Table822[[#This Row],[Debit\]]-Table822[[#This Row],[Credit.]],""),"")</f>
        <v/>
      </c>
      <c r="AE166" s="34" t="str">
        <f>IFERROR(IF(AND(OR(Table822[[#This Row],[Classification]]="Income",Table822[[#This Row],[Classification]]="Cost of Goods Sold"),Table822[[#This Row],[Credit.]]&gt;Table822[[#This Row],[Debit\]]),Table822[[#This Row],[Credit.]]-Table822[[#This Row],[Debit\]],""),"")</f>
        <v/>
      </c>
      <c r="AF166" s="34"/>
      <c r="AG166" s="34" t="str">
        <f>IFERROR(IF(AND(Table822[[#This Row],[Classification]]="Assets",Table822[[#This Row],[Debit\]]-Table822[[#This Row],[Credit.]]),Table822[[#This Row],[Debit\]]-Table822[[#This Row],[Credit.]],""),"")</f>
        <v/>
      </c>
      <c r="AH166" s="34" t="str">
        <f>IFERROR(IF(AND(OR(Table822[[#This Row],[Classification]]="Liabilities",Table822[[#This Row],[Classification]]="Owner´s Equity"),Table822[[#This Row],[Credit.]]&gt;Table822[[#This Row],[Debit\]]),Table822[[#This Row],[Credit.]]-Table822[[#This Row],[Debit\]],""),"")</f>
        <v/>
      </c>
    </row>
    <row r="167" spans="2:34" hidden="1" x14ac:dyDescent="0.25">
      <c r="B167" s="34"/>
      <c r="C167" s="45"/>
      <c r="D167" s="34"/>
      <c r="E167" s="34"/>
      <c r="G167" s="39"/>
      <c r="H167" s="43"/>
      <c r="I167" s="41"/>
      <c r="J167" s="41"/>
      <c r="L167" s="34">
        <v>160</v>
      </c>
      <c r="M167" s="35"/>
      <c r="N167" s="35"/>
      <c r="O167" s="34">
        <f>IFERROR(SUMIF(Table419[,],Table621[[#This Row],[Accounts Name]],Table419[,3]),"")</f>
        <v>0</v>
      </c>
      <c r="P167" s="34">
        <f>IFERROR(SUMIF(Table419[,],Table621[[#This Row],[Accounts Name]],Table419[,2]),"")</f>
        <v>0</v>
      </c>
      <c r="S167" s="36">
        <f t="shared" si="2"/>
        <v>160</v>
      </c>
      <c r="T167" s="34"/>
      <c r="U167" s="37"/>
      <c r="V167" s="34">
        <f>IFERROR(SUMIF(Table621[Sub-Accounts],Table822[[#This Row],[Update your chart of accounts here]],Table621[Debit]),"")</f>
        <v>0</v>
      </c>
      <c r="W167" s="34">
        <f>IFERROR(SUMIF(Table621[Sub-Accounts],Table822[[#This Row],[Update your chart of accounts here]],Table621[Credit]),"")</f>
        <v>0</v>
      </c>
      <c r="X167" s="34"/>
      <c r="Y167" s="34"/>
      <c r="Z167" s="34"/>
      <c r="AA167" s="34"/>
      <c r="AB167" s="34">
        <f>MAX(Table822[[#This Row],[Debit]]+Table822[[#This Row],[Debit -]]-Table822[[#This Row],[Credit]]-Table822[[#This Row],[Credit +]],0)</f>
        <v>0</v>
      </c>
      <c r="AC167" s="34">
        <f>MAX(Table822[[#This Row],[Credit]]-Table822[[#This Row],[Debit]]+Table822[[#This Row],[Credit +]]-Table822[[#This Row],[Debit -]],0)</f>
        <v>0</v>
      </c>
      <c r="AD167" s="34" t="str">
        <f>IFERROR(IF(AND(OR(Table822[[#This Row],[Classification]]="Expense",Table822[[#This Row],[Classification]]="Cost of Goods Sold"),Table822[[#This Row],[Debit\]]&gt;Table822[[#This Row],[Credit.]]),Table822[[#This Row],[Debit\]]-Table822[[#This Row],[Credit.]],""),"")</f>
        <v/>
      </c>
      <c r="AE167" s="34" t="str">
        <f>IFERROR(IF(AND(OR(Table822[[#This Row],[Classification]]="Income",Table822[[#This Row],[Classification]]="Cost of Goods Sold"),Table822[[#This Row],[Credit.]]&gt;Table822[[#This Row],[Debit\]]),Table822[[#This Row],[Credit.]]-Table822[[#This Row],[Debit\]],""),"")</f>
        <v/>
      </c>
      <c r="AF167" s="34"/>
      <c r="AG167" s="34" t="str">
        <f>IFERROR(IF(AND(Table822[[#This Row],[Classification]]="Assets",Table822[[#This Row],[Debit\]]-Table822[[#This Row],[Credit.]]),Table822[[#This Row],[Debit\]]-Table822[[#This Row],[Credit.]],""),"")</f>
        <v/>
      </c>
      <c r="AH167" s="34" t="str">
        <f>IFERROR(IF(AND(OR(Table822[[#This Row],[Classification]]="Liabilities",Table822[[#This Row],[Classification]]="Owner´s Equity"),Table822[[#This Row],[Credit.]]&gt;Table822[[#This Row],[Debit\]]),Table822[[#This Row],[Credit.]]-Table822[[#This Row],[Debit\]],""),"")</f>
        <v/>
      </c>
    </row>
    <row r="168" spans="2:34" hidden="1" x14ac:dyDescent="0.25">
      <c r="B168" s="34"/>
      <c r="C168" s="45"/>
      <c r="D168" s="34"/>
      <c r="E168" s="34"/>
      <c r="G168" s="39"/>
      <c r="H168" s="40"/>
      <c r="I168" s="41"/>
      <c r="J168" s="41"/>
      <c r="L168" s="34">
        <v>161</v>
      </c>
      <c r="M168" s="35"/>
      <c r="N168" s="35"/>
      <c r="O168" s="34">
        <f>IFERROR(SUMIF(Table419[,],Table621[[#This Row],[Accounts Name]],Table419[,3]),"")</f>
        <v>0</v>
      </c>
      <c r="P168" s="34">
        <f>IFERROR(SUMIF(Table419[,],Table621[[#This Row],[Accounts Name]],Table419[,2]),"")</f>
        <v>0</v>
      </c>
      <c r="S168" s="36">
        <f t="shared" si="2"/>
        <v>161</v>
      </c>
      <c r="T168" s="34"/>
      <c r="U168" s="37"/>
      <c r="V168" s="34">
        <f>IFERROR(SUMIF(Table621[Sub-Accounts],Table822[[#This Row],[Update your chart of accounts here]],Table621[Debit]),"")</f>
        <v>0</v>
      </c>
      <c r="W168" s="34">
        <f>IFERROR(SUMIF(Table621[Sub-Accounts],Table822[[#This Row],[Update your chart of accounts here]],Table621[Credit]),"")</f>
        <v>0</v>
      </c>
      <c r="X168" s="34"/>
      <c r="Y168" s="34"/>
      <c r="Z168" s="34"/>
      <c r="AA168" s="34"/>
      <c r="AB168" s="34">
        <f>MAX(Table822[[#This Row],[Debit]]+Table822[[#This Row],[Debit -]]-Table822[[#This Row],[Credit]]-Table822[[#This Row],[Credit +]],0)</f>
        <v>0</v>
      </c>
      <c r="AC168" s="34">
        <f>MAX(Table822[[#This Row],[Credit]]-Table822[[#This Row],[Debit]]+Table822[[#This Row],[Credit +]]-Table822[[#This Row],[Debit -]],0)</f>
        <v>0</v>
      </c>
      <c r="AD168" s="34" t="str">
        <f>IFERROR(IF(AND(OR(Table822[[#This Row],[Classification]]="Expense",Table822[[#This Row],[Classification]]="Cost of Goods Sold"),Table822[[#This Row],[Debit\]]&gt;Table822[[#This Row],[Credit.]]),Table822[[#This Row],[Debit\]]-Table822[[#This Row],[Credit.]],""),"")</f>
        <v/>
      </c>
      <c r="AE168" s="34" t="str">
        <f>IFERROR(IF(AND(OR(Table822[[#This Row],[Classification]]="Income",Table822[[#This Row],[Classification]]="Cost of Goods Sold"),Table822[[#This Row],[Credit.]]&gt;Table822[[#This Row],[Debit\]]),Table822[[#This Row],[Credit.]]-Table822[[#This Row],[Debit\]],""),"")</f>
        <v/>
      </c>
      <c r="AF168" s="34"/>
      <c r="AG168" s="34" t="str">
        <f>IFERROR(IF(AND(Table822[[#This Row],[Classification]]="Assets",Table822[[#This Row],[Debit\]]-Table822[[#This Row],[Credit.]]),Table822[[#This Row],[Debit\]]-Table822[[#This Row],[Credit.]],""),"")</f>
        <v/>
      </c>
      <c r="AH168" s="34" t="str">
        <f>IFERROR(IF(AND(OR(Table822[[#This Row],[Classification]]="Liabilities",Table822[[#This Row],[Classification]]="Owner´s Equity"),Table822[[#This Row],[Credit.]]&gt;Table822[[#This Row],[Debit\]]),Table822[[#This Row],[Credit.]]-Table822[[#This Row],[Debit\]],""),"")</f>
        <v/>
      </c>
    </row>
    <row r="169" spans="2:34" hidden="1" x14ac:dyDescent="0.25">
      <c r="B169" s="34"/>
      <c r="C169" s="45"/>
      <c r="D169" s="34"/>
      <c r="E169" s="34"/>
      <c r="G169" s="39"/>
      <c r="H169" s="40"/>
      <c r="I169" s="41"/>
      <c r="J169" s="41"/>
      <c r="L169" s="34">
        <v>162</v>
      </c>
      <c r="M169" s="35"/>
      <c r="N169" s="35"/>
      <c r="O169" s="34">
        <f>IFERROR(SUMIF(Table419[,],Table621[[#This Row],[Accounts Name]],Table419[,3]),"")</f>
        <v>0</v>
      </c>
      <c r="P169" s="34">
        <f>IFERROR(SUMIF(Table419[,],Table621[[#This Row],[Accounts Name]],Table419[,2]),"")</f>
        <v>0</v>
      </c>
      <c r="S169" s="36">
        <f t="shared" si="2"/>
        <v>162</v>
      </c>
      <c r="T169" s="34"/>
      <c r="U169" s="37"/>
      <c r="V169" s="34">
        <f>IFERROR(SUMIF(Table621[Sub-Accounts],Table822[[#This Row],[Update your chart of accounts here]],Table621[Debit]),"")</f>
        <v>0</v>
      </c>
      <c r="W169" s="34">
        <f>IFERROR(SUMIF(Table621[Sub-Accounts],Table822[[#This Row],[Update your chart of accounts here]],Table621[Credit]),"")</f>
        <v>0</v>
      </c>
      <c r="X169" s="34"/>
      <c r="Y169" s="34"/>
      <c r="Z169" s="34"/>
      <c r="AA169" s="34"/>
      <c r="AB169" s="34">
        <f>MAX(Table822[[#This Row],[Debit]]+Table822[[#This Row],[Debit -]]-Table822[[#This Row],[Credit]]-Table822[[#This Row],[Credit +]],0)</f>
        <v>0</v>
      </c>
      <c r="AC169" s="34">
        <f>MAX(Table822[[#This Row],[Credit]]-Table822[[#This Row],[Debit]]+Table822[[#This Row],[Credit +]]-Table822[[#This Row],[Debit -]],0)</f>
        <v>0</v>
      </c>
      <c r="AD169" s="34" t="str">
        <f>IFERROR(IF(AND(OR(Table822[[#This Row],[Classification]]="Expense",Table822[[#This Row],[Classification]]="Cost of Goods Sold"),Table822[[#This Row],[Debit\]]&gt;Table822[[#This Row],[Credit.]]),Table822[[#This Row],[Debit\]]-Table822[[#This Row],[Credit.]],""),"")</f>
        <v/>
      </c>
      <c r="AE169" s="34" t="str">
        <f>IFERROR(IF(AND(OR(Table822[[#This Row],[Classification]]="Income",Table822[[#This Row],[Classification]]="Cost of Goods Sold"),Table822[[#This Row],[Credit.]]&gt;Table822[[#This Row],[Debit\]]),Table822[[#This Row],[Credit.]]-Table822[[#This Row],[Debit\]],""),"")</f>
        <v/>
      </c>
      <c r="AF169" s="34"/>
      <c r="AG169" s="34" t="str">
        <f>IFERROR(IF(AND(Table822[[#This Row],[Classification]]="Assets",Table822[[#This Row],[Debit\]]-Table822[[#This Row],[Credit.]]),Table822[[#This Row],[Debit\]]-Table822[[#This Row],[Credit.]],""),"")</f>
        <v/>
      </c>
      <c r="AH169" s="34" t="str">
        <f>IFERROR(IF(AND(OR(Table822[[#This Row],[Classification]]="Liabilities",Table822[[#This Row],[Classification]]="Owner´s Equity"),Table822[[#This Row],[Credit.]]&gt;Table822[[#This Row],[Debit\]]),Table822[[#This Row],[Credit.]]-Table822[[#This Row],[Debit\]],""),"")</f>
        <v/>
      </c>
    </row>
    <row r="170" spans="2:34" hidden="1" x14ac:dyDescent="0.25">
      <c r="B170" s="34"/>
      <c r="C170" s="45"/>
      <c r="D170" s="34"/>
      <c r="E170" s="34"/>
      <c r="G170" s="39"/>
      <c r="H170" s="43"/>
      <c r="I170" s="41"/>
      <c r="J170" s="41"/>
      <c r="L170" s="34">
        <v>163</v>
      </c>
      <c r="M170" s="35"/>
      <c r="N170" s="35"/>
      <c r="O170" s="34">
        <f>IFERROR(SUMIF(Table419[,],Table621[[#This Row],[Accounts Name]],Table419[,3]),"")</f>
        <v>0</v>
      </c>
      <c r="P170" s="34">
        <f>IFERROR(SUMIF(Table419[,],Table621[[#This Row],[Accounts Name]],Table419[,2]),"")</f>
        <v>0</v>
      </c>
      <c r="S170" s="36">
        <f t="shared" si="2"/>
        <v>163</v>
      </c>
      <c r="T170" s="34"/>
      <c r="U170" s="37"/>
      <c r="V170" s="34">
        <f>IFERROR(SUMIF(Table621[Sub-Accounts],Table822[[#This Row],[Update your chart of accounts here]],Table621[Debit]),"")</f>
        <v>0</v>
      </c>
      <c r="W170" s="34">
        <f>IFERROR(SUMIF(Table621[Sub-Accounts],Table822[[#This Row],[Update your chart of accounts here]],Table621[Credit]),"")</f>
        <v>0</v>
      </c>
      <c r="X170" s="34"/>
      <c r="Y170" s="34"/>
      <c r="Z170" s="34"/>
      <c r="AA170" s="34"/>
      <c r="AB170" s="34">
        <f>MAX(Table822[[#This Row],[Debit]]+Table822[[#This Row],[Debit -]]-Table822[[#This Row],[Credit]]-Table822[[#This Row],[Credit +]],0)</f>
        <v>0</v>
      </c>
      <c r="AC170" s="34">
        <f>MAX(Table822[[#This Row],[Credit]]-Table822[[#This Row],[Debit]]+Table822[[#This Row],[Credit +]]-Table822[[#This Row],[Debit -]],0)</f>
        <v>0</v>
      </c>
      <c r="AD170" s="34" t="str">
        <f>IFERROR(IF(AND(OR(Table822[[#This Row],[Classification]]="Expense",Table822[[#This Row],[Classification]]="Cost of Goods Sold"),Table822[[#This Row],[Debit\]]&gt;Table822[[#This Row],[Credit.]]),Table822[[#This Row],[Debit\]]-Table822[[#This Row],[Credit.]],""),"")</f>
        <v/>
      </c>
      <c r="AE170" s="34" t="str">
        <f>IFERROR(IF(AND(OR(Table822[[#This Row],[Classification]]="Income",Table822[[#This Row],[Classification]]="Cost of Goods Sold"),Table822[[#This Row],[Credit.]]&gt;Table822[[#This Row],[Debit\]]),Table822[[#This Row],[Credit.]]-Table822[[#This Row],[Debit\]],""),"")</f>
        <v/>
      </c>
      <c r="AF170" s="34"/>
      <c r="AG170" s="34" t="str">
        <f>IFERROR(IF(AND(Table822[[#This Row],[Classification]]="Assets",Table822[[#This Row],[Debit\]]-Table822[[#This Row],[Credit.]]),Table822[[#This Row],[Debit\]]-Table822[[#This Row],[Credit.]],""),"")</f>
        <v/>
      </c>
      <c r="AH170" s="34" t="str">
        <f>IFERROR(IF(AND(OR(Table822[[#This Row],[Classification]]="Liabilities",Table822[[#This Row],[Classification]]="Owner´s Equity"),Table822[[#This Row],[Credit.]]&gt;Table822[[#This Row],[Debit\]]),Table822[[#This Row],[Credit.]]-Table822[[#This Row],[Debit\]],""),"")</f>
        <v/>
      </c>
    </row>
    <row r="171" spans="2:34" hidden="1" x14ac:dyDescent="0.25">
      <c r="B171" s="34"/>
      <c r="C171" s="45"/>
      <c r="D171" s="34"/>
      <c r="E171" s="34"/>
      <c r="G171" s="39"/>
      <c r="H171" s="40"/>
      <c r="I171" s="41"/>
      <c r="J171" s="41"/>
      <c r="L171" s="34">
        <v>164</v>
      </c>
      <c r="M171" s="35"/>
      <c r="N171" s="35"/>
      <c r="O171" s="34">
        <f>IFERROR(SUMIF(Table419[,],Table621[[#This Row],[Accounts Name]],Table419[,3]),"")</f>
        <v>0</v>
      </c>
      <c r="P171" s="34">
        <f>IFERROR(SUMIF(Table419[,],Table621[[#This Row],[Accounts Name]],Table419[,2]),"")</f>
        <v>0</v>
      </c>
      <c r="S171" s="36">
        <f t="shared" si="2"/>
        <v>164</v>
      </c>
      <c r="T171" s="34"/>
      <c r="U171" s="37"/>
      <c r="V171" s="34">
        <f>IFERROR(SUMIF(Table621[Sub-Accounts],Table822[[#This Row],[Update your chart of accounts here]],Table621[Debit]),"")</f>
        <v>0</v>
      </c>
      <c r="W171" s="34">
        <f>IFERROR(SUMIF(Table621[Sub-Accounts],Table822[[#This Row],[Update your chart of accounts here]],Table621[Credit]),"")</f>
        <v>0</v>
      </c>
      <c r="X171" s="34"/>
      <c r="Y171" s="34"/>
      <c r="Z171" s="34"/>
      <c r="AA171" s="34"/>
      <c r="AB171" s="34">
        <f>MAX(Table822[[#This Row],[Debit]]+Table822[[#This Row],[Debit -]]-Table822[[#This Row],[Credit]]-Table822[[#This Row],[Credit +]],0)</f>
        <v>0</v>
      </c>
      <c r="AC171" s="34">
        <f>MAX(Table822[[#This Row],[Credit]]-Table822[[#This Row],[Debit]]+Table822[[#This Row],[Credit +]]-Table822[[#This Row],[Debit -]],0)</f>
        <v>0</v>
      </c>
      <c r="AD171" s="34" t="str">
        <f>IFERROR(IF(AND(OR(Table822[[#This Row],[Classification]]="Expense",Table822[[#This Row],[Classification]]="Cost of Goods Sold"),Table822[[#This Row],[Debit\]]&gt;Table822[[#This Row],[Credit.]]),Table822[[#This Row],[Debit\]]-Table822[[#This Row],[Credit.]],""),"")</f>
        <v/>
      </c>
      <c r="AE171" s="34" t="str">
        <f>IFERROR(IF(AND(OR(Table822[[#This Row],[Classification]]="Income",Table822[[#This Row],[Classification]]="Cost of Goods Sold"),Table822[[#This Row],[Credit.]]&gt;Table822[[#This Row],[Debit\]]),Table822[[#This Row],[Credit.]]-Table822[[#This Row],[Debit\]],""),"")</f>
        <v/>
      </c>
      <c r="AF171" s="34"/>
      <c r="AG171" s="34" t="str">
        <f>IFERROR(IF(AND(Table822[[#This Row],[Classification]]="Assets",Table822[[#This Row],[Debit\]]-Table822[[#This Row],[Credit.]]),Table822[[#This Row],[Debit\]]-Table822[[#This Row],[Credit.]],""),"")</f>
        <v/>
      </c>
      <c r="AH171" s="34" t="str">
        <f>IFERROR(IF(AND(OR(Table822[[#This Row],[Classification]]="Liabilities",Table822[[#This Row],[Classification]]="Owner´s Equity"),Table822[[#This Row],[Credit.]]&gt;Table822[[#This Row],[Debit\]]),Table822[[#This Row],[Credit.]]-Table822[[#This Row],[Debit\]],""),"")</f>
        <v/>
      </c>
    </row>
    <row r="172" spans="2:34" hidden="1" x14ac:dyDescent="0.25">
      <c r="B172" s="34"/>
      <c r="C172" s="45"/>
      <c r="D172" s="34"/>
      <c r="E172" s="34"/>
      <c r="G172" s="39"/>
      <c r="H172" s="40"/>
      <c r="I172" s="41"/>
      <c r="J172" s="41"/>
      <c r="L172" s="34">
        <v>165</v>
      </c>
      <c r="M172" s="35"/>
      <c r="N172" s="35"/>
      <c r="O172" s="34">
        <f>IFERROR(SUMIF(Table419[,],Table621[[#This Row],[Accounts Name]],Table419[,3]),"")</f>
        <v>0</v>
      </c>
      <c r="P172" s="34">
        <f>IFERROR(SUMIF(Table419[,],Table621[[#This Row],[Accounts Name]],Table419[,2]),"")</f>
        <v>0</v>
      </c>
      <c r="S172" s="36">
        <f t="shared" si="2"/>
        <v>165</v>
      </c>
      <c r="T172" s="34"/>
      <c r="U172" s="37"/>
      <c r="V172" s="34">
        <f>IFERROR(SUMIF(Table621[Sub-Accounts],Table822[[#This Row],[Update your chart of accounts here]],Table621[Debit]),"")</f>
        <v>0</v>
      </c>
      <c r="W172" s="34">
        <f>IFERROR(SUMIF(Table621[Sub-Accounts],Table822[[#This Row],[Update your chart of accounts here]],Table621[Credit]),"")</f>
        <v>0</v>
      </c>
      <c r="X172" s="34"/>
      <c r="Y172" s="34"/>
      <c r="Z172" s="34"/>
      <c r="AA172" s="34"/>
      <c r="AB172" s="34">
        <f>MAX(Table822[[#This Row],[Debit]]+Table822[[#This Row],[Debit -]]-Table822[[#This Row],[Credit]]-Table822[[#This Row],[Credit +]],0)</f>
        <v>0</v>
      </c>
      <c r="AC172" s="34">
        <f>MAX(Table822[[#This Row],[Credit]]-Table822[[#This Row],[Debit]]+Table822[[#This Row],[Credit +]]-Table822[[#This Row],[Debit -]],0)</f>
        <v>0</v>
      </c>
      <c r="AD172" s="34" t="str">
        <f>IFERROR(IF(AND(OR(Table822[[#This Row],[Classification]]="Expense",Table822[[#This Row],[Classification]]="Cost of Goods Sold"),Table822[[#This Row],[Debit\]]&gt;Table822[[#This Row],[Credit.]]),Table822[[#This Row],[Debit\]]-Table822[[#This Row],[Credit.]],""),"")</f>
        <v/>
      </c>
      <c r="AE172" s="34" t="str">
        <f>IFERROR(IF(AND(OR(Table822[[#This Row],[Classification]]="Income",Table822[[#This Row],[Classification]]="Cost of Goods Sold"),Table822[[#This Row],[Credit.]]&gt;Table822[[#This Row],[Debit\]]),Table822[[#This Row],[Credit.]]-Table822[[#This Row],[Debit\]],""),"")</f>
        <v/>
      </c>
      <c r="AF172" s="34"/>
      <c r="AG172" s="34" t="str">
        <f>IFERROR(IF(AND(Table822[[#This Row],[Classification]]="Assets",Table822[[#This Row],[Debit\]]-Table822[[#This Row],[Credit.]]),Table822[[#This Row],[Debit\]]-Table822[[#This Row],[Credit.]],""),"")</f>
        <v/>
      </c>
      <c r="AH172" s="34" t="str">
        <f>IFERROR(IF(AND(OR(Table822[[#This Row],[Classification]]="Liabilities",Table822[[#This Row],[Classification]]="Owner´s Equity"),Table822[[#This Row],[Credit.]]&gt;Table822[[#This Row],[Debit\]]),Table822[[#This Row],[Credit.]]-Table822[[#This Row],[Debit\]],""),"")</f>
        <v/>
      </c>
    </row>
    <row r="173" spans="2:34" hidden="1" x14ac:dyDescent="0.25">
      <c r="B173" s="34"/>
      <c r="C173" s="45"/>
      <c r="D173" s="34"/>
      <c r="E173" s="34"/>
      <c r="G173" s="39"/>
      <c r="H173" s="43"/>
      <c r="I173" s="41"/>
      <c r="J173" s="41"/>
      <c r="L173" s="34">
        <v>166</v>
      </c>
      <c r="M173" s="35"/>
      <c r="N173" s="35"/>
      <c r="O173" s="34">
        <f>IFERROR(SUMIF(Table419[,],Table621[[#This Row],[Accounts Name]],Table419[,3]),"")</f>
        <v>0</v>
      </c>
      <c r="P173" s="34">
        <f>IFERROR(SUMIF(Table419[,],Table621[[#This Row],[Accounts Name]],Table419[,2]),"")</f>
        <v>0</v>
      </c>
      <c r="S173" s="36">
        <f t="shared" si="2"/>
        <v>166</v>
      </c>
      <c r="T173" s="34"/>
      <c r="U173" s="37"/>
      <c r="V173" s="34">
        <f>IFERROR(SUMIF(Table621[Sub-Accounts],Table822[[#This Row],[Update your chart of accounts here]],Table621[Debit]),"")</f>
        <v>0</v>
      </c>
      <c r="W173" s="34">
        <f>IFERROR(SUMIF(Table621[Sub-Accounts],Table822[[#This Row],[Update your chart of accounts here]],Table621[Credit]),"")</f>
        <v>0</v>
      </c>
      <c r="X173" s="34"/>
      <c r="Y173" s="34"/>
      <c r="Z173" s="34"/>
      <c r="AA173" s="34"/>
      <c r="AB173" s="34">
        <f>MAX(Table822[[#This Row],[Debit]]+Table822[[#This Row],[Debit -]]-Table822[[#This Row],[Credit]]-Table822[[#This Row],[Credit +]],0)</f>
        <v>0</v>
      </c>
      <c r="AC173" s="34">
        <f>MAX(Table822[[#This Row],[Credit]]-Table822[[#This Row],[Debit]]+Table822[[#This Row],[Credit +]]-Table822[[#This Row],[Debit -]],0)</f>
        <v>0</v>
      </c>
      <c r="AD173" s="34" t="str">
        <f>IFERROR(IF(AND(OR(Table822[[#This Row],[Classification]]="Expense",Table822[[#This Row],[Classification]]="Cost of Goods Sold"),Table822[[#This Row],[Debit\]]&gt;Table822[[#This Row],[Credit.]]),Table822[[#This Row],[Debit\]]-Table822[[#This Row],[Credit.]],""),"")</f>
        <v/>
      </c>
      <c r="AE173" s="34" t="str">
        <f>IFERROR(IF(AND(OR(Table822[[#This Row],[Classification]]="Income",Table822[[#This Row],[Classification]]="Cost of Goods Sold"),Table822[[#This Row],[Credit.]]&gt;Table822[[#This Row],[Debit\]]),Table822[[#This Row],[Credit.]]-Table822[[#This Row],[Debit\]],""),"")</f>
        <v/>
      </c>
      <c r="AF173" s="34"/>
      <c r="AG173" s="34" t="str">
        <f>IFERROR(IF(AND(Table822[[#This Row],[Classification]]="Assets",Table822[[#This Row],[Debit\]]-Table822[[#This Row],[Credit.]]),Table822[[#This Row],[Debit\]]-Table822[[#This Row],[Credit.]],""),"")</f>
        <v/>
      </c>
      <c r="AH173" s="34" t="str">
        <f>IFERROR(IF(AND(OR(Table822[[#This Row],[Classification]]="Liabilities",Table822[[#This Row],[Classification]]="Owner´s Equity"),Table822[[#This Row],[Credit.]]&gt;Table822[[#This Row],[Debit\]]),Table822[[#This Row],[Credit.]]-Table822[[#This Row],[Debit\]],""),"")</f>
        <v/>
      </c>
    </row>
    <row r="174" spans="2:34" hidden="1" x14ac:dyDescent="0.25">
      <c r="B174" s="34"/>
      <c r="C174" s="45"/>
      <c r="D174" s="34"/>
      <c r="E174" s="34"/>
      <c r="G174" s="39"/>
      <c r="H174" s="40"/>
      <c r="I174" s="41"/>
      <c r="J174" s="41"/>
      <c r="L174" s="34">
        <v>167</v>
      </c>
      <c r="M174" s="35"/>
      <c r="N174" s="35"/>
      <c r="O174" s="34">
        <f>IFERROR(SUMIF(Table419[,],Table621[[#This Row],[Accounts Name]],Table419[,3]),"")</f>
        <v>0</v>
      </c>
      <c r="P174" s="34">
        <f>IFERROR(SUMIF(Table419[,],Table621[[#This Row],[Accounts Name]],Table419[,2]),"")</f>
        <v>0</v>
      </c>
      <c r="S174" s="36">
        <f t="shared" si="2"/>
        <v>167</v>
      </c>
      <c r="T174" s="34"/>
      <c r="U174" s="37"/>
      <c r="V174" s="34">
        <f>IFERROR(SUMIF(Table621[Sub-Accounts],Table822[[#This Row],[Update your chart of accounts here]],Table621[Debit]),"")</f>
        <v>0</v>
      </c>
      <c r="W174" s="34">
        <f>IFERROR(SUMIF(Table621[Sub-Accounts],Table822[[#This Row],[Update your chart of accounts here]],Table621[Credit]),"")</f>
        <v>0</v>
      </c>
      <c r="X174" s="34"/>
      <c r="Y174" s="34"/>
      <c r="Z174" s="34"/>
      <c r="AA174" s="34"/>
      <c r="AB174" s="34">
        <f>MAX(Table822[[#This Row],[Debit]]+Table822[[#This Row],[Debit -]]-Table822[[#This Row],[Credit]]-Table822[[#This Row],[Credit +]],0)</f>
        <v>0</v>
      </c>
      <c r="AC174" s="34">
        <f>MAX(Table822[[#This Row],[Credit]]-Table822[[#This Row],[Debit]]+Table822[[#This Row],[Credit +]]-Table822[[#This Row],[Debit -]],0)</f>
        <v>0</v>
      </c>
      <c r="AD174" s="34" t="str">
        <f>IFERROR(IF(AND(OR(Table822[[#This Row],[Classification]]="Expense",Table822[[#This Row],[Classification]]="Cost of Goods Sold"),Table822[[#This Row],[Debit\]]&gt;Table822[[#This Row],[Credit.]]),Table822[[#This Row],[Debit\]]-Table822[[#This Row],[Credit.]],""),"")</f>
        <v/>
      </c>
      <c r="AE174" s="34" t="str">
        <f>IFERROR(IF(AND(OR(Table822[[#This Row],[Classification]]="Income",Table822[[#This Row],[Classification]]="Cost of Goods Sold"),Table822[[#This Row],[Credit.]]&gt;Table822[[#This Row],[Debit\]]),Table822[[#This Row],[Credit.]]-Table822[[#This Row],[Debit\]],""),"")</f>
        <v/>
      </c>
      <c r="AF174" s="34"/>
      <c r="AG174" s="34" t="str">
        <f>IFERROR(IF(AND(Table822[[#This Row],[Classification]]="Assets",Table822[[#This Row],[Debit\]]-Table822[[#This Row],[Credit.]]),Table822[[#This Row],[Debit\]]-Table822[[#This Row],[Credit.]],""),"")</f>
        <v/>
      </c>
      <c r="AH174" s="34" t="str">
        <f>IFERROR(IF(AND(OR(Table822[[#This Row],[Classification]]="Liabilities",Table822[[#This Row],[Classification]]="Owner´s Equity"),Table822[[#This Row],[Credit.]]&gt;Table822[[#This Row],[Debit\]]),Table822[[#This Row],[Credit.]]-Table822[[#This Row],[Debit\]],""),"")</f>
        <v/>
      </c>
    </row>
    <row r="175" spans="2:34" hidden="1" x14ac:dyDescent="0.25">
      <c r="B175" s="34"/>
      <c r="C175" s="45"/>
      <c r="D175" s="34"/>
      <c r="E175" s="34"/>
      <c r="G175" s="39"/>
      <c r="H175" s="40"/>
      <c r="I175" s="41"/>
      <c r="J175" s="41"/>
      <c r="L175" s="34">
        <v>168</v>
      </c>
      <c r="M175" s="35"/>
      <c r="N175" s="35"/>
      <c r="O175" s="34">
        <f>IFERROR(SUMIF(Table419[,],Table621[[#This Row],[Accounts Name]],Table419[,3]),"")</f>
        <v>0</v>
      </c>
      <c r="P175" s="34">
        <f>IFERROR(SUMIF(Table419[,],Table621[[#This Row],[Accounts Name]],Table419[,2]),"")</f>
        <v>0</v>
      </c>
      <c r="S175" s="36">
        <f t="shared" si="2"/>
        <v>168</v>
      </c>
      <c r="T175" s="34"/>
      <c r="U175" s="37"/>
      <c r="V175" s="34">
        <f>IFERROR(SUMIF(Table621[Sub-Accounts],Table822[[#This Row],[Update your chart of accounts here]],Table621[Debit]),"")</f>
        <v>0</v>
      </c>
      <c r="W175" s="34">
        <f>IFERROR(SUMIF(Table621[Sub-Accounts],Table822[[#This Row],[Update your chart of accounts here]],Table621[Credit]),"")</f>
        <v>0</v>
      </c>
      <c r="X175" s="34"/>
      <c r="Y175" s="34"/>
      <c r="Z175" s="34"/>
      <c r="AA175" s="34"/>
      <c r="AB175" s="34">
        <f>MAX(Table822[[#This Row],[Debit]]+Table822[[#This Row],[Debit -]]-Table822[[#This Row],[Credit]]-Table822[[#This Row],[Credit +]],0)</f>
        <v>0</v>
      </c>
      <c r="AC175" s="34">
        <f>MAX(Table822[[#This Row],[Credit]]-Table822[[#This Row],[Debit]]+Table822[[#This Row],[Credit +]]-Table822[[#This Row],[Debit -]],0)</f>
        <v>0</v>
      </c>
      <c r="AD175" s="34" t="str">
        <f>IFERROR(IF(AND(OR(Table822[[#This Row],[Classification]]="Expense",Table822[[#This Row],[Classification]]="Cost of Goods Sold"),Table822[[#This Row],[Debit\]]&gt;Table822[[#This Row],[Credit.]]),Table822[[#This Row],[Debit\]]-Table822[[#This Row],[Credit.]],""),"")</f>
        <v/>
      </c>
      <c r="AE175" s="34" t="str">
        <f>IFERROR(IF(AND(OR(Table822[[#This Row],[Classification]]="Income",Table822[[#This Row],[Classification]]="Cost of Goods Sold"),Table822[[#This Row],[Credit.]]&gt;Table822[[#This Row],[Debit\]]),Table822[[#This Row],[Credit.]]-Table822[[#This Row],[Debit\]],""),"")</f>
        <v/>
      </c>
      <c r="AF175" s="34"/>
      <c r="AG175" s="34" t="str">
        <f>IFERROR(IF(AND(Table822[[#This Row],[Classification]]="Assets",Table822[[#This Row],[Debit\]]-Table822[[#This Row],[Credit.]]),Table822[[#This Row],[Debit\]]-Table822[[#This Row],[Credit.]],""),"")</f>
        <v/>
      </c>
      <c r="AH175" s="34" t="str">
        <f>IFERROR(IF(AND(OR(Table822[[#This Row],[Classification]]="Liabilities",Table822[[#This Row],[Classification]]="Owner´s Equity"),Table822[[#This Row],[Credit.]]&gt;Table822[[#This Row],[Debit\]]),Table822[[#This Row],[Credit.]]-Table822[[#This Row],[Debit\]],""),"")</f>
        <v/>
      </c>
    </row>
    <row r="176" spans="2:34" hidden="1" x14ac:dyDescent="0.25">
      <c r="B176" s="34"/>
      <c r="C176" s="45"/>
      <c r="D176" s="34"/>
      <c r="E176" s="34"/>
      <c r="G176" s="39"/>
      <c r="H176" s="43"/>
      <c r="I176" s="41"/>
      <c r="J176" s="41"/>
      <c r="L176" s="34">
        <v>169</v>
      </c>
      <c r="M176" s="35"/>
      <c r="N176" s="35"/>
      <c r="O176" s="34">
        <f>IFERROR(SUMIF(Table419[,],Table621[[#This Row],[Accounts Name]],Table419[,3]),"")</f>
        <v>0</v>
      </c>
      <c r="P176" s="34">
        <f>IFERROR(SUMIF(Table419[,],Table621[[#This Row],[Accounts Name]],Table419[,2]),"")</f>
        <v>0</v>
      </c>
      <c r="S176" s="36">
        <f t="shared" si="2"/>
        <v>169</v>
      </c>
      <c r="T176" s="34"/>
      <c r="U176" s="37"/>
      <c r="V176" s="34">
        <f>IFERROR(SUMIF(Table621[Sub-Accounts],Table822[[#This Row],[Update your chart of accounts here]],Table621[Debit]),"")</f>
        <v>0</v>
      </c>
      <c r="W176" s="34">
        <f>IFERROR(SUMIF(Table621[Sub-Accounts],Table822[[#This Row],[Update your chart of accounts here]],Table621[Credit]),"")</f>
        <v>0</v>
      </c>
      <c r="X176" s="34"/>
      <c r="Y176" s="34"/>
      <c r="Z176" s="34"/>
      <c r="AA176" s="34"/>
      <c r="AB176" s="34">
        <f>MAX(Table822[[#This Row],[Debit]]+Table822[[#This Row],[Debit -]]-Table822[[#This Row],[Credit]]-Table822[[#This Row],[Credit +]],0)</f>
        <v>0</v>
      </c>
      <c r="AC176" s="34">
        <f>MAX(Table822[[#This Row],[Credit]]-Table822[[#This Row],[Debit]]+Table822[[#This Row],[Credit +]]-Table822[[#This Row],[Debit -]],0)</f>
        <v>0</v>
      </c>
      <c r="AD176" s="34" t="str">
        <f>IFERROR(IF(AND(OR(Table822[[#This Row],[Classification]]="Expense",Table822[[#This Row],[Classification]]="Cost of Goods Sold"),Table822[[#This Row],[Debit\]]&gt;Table822[[#This Row],[Credit.]]),Table822[[#This Row],[Debit\]]-Table822[[#This Row],[Credit.]],""),"")</f>
        <v/>
      </c>
      <c r="AE176" s="34" t="str">
        <f>IFERROR(IF(AND(OR(Table822[[#This Row],[Classification]]="Income",Table822[[#This Row],[Classification]]="Cost of Goods Sold"),Table822[[#This Row],[Credit.]]&gt;Table822[[#This Row],[Debit\]]),Table822[[#This Row],[Credit.]]-Table822[[#This Row],[Debit\]],""),"")</f>
        <v/>
      </c>
      <c r="AF176" s="34"/>
      <c r="AG176" s="34" t="str">
        <f>IFERROR(IF(AND(Table822[[#This Row],[Classification]]="Assets",Table822[[#This Row],[Debit\]]-Table822[[#This Row],[Credit.]]),Table822[[#This Row],[Debit\]]-Table822[[#This Row],[Credit.]],""),"")</f>
        <v/>
      </c>
      <c r="AH176" s="34" t="str">
        <f>IFERROR(IF(AND(OR(Table822[[#This Row],[Classification]]="Liabilities",Table822[[#This Row],[Classification]]="Owner´s Equity"),Table822[[#This Row],[Credit.]]&gt;Table822[[#This Row],[Debit\]]),Table822[[#This Row],[Credit.]]-Table822[[#This Row],[Debit\]],""),"")</f>
        <v/>
      </c>
    </row>
    <row r="177" spans="2:34" hidden="1" x14ac:dyDescent="0.25">
      <c r="B177" s="34"/>
      <c r="C177" s="45"/>
      <c r="D177" s="34"/>
      <c r="E177" s="34"/>
      <c r="G177" s="39"/>
      <c r="H177" s="40"/>
      <c r="I177" s="41"/>
      <c r="J177" s="41"/>
      <c r="L177" s="34">
        <v>170</v>
      </c>
      <c r="M177" s="35"/>
      <c r="N177" s="35"/>
      <c r="O177" s="34">
        <f>IFERROR(SUMIF(Table419[,],Table621[[#This Row],[Accounts Name]],Table419[,3]),"")</f>
        <v>0</v>
      </c>
      <c r="P177" s="34">
        <f>IFERROR(SUMIF(Table419[,],Table621[[#This Row],[Accounts Name]],Table419[,2]),"")</f>
        <v>0</v>
      </c>
      <c r="S177" s="36">
        <f t="shared" si="2"/>
        <v>170</v>
      </c>
      <c r="T177" s="34"/>
      <c r="U177" s="37"/>
      <c r="V177" s="34">
        <f>IFERROR(SUMIF(Table621[Sub-Accounts],Table822[[#This Row],[Update your chart of accounts here]],Table621[Debit]),"")</f>
        <v>0</v>
      </c>
      <c r="W177" s="34">
        <f>IFERROR(SUMIF(Table621[Sub-Accounts],Table822[[#This Row],[Update your chart of accounts here]],Table621[Credit]),"")</f>
        <v>0</v>
      </c>
      <c r="X177" s="34"/>
      <c r="Y177" s="34"/>
      <c r="Z177" s="34"/>
      <c r="AA177" s="34"/>
      <c r="AB177" s="34">
        <f>MAX(Table822[[#This Row],[Debit]]+Table822[[#This Row],[Debit -]]-Table822[[#This Row],[Credit]]-Table822[[#This Row],[Credit +]],0)</f>
        <v>0</v>
      </c>
      <c r="AC177" s="34">
        <f>MAX(Table822[[#This Row],[Credit]]-Table822[[#This Row],[Debit]]+Table822[[#This Row],[Credit +]]-Table822[[#This Row],[Debit -]],0)</f>
        <v>0</v>
      </c>
      <c r="AD177" s="34" t="str">
        <f>IFERROR(IF(AND(OR(Table822[[#This Row],[Classification]]="Expense",Table822[[#This Row],[Classification]]="Cost of Goods Sold"),Table822[[#This Row],[Debit\]]&gt;Table822[[#This Row],[Credit.]]),Table822[[#This Row],[Debit\]]-Table822[[#This Row],[Credit.]],""),"")</f>
        <v/>
      </c>
      <c r="AE177" s="34" t="str">
        <f>IFERROR(IF(AND(OR(Table822[[#This Row],[Classification]]="Income",Table822[[#This Row],[Classification]]="Cost of Goods Sold"),Table822[[#This Row],[Credit.]]&gt;Table822[[#This Row],[Debit\]]),Table822[[#This Row],[Credit.]]-Table822[[#This Row],[Debit\]],""),"")</f>
        <v/>
      </c>
      <c r="AF177" s="34"/>
      <c r="AG177" s="34" t="str">
        <f>IFERROR(IF(AND(Table822[[#This Row],[Classification]]="Assets",Table822[[#This Row],[Debit\]]-Table822[[#This Row],[Credit.]]),Table822[[#This Row],[Debit\]]-Table822[[#This Row],[Credit.]],""),"")</f>
        <v/>
      </c>
      <c r="AH177" s="34" t="str">
        <f>IFERROR(IF(AND(OR(Table822[[#This Row],[Classification]]="Liabilities",Table822[[#This Row],[Classification]]="Owner´s Equity"),Table822[[#This Row],[Credit.]]&gt;Table822[[#This Row],[Debit\]]),Table822[[#This Row],[Credit.]]-Table822[[#This Row],[Debit\]],""),"")</f>
        <v/>
      </c>
    </row>
    <row r="178" spans="2:34" hidden="1" x14ac:dyDescent="0.25">
      <c r="B178" s="34"/>
      <c r="C178" s="45"/>
      <c r="D178" s="34"/>
      <c r="E178" s="34"/>
      <c r="G178" s="39"/>
      <c r="H178" s="40"/>
      <c r="I178" s="41"/>
      <c r="J178" s="41"/>
      <c r="L178" s="34">
        <v>171</v>
      </c>
      <c r="M178" s="35"/>
      <c r="N178" s="35"/>
      <c r="O178" s="34">
        <f>IFERROR(SUMIF(Table419[,],Table621[[#This Row],[Accounts Name]],Table419[,3]),"")</f>
        <v>0</v>
      </c>
      <c r="P178" s="34">
        <f>IFERROR(SUMIF(Table419[,],Table621[[#This Row],[Accounts Name]],Table419[,2]),"")</f>
        <v>0</v>
      </c>
      <c r="S178" s="36">
        <f t="shared" si="2"/>
        <v>171</v>
      </c>
      <c r="T178" s="34"/>
      <c r="U178" s="37"/>
      <c r="V178" s="34">
        <f>IFERROR(SUMIF(Table621[Sub-Accounts],Table822[[#This Row],[Update your chart of accounts here]],Table621[Debit]),"")</f>
        <v>0</v>
      </c>
      <c r="W178" s="34">
        <f>IFERROR(SUMIF(Table621[Sub-Accounts],Table822[[#This Row],[Update your chart of accounts here]],Table621[Credit]),"")</f>
        <v>0</v>
      </c>
      <c r="X178" s="34"/>
      <c r="Y178" s="34"/>
      <c r="Z178" s="34"/>
      <c r="AA178" s="34"/>
      <c r="AB178" s="34">
        <f>MAX(Table822[[#This Row],[Debit]]+Table822[[#This Row],[Debit -]]-Table822[[#This Row],[Credit]]-Table822[[#This Row],[Credit +]],0)</f>
        <v>0</v>
      </c>
      <c r="AC178" s="34">
        <f>MAX(Table822[[#This Row],[Credit]]-Table822[[#This Row],[Debit]]+Table822[[#This Row],[Credit +]]-Table822[[#This Row],[Debit -]],0)</f>
        <v>0</v>
      </c>
      <c r="AD178" s="34" t="str">
        <f>IFERROR(IF(AND(OR(Table822[[#This Row],[Classification]]="Expense",Table822[[#This Row],[Classification]]="Cost of Goods Sold"),Table822[[#This Row],[Debit\]]&gt;Table822[[#This Row],[Credit.]]),Table822[[#This Row],[Debit\]]-Table822[[#This Row],[Credit.]],""),"")</f>
        <v/>
      </c>
      <c r="AE178" s="34" t="str">
        <f>IFERROR(IF(AND(OR(Table822[[#This Row],[Classification]]="Income",Table822[[#This Row],[Classification]]="Cost of Goods Sold"),Table822[[#This Row],[Credit.]]&gt;Table822[[#This Row],[Debit\]]),Table822[[#This Row],[Credit.]]-Table822[[#This Row],[Debit\]],""),"")</f>
        <v/>
      </c>
      <c r="AF178" s="34"/>
      <c r="AG178" s="34" t="str">
        <f>IFERROR(IF(AND(Table822[[#This Row],[Classification]]="Assets",Table822[[#This Row],[Debit\]]-Table822[[#This Row],[Credit.]]),Table822[[#This Row],[Debit\]]-Table822[[#This Row],[Credit.]],""),"")</f>
        <v/>
      </c>
      <c r="AH178" s="34" t="str">
        <f>IFERROR(IF(AND(OR(Table822[[#This Row],[Classification]]="Liabilities",Table822[[#This Row],[Classification]]="Owner´s Equity"),Table822[[#This Row],[Credit.]]&gt;Table822[[#This Row],[Debit\]]),Table822[[#This Row],[Credit.]]-Table822[[#This Row],[Debit\]],""),"")</f>
        <v/>
      </c>
    </row>
    <row r="179" spans="2:34" hidden="1" x14ac:dyDescent="0.25">
      <c r="B179" s="34"/>
      <c r="C179" s="45"/>
      <c r="D179" s="34"/>
      <c r="E179" s="34"/>
      <c r="G179" s="39"/>
      <c r="H179" s="43"/>
      <c r="I179" s="41"/>
      <c r="J179" s="41"/>
      <c r="L179" s="34">
        <v>172</v>
      </c>
      <c r="M179" s="35"/>
      <c r="N179" s="35"/>
      <c r="O179" s="34">
        <f>IFERROR(SUMIF(Table419[,],Table621[[#This Row],[Accounts Name]],Table419[,3]),"")</f>
        <v>0</v>
      </c>
      <c r="P179" s="34">
        <f>IFERROR(SUMIF(Table419[,],Table621[[#This Row],[Accounts Name]],Table419[,2]),"")</f>
        <v>0</v>
      </c>
      <c r="S179" s="36">
        <f t="shared" si="2"/>
        <v>172</v>
      </c>
      <c r="T179" s="34"/>
      <c r="U179" s="37"/>
      <c r="V179" s="34">
        <f>IFERROR(SUMIF(Table621[Sub-Accounts],Table822[[#This Row],[Update your chart of accounts here]],Table621[Debit]),"")</f>
        <v>0</v>
      </c>
      <c r="W179" s="34">
        <f>IFERROR(SUMIF(Table621[Sub-Accounts],Table822[[#This Row],[Update your chart of accounts here]],Table621[Credit]),"")</f>
        <v>0</v>
      </c>
      <c r="X179" s="34"/>
      <c r="Y179" s="34"/>
      <c r="Z179" s="34"/>
      <c r="AA179" s="34"/>
      <c r="AB179" s="34">
        <f>MAX(Table822[[#This Row],[Debit]]+Table822[[#This Row],[Debit -]]-Table822[[#This Row],[Credit]]-Table822[[#This Row],[Credit +]],0)</f>
        <v>0</v>
      </c>
      <c r="AC179" s="34">
        <f>MAX(Table822[[#This Row],[Credit]]-Table822[[#This Row],[Debit]]+Table822[[#This Row],[Credit +]]-Table822[[#This Row],[Debit -]],0)</f>
        <v>0</v>
      </c>
      <c r="AD179" s="34" t="str">
        <f>IFERROR(IF(AND(OR(Table822[[#This Row],[Classification]]="Expense",Table822[[#This Row],[Classification]]="Cost of Goods Sold"),Table822[[#This Row],[Debit\]]&gt;Table822[[#This Row],[Credit.]]),Table822[[#This Row],[Debit\]]-Table822[[#This Row],[Credit.]],""),"")</f>
        <v/>
      </c>
      <c r="AE179" s="34" t="str">
        <f>IFERROR(IF(AND(OR(Table822[[#This Row],[Classification]]="Income",Table822[[#This Row],[Classification]]="Cost of Goods Sold"),Table822[[#This Row],[Credit.]]&gt;Table822[[#This Row],[Debit\]]),Table822[[#This Row],[Credit.]]-Table822[[#This Row],[Debit\]],""),"")</f>
        <v/>
      </c>
      <c r="AF179" s="34"/>
      <c r="AG179" s="34" t="str">
        <f>IFERROR(IF(AND(Table822[[#This Row],[Classification]]="Assets",Table822[[#This Row],[Debit\]]-Table822[[#This Row],[Credit.]]),Table822[[#This Row],[Debit\]]-Table822[[#This Row],[Credit.]],""),"")</f>
        <v/>
      </c>
      <c r="AH179" s="34" t="str">
        <f>IFERROR(IF(AND(OR(Table822[[#This Row],[Classification]]="Liabilities",Table822[[#This Row],[Classification]]="Owner´s Equity"),Table822[[#This Row],[Credit.]]&gt;Table822[[#This Row],[Debit\]]),Table822[[#This Row],[Credit.]]-Table822[[#This Row],[Debit\]],""),"")</f>
        <v/>
      </c>
    </row>
    <row r="180" spans="2:34" hidden="1" x14ac:dyDescent="0.25">
      <c r="B180" s="34"/>
      <c r="C180" s="45"/>
      <c r="D180" s="34"/>
      <c r="E180" s="34"/>
      <c r="G180" s="39"/>
      <c r="H180" s="40"/>
      <c r="I180" s="41"/>
      <c r="J180" s="41"/>
      <c r="L180" s="34">
        <v>173</v>
      </c>
      <c r="M180" s="35"/>
      <c r="N180" s="35"/>
      <c r="O180" s="34">
        <f>IFERROR(SUMIF(Table419[,],Table621[[#This Row],[Accounts Name]],Table419[,3]),"")</f>
        <v>0</v>
      </c>
      <c r="P180" s="34">
        <f>IFERROR(SUMIF(Table419[,],Table621[[#This Row],[Accounts Name]],Table419[,2]),"")</f>
        <v>0</v>
      </c>
      <c r="S180" s="36">
        <f t="shared" si="2"/>
        <v>173</v>
      </c>
      <c r="T180" s="34"/>
      <c r="U180" s="37"/>
      <c r="V180" s="34">
        <f>IFERROR(SUMIF(Table621[Sub-Accounts],Table822[[#This Row],[Update your chart of accounts here]],Table621[Debit]),"")</f>
        <v>0</v>
      </c>
      <c r="W180" s="34">
        <f>IFERROR(SUMIF(Table621[Sub-Accounts],Table822[[#This Row],[Update your chart of accounts here]],Table621[Credit]),"")</f>
        <v>0</v>
      </c>
      <c r="X180" s="34"/>
      <c r="Y180" s="34"/>
      <c r="Z180" s="34"/>
      <c r="AA180" s="34"/>
      <c r="AB180" s="34">
        <f>MAX(Table822[[#This Row],[Debit]]+Table822[[#This Row],[Debit -]]-Table822[[#This Row],[Credit]]-Table822[[#This Row],[Credit +]],0)</f>
        <v>0</v>
      </c>
      <c r="AC180" s="34">
        <f>MAX(Table822[[#This Row],[Credit]]-Table822[[#This Row],[Debit]]+Table822[[#This Row],[Credit +]]-Table822[[#This Row],[Debit -]],0)</f>
        <v>0</v>
      </c>
      <c r="AD180" s="34" t="str">
        <f>IFERROR(IF(AND(OR(Table822[[#This Row],[Classification]]="Expense",Table822[[#This Row],[Classification]]="Cost of Goods Sold"),Table822[[#This Row],[Debit\]]&gt;Table822[[#This Row],[Credit.]]),Table822[[#This Row],[Debit\]]-Table822[[#This Row],[Credit.]],""),"")</f>
        <v/>
      </c>
      <c r="AE180" s="34" t="str">
        <f>IFERROR(IF(AND(OR(Table822[[#This Row],[Classification]]="Income",Table822[[#This Row],[Classification]]="Cost of Goods Sold"),Table822[[#This Row],[Credit.]]&gt;Table822[[#This Row],[Debit\]]),Table822[[#This Row],[Credit.]]-Table822[[#This Row],[Debit\]],""),"")</f>
        <v/>
      </c>
      <c r="AF180" s="34"/>
      <c r="AG180" s="34" t="str">
        <f>IFERROR(IF(AND(Table822[[#This Row],[Classification]]="Assets",Table822[[#This Row],[Debit\]]-Table822[[#This Row],[Credit.]]),Table822[[#This Row],[Debit\]]-Table822[[#This Row],[Credit.]],""),"")</f>
        <v/>
      </c>
      <c r="AH180" s="34" t="str">
        <f>IFERROR(IF(AND(OR(Table822[[#This Row],[Classification]]="Liabilities",Table822[[#This Row],[Classification]]="Owner´s Equity"),Table822[[#This Row],[Credit.]]&gt;Table822[[#This Row],[Debit\]]),Table822[[#This Row],[Credit.]]-Table822[[#This Row],[Debit\]],""),"")</f>
        <v/>
      </c>
    </row>
    <row r="181" spans="2:34" hidden="1" x14ac:dyDescent="0.25">
      <c r="B181" s="34"/>
      <c r="C181" s="45"/>
      <c r="D181" s="34"/>
      <c r="E181" s="34"/>
      <c r="G181" s="39"/>
      <c r="H181" s="40"/>
      <c r="I181" s="41"/>
      <c r="J181" s="41"/>
      <c r="L181" s="34">
        <v>174</v>
      </c>
      <c r="M181" s="35"/>
      <c r="N181" s="35"/>
      <c r="O181" s="34">
        <f>IFERROR(SUMIF(Table419[,],Table621[[#This Row],[Accounts Name]],Table419[,3]),"")</f>
        <v>0</v>
      </c>
      <c r="P181" s="34">
        <f>IFERROR(SUMIF(Table419[,],Table621[[#This Row],[Accounts Name]],Table419[,2]),"")</f>
        <v>0</v>
      </c>
      <c r="S181" s="36">
        <f t="shared" si="2"/>
        <v>174</v>
      </c>
      <c r="T181" s="34"/>
      <c r="U181" s="37"/>
      <c r="V181" s="34">
        <f>IFERROR(SUMIF(Table621[Sub-Accounts],Table822[[#This Row],[Update your chart of accounts here]],Table621[Debit]),"")</f>
        <v>0</v>
      </c>
      <c r="W181" s="34">
        <f>IFERROR(SUMIF(Table621[Sub-Accounts],Table822[[#This Row],[Update your chart of accounts here]],Table621[Credit]),"")</f>
        <v>0</v>
      </c>
      <c r="X181" s="34"/>
      <c r="Y181" s="34"/>
      <c r="Z181" s="34"/>
      <c r="AA181" s="34"/>
      <c r="AB181" s="34">
        <f>MAX(Table822[[#This Row],[Debit]]+Table822[[#This Row],[Debit -]]-Table822[[#This Row],[Credit]]-Table822[[#This Row],[Credit +]],0)</f>
        <v>0</v>
      </c>
      <c r="AC181" s="34">
        <f>MAX(Table822[[#This Row],[Credit]]-Table822[[#This Row],[Debit]]+Table822[[#This Row],[Credit +]]-Table822[[#This Row],[Debit -]],0)</f>
        <v>0</v>
      </c>
      <c r="AD181" s="34" t="str">
        <f>IFERROR(IF(AND(OR(Table822[[#This Row],[Classification]]="Expense",Table822[[#This Row],[Classification]]="Cost of Goods Sold"),Table822[[#This Row],[Debit\]]&gt;Table822[[#This Row],[Credit.]]),Table822[[#This Row],[Debit\]]-Table822[[#This Row],[Credit.]],""),"")</f>
        <v/>
      </c>
      <c r="AE181" s="34" t="str">
        <f>IFERROR(IF(AND(OR(Table822[[#This Row],[Classification]]="Income",Table822[[#This Row],[Classification]]="Cost of Goods Sold"),Table822[[#This Row],[Credit.]]&gt;Table822[[#This Row],[Debit\]]),Table822[[#This Row],[Credit.]]-Table822[[#This Row],[Debit\]],""),"")</f>
        <v/>
      </c>
      <c r="AF181" s="34"/>
      <c r="AG181" s="34" t="str">
        <f>IFERROR(IF(AND(Table822[[#This Row],[Classification]]="Assets",Table822[[#This Row],[Debit\]]-Table822[[#This Row],[Credit.]]),Table822[[#This Row],[Debit\]]-Table822[[#This Row],[Credit.]],""),"")</f>
        <v/>
      </c>
      <c r="AH181" s="34" t="str">
        <f>IFERROR(IF(AND(OR(Table822[[#This Row],[Classification]]="Liabilities",Table822[[#This Row],[Classification]]="Owner´s Equity"),Table822[[#This Row],[Credit.]]&gt;Table822[[#This Row],[Debit\]]),Table822[[#This Row],[Credit.]]-Table822[[#This Row],[Debit\]],""),"")</f>
        <v/>
      </c>
    </row>
    <row r="182" spans="2:34" hidden="1" x14ac:dyDescent="0.25">
      <c r="B182" s="34"/>
      <c r="C182" s="45"/>
      <c r="D182" s="34"/>
      <c r="E182" s="34"/>
      <c r="G182" s="39"/>
      <c r="H182" s="43"/>
      <c r="I182" s="41"/>
      <c r="J182" s="41"/>
      <c r="L182" s="34">
        <v>175</v>
      </c>
      <c r="M182" s="35"/>
      <c r="N182" s="35"/>
      <c r="O182" s="34">
        <f>IFERROR(SUMIF(Table419[,],Table621[[#This Row],[Accounts Name]],Table419[,3]),"")</f>
        <v>0</v>
      </c>
      <c r="P182" s="34">
        <f>IFERROR(SUMIF(Table419[,],Table621[[#This Row],[Accounts Name]],Table419[,2]),"")</f>
        <v>0</v>
      </c>
      <c r="S182" s="36">
        <f t="shared" si="2"/>
        <v>175</v>
      </c>
      <c r="T182" s="34"/>
      <c r="U182" s="37"/>
      <c r="V182" s="34">
        <f>IFERROR(SUMIF(Table621[Sub-Accounts],Table822[[#This Row],[Update your chart of accounts here]],Table621[Debit]),"")</f>
        <v>0</v>
      </c>
      <c r="W182" s="34">
        <f>IFERROR(SUMIF(Table621[Sub-Accounts],Table822[[#This Row],[Update your chart of accounts here]],Table621[Credit]),"")</f>
        <v>0</v>
      </c>
      <c r="X182" s="34"/>
      <c r="Y182" s="34"/>
      <c r="Z182" s="34"/>
      <c r="AA182" s="34"/>
      <c r="AB182" s="34">
        <f>MAX(Table822[[#This Row],[Debit]]+Table822[[#This Row],[Debit -]]-Table822[[#This Row],[Credit]]-Table822[[#This Row],[Credit +]],0)</f>
        <v>0</v>
      </c>
      <c r="AC182" s="34">
        <f>MAX(Table822[[#This Row],[Credit]]-Table822[[#This Row],[Debit]]+Table822[[#This Row],[Credit +]]-Table822[[#This Row],[Debit -]],0)</f>
        <v>0</v>
      </c>
      <c r="AD182" s="34" t="str">
        <f>IFERROR(IF(AND(OR(Table822[[#This Row],[Classification]]="Expense",Table822[[#This Row],[Classification]]="Cost of Goods Sold"),Table822[[#This Row],[Debit\]]&gt;Table822[[#This Row],[Credit.]]),Table822[[#This Row],[Debit\]]-Table822[[#This Row],[Credit.]],""),"")</f>
        <v/>
      </c>
      <c r="AE182" s="34" t="str">
        <f>IFERROR(IF(AND(OR(Table822[[#This Row],[Classification]]="Income",Table822[[#This Row],[Classification]]="Cost of Goods Sold"),Table822[[#This Row],[Credit.]]&gt;Table822[[#This Row],[Debit\]]),Table822[[#This Row],[Credit.]]-Table822[[#This Row],[Debit\]],""),"")</f>
        <v/>
      </c>
      <c r="AF182" s="34"/>
      <c r="AG182" s="34" t="str">
        <f>IFERROR(IF(AND(Table822[[#This Row],[Classification]]="Assets",Table822[[#This Row],[Debit\]]-Table822[[#This Row],[Credit.]]),Table822[[#This Row],[Debit\]]-Table822[[#This Row],[Credit.]],""),"")</f>
        <v/>
      </c>
      <c r="AH182" s="34" t="str">
        <f>IFERROR(IF(AND(OR(Table822[[#This Row],[Classification]]="Liabilities",Table822[[#This Row],[Classification]]="Owner´s Equity"),Table822[[#This Row],[Credit.]]&gt;Table822[[#This Row],[Debit\]]),Table822[[#This Row],[Credit.]]-Table822[[#This Row],[Debit\]],""),"")</f>
        <v/>
      </c>
    </row>
    <row r="183" spans="2:34" hidden="1" x14ac:dyDescent="0.25">
      <c r="B183" s="34"/>
      <c r="C183" s="45"/>
      <c r="D183" s="34"/>
      <c r="E183" s="34"/>
      <c r="G183" s="39"/>
      <c r="H183" s="40"/>
      <c r="I183" s="41"/>
      <c r="J183" s="41"/>
      <c r="L183" s="34">
        <v>176</v>
      </c>
      <c r="M183" s="35"/>
      <c r="N183" s="35"/>
      <c r="O183" s="34">
        <f>IFERROR(SUMIF(Table419[,],Table621[[#This Row],[Accounts Name]],Table419[,3]),"")</f>
        <v>0</v>
      </c>
      <c r="P183" s="34">
        <f>IFERROR(SUMIF(Table419[,],Table621[[#This Row],[Accounts Name]],Table419[,2]),"")</f>
        <v>0</v>
      </c>
      <c r="S183" s="36">
        <f t="shared" si="2"/>
        <v>176</v>
      </c>
      <c r="T183" s="34"/>
      <c r="U183" s="37"/>
      <c r="V183" s="34">
        <f>IFERROR(SUMIF(Table621[Sub-Accounts],Table822[[#This Row],[Update your chart of accounts here]],Table621[Debit]),"")</f>
        <v>0</v>
      </c>
      <c r="W183" s="34">
        <f>IFERROR(SUMIF(Table621[Sub-Accounts],Table822[[#This Row],[Update your chart of accounts here]],Table621[Credit]),"")</f>
        <v>0</v>
      </c>
      <c r="X183" s="34"/>
      <c r="Y183" s="34"/>
      <c r="Z183" s="34"/>
      <c r="AA183" s="34"/>
      <c r="AB183" s="34">
        <f>MAX(Table822[[#This Row],[Debit]]+Table822[[#This Row],[Debit -]]-Table822[[#This Row],[Credit]]-Table822[[#This Row],[Credit +]],0)</f>
        <v>0</v>
      </c>
      <c r="AC183" s="34">
        <f>MAX(Table822[[#This Row],[Credit]]-Table822[[#This Row],[Debit]]+Table822[[#This Row],[Credit +]]-Table822[[#This Row],[Debit -]],0)</f>
        <v>0</v>
      </c>
      <c r="AD183" s="34" t="str">
        <f>IFERROR(IF(AND(OR(Table822[[#This Row],[Classification]]="Expense",Table822[[#This Row],[Classification]]="Cost of Goods Sold"),Table822[[#This Row],[Debit\]]&gt;Table822[[#This Row],[Credit.]]),Table822[[#This Row],[Debit\]]-Table822[[#This Row],[Credit.]],""),"")</f>
        <v/>
      </c>
      <c r="AE183" s="34" t="str">
        <f>IFERROR(IF(AND(OR(Table822[[#This Row],[Classification]]="Income",Table822[[#This Row],[Classification]]="Cost of Goods Sold"),Table822[[#This Row],[Credit.]]&gt;Table822[[#This Row],[Debit\]]),Table822[[#This Row],[Credit.]]-Table822[[#This Row],[Debit\]],""),"")</f>
        <v/>
      </c>
      <c r="AF183" s="34"/>
      <c r="AG183" s="34" t="str">
        <f>IFERROR(IF(AND(Table822[[#This Row],[Classification]]="Assets",Table822[[#This Row],[Debit\]]-Table822[[#This Row],[Credit.]]),Table822[[#This Row],[Debit\]]-Table822[[#This Row],[Credit.]],""),"")</f>
        <v/>
      </c>
      <c r="AH183" s="34" t="str">
        <f>IFERROR(IF(AND(OR(Table822[[#This Row],[Classification]]="Liabilities",Table822[[#This Row],[Classification]]="Owner´s Equity"),Table822[[#This Row],[Credit.]]&gt;Table822[[#This Row],[Debit\]]),Table822[[#This Row],[Credit.]]-Table822[[#This Row],[Debit\]],""),"")</f>
        <v/>
      </c>
    </row>
    <row r="184" spans="2:34" hidden="1" x14ac:dyDescent="0.25">
      <c r="B184" s="34"/>
      <c r="C184" s="45"/>
      <c r="D184" s="34"/>
      <c r="E184" s="34"/>
      <c r="G184" s="39"/>
      <c r="H184" s="40"/>
      <c r="I184" s="41"/>
      <c r="J184" s="41"/>
      <c r="L184" s="34">
        <v>177</v>
      </c>
      <c r="M184" s="35"/>
      <c r="N184" s="35"/>
      <c r="O184" s="34">
        <f>IFERROR(SUMIF(Table419[,],Table621[[#This Row],[Accounts Name]],Table419[,3]),"")</f>
        <v>0</v>
      </c>
      <c r="P184" s="34">
        <f>IFERROR(SUMIF(Table419[,],Table621[[#This Row],[Accounts Name]],Table419[,2]),"")</f>
        <v>0</v>
      </c>
      <c r="S184" s="36">
        <f t="shared" si="2"/>
        <v>177</v>
      </c>
      <c r="T184" s="34"/>
      <c r="U184" s="37"/>
      <c r="V184" s="34">
        <f>IFERROR(SUMIF(Table621[Sub-Accounts],Table822[[#This Row],[Update your chart of accounts here]],Table621[Debit]),"")</f>
        <v>0</v>
      </c>
      <c r="W184" s="34">
        <f>IFERROR(SUMIF(Table621[Sub-Accounts],Table822[[#This Row],[Update your chart of accounts here]],Table621[Credit]),"")</f>
        <v>0</v>
      </c>
      <c r="X184" s="34"/>
      <c r="Y184" s="34"/>
      <c r="Z184" s="34"/>
      <c r="AA184" s="34"/>
      <c r="AB184" s="34">
        <f>MAX(Table822[[#This Row],[Debit]]+Table822[[#This Row],[Debit -]]-Table822[[#This Row],[Credit]]-Table822[[#This Row],[Credit +]],0)</f>
        <v>0</v>
      </c>
      <c r="AC184" s="34">
        <f>MAX(Table822[[#This Row],[Credit]]-Table822[[#This Row],[Debit]]+Table822[[#This Row],[Credit +]]-Table822[[#This Row],[Debit -]],0)</f>
        <v>0</v>
      </c>
      <c r="AD184" s="34" t="str">
        <f>IFERROR(IF(AND(OR(Table822[[#This Row],[Classification]]="Expense",Table822[[#This Row],[Classification]]="Cost of Goods Sold"),Table822[[#This Row],[Debit\]]&gt;Table822[[#This Row],[Credit.]]),Table822[[#This Row],[Debit\]]-Table822[[#This Row],[Credit.]],""),"")</f>
        <v/>
      </c>
      <c r="AE184" s="34" t="str">
        <f>IFERROR(IF(AND(OR(Table822[[#This Row],[Classification]]="Income",Table822[[#This Row],[Classification]]="Cost of Goods Sold"),Table822[[#This Row],[Credit.]]&gt;Table822[[#This Row],[Debit\]]),Table822[[#This Row],[Credit.]]-Table822[[#This Row],[Debit\]],""),"")</f>
        <v/>
      </c>
      <c r="AF184" s="34"/>
      <c r="AG184" s="34" t="str">
        <f>IFERROR(IF(AND(Table822[[#This Row],[Classification]]="Assets",Table822[[#This Row],[Debit\]]-Table822[[#This Row],[Credit.]]),Table822[[#This Row],[Debit\]]-Table822[[#This Row],[Credit.]],""),"")</f>
        <v/>
      </c>
      <c r="AH184" s="34" t="str">
        <f>IFERROR(IF(AND(OR(Table822[[#This Row],[Classification]]="Liabilities",Table822[[#This Row],[Classification]]="Owner´s Equity"),Table822[[#This Row],[Credit.]]&gt;Table822[[#This Row],[Debit\]]),Table822[[#This Row],[Credit.]]-Table822[[#This Row],[Debit\]],""),"")</f>
        <v/>
      </c>
    </row>
    <row r="185" spans="2:34" hidden="1" x14ac:dyDescent="0.25">
      <c r="B185" s="34"/>
      <c r="C185" s="45"/>
      <c r="D185" s="34"/>
      <c r="E185" s="34"/>
      <c r="G185" s="39"/>
      <c r="H185" s="43"/>
      <c r="I185" s="41"/>
      <c r="J185" s="41"/>
      <c r="L185" s="34">
        <v>178</v>
      </c>
      <c r="M185" s="35"/>
      <c r="N185" s="35"/>
      <c r="O185" s="34">
        <f>IFERROR(SUMIF(Table419[,],Table621[[#This Row],[Accounts Name]],Table419[,3]),"")</f>
        <v>0</v>
      </c>
      <c r="P185" s="34">
        <f>IFERROR(SUMIF(Table419[,],Table621[[#This Row],[Accounts Name]],Table419[,2]),"")</f>
        <v>0</v>
      </c>
      <c r="S185" s="36">
        <f t="shared" si="2"/>
        <v>178</v>
      </c>
      <c r="T185" s="34"/>
      <c r="U185" s="37"/>
      <c r="V185" s="34">
        <f>IFERROR(SUMIF(Table621[Sub-Accounts],Table822[[#This Row],[Update your chart of accounts here]],Table621[Debit]),"")</f>
        <v>0</v>
      </c>
      <c r="W185" s="34">
        <f>IFERROR(SUMIF(Table621[Sub-Accounts],Table822[[#This Row],[Update your chart of accounts here]],Table621[Credit]),"")</f>
        <v>0</v>
      </c>
      <c r="X185" s="34"/>
      <c r="Y185" s="34"/>
      <c r="Z185" s="34"/>
      <c r="AA185" s="34"/>
      <c r="AB185" s="34">
        <f>MAX(Table822[[#This Row],[Debit]]+Table822[[#This Row],[Debit -]]-Table822[[#This Row],[Credit]]-Table822[[#This Row],[Credit +]],0)</f>
        <v>0</v>
      </c>
      <c r="AC185" s="34">
        <f>MAX(Table822[[#This Row],[Credit]]-Table822[[#This Row],[Debit]]+Table822[[#This Row],[Credit +]]-Table822[[#This Row],[Debit -]],0)</f>
        <v>0</v>
      </c>
      <c r="AD185" s="34" t="str">
        <f>IFERROR(IF(AND(OR(Table822[[#This Row],[Classification]]="Expense",Table822[[#This Row],[Classification]]="Cost of Goods Sold"),Table822[[#This Row],[Debit\]]&gt;Table822[[#This Row],[Credit.]]),Table822[[#This Row],[Debit\]]-Table822[[#This Row],[Credit.]],""),"")</f>
        <v/>
      </c>
      <c r="AE185" s="34" t="str">
        <f>IFERROR(IF(AND(OR(Table822[[#This Row],[Classification]]="Income",Table822[[#This Row],[Classification]]="Cost of Goods Sold"),Table822[[#This Row],[Credit.]]&gt;Table822[[#This Row],[Debit\]]),Table822[[#This Row],[Credit.]]-Table822[[#This Row],[Debit\]],""),"")</f>
        <v/>
      </c>
      <c r="AF185" s="34"/>
      <c r="AG185" s="34" t="str">
        <f>IFERROR(IF(AND(Table822[[#This Row],[Classification]]="Assets",Table822[[#This Row],[Debit\]]-Table822[[#This Row],[Credit.]]),Table822[[#This Row],[Debit\]]-Table822[[#This Row],[Credit.]],""),"")</f>
        <v/>
      </c>
      <c r="AH185" s="34" t="str">
        <f>IFERROR(IF(AND(OR(Table822[[#This Row],[Classification]]="Liabilities",Table822[[#This Row],[Classification]]="Owner´s Equity"),Table822[[#This Row],[Credit.]]&gt;Table822[[#This Row],[Debit\]]),Table822[[#This Row],[Credit.]]-Table822[[#This Row],[Debit\]],""),"")</f>
        <v/>
      </c>
    </row>
    <row r="186" spans="2:34" hidden="1" x14ac:dyDescent="0.25">
      <c r="B186" s="34"/>
      <c r="C186" s="45"/>
      <c r="D186" s="34"/>
      <c r="E186" s="34"/>
      <c r="G186" s="39"/>
      <c r="H186" s="40"/>
      <c r="I186" s="41"/>
      <c r="J186" s="41"/>
      <c r="L186" s="34">
        <v>179</v>
      </c>
      <c r="M186" s="35"/>
      <c r="N186" s="35"/>
      <c r="O186" s="34">
        <f>IFERROR(SUMIF(Table419[,],Table621[[#This Row],[Accounts Name]],Table419[,3]),"")</f>
        <v>0</v>
      </c>
      <c r="P186" s="34">
        <f>IFERROR(SUMIF(Table419[,],Table621[[#This Row],[Accounts Name]],Table419[,2]),"")</f>
        <v>0</v>
      </c>
      <c r="S186" s="36">
        <f t="shared" si="2"/>
        <v>179</v>
      </c>
      <c r="T186" s="34"/>
      <c r="U186" s="37"/>
      <c r="V186" s="34">
        <f>IFERROR(SUMIF(Table621[Sub-Accounts],Table822[[#This Row],[Update your chart of accounts here]],Table621[Debit]),"")</f>
        <v>0</v>
      </c>
      <c r="W186" s="34">
        <f>IFERROR(SUMIF(Table621[Sub-Accounts],Table822[[#This Row],[Update your chart of accounts here]],Table621[Credit]),"")</f>
        <v>0</v>
      </c>
      <c r="X186" s="34"/>
      <c r="Y186" s="34"/>
      <c r="Z186" s="34"/>
      <c r="AA186" s="34"/>
      <c r="AB186" s="34">
        <f>MAX(Table822[[#This Row],[Debit]]+Table822[[#This Row],[Debit -]]-Table822[[#This Row],[Credit]]-Table822[[#This Row],[Credit +]],0)</f>
        <v>0</v>
      </c>
      <c r="AC186" s="34">
        <f>MAX(Table822[[#This Row],[Credit]]-Table822[[#This Row],[Debit]]+Table822[[#This Row],[Credit +]]-Table822[[#This Row],[Debit -]],0)</f>
        <v>0</v>
      </c>
      <c r="AD186" s="34" t="str">
        <f>IFERROR(IF(AND(OR(Table822[[#This Row],[Classification]]="Expense",Table822[[#This Row],[Classification]]="Cost of Goods Sold"),Table822[[#This Row],[Debit\]]&gt;Table822[[#This Row],[Credit.]]),Table822[[#This Row],[Debit\]]-Table822[[#This Row],[Credit.]],""),"")</f>
        <v/>
      </c>
      <c r="AE186" s="34" t="str">
        <f>IFERROR(IF(AND(OR(Table822[[#This Row],[Classification]]="Income",Table822[[#This Row],[Classification]]="Cost of Goods Sold"),Table822[[#This Row],[Credit.]]&gt;Table822[[#This Row],[Debit\]]),Table822[[#This Row],[Credit.]]-Table822[[#This Row],[Debit\]],""),"")</f>
        <v/>
      </c>
      <c r="AF186" s="34"/>
      <c r="AG186" s="34" t="str">
        <f>IFERROR(IF(AND(Table822[[#This Row],[Classification]]="Assets",Table822[[#This Row],[Debit\]]-Table822[[#This Row],[Credit.]]),Table822[[#This Row],[Debit\]]-Table822[[#This Row],[Credit.]],""),"")</f>
        <v/>
      </c>
      <c r="AH186" s="34" t="str">
        <f>IFERROR(IF(AND(OR(Table822[[#This Row],[Classification]]="Liabilities",Table822[[#This Row],[Classification]]="Owner´s Equity"),Table822[[#This Row],[Credit.]]&gt;Table822[[#This Row],[Debit\]]),Table822[[#This Row],[Credit.]]-Table822[[#This Row],[Debit\]],""),"")</f>
        <v/>
      </c>
    </row>
    <row r="187" spans="2:34" hidden="1" x14ac:dyDescent="0.25">
      <c r="B187" s="34"/>
      <c r="C187" s="45"/>
      <c r="D187" s="34"/>
      <c r="E187" s="34"/>
      <c r="G187" s="39"/>
      <c r="H187" s="40"/>
      <c r="I187" s="41"/>
      <c r="J187" s="41"/>
      <c r="L187" s="34">
        <v>180</v>
      </c>
      <c r="M187" s="35"/>
      <c r="N187" s="35"/>
      <c r="O187" s="34">
        <f>IFERROR(SUMIF(Table419[,],Table621[[#This Row],[Accounts Name]],Table419[,3]),"")</f>
        <v>0</v>
      </c>
      <c r="P187" s="34">
        <f>IFERROR(SUMIF(Table419[,],Table621[[#This Row],[Accounts Name]],Table419[,2]),"")</f>
        <v>0</v>
      </c>
      <c r="S187" s="36">
        <f t="shared" si="2"/>
        <v>180</v>
      </c>
      <c r="T187" s="34"/>
      <c r="U187" s="37"/>
      <c r="V187" s="34">
        <f>IFERROR(SUMIF(Table621[Sub-Accounts],Table822[[#This Row],[Update your chart of accounts here]],Table621[Debit]),"")</f>
        <v>0</v>
      </c>
      <c r="W187" s="34">
        <f>IFERROR(SUMIF(Table621[Sub-Accounts],Table822[[#This Row],[Update your chart of accounts here]],Table621[Credit]),"")</f>
        <v>0</v>
      </c>
      <c r="X187" s="34"/>
      <c r="Y187" s="34"/>
      <c r="Z187" s="34"/>
      <c r="AA187" s="34"/>
      <c r="AB187" s="34">
        <f>MAX(Table822[[#This Row],[Debit]]+Table822[[#This Row],[Debit -]]-Table822[[#This Row],[Credit]]-Table822[[#This Row],[Credit +]],0)</f>
        <v>0</v>
      </c>
      <c r="AC187" s="34">
        <f>MAX(Table822[[#This Row],[Credit]]-Table822[[#This Row],[Debit]]+Table822[[#This Row],[Credit +]]-Table822[[#This Row],[Debit -]],0)</f>
        <v>0</v>
      </c>
      <c r="AD187" s="34" t="str">
        <f>IFERROR(IF(AND(OR(Table822[[#This Row],[Classification]]="Expense",Table822[[#This Row],[Classification]]="Cost of Goods Sold"),Table822[[#This Row],[Debit\]]&gt;Table822[[#This Row],[Credit.]]),Table822[[#This Row],[Debit\]]-Table822[[#This Row],[Credit.]],""),"")</f>
        <v/>
      </c>
      <c r="AE187" s="34" t="str">
        <f>IFERROR(IF(AND(OR(Table822[[#This Row],[Classification]]="Income",Table822[[#This Row],[Classification]]="Cost of Goods Sold"),Table822[[#This Row],[Credit.]]&gt;Table822[[#This Row],[Debit\]]),Table822[[#This Row],[Credit.]]-Table822[[#This Row],[Debit\]],""),"")</f>
        <v/>
      </c>
      <c r="AF187" s="34"/>
      <c r="AG187" s="34" t="str">
        <f>IFERROR(IF(AND(Table822[[#This Row],[Classification]]="Assets",Table822[[#This Row],[Debit\]]-Table822[[#This Row],[Credit.]]),Table822[[#This Row],[Debit\]]-Table822[[#This Row],[Credit.]],""),"")</f>
        <v/>
      </c>
      <c r="AH187" s="34" t="str">
        <f>IFERROR(IF(AND(OR(Table822[[#This Row],[Classification]]="Liabilities",Table822[[#This Row],[Classification]]="Owner´s Equity"),Table822[[#This Row],[Credit.]]&gt;Table822[[#This Row],[Debit\]]),Table822[[#This Row],[Credit.]]-Table822[[#This Row],[Debit\]],""),"")</f>
        <v/>
      </c>
    </row>
    <row r="188" spans="2:34" hidden="1" x14ac:dyDescent="0.25">
      <c r="B188" s="34"/>
      <c r="C188" s="45"/>
      <c r="D188" s="34"/>
      <c r="E188" s="34"/>
      <c r="G188" s="39"/>
      <c r="H188" s="43"/>
      <c r="I188" s="41"/>
      <c r="J188" s="41"/>
      <c r="L188" s="34">
        <v>181</v>
      </c>
      <c r="M188" s="35"/>
      <c r="N188" s="35"/>
      <c r="O188" s="34">
        <f>IFERROR(SUMIF(Table419[,],Table621[[#This Row],[Accounts Name]],Table419[,3]),"")</f>
        <v>0</v>
      </c>
      <c r="P188" s="34">
        <f>IFERROR(SUMIF(Table419[,],Table621[[#This Row],[Accounts Name]],Table419[,2]),"")</f>
        <v>0</v>
      </c>
      <c r="S188" s="36">
        <f t="shared" si="2"/>
        <v>181</v>
      </c>
      <c r="T188" s="34"/>
      <c r="U188" s="37"/>
      <c r="V188" s="34">
        <f>IFERROR(SUMIF(Table621[Sub-Accounts],Table822[[#This Row],[Update your chart of accounts here]],Table621[Debit]),"")</f>
        <v>0</v>
      </c>
      <c r="W188" s="34">
        <f>IFERROR(SUMIF(Table621[Sub-Accounts],Table822[[#This Row],[Update your chart of accounts here]],Table621[Credit]),"")</f>
        <v>0</v>
      </c>
      <c r="X188" s="34"/>
      <c r="Y188" s="34"/>
      <c r="Z188" s="34"/>
      <c r="AA188" s="34"/>
      <c r="AB188" s="34">
        <f>MAX(Table822[[#This Row],[Debit]]+Table822[[#This Row],[Debit -]]-Table822[[#This Row],[Credit]]-Table822[[#This Row],[Credit +]],0)</f>
        <v>0</v>
      </c>
      <c r="AC188" s="34">
        <f>MAX(Table822[[#This Row],[Credit]]-Table822[[#This Row],[Debit]]+Table822[[#This Row],[Credit +]]-Table822[[#This Row],[Debit -]],0)</f>
        <v>0</v>
      </c>
      <c r="AD188" s="34" t="str">
        <f>IFERROR(IF(AND(OR(Table822[[#This Row],[Classification]]="Expense",Table822[[#This Row],[Classification]]="Cost of Goods Sold"),Table822[[#This Row],[Debit\]]&gt;Table822[[#This Row],[Credit.]]),Table822[[#This Row],[Debit\]]-Table822[[#This Row],[Credit.]],""),"")</f>
        <v/>
      </c>
      <c r="AE188" s="34" t="str">
        <f>IFERROR(IF(AND(OR(Table822[[#This Row],[Classification]]="Income",Table822[[#This Row],[Classification]]="Cost of Goods Sold"),Table822[[#This Row],[Credit.]]&gt;Table822[[#This Row],[Debit\]]),Table822[[#This Row],[Credit.]]-Table822[[#This Row],[Debit\]],""),"")</f>
        <v/>
      </c>
      <c r="AF188" s="34"/>
      <c r="AG188" s="34" t="str">
        <f>IFERROR(IF(AND(Table822[[#This Row],[Classification]]="Assets",Table822[[#This Row],[Debit\]]-Table822[[#This Row],[Credit.]]),Table822[[#This Row],[Debit\]]-Table822[[#This Row],[Credit.]],""),"")</f>
        <v/>
      </c>
      <c r="AH188" s="34" t="str">
        <f>IFERROR(IF(AND(OR(Table822[[#This Row],[Classification]]="Liabilities",Table822[[#This Row],[Classification]]="Owner´s Equity"),Table822[[#This Row],[Credit.]]&gt;Table822[[#This Row],[Debit\]]),Table822[[#This Row],[Credit.]]-Table822[[#This Row],[Debit\]],""),"")</f>
        <v/>
      </c>
    </row>
    <row r="189" spans="2:34" hidden="1" x14ac:dyDescent="0.25">
      <c r="B189" s="34"/>
      <c r="C189" s="45"/>
      <c r="D189" s="34"/>
      <c r="E189" s="34"/>
      <c r="G189" s="39"/>
      <c r="H189" s="40"/>
      <c r="I189" s="41"/>
      <c r="J189" s="41"/>
      <c r="L189" s="34">
        <v>182</v>
      </c>
      <c r="M189" s="35"/>
      <c r="N189" s="35"/>
      <c r="O189" s="34">
        <f>IFERROR(SUMIF(Table419[,],Table621[[#This Row],[Accounts Name]],Table419[,3]),"")</f>
        <v>0</v>
      </c>
      <c r="P189" s="34">
        <f>IFERROR(SUMIF(Table419[,],Table621[[#This Row],[Accounts Name]],Table419[,2]),"")</f>
        <v>0</v>
      </c>
      <c r="S189" s="36">
        <f t="shared" si="2"/>
        <v>182</v>
      </c>
      <c r="T189" s="34"/>
      <c r="U189" s="37"/>
      <c r="V189" s="34">
        <f>IFERROR(SUMIF(Table621[Sub-Accounts],Table822[[#This Row],[Update your chart of accounts here]],Table621[Debit]),"")</f>
        <v>0</v>
      </c>
      <c r="W189" s="34">
        <f>IFERROR(SUMIF(Table621[Sub-Accounts],Table822[[#This Row],[Update your chart of accounts here]],Table621[Credit]),"")</f>
        <v>0</v>
      </c>
      <c r="X189" s="34"/>
      <c r="Y189" s="34"/>
      <c r="Z189" s="34"/>
      <c r="AA189" s="34"/>
      <c r="AB189" s="34">
        <f>MAX(Table822[[#This Row],[Debit]]+Table822[[#This Row],[Debit -]]-Table822[[#This Row],[Credit]]-Table822[[#This Row],[Credit +]],0)</f>
        <v>0</v>
      </c>
      <c r="AC189" s="34">
        <f>MAX(Table822[[#This Row],[Credit]]-Table822[[#This Row],[Debit]]+Table822[[#This Row],[Credit +]]-Table822[[#This Row],[Debit -]],0)</f>
        <v>0</v>
      </c>
      <c r="AD189" s="34" t="str">
        <f>IFERROR(IF(AND(OR(Table822[[#This Row],[Classification]]="Expense",Table822[[#This Row],[Classification]]="Cost of Goods Sold"),Table822[[#This Row],[Debit\]]&gt;Table822[[#This Row],[Credit.]]),Table822[[#This Row],[Debit\]]-Table822[[#This Row],[Credit.]],""),"")</f>
        <v/>
      </c>
      <c r="AE189" s="34" t="str">
        <f>IFERROR(IF(AND(OR(Table822[[#This Row],[Classification]]="Income",Table822[[#This Row],[Classification]]="Cost of Goods Sold"),Table822[[#This Row],[Credit.]]&gt;Table822[[#This Row],[Debit\]]),Table822[[#This Row],[Credit.]]-Table822[[#This Row],[Debit\]],""),"")</f>
        <v/>
      </c>
      <c r="AF189" s="34"/>
      <c r="AG189" s="34" t="str">
        <f>IFERROR(IF(AND(Table822[[#This Row],[Classification]]="Assets",Table822[[#This Row],[Debit\]]-Table822[[#This Row],[Credit.]]),Table822[[#This Row],[Debit\]]-Table822[[#This Row],[Credit.]],""),"")</f>
        <v/>
      </c>
      <c r="AH189" s="34" t="str">
        <f>IFERROR(IF(AND(OR(Table822[[#This Row],[Classification]]="Liabilities",Table822[[#This Row],[Classification]]="Owner´s Equity"),Table822[[#This Row],[Credit.]]&gt;Table822[[#This Row],[Debit\]]),Table822[[#This Row],[Credit.]]-Table822[[#This Row],[Debit\]],""),"")</f>
        <v/>
      </c>
    </row>
    <row r="190" spans="2:34" hidden="1" x14ac:dyDescent="0.25">
      <c r="B190" s="34"/>
      <c r="C190" s="45"/>
      <c r="D190" s="34"/>
      <c r="E190" s="34"/>
      <c r="G190" s="39"/>
      <c r="H190" s="40"/>
      <c r="I190" s="41"/>
      <c r="J190" s="41"/>
      <c r="L190" s="34">
        <v>183</v>
      </c>
      <c r="M190" s="35"/>
      <c r="N190" s="35"/>
      <c r="O190" s="34">
        <f>IFERROR(SUMIF(Table419[,],Table621[[#This Row],[Accounts Name]],Table419[,3]),"")</f>
        <v>0</v>
      </c>
      <c r="P190" s="34">
        <f>IFERROR(SUMIF(Table419[,],Table621[[#This Row],[Accounts Name]],Table419[,2]),"")</f>
        <v>0</v>
      </c>
      <c r="S190" s="36">
        <f t="shared" si="2"/>
        <v>183</v>
      </c>
      <c r="T190" s="34"/>
      <c r="U190" s="37"/>
      <c r="V190" s="34">
        <f>IFERROR(SUMIF(Table621[Sub-Accounts],Table822[[#This Row],[Update your chart of accounts here]],Table621[Debit]),"")</f>
        <v>0</v>
      </c>
      <c r="W190" s="34">
        <f>IFERROR(SUMIF(Table621[Sub-Accounts],Table822[[#This Row],[Update your chart of accounts here]],Table621[Credit]),"")</f>
        <v>0</v>
      </c>
      <c r="X190" s="34"/>
      <c r="Y190" s="34"/>
      <c r="Z190" s="34"/>
      <c r="AA190" s="34"/>
      <c r="AB190" s="34">
        <f>MAX(Table822[[#This Row],[Debit]]+Table822[[#This Row],[Debit -]]-Table822[[#This Row],[Credit]]-Table822[[#This Row],[Credit +]],0)</f>
        <v>0</v>
      </c>
      <c r="AC190" s="34">
        <f>MAX(Table822[[#This Row],[Credit]]-Table822[[#This Row],[Debit]]+Table822[[#This Row],[Credit +]]-Table822[[#This Row],[Debit -]],0)</f>
        <v>0</v>
      </c>
      <c r="AD190" s="34" t="str">
        <f>IFERROR(IF(AND(OR(Table822[[#This Row],[Classification]]="Expense",Table822[[#This Row],[Classification]]="Cost of Goods Sold"),Table822[[#This Row],[Debit\]]&gt;Table822[[#This Row],[Credit.]]),Table822[[#This Row],[Debit\]]-Table822[[#This Row],[Credit.]],""),"")</f>
        <v/>
      </c>
      <c r="AE190" s="34" t="str">
        <f>IFERROR(IF(AND(OR(Table822[[#This Row],[Classification]]="Income",Table822[[#This Row],[Classification]]="Cost of Goods Sold"),Table822[[#This Row],[Credit.]]&gt;Table822[[#This Row],[Debit\]]),Table822[[#This Row],[Credit.]]-Table822[[#This Row],[Debit\]],""),"")</f>
        <v/>
      </c>
      <c r="AF190" s="34"/>
      <c r="AG190" s="34" t="str">
        <f>IFERROR(IF(AND(Table822[[#This Row],[Classification]]="Assets",Table822[[#This Row],[Debit\]]-Table822[[#This Row],[Credit.]]),Table822[[#This Row],[Debit\]]-Table822[[#This Row],[Credit.]],""),"")</f>
        <v/>
      </c>
      <c r="AH190" s="34" t="str">
        <f>IFERROR(IF(AND(OR(Table822[[#This Row],[Classification]]="Liabilities",Table822[[#This Row],[Classification]]="Owner´s Equity"),Table822[[#This Row],[Credit.]]&gt;Table822[[#This Row],[Debit\]]),Table822[[#This Row],[Credit.]]-Table822[[#This Row],[Debit\]],""),"")</f>
        <v/>
      </c>
    </row>
    <row r="191" spans="2:34" hidden="1" x14ac:dyDescent="0.25">
      <c r="B191" s="34"/>
      <c r="C191" s="45"/>
      <c r="D191" s="34"/>
      <c r="E191" s="34"/>
      <c r="G191" s="39"/>
      <c r="H191" s="43"/>
      <c r="I191" s="41"/>
      <c r="J191" s="41"/>
      <c r="L191" s="34">
        <v>184</v>
      </c>
      <c r="M191" s="35"/>
      <c r="N191" s="35"/>
      <c r="O191" s="34">
        <f>IFERROR(SUMIF(Table419[,],Table621[[#This Row],[Accounts Name]],Table419[,3]),"")</f>
        <v>0</v>
      </c>
      <c r="P191" s="34">
        <f>IFERROR(SUMIF(Table419[,],Table621[[#This Row],[Accounts Name]],Table419[,2]),"")</f>
        <v>0</v>
      </c>
      <c r="S191" s="36">
        <f t="shared" si="2"/>
        <v>184</v>
      </c>
      <c r="T191" s="34"/>
      <c r="U191" s="37"/>
      <c r="V191" s="34">
        <f>IFERROR(SUMIF(Table621[Sub-Accounts],Table822[[#This Row],[Update your chart of accounts here]],Table621[Debit]),"")</f>
        <v>0</v>
      </c>
      <c r="W191" s="34">
        <f>IFERROR(SUMIF(Table621[Sub-Accounts],Table822[[#This Row],[Update your chart of accounts here]],Table621[Credit]),"")</f>
        <v>0</v>
      </c>
      <c r="X191" s="34"/>
      <c r="Y191" s="34"/>
      <c r="Z191" s="34"/>
      <c r="AA191" s="34"/>
      <c r="AB191" s="34">
        <f>MAX(Table822[[#This Row],[Debit]]+Table822[[#This Row],[Debit -]]-Table822[[#This Row],[Credit]]-Table822[[#This Row],[Credit +]],0)</f>
        <v>0</v>
      </c>
      <c r="AC191" s="34">
        <f>MAX(Table822[[#This Row],[Credit]]-Table822[[#This Row],[Debit]]+Table822[[#This Row],[Credit +]]-Table822[[#This Row],[Debit -]],0)</f>
        <v>0</v>
      </c>
      <c r="AD191" s="34" t="str">
        <f>IFERROR(IF(AND(OR(Table822[[#This Row],[Classification]]="Expense",Table822[[#This Row],[Classification]]="Cost of Goods Sold"),Table822[[#This Row],[Debit\]]&gt;Table822[[#This Row],[Credit.]]),Table822[[#This Row],[Debit\]]-Table822[[#This Row],[Credit.]],""),"")</f>
        <v/>
      </c>
      <c r="AE191" s="34" t="str">
        <f>IFERROR(IF(AND(OR(Table822[[#This Row],[Classification]]="Income",Table822[[#This Row],[Classification]]="Cost of Goods Sold"),Table822[[#This Row],[Credit.]]&gt;Table822[[#This Row],[Debit\]]),Table822[[#This Row],[Credit.]]-Table822[[#This Row],[Debit\]],""),"")</f>
        <v/>
      </c>
      <c r="AF191" s="34"/>
      <c r="AG191" s="34" t="str">
        <f>IFERROR(IF(AND(Table822[[#This Row],[Classification]]="Assets",Table822[[#This Row],[Debit\]]-Table822[[#This Row],[Credit.]]),Table822[[#This Row],[Debit\]]-Table822[[#This Row],[Credit.]],""),"")</f>
        <v/>
      </c>
      <c r="AH191" s="34" t="str">
        <f>IFERROR(IF(AND(OR(Table822[[#This Row],[Classification]]="Liabilities",Table822[[#This Row],[Classification]]="Owner´s Equity"),Table822[[#This Row],[Credit.]]&gt;Table822[[#This Row],[Debit\]]),Table822[[#This Row],[Credit.]]-Table822[[#This Row],[Debit\]],""),"")</f>
        <v/>
      </c>
    </row>
    <row r="192" spans="2:34" hidden="1" x14ac:dyDescent="0.25">
      <c r="B192" s="34"/>
      <c r="C192" s="45"/>
      <c r="D192" s="34"/>
      <c r="E192" s="34"/>
      <c r="G192" s="39"/>
      <c r="H192" s="40"/>
      <c r="I192" s="41"/>
      <c r="J192" s="41"/>
      <c r="L192" s="34">
        <v>185</v>
      </c>
      <c r="M192" s="35"/>
      <c r="N192" s="35"/>
      <c r="O192" s="34">
        <f>IFERROR(SUMIF(Table419[,],Table621[[#This Row],[Accounts Name]],Table419[,3]),"")</f>
        <v>0</v>
      </c>
      <c r="P192" s="34">
        <f>IFERROR(SUMIF(Table419[,],Table621[[#This Row],[Accounts Name]],Table419[,2]),"")</f>
        <v>0</v>
      </c>
      <c r="S192" s="36">
        <f t="shared" si="2"/>
        <v>185</v>
      </c>
      <c r="T192" s="34"/>
      <c r="U192" s="37"/>
      <c r="V192" s="34">
        <f>IFERROR(SUMIF(Table621[Sub-Accounts],Table822[[#This Row],[Update your chart of accounts here]],Table621[Debit]),"")</f>
        <v>0</v>
      </c>
      <c r="W192" s="34">
        <f>IFERROR(SUMIF(Table621[Sub-Accounts],Table822[[#This Row],[Update your chart of accounts here]],Table621[Credit]),"")</f>
        <v>0</v>
      </c>
      <c r="X192" s="34"/>
      <c r="Y192" s="34"/>
      <c r="Z192" s="34"/>
      <c r="AA192" s="34"/>
      <c r="AB192" s="34">
        <f>MAX(Table822[[#This Row],[Debit]]+Table822[[#This Row],[Debit -]]-Table822[[#This Row],[Credit]]-Table822[[#This Row],[Credit +]],0)</f>
        <v>0</v>
      </c>
      <c r="AC192" s="34">
        <f>MAX(Table822[[#This Row],[Credit]]-Table822[[#This Row],[Debit]]+Table822[[#This Row],[Credit +]]-Table822[[#This Row],[Debit -]],0)</f>
        <v>0</v>
      </c>
      <c r="AD192" s="34" t="str">
        <f>IFERROR(IF(AND(OR(Table822[[#This Row],[Classification]]="Expense",Table822[[#This Row],[Classification]]="Cost of Goods Sold"),Table822[[#This Row],[Debit\]]&gt;Table822[[#This Row],[Credit.]]),Table822[[#This Row],[Debit\]]-Table822[[#This Row],[Credit.]],""),"")</f>
        <v/>
      </c>
      <c r="AE192" s="34" t="str">
        <f>IFERROR(IF(AND(OR(Table822[[#This Row],[Classification]]="Income",Table822[[#This Row],[Classification]]="Cost of Goods Sold"),Table822[[#This Row],[Credit.]]&gt;Table822[[#This Row],[Debit\]]),Table822[[#This Row],[Credit.]]-Table822[[#This Row],[Debit\]],""),"")</f>
        <v/>
      </c>
      <c r="AF192" s="34"/>
      <c r="AG192" s="34" t="str">
        <f>IFERROR(IF(AND(Table822[[#This Row],[Classification]]="Assets",Table822[[#This Row],[Debit\]]-Table822[[#This Row],[Credit.]]),Table822[[#This Row],[Debit\]]-Table822[[#This Row],[Credit.]],""),"")</f>
        <v/>
      </c>
      <c r="AH192" s="34" t="str">
        <f>IFERROR(IF(AND(OR(Table822[[#This Row],[Classification]]="Liabilities",Table822[[#This Row],[Classification]]="Owner´s Equity"),Table822[[#This Row],[Credit.]]&gt;Table822[[#This Row],[Debit\]]),Table822[[#This Row],[Credit.]]-Table822[[#This Row],[Debit\]],""),"")</f>
        <v/>
      </c>
    </row>
    <row r="193" spans="2:38" hidden="1" x14ac:dyDescent="0.25">
      <c r="B193" s="34"/>
      <c r="C193" s="45"/>
      <c r="D193" s="34"/>
      <c r="E193" s="34"/>
      <c r="G193" s="39"/>
      <c r="H193" s="40"/>
      <c r="I193" s="41"/>
      <c r="J193" s="41"/>
      <c r="L193" s="34">
        <v>186</v>
      </c>
      <c r="M193" s="35"/>
      <c r="N193" s="35"/>
      <c r="O193" s="34">
        <f>IFERROR(SUMIF(Table419[,],Table621[[#This Row],[Accounts Name]],Table419[,3]),"")</f>
        <v>0</v>
      </c>
      <c r="P193" s="34">
        <f>IFERROR(SUMIF(Table419[,],Table621[[#This Row],[Accounts Name]],Table419[,2]),"")</f>
        <v>0</v>
      </c>
      <c r="S193" s="36">
        <f t="shared" si="2"/>
        <v>186</v>
      </c>
      <c r="T193" s="34"/>
      <c r="U193" s="37"/>
      <c r="V193" s="34">
        <f>IFERROR(SUMIF(Table621[Sub-Accounts],Table822[[#This Row],[Update your chart of accounts here]],Table621[Debit]),"")</f>
        <v>0</v>
      </c>
      <c r="W193" s="34">
        <f>IFERROR(SUMIF(Table621[Sub-Accounts],Table822[[#This Row],[Update your chart of accounts here]],Table621[Credit]),"")</f>
        <v>0</v>
      </c>
      <c r="X193" s="34"/>
      <c r="Y193" s="34"/>
      <c r="Z193" s="34"/>
      <c r="AA193" s="34"/>
      <c r="AB193" s="34">
        <f>MAX(Table822[[#This Row],[Debit]]+Table822[[#This Row],[Debit -]]-Table822[[#This Row],[Credit]]-Table822[[#This Row],[Credit +]],0)</f>
        <v>0</v>
      </c>
      <c r="AC193" s="34">
        <f>MAX(Table822[[#This Row],[Credit]]-Table822[[#This Row],[Debit]]+Table822[[#This Row],[Credit +]]-Table822[[#This Row],[Debit -]],0)</f>
        <v>0</v>
      </c>
      <c r="AD193" s="34" t="str">
        <f>IFERROR(IF(AND(OR(Table822[[#This Row],[Classification]]="Expense",Table822[[#This Row],[Classification]]="Cost of Goods Sold"),Table822[[#This Row],[Debit\]]&gt;Table822[[#This Row],[Credit.]]),Table822[[#This Row],[Debit\]]-Table822[[#This Row],[Credit.]],""),"")</f>
        <v/>
      </c>
      <c r="AE193" s="34" t="str">
        <f>IFERROR(IF(AND(OR(Table822[[#This Row],[Classification]]="Income",Table822[[#This Row],[Classification]]="Cost of Goods Sold"),Table822[[#This Row],[Credit.]]&gt;Table822[[#This Row],[Debit\]]),Table822[[#This Row],[Credit.]]-Table822[[#This Row],[Debit\]],""),"")</f>
        <v/>
      </c>
      <c r="AF193" s="34"/>
      <c r="AG193" s="34" t="str">
        <f>IFERROR(IF(AND(Table822[[#This Row],[Classification]]="Assets",Table822[[#This Row],[Debit\]]-Table822[[#This Row],[Credit.]]),Table822[[#This Row],[Debit\]]-Table822[[#This Row],[Credit.]],""),"")</f>
        <v/>
      </c>
      <c r="AH193" s="34" t="str">
        <f>IFERROR(IF(AND(OR(Table822[[#This Row],[Classification]]="Liabilities",Table822[[#This Row],[Classification]]="Owner´s Equity"),Table822[[#This Row],[Credit.]]&gt;Table822[[#This Row],[Debit\]]),Table822[[#This Row],[Credit.]]-Table822[[#This Row],[Debit\]],""),"")</f>
        <v/>
      </c>
    </row>
    <row r="194" spans="2:38" hidden="1" x14ac:dyDescent="0.25">
      <c r="B194" s="34"/>
      <c r="C194" s="45"/>
      <c r="D194" s="34"/>
      <c r="E194" s="34"/>
      <c r="G194" s="39"/>
      <c r="H194" s="43"/>
      <c r="I194" s="41"/>
      <c r="J194" s="41"/>
      <c r="L194" s="34">
        <v>187</v>
      </c>
      <c r="M194" s="35"/>
      <c r="N194" s="35"/>
      <c r="O194" s="34">
        <f>IFERROR(SUMIF(Table419[,],Table621[[#This Row],[Accounts Name]],Table419[,3]),"")</f>
        <v>0</v>
      </c>
      <c r="P194" s="34">
        <f>IFERROR(SUMIF(Table419[,],Table621[[#This Row],[Accounts Name]],Table419[,2]),"")</f>
        <v>0</v>
      </c>
      <c r="S194" s="36">
        <f t="shared" si="2"/>
        <v>187</v>
      </c>
      <c r="T194" s="34"/>
      <c r="U194" s="37"/>
      <c r="V194" s="34">
        <f>IFERROR(SUMIF(Table621[Sub-Accounts],Table822[[#This Row],[Update your chart of accounts here]],Table621[Debit]),"")</f>
        <v>0</v>
      </c>
      <c r="W194" s="34">
        <f>IFERROR(SUMIF(Table621[Sub-Accounts],Table822[[#This Row],[Update your chart of accounts here]],Table621[Credit]),"")</f>
        <v>0</v>
      </c>
      <c r="X194" s="34"/>
      <c r="Y194" s="34"/>
      <c r="Z194" s="34"/>
      <c r="AA194" s="34"/>
      <c r="AB194" s="34">
        <f>MAX(Table822[[#This Row],[Debit]]+Table822[[#This Row],[Debit -]]-Table822[[#This Row],[Credit]]-Table822[[#This Row],[Credit +]],0)</f>
        <v>0</v>
      </c>
      <c r="AC194" s="34">
        <f>MAX(Table822[[#This Row],[Credit]]-Table822[[#This Row],[Debit]]+Table822[[#This Row],[Credit +]]-Table822[[#This Row],[Debit -]],0)</f>
        <v>0</v>
      </c>
      <c r="AD194" s="34" t="str">
        <f>IFERROR(IF(AND(OR(Table822[[#This Row],[Classification]]="Expense",Table822[[#This Row],[Classification]]="Cost of Goods Sold"),Table822[[#This Row],[Debit\]]&gt;Table822[[#This Row],[Credit.]]),Table822[[#This Row],[Debit\]]-Table822[[#This Row],[Credit.]],""),"")</f>
        <v/>
      </c>
      <c r="AE194" s="34" t="str">
        <f>IFERROR(IF(AND(OR(Table822[[#This Row],[Classification]]="Income",Table822[[#This Row],[Classification]]="Cost of Goods Sold"),Table822[[#This Row],[Credit.]]&gt;Table822[[#This Row],[Debit\]]),Table822[[#This Row],[Credit.]]-Table822[[#This Row],[Debit\]],""),"")</f>
        <v/>
      </c>
      <c r="AF194" s="34"/>
      <c r="AG194" s="34" t="str">
        <f>IFERROR(IF(AND(Table822[[#This Row],[Classification]]="Assets",Table822[[#This Row],[Debit\]]-Table822[[#This Row],[Credit.]]),Table822[[#This Row],[Debit\]]-Table822[[#This Row],[Credit.]],""),"")</f>
        <v/>
      </c>
      <c r="AH194" s="34" t="str">
        <f>IFERROR(IF(AND(OR(Table822[[#This Row],[Classification]]="Liabilities",Table822[[#This Row],[Classification]]="Owner´s Equity"),Table822[[#This Row],[Credit.]]&gt;Table822[[#This Row],[Debit\]]),Table822[[#This Row],[Credit.]]-Table822[[#This Row],[Debit\]],""),"")</f>
        <v/>
      </c>
    </row>
    <row r="195" spans="2:38" hidden="1" x14ac:dyDescent="0.25">
      <c r="B195" s="34"/>
      <c r="C195" s="45"/>
      <c r="D195" s="34"/>
      <c r="E195" s="34"/>
      <c r="G195" s="39"/>
      <c r="H195" s="40"/>
      <c r="I195" s="41"/>
      <c r="J195" s="41"/>
      <c r="L195" s="34">
        <v>188</v>
      </c>
      <c r="M195" s="35"/>
      <c r="N195" s="35"/>
      <c r="O195" s="34">
        <f>IFERROR(SUMIF(Table419[,],Table621[[#This Row],[Accounts Name]],Table419[,3]),"")</f>
        <v>0</v>
      </c>
      <c r="P195" s="34">
        <f>IFERROR(SUMIF(Table419[,],Table621[[#This Row],[Accounts Name]],Table419[,2]),"")</f>
        <v>0</v>
      </c>
      <c r="S195" s="36">
        <f t="shared" si="2"/>
        <v>188</v>
      </c>
      <c r="T195" s="34"/>
      <c r="U195" s="37"/>
      <c r="V195" s="34">
        <f>IFERROR(SUMIF(Table621[Sub-Accounts],Table822[[#This Row],[Update your chart of accounts here]],Table621[Debit]),"")</f>
        <v>0</v>
      </c>
      <c r="W195" s="34">
        <f>IFERROR(SUMIF(Table621[Sub-Accounts],Table822[[#This Row],[Update your chart of accounts here]],Table621[Credit]),"")</f>
        <v>0</v>
      </c>
      <c r="X195" s="34"/>
      <c r="Y195" s="34"/>
      <c r="Z195" s="34"/>
      <c r="AA195" s="34"/>
      <c r="AB195" s="34">
        <f>MAX(Table822[[#This Row],[Debit]]+Table822[[#This Row],[Debit -]]-Table822[[#This Row],[Credit]]-Table822[[#This Row],[Credit +]],0)</f>
        <v>0</v>
      </c>
      <c r="AC195" s="34">
        <f>MAX(Table822[[#This Row],[Credit]]-Table822[[#This Row],[Debit]]+Table822[[#This Row],[Credit +]]-Table822[[#This Row],[Debit -]],0)</f>
        <v>0</v>
      </c>
      <c r="AD195" s="34" t="str">
        <f>IFERROR(IF(AND(OR(Table822[[#This Row],[Classification]]="Expense",Table822[[#This Row],[Classification]]="Cost of Goods Sold"),Table822[[#This Row],[Debit\]]&gt;Table822[[#This Row],[Credit.]]),Table822[[#This Row],[Debit\]]-Table822[[#This Row],[Credit.]],""),"")</f>
        <v/>
      </c>
      <c r="AE195" s="34" t="str">
        <f>IFERROR(IF(AND(OR(Table822[[#This Row],[Classification]]="Income",Table822[[#This Row],[Classification]]="Cost of Goods Sold"),Table822[[#This Row],[Credit.]]&gt;Table822[[#This Row],[Debit\]]),Table822[[#This Row],[Credit.]]-Table822[[#This Row],[Debit\]],""),"")</f>
        <v/>
      </c>
      <c r="AF195" s="34"/>
      <c r="AG195" s="34" t="str">
        <f>IFERROR(IF(AND(Table822[[#This Row],[Classification]]="Assets",Table822[[#This Row],[Debit\]]-Table822[[#This Row],[Credit.]]),Table822[[#This Row],[Debit\]]-Table822[[#This Row],[Credit.]],""),"")</f>
        <v/>
      </c>
      <c r="AH195" s="34" t="str">
        <f>IFERROR(IF(AND(OR(Table822[[#This Row],[Classification]]="Liabilities",Table822[[#This Row],[Classification]]="Owner´s Equity"),Table822[[#This Row],[Credit.]]&gt;Table822[[#This Row],[Debit\]]),Table822[[#This Row],[Credit.]]-Table822[[#This Row],[Debit\]],""),"")</f>
        <v/>
      </c>
    </row>
    <row r="196" spans="2:38" hidden="1" x14ac:dyDescent="0.25">
      <c r="B196" s="34"/>
      <c r="C196" s="45"/>
      <c r="D196" s="34"/>
      <c r="E196" s="34"/>
      <c r="G196" s="39"/>
      <c r="H196" s="40"/>
      <c r="I196" s="41"/>
      <c r="J196" s="41"/>
      <c r="L196" s="34">
        <v>189</v>
      </c>
      <c r="M196" s="35"/>
      <c r="N196" s="35"/>
      <c r="O196" s="34">
        <f>IFERROR(SUMIF(Table419[,],Table621[[#This Row],[Accounts Name]],Table419[,3]),"")</f>
        <v>0</v>
      </c>
      <c r="P196" s="34">
        <f>IFERROR(SUMIF(Table419[,],Table621[[#This Row],[Accounts Name]],Table419[,2]),"")</f>
        <v>0</v>
      </c>
      <c r="S196" s="36">
        <f t="shared" si="2"/>
        <v>189</v>
      </c>
      <c r="T196" s="34"/>
      <c r="U196" s="37"/>
      <c r="V196" s="34">
        <f>IFERROR(SUMIF(Table621[Sub-Accounts],Table822[[#This Row],[Update your chart of accounts here]],Table621[Debit]),"")</f>
        <v>0</v>
      </c>
      <c r="W196" s="34">
        <f>IFERROR(SUMIF(Table621[Sub-Accounts],Table822[[#This Row],[Update your chart of accounts here]],Table621[Credit]),"")</f>
        <v>0</v>
      </c>
      <c r="X196" s="34"/>
      <c r="Y196" s="34"/>
      <c r="Z196" s="34"/>
      <c r="AA196" s="34"/>
      <c r="AB196" s="34">
        <f>MAX(Table822[[#This Row],[Debit]]+Table822[[#This Row],[Debit -]]-Table822[[#This Row],[Credit]]-Table822[[#This Row],[Credit +]],0)</f>
        <v>0</v>
      </c>
      <c r="AC196" s="34">
        <f>MAX(Table822[[#This Row],[Credit]]-Table822[[#This Row],[Debit]]+Table822[[#This Row],[Credit +]]-Table822[[#This Row],[Debit -]],0)</f>
        <v>0</v>
      </c>
      <c r="AD196" s="34" t="str">
        <f>IFERROR(IF(AND(OR(Table822[[#This Row],[Classification]]="Expense",Table822[[#This Row],[Classification]]="Cost of Goods Sold"),Table822[[#This Row],[Debit\]]&gt;Table822[[#This Row],[Credit.]]),Table822[[#This Row],[Debit\]]-Table822[[#This Row],[Credit.]],""),"")</f>
        <v/>
      </c>
      <c r="AE196" s="34" t="str">
        <f>IFERROR(IF(AND(OR(Table822[[#This Row],[Classification]]="Income",Table822[[#This Row],[Classification]]="Cost of Goods Sold"),Table822[[#This Row],[Credit.]]&gt;Table822[[#This Row],[Debit\]]),Table822[[#This Row],[Credit.]]-Table822[[#This Row],[Debit\]],""),"")</f>
        <v/>
      </c>
      <c r="AF196" s="34"/>
      <c r="AG196" s="34" t="str">
        <f>IFERROR(IF(AND(Table822[[#This Row],[Classification]]="Assets",Table822[[#This Row],[Debit\]]-Table822[[#This Row],[Credit.]]),Table822[[#This Row],[Debit\]]-Table822[[#This Row],[Credit.]],""),"")</f>
        <v/>
      </c>
      <c r="AH196" s="34" t="str">
        <f>IFERROR(IF(AND(OR(Table822[[#This Row],[Classification]]="Liabilities",Table822[[#This Row],[Classification]]="Owner´s Equity"),Table822[[#This Row],[Credit.]]&gt;Table822[[#This Row],[Debit\]]),Table822[[#This Row],[Credit.]]-Table822[[#This Row],[Debit\]],""),"")</f>
        <v/>
      </c>
    </row>
    <row r="197" spans="2:38" hidden="1" x14ac:dyDescent="0.25">
      <c r="B197" s="34"/>
      <c r="C197" s="45"/>
      <c r="D197" s="34"/>
      <c r="E197" s="34"/>
      <c r="G197" s="39"/>
      <c r="H197" s="43"/>
      <c r="I197" s="41"/>
      <c r="J197" s="41"/>
      <c r="L197" s="34">
        <v>190</v>
      </c>
      <c r="M197" s="35"/>
      <c r="N197" s="35"/>
      <c r="O197" s="34">
        <f>IFERROR(SUMIF(Table419[,],Table621[[#This Row],[Accounts Name]],Table419[,3]),"")</f>
        <v>0</v>
      </c>
      <c r="P197" s="34">
        <f>IFERROR(SUMIF(Table419[,],Table621[[#This Row],[Accounts Name]],Table419[,2]),"")</f>
        <v>0</v>
      </c>
      <c r="S197" s="36">
        <f t="shared" si="2"/>
        <v>190</v>
      </c>
      <c r="T197" s="34"/>
      <c r="U197" s="37"/>
      <c r="V197" s="34">
        <f>IFERROR(SUMIF(Table621[Sub-Accounts],Table822[[#This Row],[Update your chart of accounts here]],Table621[Debit]),"")</f>
        <v>0</v>
      </c>
      <c r="W197" s="34">
        <f>IFERROR(SUMIF(Table621[Sub-Accounts],Table822[[#This Row],[Update your chart of accounts here]],Table621[Credit]),"")</f>
        <v>0</v>
      </c>
      <c r="X197" s="34"/>
      <c r="Y197" s="34"/>
      <c r="Z197" s="34"/>
      <c r="AA197" s="34"/>
      <c r="AB197" s="34">
        <f>MAX(Table822[[#This Row],[Debit]]+Table822[[#This Row],[Debit -]]-Table822[[#This Row],[Credit]]-Table822[[#This Row],[Credit +]],0)</f>
        <v>0</v>
      </c>
      <c r="AC197" s="34">
        <f>MAX(Table822[[#This Row],[Credit]]-Table822[[#This Row],[Debit]]+Table822[[#This Row],[Credit +]]-Table822[[#This Row],[Debit -]],0)</f>
        <v>0</v>
      </c>
      <c r="AD197" s="34" t="str">
        <f>IFERROR(IF(AND(OR(Table822[[#This Row],[Classification]]="Expense",Table822[[#This Row],[Classification]]="Cost of Goods Sold"),Table822[[#This Row],[Debit\]]&gt;Table822[[#This Row],[Credit.]]),Table822[[#This Row],[Debit\]]-Table822[[#This Row],[Credit.]],""),"")</f>
        <v/>
      </c>
      <c r="AE197" s="34" t="str">
        <f>IFERROR(IF(AND(OR(Table822[[#This Row],[Classification]]="Income",Table822[[#This Row],[Classification]]="Cost of Goods Sold"),Table822[[#This Row],[Credit.]]&gt;Table822[[#This Row],[Debit\]]),Table822[[#This Row],[Credit.]]-Table822[[#This Row],[Debit\]],""),"")</f>
        <v/>
      </c>
      <c r="AF197" s="34"/>
      <c r="AG197" s="34" t="str">
        <f>IFERROR(IF(AND(Table822[[#This Row],[Classification]]="Assets",Table822[[#This Row],[Debit\]]-Table822[[#This Row],[Credit.]]),Table822[[#This Row],[Debit\]]-Table822[[#This Row],[Credit.]],""),"")</f>
        <v/>
      </c>
      <c r="AH197" s="34" t="str">
        <f>IFERROR(IF(AND(OR(Table822[[#This Row],[Classification]]="Liabilities",Table822[[#This Row],[Classification]]="Owner´s Equity"),Table822[[#This Row],[Credit.]]&gt;Table822[[#This Row],[Debit\]]),Table822[[#This Row],[Credit.]]-Table822[[#This Row],[Debit\]],""),"")</f>
        <v/>
      </c>
    </row>
    <row r="198" spans="2:38" hidden="1" x14ac:dyDescent="0.25">
      <c r="B198" s="34"/>
      <c r="C198" s="45"/>
      <c r="D198" s="34"/>
      <c r="E198" s="34"/>
      <c r="G198" s="39"/>
      <c r="H198" s="40"/>
      <c r="I198" s="41"/>
      <c r="J198" s="41"/>
      <c r="L198" s="34">
        <v>191</v>
      </c>
      <c r="M198" s="35"/>
      <c r="N198" s="35"/>
      <c r="O198" s="34">
        <f>IFERROR(SUMIF(Table419[,],Table621[[#This Row],[Accounts Name]],Table419[,3]),"")</f>
        <v>0</v>
      </c>
      <c r="P198" s="34">
        <f>IFERROR(SUMIF(Table419[,],Table621[[#This Row],[Accounts Name]],Table419[,2]),"")</f>
        <v>0</v>
      </c>
      <c r="S198" s="36">
        <f t="shared" si="2"/>
        <v>191</v>
      </c>
      <c r="T198" s="34"/>
      <c r="U198" s="37"/>
      <c r="V198" s="34">
        <f>IFERROR(SUMIF(Table621[Sub-Accounts],Table822[[#This Row],[Update your chart of accounts here]],Table621[Debit]),"")</f>
        <v>0</v>
      </c>
      <c r="W198" s="34">
        <f>IFERROR(SUMIF(Table621[Sub-Accounts],Table822[[#This Row],[Update your chart of accounts here]],Table621[Credit]),"")</f>
        <v>0</v>
      </c>
      <c r="X198" s="34"/>
      <c r="Y198" s="34"/>
      <c r="Z198" s="34"/>
      <c r="AA198" s="34"/>
      <c r="AB198" s="34">
        <f>MAX(Table822[[#This Row],[Debit]]+Table822[[#This Row],[Debit -]]-Table822[[#This Row],[Credit]]-Table822[[#This Row],[Credit +]],0)</f>
        <v>0</v>
      </c>
      <c r="AC198" s="34">
        <f>MAX(Table822[[#This Row],[Credit]]-Table822[[#This Row],[Debit]]+Table822[[#This Row],[Credit +]]-Table822[[#This Row],[Debit -]],0)</f>
        <v>0</v>
      </c>
      <c r="AD198" s="34" t="str">
        <f>IFERROR(IF(AND(OR(Table822[[#This Row],[Classification]]="Expense",Table822[[#This Row],[Classification]]="Cost of Goods Sold"),Table822[[#This Row],[Debit\]]&gt;Table822[[#This Row],[Credit.]]),Table822[[#This Row],[Debit\]]-Table822[[#This Row],[Credit.]],""),"")</f>
        <v/>
      </c>
      <c r="AE198" s="34" t="str">
        <f>IFERROR(IF(AND(OR(Table822[[#This Row],[Classification]]="Income",Table822[[#This Row],[Classification]]="Cost of Goods Sold"),Table822[[#This Row],[Credit.]]&gt;Table822[[#This Row],[Debit\]]),Table822[[#This Row],[Credit.]]-Table822[[#This Row],[Debit\]],""),"")</f>
        <v/>
      </c>
      <c r="AF198" s="34"/>
      <c r="AG198" s="34" t="str">
        <f>IFERROR(IF(AND(Table822[[#This Row],[Classification]]="Assets",Table822[[#This Row],[Debit\]]-Table822[[#This Row],[Credit.]]),Table822[[#This Row],[Debit\]]-Table822[[#This Row],[Credit.]],""),"")</f>
        <v/>
      </c>
      <c r="AH198" s="34" t="str">
        <f>IFERROR(IF(AND(OR(Table822[[#This Row],[Classification]]="Liabilities",Table822[[#This Row],[Classification]]="Owner´s Equity"),Table822[[#This Row],[Credit.]]&gt;Table822[[#This Row],[Debit\]]),Table822[[#This Row],[Credit.]]-Table822[[#This Row],[Debit\]],""),"")</f>
        <v/>
      </c>
    </row>
    <row r="199" spans="2:38" hidden="1" x14ac:dyDescent="0.25">
      <c r="B199" s="34"/>
      <c r="C199" s="45"/>
      <c r="D199" s="34"/>
      <c r="E199" s="34"/>
      <c r="G199" s="39"/>
      <c r="H199" s="40"/>
      <c r="I199" s="41"/>
      <c r="J199" s="41"/>
      <c r="L199" s="34">
        <v>192</v>
      </c>
      <c r="M199" s="35"/>
      <c r="N199" s="35"/>
      <c r="O199" s="34">
        <f>IFERROR(SUMIF(Table419[,],Table621[[#This Row],[Accounts Name]],Table419[,3]),"")</f>
        <v>0</v>
      </c>
      <c r="P199" s="34">
        <f>IFERROR(SUMIF(Table419[,],Table621[[#This Row],[Accounts Name]],Table419[,2]),"")</f>
        <v>0</v>
      </c>
      <c r="S199" s="36">
        <f t="shared" si="2"/>
        <v>192</v>
      </c>
      <c r="T199" s="34"/>
      <c r="U199" s="46"/>
      <c r="V199" s="34">
        <f>IFERROR(SUMIF(Table621[Sub-Accounts],Table822[[#This Row],[Update your chart of accounts here]],Table621[Debit]),"")</f>
        <v>0</v>
      </c>
      <c r="W199" s="34">
        <f>IFERROR(SUMIF(Table621[Sub-Accounts],Table822[[#This Row],[Update your chart of accounts here]],Table621[Credit]),"")</f>
        <v>0</v>
      </c>
      <c r="X199" s="34"/>
      <c r="Y199" s="34"/>
      <c r="Z199" s="34"/>
      <c r="AA199" s="34"/>
      <c r="AB199" s="34">
        <f>MAX(Table822[[#This Row],[Debit]]+Table822[[#This Row],[Debit -]]-Table822[[#This Row],[Credit]]-Table822[[#This Row],[Credit +]],0)</f>
        <v>0</v>
      </c>
      <c r="AC199" s="34">
        <f>MAX(Table822[[#This Row],[Credit]]-Table822[[#This Row],[Debit]]+Table822[[#This Row],[Credit +]]-Table822[[#This Row],[Debit -]],0)</f>
        <v>0</v>
      </c>
      <c r="AD199" s="34" t="str">
        <f>IFERROR(IF(AND(OR(Table822[[#This Row],[Classification]]="Expense",Table822[[#This Row],[Classification]]="Cost of Goods Sold"),Table822[[#This Row],[Debit\]]&gt;Table822[[#This Row],[Credit.]]),Table822[[#This Row],[Debit\]]-Table822[[#This Row],[Credit.]],""),"")</f>
        <v/>
      </c>
      <c r="AE199" s="34" t="str">
        <f>IFERROR(IF(AND(OR(Table822[[#This Row],[Classification]]="Income",Table822[[#This Row],[Classification]]="Cost of Goods Sold"),Table822[[#This Row],[Credit.]]&gt;Table822[[#This Row],[Debit\]]),Table822[[#This Row],[Credit.]]-Table822[[#This Row],[Debit\]],""),"")</f>
        <v/>
      </c>
      <c r="AF199" s="34"/>
      <c r="AG199" s="34" t="str">
        <f>IFERROR(IF(AND(Table822[[#This Row],[Classification]]="Assets",Table822[[#This Row],[Debit\]]-Table822[[#This Row],[Credit.]]),Table822[[#This Row],[Debit\]]-Table822[[#This Row],[Credit.]],""),"")</f>
        <v/>
      </c>
      <c r="AH199" s="34" t="str">
        <f>IFERROR(IF(AND(OR(Table822[[#This Row],[Classification]]="Liabilities",Table822[[#This Row],[Classification]]="Owner´s Equity"),Table822[[#This Row],[Credit.]]&gt;Table822[[#This Row],[Debit\]]),Table822[[#This Row],[Credit.]]-Table822[[#This Row],[Debit\]],""),"")</f>
        <v/>
      </c>
    </row>
    <row r="200" spans="2:38" hidden="1" x14ac:dyDescent="0.25">
      <c r="B200" s="34"/>
      <c r="C200" s="45"/>
      <c r="D200" s="34"/>
      <c r="E200" s="34"/>
      <c r="G200" s="39"/>
      <c r="H200" s="43"/>
      <c r="I200" s="41"/>
      <c r="J200" s="41"/>
      <c r="L200" s="34">
        <v>193</v>
      </c>
      <c r="M200" s="35"/>
      <c r="N200" s="35"/>
      <c r="O200" s="34">
        <f>IFERROR(SUMIF(Table419[,],Table621[[#This Row],[Accounts Name]],Table419[,3]),"")</f>
        <v>0</v>
      </c>
      <c r="P200" s="34">
        <f>IFERROR(SUMIF(Table419[,],Table621[[#This Row],[Accounts Name]],Table419[,2]),"")</f>
        <v>0</v>
      </c>
      <c r="S200" s="36">
        <f t="shared" si="2"/>
        <v>193</v>
      </c>
      <c r="T200" s="34"/>
      <c r="U200" s="47"/>
      <c r="V200" s="34">
        <f>IFERROR(SUMIF(Table621[Sub-Accounts],Table822[[#This Row],[Update your chart of accounts here]],Table621[Debit]),"")</f>
        <v>0</v>
      </c>
      <c r="W200" s="34">
        <f>IFERROR(SUMIF(Table621[Sub-Accounts],Table822[[#This Row],[Update your chart of accounts here]],Table621[Credit]),"")</f>
        <v>0</v>
      </c>
      <c r="X200" s="34"/>
      <c r="Y200" s="34"/>
      <c r="Z200" s="34"/>
      <c r="AA200" s="34"/>
      <c r="AB200" s="34">
        <f>MAX(Table822[[#This Row],[Debit]]+Table822[[#This Row],[Debit -]]-Table822[[#This Row],[Credit]]-Table822[[#This Row],[Credit +]],0)</f>
        <v>0</v>
      </c>
      <c r="AC200" s="34">
        <f>MAX(Table822[[#This Row],[Credit]]-Table822[[#This Row],[Debit]]+Table822[[#This Row],[Credit +]]-Table822[[#This Row],[Debit -]],0)</f>
        <v>0</v>
      </c>
      <c r="AD200" s="34" t="str">
        <f>IFERROR(IF(AND(OR(Table822[[#This Row],[Classification]]="Expense",Table822[[#This Row],[Classification]]="Cost of Goods Sold"),Table822[[#This Row],[Debit\]]&gt;Table822[[#This Row],[Credit.]]),Table822[[#This Row],[Debit\]]-Table822[[#This Row],[Credit.]],""),"")</f>
        <v/>
      </c>
      <c r="AE200" s="34" t="str">
        <f>IFERROR(IF(AND(OR(Table822[[#This Row],[Classification]]="Income",Table822[[#This Row],[Classification]]="Cost of Goods Sold"),Table822[[#This Row],[Credit.]]&gt;Table822[[#This Row],[Debit\]]),Table822[[#This Row],[Credit.]]-Table822[[#This Row],[Debit\]],""),"")</f>
        <v/>
      </c>
      <c r="AF200" s="34"/>
      <c r="AG200" s="34" t="str">
        <f>IFERROR(IF(AND(Table822[[#This Row],[Classification]]="Assets",Table822[[#This Row],[Debit\]]-Table822[[#This Row],[Credit.]]),Table822[[#This Row],[Debit\]]-Table822[[#This Row],[Credit.]],""),"")</f>
        <v/>
      </c>
      <c r="AH200" s="34" t="str">
        <f>IFERROR(IF(AND(OR(Table822[[#This Row],[Classification]]="Liabilities",Table822[[#This Row],[Classification]]="Owner´s Equity"),Table822[[#This Row],[Credit.]]&gt;Table822[[#This Row],[Debit\]]),Table822[[#This Row],[Credit.]]-Table822[[#This Row],[Debit\]],""),"")</f>
        <v/>
      </c>
      <c r="AI200" s="20" t="b">
        <f>Table822[[#Totals],[Debit .]]=Table822[[#Totals],[Credit'']]</f>
        <v>0</v>
      </c>
      <c r="AL200" s="20">
        <f>Table822[[#Totals],[Debit .]]-Table822[[#Totals],[Credit'']]</f>
        <v>0</v>
      </c>
    </row>
    <row r="201" spans="2:38" ht="15.75" thickBot="1" x14ac:dyDescent="0.3">
      <c r="B201" s="20" t="s">
        <v>60</v>
      </c>
      <c r="D201" s="57">
        <f>SUBTOTAL(109,Table419[,3])</f>
        <v>6373139.6100000003</v>
      </c>
      <c r="E201" s="57">
        <f>SUBTOTAL(109,Table419[,2])</f>
        <v>12625152.699999999</v>
      </c>
      <c r="G201" s="39"/>
      <c r="H201" s="40"/>
      <c r="I201" s="41"/>
      <c r="J201" s="41"/>
      <c r="L201" s="49" t="s">
        <v>60</v>
      </c>
      <c r="M201" s="35"/>
      <c r="N201" s="35"/>
      <c r="O201" s="48">
        <f>SUBTOTAL(109,Table621[Debit])</f>
        <v>8568388.6600000001</v>
      </c>
      <c r="P201" s="48">
        <f>SUBTOTAL(109,Table621[Credit])</f>
        <v>4047608.7</v>
      </c>
      <c r="S201" s="62" t="s">
        <v>60</v>
      </c>
      <c r="T201" s="63"/>
      <c r="U201" s="64"/>
      <c r="V201" s="63">
        <f>SUBTOTAL(109,Table822[Debit])</f>
        <v>33634688.240000002</v>
      </c>
      <c r="W201" s="63">
        <f>SUBTOTAL(109,Table822[Credit])</f>
        <v>33587719.600000001</v>
      </c>
      <c r="X201" s="63"/>
      <c r="Y201" s="63"/>
      <c r="Z201" s="63"/>
      <c r="AA201" s="63"/>
      <c r="AB201" s="63">
        <f>SUBTOTAL(109,Table822[Debit\])</f>
        <v>38476056.723225519</v>
      </c>
      <c r="AC201" s="63">
        <f>SUBTOTAL(109,Table822[Credit.])</f>
        <v>38476056.723225571</v>
      </c>
      <c r="AD201" s="63">
        <f>SUBTOTAL(109,Table822[[Debit ]])</f>
        <v>0</v>
      </c>
      <c r="AE201" s="63">
        <f>SUBTOTAL(109,Table822[Credit,])</f>
        <v>0</v>
      </c>
      <c r="AF201" s="63"/>
      <c r="AG201" s="63">
        <f>SUBTOTAL(109,Table822[Debit .])</f>
        <v>38476056.723225519</v>
      </c>
      <c r="AH201" s="63">
        <f>SUBTOTAL(109,Table822[Credit''])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84" priority="8">
      <formula>"Balanced"</formula>
    </cfRule>
  </conditionalFormatting>
  <dataValidations count="3">
    <dataValidation type="list" allowBlank="1" showInputMessage="1" showErrorMessage="1" sqref="T8:T200" xr:uid="{00000000-0002-0000-09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900-000001000000}">
      <formula1>P_LSub_Group</formula1>
    </dataValidation>
    <dataValidation type="list" allowBlank="1" showInputMessage="1" showErrorMessage="1" sqref="N8:N200" xr:uid="{00000000-0002-0000-09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5B88F619-EC2F-4A8F-A362-B553DFB816FD}">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B1E2144D-D4E6-4AC7-AC7F-18E7DC3CF382}">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8BE988CA-212F-464D-B049-354B4F8AE791}">
            <xm:f>NOT(ISERROR(SEARCH($T$407,T8)))</xm:f>
            <xm:f>$T$407</xm:f>
            <x14:dxf>
              <fill>
                <patternFill>
                  <bgColor rgb="FF7030A0"/>
                </patternFill>
              </fill>
            </x14:dxf>
          </x14:cfRule>
          <x14:cfRule type="containsText" priority="2" operator="containsText" id="{2FA4E718-CC5D-4503-8D94-72895E940E8E}">
            <xm:f>NOT(ISERROR(SEARCH($T$406,T8)))</xm:f>
            <xm:f>$T$406</xm:f>
            <x14:dxf>
              <fill>
                <patternFill>
                  <bgColor rgb="FFFFFF00"/>
                </patternFill>
              </fill>
            </x14:dxf>
          </x14:cfRule>
          <x14:cfRule type="containsText" priority="3" operator="containsText" id="{3C77FC49-53EB-4566-A686-3CC099E27BC7}">
            <xm:f>NOT(ISERROR(SEARCH($T$405,T8)))</xm:f>
            <xm:f>$T$405</xm:f>
            <x14:dxf>
              <fill>
                <patternFill>
                  <bgColor rgb="FF00B050"/>
                </patternFill>
              </fill>
            </x14:dxf>
          </x14:cfRule>
          <x14:cfRule type="containsText" priority="4" operator="containsText" id="{CC0868A4-1EE4-416B-A8E8-36742BFA5CF2}">
            <xm:f>NOT(ISERROR(SEARCH($T$404,T8)))</xm:f>
            <xm:f>$T$404</xm:f>
            <x14:dxf>
              <fill>
                <patternFill>
                  <bgColor theme="0"/>
                </patternFill>
              </fill>
            </x14:dxf>
          </x14:cfRule>
          <x14:cfRule type="containsText" priority="5" operator="containsText" id="{C98B5587-3457-492F-BED7-B6CF3F3B0133}">
            <xm:f>NOT(ISERROR(SEARCH($T$403,T8)))</xm:f>
            <xm:f>$T$403</xm:f>
            <x14:dxf>
              <fill>
                <patternFill>
                  <bgColor rgb="FFFF0000"/>
                </patternFill>
              </fill>
            </x14:dxf>
          </x14:cfRule>
          <x14:cfRule type="containsText" priority="6" operator="containsText" id="{CABB3CD5-B92C-42A3-9183-AA347224937D}">
            <xm:f>NOT(ISERROR(SEARCH($T$402,T8)))</xm:f>
            <xm:f>$T$402</xm:f>
            <x14:dxf>
              <fill>
                <patternFill>
                  <bgColor theme="8" tint="-0.24994659260841701"/>
                </patternFill>
              </fill>
            </x14:dxf>
          </x14:cfRule>
          <xm:sqref>T8:T200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B1:AN407"/>
  <sheetViews>
    <sheetView showGridLines="0" workbookViewId="0">
      <selection activeCell="U17" sqref="U17"/>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IFERROR(SUMIF(Table423[,],Table625[[#This Row],[Accounts Name]],Table423[,3]),"")</f>
        <v>3977142.74</v>
      </c>
      <c r="P8" s="34">
        <f>IFERROR(SUMIF(Table423[,],Table625[[#This Row],[Accounts Name]],Table423[,2]),"")</f>
        <v>0</v>
      </c>
      <c r="S8" s="36">
        <v>1</v>
      </c>
      <c r="T8" s="34" t="s">
        <v>11</v>
      </c>
      <c r="U8" s="37" t="s">
        <v>138</v>
      </c>
      <c r="V8" s="34">
        <f>IFERROR(SUMIF(Table625[Sub-Accounts],Table826[[#This Row],[Update your chart of accounts here]],Table625[Debit]),"")</f>
        <v>5942202.0100000007</v>
      </c>
      <c r="W8" s="34">
        <f>IFERROR(SUMIF(Table625[Sub-Accounts],Table826[[#This Row],[Update your chart of accounts here]],Table625[Credit]),"")</f>
        <v>0</v>
      </c>
      <c r="X8" s="34"/>
      <c r="Y8" s="34" t="s">
        <v>228</v>
      </c>
      <c r="Z8" s="34"/>
      <c r="AA8" s="34">
        <f>J25</f>
        <v>21</v>
      </c>
      <c r="AB8" s="34">
        <f>MAX(Table826[[#This Row],[Debit]]+Table826[[#This Row],[Debit -]]-Table826[[#This Row],[Credit]]-Table826[[#This Row],[Credit +]],0)</f>
        <v>5942181.0100000007</v>
      </c>
      <c r="AC8" s="34">
        <f>MAX(Table826[[#This Row],[Credit]]-Table826[[#This Row],[Debit]]+Table826[[#This Row],[Credit +]]-Table826[[#This Row],[Debit -]],0)</f>
        <v>0</v>
      </c>
      <c r="AD8" s="34" t="str">
        <f>IFERROR(IF(AND(OR(Table826[[#This Row],[Classification]]="Expense",Table826[[#This Row],[Classification]]="Cost of Goods Sold"),Table826[[#This Row],[Debit\]]&gt;Table826[[#This Row],[Credit.]]),Table826[[#This Row],[Debit\]]-Table826[[#This Row],[Credit.]],""),"")</f>
        <v/>
      </c>
      <c r="AE8" s="34" t="str">
        <f>IFERROR(IF(AND(OR(Table826[[#This Row],[Classification]]="Income",Table826[[#This Row],[Classification]]="Cost of Goods Sold"),Table826[[#This Row],[Credit.]]&gt;Table826[[#This Row],[Debit\]]),Table826[[#This Row],[Credit.]]-Table826[[#This Row],[Debit\]],""),"")</f>
        <v/>
      </c>
      <c r="AF8" s="34"/>
      <c r="AG8" s="34">
        <f>IFERROR(IF(AND(Table826[[#This Row],[Classification]]="Assets",Table826[[#This Row],[Debit\]]-Table826[[#This Row],[Credit.]]),Table826[[#This Row],[Debit\]]-Table826[[#This Row],[Credit.]],""),"")</f>
        <v>5942181.0100000007</v>
      </c>
      <c r="AH8" s="34" t="str">
        <f>IFERROR(IF(AND(OR(Table826[[#This Row],[Classification]]="Liabilities",Table826[[#This Row],[Classification]]="Owner´s Equity"),Table826[[#This Row],[Credit.]]&gt;Table826[[#This Row],[Debit\]]),Table826[[#This Row],[Credit.]]-Table826[[#This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IFERROR(SUMIF(Table423[,],Table625[[#This Row],[Accounts Name]],Table423[,3]),"")</f>
        <v>0</v>
      </c>
      <c r="P9" s="34">
        <f>IFERROR(SUMIF(Table423[,],Table625[[#This Row],[Accounts Name]],Table423[,2]),"")</f>
        <v>1699952.7</v>
      </c>
      <c r="S9" s="36">
        <f>S8+1</f>
        <v>2</v>
      </c>
      <c r="T9" s="34" t="s">
        <v>12</v>
      </c>
      <c r="U9" s="37" t="s">
        <v>139</v>
      </c>
      <c r="V9" s="34">
        <f>IFERROR(SUMIF(Table625[Sub-Accounts],Table826[[#This Row],[Update your chart of accounts here]],Table625[Debit]),"")</f>
        <v>0</v>
      </c>
      <c r="W9" s="34">
        <f>IFERROR(SUMIF(Table625[Sub-Accounts],Table826[[#This Row],[Update your chart of accounts here]],Table625[Credit]),"")</f>
        <v>3699952.7</v>
      </c>
      <c r="X9" s="34"/>
      <c r="Y9" s="34"/>
      <c r="Z9" s="34"/>
      <c r="AA9" s="34"/>
      <c r="AB9" s="34">
        <f>MAX(Table826[[#This Row],[Debit]]+Table826[[#This Row],[Debit -]]-Table826[[#This Row],[Credit]]-Table826[[#This Row],[Credit +]],0)</f>
        <v>0</v>
      </c>
      <c r="AC9" s="34">
        <f>MAX(Table826[[#This Row],[Credit]]-Table826[[#This Row],[Debit]]+Table826[[#This Row],[Credit +]]-Table826[[#This Row],[Debit -]],0)</f>
        <v>3699952.7</v>
      </c>
      <c r="AD9" s="34" t="str">
        <f>IFERROR(IF(AND(OR(Table826[[#This Row],[Classification]]="Expense",Table826[[#This Row],[Classification]]="Cost of Goods Sold"),Table826[[#This Row],[Debit\]]&gt;Table826[[#This Row],[Credit.]]),Table826[[#This Row],[Debit\]]-Table826[[#This Row],[Credit.]],""),"")</f>
        <v/>
      </c>
      <c r="AE9" s="34" t="str">
        <f>IFERROR(IF(AND(OR(Table826[[#This Row],[Classification]]="Income",Table826[[#This Row],[Classification]]="Cost of Goods Sold"),Table826[[#This Row],[Credit.]]&gt;Table826[[#This Row],[Debit\]]),Table826[[#This Row],[Credit.]]-Table826[[#This Row],[Debit\]],""),"")</f>
        <v/>
      </c>
      <c r="AF9" s="34"/>
      <c r="AG9" s="34" t="str">
        <f>IFERROR(IF(AND(Table826[[#This Row],[Classification]]="Assets",Table826[[#This Row],[Debit\]]-Table826[[#This Row],[Credit.]]),Table826[[#This Row],[Debit\]]-Table826[[#This Row],[Credit.]],""),"")</f>
        <v/>
      </c>
      <c r="AH9" s="34">
        <f>IFERROR(IF(AND(OR(Table826[[#This Row],[Classification]]="Liabilities",Table826[[#This Row],[Classification]]="Owner´s Equity"),Table826[[#This Row],[Credit.]]&gt;Table826[[#This Row],[Debit\]]),Table826[[#This Row],[Credit.]]-Table826[[#This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IFERROR(SUMIF(Table423[,],Table625[[#This Row],[Accounts Name]],Table423[,3]),"")</f>
        <v>0</v>
      </c>
      <c r="P10" s="34">
        <f>IFERROR(SUMIF(Table423[,],Table625[[#This Row],[Accounts Name]],Table423[,2]),"")</f>
        <v>2000000</v>
      </c>
      <c r="S10" s="36">
        <f t="shared" ref="S10:S73" si="0">S9+1</f>
        <v>3</v>
      </c>
      <c r="T10" s="34" t="s">
        <v>11</v>
      </c>
      <c r="U10" s="37" t="s">
        <v>172</v>
      </c>
      <c r="V10" s="34">
        <f>IFERROR(SUMIF(Table625[Sub-Accounts],Table826[[#This Row],[Update your chart of accounts here]],Table625[Debit]),"")</f>
        <v>4355552.28</v>
      </c>
      <c r="W10" s="34">
        <f>IFERROR(SUMIF(Table625[Sub-Accounts],Table826[[#This Row],[Update your chart of accounts here]],Table625[Credit]),"")</f>
        <v>2517904</v>
      </c>
      <c r="X10" s="34"/>
      <c r="Y10" s="34" t="s">
        <v>224</v>
      </c>
      <c r="Z10" s="34">
        <f>I12</f>
        <v>251563</v>
      </c>
      <c r="AA10" s="34">
        <f>Table524[[#This Row],[,2]]</f>
        <v>409278.51677448238</v>
      </c>
      <c r="AB10" s="34">
        <f>MAX(Table826[[#This Row],[Debit]]+Table826[[#This Row],[Debit -]]-Table826[[#This Row],[Credit]]-Table826[[#This Row],[Credit +]],0)</f>
        <v>1679932.7632255179</v>
      </c>
      <c r="AC10" s="34">
        <f>MAX(Table826[[#This Row],[Credit]]-Table826[[#This Row],[Debit]]+Table826[[#This Row],[Credit +]]-Table826[[#This Row],[Debit -]],0)</f>
        <v>0</v>
      </c>
      <c r="AD10" s="34" t="str">
        <f>IFERROR(IF(AND(OR(Table826[[#This Row],[Classification]]="Expense",Table826[[#This Row],[Classification]]="Cost of Goods Sold"),Table826[[#This Row],[Debit\]]&gt;Table826[[#This Row],[Credit.]]),Table826[[#This Row],[Debit\]]-Table826[[#This Row],[Credit.]],""),"")</f>
        <v/>
      </c>
      <c r="AE10" s="34" t="str">
        <f>IFERROR(IF(AND(OR(Table826[[#This Row],[Classification]]="Income",Table826[[#This Row],[Classification]]="Cost of Goods Sold"),Table826[[#This Row],[Credit.]]&gt;Table826[[#This Row],[Debit\]]),Table826[[#This Row],[Credit.]]-Table826[[#This Row],[Debit\]],""),"")</f>
        <v/>
      </c>
      <c r="AF10" s="34"/>
      <c r="AG10" s="34">
        <f>IFERROR(IF(AND(Table826[[#This Row],[Classification]]="Assets",Table826[[#This Row],[Debit\]]-Table826[[#This Row],[Credit.]]),Table826[[#This Row],[Debit\]]-Table826[[#This Row],[Credit.]],""),"")</f>
        <v>1679932.7632255179</v>
      </c>
      <c r="AH10" s="34" t="str">
        <f>IFERROR(IF(AND(OR(Table826[[#This Row],[Classification]]="Liabilities",Table826[[#This Row],[Classification]]="Owner´s Equity"),Table826[[#This Row],[Credit.]]&gt;Table826[[#This Row],[Debit\]]),Table826[[#This Row],[Credit.]]-Table826[[#This Row],[Debit\]],""),"")</f>
        <v/>
      </c>
    </row>
    <row r="11" spans="2:40" x14ac:dyDescent="0.25">
      <c r="B11" s="34"/>
      <c r="C11" s="42" t="s">
        <v>65</v>
      </c>
      <c r="D11" s="34"/>
      <c r="E11" s="34">
        <v>2000000</v>
      </c>
      <c r="G11" s="39"/>
      <c r="H11" s="43" t="s">
        <v>180</v>
      </c>
      <c r="I11" s="41"/>
      <c r="J11" s="41"/>
      <c r="L11" s="34">
        <v>4</v>
      </c>
      <c r="M11" s="35" t="s">
        <v>138</v>
      </c>
      <c r="N11" s="35" t="s">
        <v>66</v>
      </c>
      <c r="O11" s="34">
        <f>IFERROR(SUMIF(Table423[,],Table625[[#This Row],[Accounts Name]],Table423[,3]),"")</f>
        <v>219779.97</v>
      </c>
      <c r="P11" s="34">
        <f>IFERROR(SUMIF(Table423[,],Table625[[#This Row],[Accounts Name]],Table423[,2]),"")</f>
        <v>0</v>
      </c>
      <c r="S11" s="36">
        <f t="shared" si="0"/>
        <v>4</v>
      </c>
      <c r="T11" s="34" t="s">
        <v>11</v>
      </c>
      <c r="U11" s="37" t="s">
        <v>140</v>
      </c>
      <c r="V11" s="34">
        <f>IFERROR(SUMIF(Table625[Sub-Accounts],Table826[[#This Row],[Update your chart of accounts here]],Table625[Debit]),"")</f>
        <v>21108825.949999999</v>
      </c>
      <c r="W11" s="34">
        <f>IFERROR(SUMIF(Table625[Sub-Accounts],Table826[[#This Row],[Update your chart of accounts here]],Table625[Credit]),"")</f>
        <v>0</v>
      </c>
      <c r="X11" s="34"/>
      <c r="Y11" s="34" t="s">
        <v>231</v>
      </c>
      <c r="Z11" s="34"/>
      <c r="AA11" s="34">
        <f>J31</f>
        <v>2551250</v>
      </c>
      <c r="AB11" s="34">
        <f>MAX(Table826[[#This Row],[Debit]]+Table826[[#This Row],[Debit -]]-Table826[[#This Row],[Credit]]-Table826[[#This Row],[Credit +]],0)</f>
        <v>18557575.949999999</v>
      </c>
      <c r="AC11" s="34">
        <f>MAX(Table826[[#This Row],[Credit]]-Table826[[#This Row],[Debit]]+Table826[[#This Row],[Credit +]]-Table826[[#This Row],[Debit -]],0)</f>
        <v>0</v>
      </c>
      <c r="AD11" s="34" t="str">
        <f>IFERROR(IF(AND(OR(Table826[[#This Row],[Classification]]="Expense",Table826[[#This Row],[Classification]]="Cost of Goods Sold"),Table826[[#This Row],[Debit\]]&gt;Table826[[#This Row],[Credit.]]),Table826[[#This Row],[Debit\]]-Table826[[#This Row],[Credit.]],""),"")</f>
        <v/>
      </c>
      <c r="AE11" s="34" t="str">
        <f>IFERROR(IF(AND(OR(Table826[[#This Row],[Classification]]="Income",Table826[[#This Row],[Classification]]="Cost of Goods Sold"),Table826[[#This Row],[Credit.]]&gt;Table826[[#This Row],[Debit\]]),Table826[[#This Row],[Credit.]]-Table826[[#This Row],[Debit\]],""),"")</f>
        <v/>
      </c>
      <c r="AF11" s="34"/>
      <c r="AG11" s="34">
        <f>IFERROR(IF(AND(Table826[[#This Row],[Classification]]="Assets",Table826[[#This Row],[Debit\]]-Table826[[#This Row],[Credit.]]),Table826[[#This Row],[Debit\]]-Table826[[#This Row],[Credit.]],""),"")</f>
        <v>18557575.949999999</v>
      </c>
      <c r="AH11" s="34" t="str">
        <f>IFERROR(IF(AND(OR(Table826[[#This Row],[Classification]]="Liabilities",Table826[[#This Row],[Classification]]="Owner´s Equity"),Table826[[#This Row],[Credit.]]&gt;Table826[[#This Row],[Debit\]]),Table826[[#This Row],[Credit.]]-Table826[[#This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IFERROR(SUMIF(Table423[,],Table625[[#This Row],[Accounts Name]],Table423[,3]),"")</f>
        <v>1054457.3500000001</v>
      </c>
      <c r="P12" s="34">
        <f>IFERROR(SUMIF(Table423[,],Table625[[#This Row],[Accounts Name]],Table423[,2]),"")</f>
        <v>0</v>
      </c>
      <c r="S12" s="36">
        <f t="shared" si="0"/>
        <v>5</v>
      </c>
      <c r="T12" s="34" t="s">
        <v>61</v>
      </c>
      <c r="U12" s="37" t="s">
        <v>207</v>
      </c>
      <c r="V12" s="34">
        <f>IFERROR(SUMIF(Table625[Sub-Accounts],Table826[[#This Row],[Update your chart of accounts here]],Table625[Debit]),"")</f>
        <v>0</v>
      </c>
      <c r="W12" s="34">
        <f>IFERROR(SUMIF(Table625[Sub-Accounts],Table826[[#This Row],[Update your chart of accounts here]],Table625[Credit]),"")</f>
        <v>0</v>
      </c>
      <c r="X12" s="34"/>
      <c r="Y12" s="34"/>
      <c r="Z12" s="34">
        <f>AN7</f>
        <v>8341041.1232255697</v>
      </c>
      <c r="AA12" s="34">
        <f>AU6</f>
        <v>0</v>
      </c>
      <c r="AB12" s="34">
        <f>MAX(Table826[[#This Row],[Debit]]+Table826[[#This Row],[Debit -]]-Table826[[#This Row],[Credit]]-Table826[[#This Row],[Credit +]],0)</f>
        <v>8341041.1232255697</v>
      </c>
      <c r="AC12" s="34">
        <f>MAX(Table826[[#This Row],[Credit]]-Table826[[#This Row],[Debit]]+Table826[[#This Row],[Credit +]]-Table826[[#This Row],[Debit -]],0)</f>
        <v>0</v>
      </c>
      <c r="AD12" s="34">
        <f>IFERROR(IF(AND(OR(Table826[[#This Row],[Classification]]="Expense",Table826[[#This Row],[Classification]]="Cost of Goods Sold"),Table826[[#This Row],[Debit\]]&gt;Table826[[#This Row],[Credit.]]),Table826[[#This Row],[Debit\]]-Table826[[#This Row],[Credit.]],""),"")</f>
        <v>8341041.1232255697</v>
      </c>
      <c r="AE12" s="34" t="str">
        <f>IFERROR(IF(AND(OR(Table826[[#This Row],[Classification]]="Income",Table826[[#This Row],[Classification]]="Cost of Goods Sold"),Table826[[#This Row],[Credit.]]&gt;Table826[[#This Row],[Debit\]]),Table826[[#This Row],[Credit.]]-Table826[[#This Row],[Debit\]],""),"")</f>
        <v/>
      </c>
      <c r="AF12" s="34"/>
      <c r="AG12" s="34" t="str">
        <f>IFERROR(IF(AND(Table826[[#This Row],[Classification]]="Assets",Table826[[#This Row],[Debit\]]-Table826[[#This Row],[Credit.]]),Table826[[#This Row],[Debit\]]-Table826[[#This Row],[Credit.]],""),"")</f>
        <v/>
      </c>
      <c r="AH12" s="34" t="str">
        <f>IFERROR(IF(AND(OR(Table826[[#This Row],[Classification]]="Liabilities",Table826[[#This Row],[Classification]]="Owner´s Equity"),Table826[[#This Row],[Credit.]]&gt;Table826[[#This Row],[Debit\]]),Table826[[#This Row],[Credit.]]-Table826[[#This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IFERROR(SUMIF(Table423[,],Table625[[#This Row],[Accounts Name]],Table423[,3]),"")</f>
        <v>230653</v>
      </c>
      <c r="P13" s="34">
        <f>IFERROR(SUMIF(Table423[,],Table625[[#This Row],[Accounts Name]],Table423[,2]),"")</f>
        <v>0</v>
      </c>
      <c r="S13" s="36">
        <f t="shared" si="0"/>
        <v>6</v>
      </c>
      <c r="T13" s="34" t="s">
        <v>6</v>
      </c>
      <c r="U13" s="37" t="s">
        <v>142</v>
      </c>
      <c r="V13" s="34">
        <f>IFERROR(SUMIF(Table625[Sub-Accounts],Table826[[#This Row],[Update your chart of accounts here]],Table625[Debit]),"")</f>
        <v>3296400</v>
      </c>
      <c r="W13" s="34">
        <f>IFERROR(SUMIF(Table625[Sub-Accounts],Table826[[#This Row],[Update your chart of accounts here]],Table625[Credit]),"")</f>
        <v>0</v>
      </c>
      <c r="X13" s="34"/>
      <c r="Y13" s="34" t="s">
        <v>227</v>
      </c>
      <c r="Z13" s="65"/>
      <c r="AA13" s="34"/>
      <c r="AB13" s="34">
        <f>MAX(Table826[[#This Row],[Debit]]+Table826[[#This Row],[Debit -]]-Table826[[#This Row],[Credit]]-Table826[[#This Row],[Credit +]],0)</f>
        <v>3296400</v>
      </c>
      <c r="AC13" s="34">
        <f>MAX(Table826[[#This Row],[Credit]]-Table826[[#This Row],[Debit]]+Table826[[#This Row],[Credit +]]-Table826[[#This Row],[Debit -]],0)</f>
        <v>0</v>
      </c>
      <c r="AD13" s="34">
        <f>IFERROR(IF(AND(OR(Table826[[#This Row],[Classification]]="Expense",Table826[[#This Row],[Classification]]="Cost of Goods Sold"),Table826[[#This Row],[Debit\]]&gt;Table826[[#This Row],[Credit.]]),Table826[[#This Row],[Debit\]]-Table826[[#This Row],[Credit.]],""),"")</f>
        <v>3296400</v>
      </c>
      <c r="AE13" s="34" t="str">
        <f>IFERROR(IF(AND(OR(Table826[[#This Row],[Classification]]="Income",Table826[[#This Row],[Classification]]="Cost of Goods Sold"),Table826[[#This Row],[Credit.]]&gt;Table826[[#This Row],[Debit\]]),Table826[[#This Row],[Credit.]]-Table826[[#This Row],[Debit\]],""),"")</f>
        <v/>
      </c>
      <c r="AF13" s="34"/>
      <c r="AG13" s="34" t="str">
        <f>IFERROR(IF(AND(Table826[[#This Row],[Classification]]="Assets",Table826[[#This Row],[Debit\]]-Table826[[#This Row],[Credit.]]),Table826[[#This Row],[Debit\]]-Table826[[#This Row],[Credit.]],""),"")</f>
        <v/>
      </c>
      <c r="AH13" s="34" t="str">
        <f>IFERROR(IF(AND(OR(Table826[[#This Row],[Classification]]="Liabilities",Table826[[#This Row],[Classification]]="Owner´s Equity"),Table826[[#This Row],[Credit.]]&gt;Table826[[#This Row],[Debit\]]),Table826[[#This Row],[Credit.]]-Table826[[#This Row],[Debit\]],""),"")</f>
        <v/>
      </c>
    </row>
    <row r="14" spans="2:40" x14ac:dyDescent="0.25">
      <c r="B14" s="34"/>
      <c r="C14" s="38" t="s">
        <v>68</v>
      </c>
      <c r="D14" s="34">
        <v>230653</v>
      </c>
      <c r="E14" s="34"/>
      <c r="G14" s="39"/>
      <c r="H14" s="43" t="s">
        <v>184</v>
      </c>
      <c r="I14" s="41"/>
      <c r="J14" s="41"/>
      <c r="L14" s="34">
        <v>7</v>
      </c>
      <c r="M14" s="35" t="s">
        <v>138</v>
      </c>
      <c r="N14" s="35" t="s">
        <v>69</v>
      </c>
      <c r="O14" s="34">
        <f>IFERROR(SUMIF(Table423[,],Table625[[#This Row],[Accounts Name]],Table423[,3]),"")</f>
        <v>460168.95</v>
      </c>
      <c r="P14" s="34">
        <f>IFERROR(SUMIF(Table423[,],Table625[[#This Row],[Accounts Name]],Table423[,2]),"")</f>
        <v>0</v>
      </c>
      <c r="S14" s="36">
        <f t="shared" si="0"/>
        <v>7</v>
      </c>
      <c r="T14" s="34" t="s">
        <v>12</v>
      </c>
      <c r="U14" s="37" t="s">
        <v>141</v>
      </c>
      <c r="V14" s="34">
        <f>IFERROR(SUMIF(Table625[Sub-Accounts],Table826[[#This Row],[Update your chart of accounts here]],Table625[Debit]),"")</f>
        <v>0</v>
      </c>
      <c r="W14" s="34">
        <f>IFERROR(SUMIF(Table625[Sub-Accounts],Table826[[#This Row],[Update your chart of accounts here]],Table625[Credit]),"")</f>
        <v>15517383.640000001</v>
      </c>
      <c r="X14" s="34"/>
      <c r="Y14" s="34" t="s">
        <v>233</v>
      </c>
      <c r="Z14" s="34">
        <f>I18</f>
        <v>50000</v>
      </c>
      <c r="AA14" s="34">
        <f>J22</f>
        <v>115200</v>
      </c>
      <c r="AB14" s="34">
        <f>MAX(Table826[[#This Row],[Debit]]+Table826[[#This Row],[Debit -]]-Table826[[#This Row],[Credit]]-Table826[[#This Row],[Credit +]],0)</f>
        <v>0</v>
      </c>
      <c r="AC14" s="34">
        <f>MAX(Table826[[#This Row],[Credit]]-Table826[[#This Row],[Debit]]+Table826[[#This Row],[Credit +]]-Table826[[#This Row],[Debit -]],0)</f>
        <v>15582583.640000001</v>
      </c>
      <c r="AD14" s="34" t="str">
        <f>IFERROR(IF(AND(OR(Table826[[#This Row],[Classification]]="Expense",Table826[[#This Row],[Classification]]="Cost of Goods Sold"),Table826[[#This Row],[Debit\]]&gt;Table826[[#This Row],[Credit.]]),Table826[[#This Row],[Debit\]]-Table826[[#This Row],[Credit.]],""),"")</f>
        <v/>
      </c>
      <c r="AE14" s="34" t="str">
        <f>IFERROR(IF(AND(OR(Table826[[#This Row],[Classification]]="Income",Table826[[#This Row],[Classification]]="Cost of Goods Sold"),Table826[[#This Row],[Credit.]]&gt;Table826[[#This Row],[Debit\]]),Table826[[#This Row],[Credit.]]-Table826[[#This Row],[Debit\]],""),"")</f>
        <v/>
      </c>
      <c r="AF14" s="34"/>
      <c r="AG14" s="34" t="str">
        <f>IFERROR(IF(AND(Table826[[#This Row],[Classification]]="Assets",Table826[[#This Row],[Debit\]]-Table826[[#This Row],[Credit.]]),Table826[[#This Row],[Debit\]]-Table826[[#This Row],[Credit.]],""),"")</f>
        <v/>
      </c>
      <c r="AH14" s="34">
        <f>IFERROR(IF(AND(OR(Table826[[#This Row],[Classification]]="Liabilities",Table826[[#This Row],[Classification]]="Owner´s Equity"),Table826[[#This Row],[Credit.]]&gt;Table826[[#This Row],[Debit\]]),Table826[[#This Row],[Credit.]]-Table826[[#This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IFERROR(SUMIF(Table423[,],Table625[[#This Row],[Accounts Name]],Table423[,3]),"")</f>
        <v>17870623.949999999</v>
      </c>
      <c r="P15" s="34">
        <f>IFERROR(SUMIF(Table423[,],Table625[[#This Row],[Accounts Name]],Table423[,2]),"")</f>
        <v>0</v>
      </c>
      <c r="S15" s="36">
        <f t="shared" si="0"/>
        <v>8</v>
      </c>
      <c r="T15" s="34"/>
      <c r="U15" s="37" t="s">
        <v>208</v>
      </c>
      <c r="V15" s="34">
        <f>IFERROR(SUMIF(Table625[Sub-Accounts],Table826[[#This Row],[Update your chart of accounts here]],Table625[Debit]),"")</f>
        <v>0</v>
      </c>
      <c r="W15" s="34">
        <f>IFERROR(SUMIF(Table625[Sub-Accounts],Table826[[#This Row],[Update your chart of accounts here]],Table625[Credit]),"")</f>
        <v>0</v>
      </c>
      <c r="X15" s="34"/>
      <c r="Y15" s="34"/>
      <c r="Z15" s="34"/>
      <c r="AA15" s="34"/>
      <c r="AB15" s="34">
        <f>MAX(Table826[[#This Row],[Debit]]+Table826[[#This Row],[Debit -]]-Table826[[#This Row],[Credit]]-Table826[[#This Row],[Credit +]],0)</f>
        <v>0</v>
      </c>
      <c r="AC15" s="34">
        <f>MAX(Table826[[#This Row],[Credit]]-Table826[[#This Row],[Debit]]+Table826[[#This Row],[Credit +]]-Table826[[#This Row],[Debit -]],0)</f>
        <v>0</v>
      </c>
      <c r="AD15" s="34" t="str">
        <f>IFERROR(IF(AND(OR(Table826[[#This Row],[Classification]]="Expense",Table826[[#This Row],[Classification]]="Cost of Goods Sold"),Table826[[#This Row],[Debit\]]&gt;Table826[[#This Row],[Credit.]]),Table826[[#This Row],[Debit\]]-Table826[[#This Row],[Credit.]],""),"")</f>
        <v/>
      </c>
      <c r="AE15" s="34" t="str">
        <f>IFERROR(IF(AND(OR(Table826[[#This Row],[Classification]]="Income",Table826[[#This Row],[Classification]]="Cost of Goods Sold"),Table826[[#This Row],[Credit.]]&gt;Table826[[#This Row],[Debit\]]),Table826[[#This Row],[Credit.]]-Table826[[#This Row],[Debit\]],""),"")</f>
        <v/>
      </c>
      <c r="AF15" s="34"/>
      <c r="AG15" s="34" t="str">
        <f>IFERROR(IF(AND(Table826[[#This Row],[Classification]]="Assets",Table826[[#This Row],[Debit\]]-Table826[[#This Row],[Credit.]]),Table826[[#This Row],[Debit\]]-Table826[[#This Row],[Credit.]],""),"")</f>
        <v/>
      </c>
      <c r="AH15" s="34" t="str">
        <f>IFERROR(IF(AND(OR(Table826[[#This Row],[Classification]]="Liabilities",Table826[[#This Row],[Classification]]="Owner´s Equity"),Table826[[#This Row],[Credit.]]&gt;Table826[[#This Row],[Debit\]]),Table826[[#This Row],[Credit.]]-Table826[[#This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IFERROR(SUMIF(Table423[,],Table625[[#This Row],[Accounts Name]],Table423[,3]),"")</f>
        <v>0</v>
      </c>
      <c r="P16" s="34">
        <f>IFERROR(SUMIF(Table423[,],Table625[[#This Row],[Accounts Name]],Table423[,2]),"")</f>
        <v>8925200</v>
      </c>
      <c r="S16" s="36">
        <f t="shared" si="0"/>
        <v>9</v>
      </c>
      <c r="T16" s="34"/>
      <c r="U16" s="37" t="s">
        <v>209</v>
      </c>
      <c r="V16" s="34">
        <f>IFERROR(SUMIF(Table625[Sub-Accounts],Table826[[#This Row],[Update your chart of accounts here]],Table625[Debit]),"")</f>
        <v>0</v>
      </c>
      <c r="W16" s="34">
        <f>IFERROR(SUMIF(Table625[Sub-Accounts],Table826[[#This Row],[Update your chart of accounts here]],Table625[Credit]),"")</f>
        <v>0</v>
      </c>
      <c r="X16" s="34"/>
      <c r="Y16" s="34"/>
      <c r="Z16" s="34"/>
      <c r="AA16" s="34"/>
      <c r="AB16" s="34">
        <f>MAX(Table826[[#This Row],[Debit]]+Table826[[#This Row],[Debit -]]-Table826[[#This Row],[Credit]]-Table826[[#This Row],[Credit +]],0)</f>
        <v>0</v>
      </c>
      <c r="AC16" s="34">
        <f>MAX(Table826[[#This Row],[Credit]]-Table826[[#This Row],[Debit]]+Table826[[#This Row],[Credit +]]-Table826[[#This Row],[Debit -]],0)</f>
        <v>0</v>
      </c>
      <c r="AD16" s="34" t="str">
        <f>IFERROR(IF(AND(OR(Table826[[#This Row],[Classification]]="Expense",Table826[[#This Row],[Classification]]="Cost of Goods Sold"),Table826[[#This Row],[Debit\]]&gt;Table826[[#This Row],[Credit.]]),Table826[[#This Row],[Debit\]]-Table826[[#This Row],[Credit.]],""),"")</f>
        <v/>
      </c>
      <c r="AE16" s="34" t="str">
        <f>IFERROR(IF(AND(OR(Table826[[#This Row],[Classification]]="Income",Table826[[#This Row],[Classification]]="Cost of Goods Sold"),Table826[[#This Row],[Credit.]]&gt;Table826[[#This Row],[Debit\]]),Table826[[#This Row],[Credit.]]-Table826[[#This Row],[Debit\]],""),"")</f>
        <v/>
      </c>
      <c r="AF16" s="34"/>
      <c r="AG16" s="34" t="str">
        <f>IFERROR(IF(AND(Table826[[#This Row],[Classification]]="Assets",Table826[[#This Row],[Debit\]]-Table826[[#This Row],[Credit.]]),Table826[[#This Row],[Debit\]]-Table826[[#This Row],[Credit.]],""),"")</f>
        <v/>
      </c>
      <c r="AH16" s="34" t="str">
        <f>IFERROR(IF(AND(OR(Table826[[#This Row],[Classification]]="Liabilities",Table826[[#This Row],[Classification]]="Owner´s Equity"),Table826[[#This Row],[Credit.]]&gt;Table826[[#This Row],[Debit\]]),Table826[[#This Row],[Credit.]]-Table826[[#This Row],[Debit\]],""),"")</f>
        <v/>
      </c>
    </row>
    <row r="17" spans="2:34" x14ac:dyDescent="0.25">
      <c r="B17" s="34"/>
      <c r="C17" s="37" t="s">
        <v>71</v>
      </c>
      <c r="D17" s="34"/>
      <c r="E17" s="34">
        <v>8925200</v>
      </c>
      <c r="G17" s="39"/>
      <c r="H17" s="43" t="s">
        <v>185</v>
      </c>
      <c r="I17" s="41"/>
      <c r="J17" s="41"/>
      <c r="L17" s="34">
        <v>10</v>
      </c>
      <c r="M17" s="35" t="s">
        <v>142</v>
      </c>
      <c r="N17" s="35" t="s">
        <v>72</v>
      </c>
      <c r="O17" s="34">
        <f>IFERROR(SUMIF(Table423[,],Table625[[#This Row],[Accounts Name]],Table423[,3]),"")</f>
        <v>3296400</v>
      </c>
      <c r="P17" s="34">
        <f>IFERROR(SUMIF(Table423[,],Table625[[#This Row],[Accounts Name]],Table423[,2]),"")</f>
        <v>0</v>
      </c>
      <c r="S17" s="36">
        <f t="shared" si="0"/>
        <v>10</v>
      </c>
      <c r="T17" s="34" t="s">
        <v>48</v>
      </c>
      <c r="U17" s="37" t="s">
        <v>146</v>
      </c>
      <c r="V17" s="34">
        <f>IFERROR(SUMIF(Table625[Sub-Accounts],Table826[[#This Row],[Update your chart of accounts here]],Table625[Debit]),"")</f>
        <v>0</v>
      </c>
      <c r="W17" s="34">
        <f>IFERROR(SUMIF(Table625[Sub-Accounts],Table826[[#This Row],[Update your chart of accounts here]],Table625[Credit]),"")</f>
        <v>400</v>
      </c>
      <c r="X17" s="34"/>
      <c r="Y17" s="34"/>
      <c r="Z17" s="34"/>
      <c r="AA17" s="34"/>
      <c r="AB17" s="34">
        <f>MAX(Table826[[#This Row],[Debit]]+Table826[[#This Row],[Debit -]]-Table826[[#This Row],[Credit]]-Table826[[#This Row],[Credit +]],0)</f>
        <v>0</v>
      </c>
      <c r="AC17" s="34">
        <f>MAX(Table826[[#This Row],[Credit]]-Table826[[#This Row],[Debit]]+Table826[[#This Row],[Credit +]]-Table826[[#This Row],[Debit -]],0)</f>
        <v>400</v>
      </c>
      <c r="AD17" s="34" t="str">
        <f>IFERROR(IF(AND(OR(Table826[[#This Row],[Classification]]="Expense",Table826[[#This Row],[Classification]]="Cost of Goods Sold"),Table826[[#This Row],[Debit\]]&gt;Table826[[#This Row],[Credit.]]),Table826[[#This Row],[Debit\]]-Table826[[#This Row],[Credit.]],""),"")</f>
        <v/>
      </c>
      <c r="AE17" s="34" t="str">
        <f>IFERROR(IF(AND(OR(Table826[[#This Row],[Classification]]="Income",Table826[[#This Row],[Classification]]="Cost of Goods Sold"),Table826[[#This Row],[Credit.]]&gt;Table826[[#This Row],[Debit\]]),Table826[[#This Row],[Credit.]]-Table826[[#This Row],[Debit\]],""),"")</f>
        <v/>
      </c>
      <c r="AF17" s="34"/>
      <c r="AG17" s="34" t="str">
        <f>IFERROR(IF(AND(Table826[[#This Row],[Classification]]="Assets",Table826[[#This Row],[Debit\]]-Table826[[#This Row],[Credit.]]),Table826[[#This Row],[Debit\]]-Table826[[#This Row],[Credit.]],""),"")</f>
        <v/>
      </c>
      <c r="AH17" s="34">
        <f>IFERROR(IF(AND(OR(Table826[[#This Row],[Classification]]="Liabilities",Table826[[#This Row],[Classification]]="Owner´s Equity"),Table826[[#This Row],[Credit.]]&gt;Table826[[#This Row],[Debit\]]),Table826[[#This Row],[Credit.]]-Table826[[#This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IFERROR(SUMIF(Table423[,],Table625[[#This Row],[Accounts Name]],Table423[,3]),"")</f>
        <v>165000</v>
      </c>
      <c r="P18" s="34">
        <f>IFERROR(SUMIF(Table423[,],Table625[[#This Row],[Accounts Name]],Table423[,2]),"")</f>
        <v>0</v>
      </c>
      <c r="S18" s="36">
        <f t="shared" si="0"/>
        <v>11</v>
      </c>
      <c r="T18" s="34"/>
      <c r="U18" s="37" t="s">
        <v>210</v>
      </c>
      <c r="V18" s="34">
        <f>IFERROR(SUMIF(Table625[Sub-Accounts],Table826[[#This Row],[Update your chart of accounts here]],Table625[Debit]),"")</f>
        <v>0</v>
      </c>
      <c r="W18" s="34">
        <f>IFERROR(SUMIF(Table625[Sub-Accounts],Table826[[#This Row],[Update your chart of accounts here]],Table625[Credit]),"")</f>
        <v>0</v>
      </c>
      <c r="X18" s="34"/>
      <c r="Y18" s="34"/>
      <c r="Z18" s="34"/>
      <c r="AA18" s="34"/>
      <c r="AB18" s="34">
        <f>MAX(Table826[[#This Row],[Debit]]+Table826[[#This Row],[Debit -]]-Table826[[#This Row],[Credit]]-Table826[[#This Row],[Credit +]],0)</f>
        <v>0</v>
      </c>
      <c r="AC18" s="34">
        <f>MAX(Table826[[#This Row],[Credit]]-Table826[[#This Row],[Debit]]+Table826[[#This Row],[Credit +]]-Table826[[#This Row],[Debit -]],0)</f>
        <v>0</v>
      </c>
      <c r="AD18" s="34" t="str">
        <f>IFERROR(IF(AND(OR(Table826[[#This Row],[Classification]]="Expense",Table826[[#This Row],[Classification]]="Cost of Goods Sold"),Table826[[#This Row],[Debit\]]&gt;Table826[[#This Row],[Credit.]]),Table826[[#This Row],[Debit\]]-Table826[[#This Row],[Credit.]],""),"")</f>
        <v/>
      </c>
      <c r="AE18" s="34" t="str">
        <f>IFERROR(IF(AND(OR(Table826[[#This Row],[Classification]]="Income",Table826[[#This Row],[Classification]]="Cost of Goods Sold"),Table826[[#This Row],[Credit.]]&gt;Table826[[#This Row],[Debit\]]),Table826[[#This Row],[Credit.]]-Table826[[#This Row],[Debit\]],""),"")</f>
        <v/>
      </c>
      <c r="AF18" s="34"/>
      <c r="AG18" s="34" t="str">
        <f>IFERROR(IF(AND(Table826[[#This Row],[Classification]]="Assets",Table826[[#This Row],[Debit\]]-Table826[[#This Row],[Credit.]]),Table826[[#This Row],[Debit\]]-Table826[[#This Row],[Credit.]],""),"")</f>
        <v/>
      </c>
      <c r="AH18" s="34" t="str">
        <f>IFERROR(IF(AND(OR(Table826[[#This Row],[Classification]]="Liabilities",Table826[[#This Row],[Classification]]="Owner´s Equity"),Table826[[#This Row],[Credit.]]&gt;Table826[[#This Row],[Debit\]]),Table826[[#This Row],[Credit.]]-Table826[[#This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IFERROR(SUMIF(Table423[,],Table625[[#This Row],[Accounts Name]],Table423[,3]),"")</f>
        <v>676160</v>
      </c>
      <c r="P19" s="34">
        <f>IFERROR(SUMIF(Table423[,],Table625[[#This Row],[Accounts Name]],Table423[,2]),"")</f>
        <v>0</v>
      </c>
      <c r="S19" s="36">
        <f t="shared" si="0"/>
        <v>12</v>
      </c>
      <c r="T19" s="34"/>
      <c r="U19" s="37" t="s">
        <v>211</v>
      </c>
      <c r="V19" s="34">
        <f>IFERROR(SUMIF(Table625[Sub-Accounts],Table826[[#This Row],[Update your chart of accounts here]],Table625[Debit]),"")</f>
        <v>0</v>
      </c>
      <c r="W19" s="34">
        <f>IFERROR(SUMIF(Table625[Sub-Accounts],Table826[[#This Row],[Update your chart of accounts here]],Table625[Credit]),"")</f>
        <v>0</v>
      </c>
      <c r="X19" s="34"/>
      <c r="Y19" s="34"/>
      <c r="Z19" s="34"/>
      <c r="AA19" s="34"/>
      <c r="AB19" s="34">
        <f>MAX(Table826[[#This Row],[Debit]]+Table826[[#This Row],[Debit -]]-Table826[[#This Row],[Credit]]-Table826[[#This Row],[Credit +]],0)</f>
        <v>0</v>
      </c>
      <c r="AC19" s="34">
        <f>MAX(Table826[[#This Row],[Credit]]-Table826[[#This Row],[Debit]]+Table826[[#This Row],[Credit +]]-Table826[[#This Row],[Debit -]],0)</f>
        <v>0</v>
      </c>
      <c r="AD19" s="34" t="str">
        <f>IFERROR(IF(AND(OR(Table826[[#This Row],[Classification]]="Expense",Table826[[#This Row],[Classification]]="Cost of Goods Sold"),Table826[[#This Row],[Debit\]]&gt;Table826[[#This Row],[Credit.]]),Table826[[#This Row],[Debit\]]-Table826[[#This Row],[Credit.]],""),"")</f>
        <v/>
      </c>
      <c r="AE19" s="34" t="str">
        <f>IFERROR(IF(AND(OR(Table826[[#This Row],[Classification]]="Income",Table826[[#This Row],[Classification]]="Cost of Goods Sold"),Table826[[#This Row],[Credit.]]&gt;Table826[[#This Row],[Debit\]]),Table826[[#This Row],[Credit.]]-Table826[[#This Row],[Debit\]],""),"")</f>
        <v/>
      </c>
      <c r="AF19" s="34"/>
      <c r="AG19" s="34" t="str">
        <f>IFERROR(IF(AND(Table826[[#This Row],[Classification]]="Assets",Table826[[#This Row],[Debit\]]-Table826[[#This Row],[Credit.]]),Table826[[#This Row],[Debit\]]-Table826[[#This Row],[Credit.]],""),"")</f>
        <v/>
      </c>
      <c r="AH19" s="34" t="str">
        <f>IFERROR(IF(AND(OR(Table826[[#This Row],[Classification]]="Liabilities",Table826[[#This Row],[Classification]]="Owner´s Equity"),Table826[[#This Row],[Credit.]]&gt;Table826[[#This Row],[Debit\]]),Table826[[#This Row],[Credit.]]-Table826[[#This Row],[Debit\]],""),"")</f>
        <v/>
      </c>
    </row>
    <row r="20" spans="2:34" hidden="1" x14ac:dyDescent="0.25">
      <c r="B20" s="34"/>
      <c r="C20" s="37" t="s">
        <v>74</v>
      </c>
      <c r="D20" s="34">
        <v>676160</v>
      </c>
      <c r="E20" s="34"/>
      <c r="G20" s="39"/>
      <c r="H20" s="43" t="s">
        <v>187</v>
      </c>
      <c r="I20" s="41"/>
      <c r="J20" s="41"/>
      <c r="L20" s="34">
        <v>13</v>
      </c>
      <c r="M20" s="35" t="s">
        <v>143</v>
      </c>
      <c r="N20" s="35" t="s">
        <v>75</v>
      </c>
      <c r="O20" s="34">
        <f>IFERROR(SUMIF(Table423[,],Table625[[#This Row],[Accounts Name]],Table423[,3]),"")</f>
        <v>0</v>
      </c>
      <c r="P20" s="34">
        <f>IFERROR(SUMIF(Table423[,],Table625[[#This Row],[Accounts Name]],Table423[,2]),"")</f>
        <v>654898</v>
      </c>
      <c r="S20" s="36">
        <f t="shared" si="0"/>
        <v>13</v>
      </c>
      <c r="T20" s="34"/>
      <c r="U20" s="37" t="s">
        <v>212</v>
      </c>
      <c r="V20" s="34">
        <f>IFERROR(SUMIF(Table625[Sub-Accounts],Table826[[#This Row],[Update your chart of accounts here]],Table625[Debit]),"")</f>
        <v>0</v>
      </c>
      <c r="W20" s="34">
        <f>IFERROR(SUMIF(Table625[Sub-Accounts],Table826[[#This Row],[Update your chart of accounts here]],Table625[Credit]),"")</f>
        <v>0</v>
      </c>
      <c r="X20" s="34"/>
      <c r="Y20" s="34"/>
      <c r="Z20" s="34"/>
      <c r="AA20" s="34"/>
      <c r="AB20" s="34">
        <f>MAX(Table826[[#This Row],[Debit]]+Table826[[#This Row],[Debit -]]-Table826[[#This Row],[Credit]]-Table826[[#This Row],[Credit +]],0)</f>
        <v>0</v>
      </c>
      <c r="AC20" s="34">
        <f>MAX(Table826[[#This Row],[Credit]]-Table826[[#This Row],[Debit]]+Table826[[#This Row],[Credit +]]-Table826[[#This Row],[Debit -]],0)</f>
        <v>0</v>
      </c>
      <c r="AD20" s="34" t="str">
        <f>IFERROR(IF(AND(OR(Table826[[#This Row],[Classification]]="Expense",Table826[[#This Row],[Classification]]="Cost of Goods Sold"),Table826[[#This Row],[Debit\]]&gt;Table826[[#This Row],[Credit.]]),Table826[[#This Row],[Debit\]]-Table826[[#This Row],[Credit.]],""),"")</f>
        <v/>
      </c>
      <c r="AE20" s="34" t="str">
        <f>IFERROR(IF(AND(OR(Table826[[#This Row],[Classification]]="Income",Table826[[#This Row],[Classification]]="Cost of Goods Sold"),Table826[[#This Row],[Credit.]]&gt;Table826[[#This Row],[Debit\]]),Table826[[#This Row],[Credit.]]-Table826[[#This Row],[Debit\]],""),"")</f>
        <v/>
      </c>
      <c r="AF20" s="34"/>
      <c r="AG20" s="34" t="str">
        <f>IFERROR(IF(AND(Table826[[#This Row],[Classification]]="Assets",Table826[[#This Row],[Debit\]]-Table826[[#This Row],[Credit.]]),Table826[[#This Row],[Debit\]]-Table826[[#This Row],[Credit.]],""),"")</f>
        <v/>
      </c>
      <c r="AH20" s="34" t="str">
        <f>IFERROR(IF(AND(OR(Table826[[#This Row],[Classification]]="Liabilities",Table826[[#This Row],[Classification]]="Owner´s Equity"),Table826[[#This Row],[Credit.]]&gt;Table826[[#This Row],[Debit\]]),Table826[[#This Row],[Credit.]]-Table826[[#This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IFERROR(SUMIF(Table423[,],Table625[[#This Row],[Accounts Name]],Table423[,3]),"")</f>
        <v>828735.28</v>
      </c>
      <c r="P21" s="34">
        <f>IFERROR(SUMIF(Table423[,],Table625[[#This Row],[Accounts Name]],Table423[,2]),"")</f>
        <v>0</v>
      </c>
      <c r="S21" s="36">
        <f t="shared" si="0"/>
        <v>14</v>
      </c>
      <c r="T21" s="34"/>
      <c r="U21" s="37" t="s">
        <v>213</v>
      </c>
      <c r="V21" s="34">
        <f>IFERROR(SUMIF(Table625[Sub-Accounts],Table826[[#This Row],[Update your chart of accounts here]],Table625[Debit]),"")</f>
        <v>0</v>
      </c>
      <c r="W21" s="34">
        <f>IFERROR(SUMIF(Table625[Sub-Accounts],Table826[[#This Row],[Update your chart of accounts here]],Table625[Credit]),"")</f>
        <v>0</v>
      </c>
      <c r="X21" s="34"/>
      <c r="Y21" s="34"/>
      <c r="Z21" s="34"/>
      <c r="AA21" s="34"/>
      <c r="AB21" s="34">
        <f>MAX(Table826[[#This Row],[Debit]]+Table826[[#This Row],[Debit -]]-Table826[[#This Row],[Credit]]-Table826[[#This Row],[Credit +]],0)</f>
        <v>0</v>
      </c>
      <c r="AC21" s="34">
        <f>MAX(Table826[[#This Row],[Credit]]-Table826[[#This Row],[Debit]]+Table826[[#This Row],[Credit +]]-Table826[[#This Row],[Debit -]],0)</f>
        <v>0</v>
      </c>
      <c r="AD21" s="34" t="str">
        <f>IFERROR(IF(AND(OR(Table826[[#This Row],[Classification]]="Expense",Table826[[#This Row],[Classification]]="Cost of Goods Sold"),Table826[[#This Row],[Debit\]]&gt;Table826[[#This Row],[Credit.]]),Table826[[#This Row],[Debit\]]-Table826[[#This Row],[Credit.]],""),"")</f>
        <v/>
      </c>
      <c r="AE21" s="34" t="str">
        <f>IFERROR(IF(AND(OR(Table826[[#This Row],[Classification]]="Income",Table826[[#This Row],[Classification]]="Cost of Goods Sold"),Table826[[#This Row],[Credit.]]&gt;Table826[[#This Row],[Debit\]]),Table826[[#This Row],[Credit.]]-Table826[[#This Row],[Debit\]],""),"")</f>
        <v/>
      </c>
      <c r="AF21" s="34"/>
      <c r="AG21" s="34" t="str">
        <f>IFERROR(IF(AND(Table826[[#This Row],[Classification]]="Assets",Table826[[#This Row],[Debit\]]-Table826[[#This Row],[Credit.]]),Table826[[#This Row],[Debit\]]-Table826[[#This Row],[Credit.]],""),"")</f>
        <v/>
      </c>
      <c r="AH21" s="34" t="str">
        <f>IFERROR(IF(AND(OR(Table826[[#This Row],[Classification]]="Liabilities",Table826[[#This Row],[Classification]]="Owner´s Equity"),Table826[[#This Row],[Credit.]]&gt;Table826[[#This Row],[Debit\]]),Table826[[#This Row],[Credit.]]-Table826[[#This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IFERROR(SUMIF(Table423[,],Table625[[#This Row],[Accounts Name]],Table423[,3]),"")</f>
        <v>0</v>
      </c>
      <c r="P22" s="34">
        <f>IFERROR(SUMIF(Table423[,],Table625[[#This Row],[Accounts Name]],Table423[,2]),"")</f>
        <v>347656</v>
      </c>
      <c r="S22" s="36">
        <f t="shared" si="0"/>
        <v>15</v>
      </c>
      <c r="T22" s="34" t="s">
        <v>11</v>
      </c>
      <c r="U22" s="37" t="s">
        <v>144</v>
      </c>
      <c r="V22" s="34">
        <f>IFERROR(SUMIF(Table625[Sub-Accounts],Table826[[#This Row],[Update your chart of accounts here]],Table625[Debit]),"")</f>
        <v>2228108</v>
      </c>
      <c r="W22" s="34">
        <f>IFERROR(SUMIF(Table625[Sub-Accounts],Table826[[#This Row],[Update your chart of accounts here]],Table625[Credit]),"")</f>
        <v>0</v>
      </c>
      <c r="X22" s="34"/>
      <c r="Y22" s="34" t="s">
        <v>227</v>
      </c>
      <c r="Z22" s="34"/>
      <c r="AA22" s="34">
        <f>J19</f>
        <v>50000</v>
      </c>
      <c r="AB22" s="34">
        <f>MAX(Table826[[#This Row],[Debit]]+Table826[[#This Row],[Debit -]]-Table826[[#This Row],[Credit]]-Table826[[#This Row],[Credit +]],0)</f>
        <v>2178108</v>
      </c>
      <c r="AC22" s="34">
        <f>MAX(Table826[[#This Row],[Credit]]-Table826[[#This Row],[Debit]]+Table826[[#This Row],[Credit +]]-Table826[[#This Row],[Debit -]],0)</f>
        <v>0</v>
      </c>
      <c r="AD22" s="34" t="str">
        <f>IFERROR(IF(AND(OR(Table826[[#This Row],[Classification]]="Expense",Table826[[#This Row],[Classification]]="Cost of Goods Sold"),Table826[[#This Row],[Debit\]]&gt;Table826[[#This Row],[Credit.]]),Table826[[#This Row],[Debit\]]-Table826[[#This Row],[Credit.]],""),"")</f>
        <v/>
      </c>
      <c r="AE22" s="34" t="str">
        <f>IFERROR(IF(AND(OR(Table826[[#This Row],[Classification]]="Income",Table826[[#This Row],[Classification]]="Cost of Goods Sold"),Table826[[#This Row],[Credit.]]&gt;Table826[[#This Row],[Debit\]]),Table826[[#This Row],[Credit.]]-Table826[[#This Row],[Debit\]],""),"")</f>
        <v/>
      </c>
      <c r="AF22" s="34"/>
      <c r="AG22" s="34">
        <f>IFERROR(IF(AND(Table826[[#This Row],[Classification]]="Assets",Table826[[#This Row],[Debit\]]-Table826[[#This Row],[Credit.]]),Table826[[#This Row],[Debit\]]-Table826[[#This Row],[Credit.]],""),"")</f>
        <v>2178108</v>
      </c>
      <c r="AH22" s="34" t="str">
        <f>IFERROR(IF(AND(OR(Table826[[#This Row],[Classification]]="Liabilities",Table826[[#This Row],[Classification]]="Owner´s Equity"),Table826[[#This Row],[Credit.]]&gt;Table826[[#This Row],[Debit\]]),Table826[[#This Row],[Credit.]]-Table826[[#This Row],[Debit\]],""),"")</f>
        <v/>
      </c>
    </row>
    <row r="23" spans="2:34" hidden="1" x14ac:dyDescent="0.25">
      <c r="B23" s="34"/>
      <c r="C23" s="37" t="s">
        <v>77</v>
      </c>
      <c r="D23" s="34"/>
      <c r="E23" s="34">
        <v>347656</v>
      </c>
      <c r="G23" s="39"/>
      <c r="H23" s="43" t="s">
        <v>188</v>
      </c>
      <c r="I23" s="41"/>
      <c r="J23" s="41"/>
      <c r="L23" s="34">
        <v>16</v>
      </c>
      <c r="M23" s="35" t="s">
        <v>143</v>
      </c>
      <c r="N23" s="35" t="s">
        <v>78</v>
      </c>
      <c r="O23" s="34">
        <f>IFERROR(SUMIF(Table423[,],Table625[[#This Row],[Accounts Name]],Table423[,3]),"")</f>
        <v>1150000</v>
      </c>
      <c r="P23" s="34">
        <f>IFERROR(SUMIF(Table423[,],Table625[[#This Row],[Accounts Name]],Table423[,2]),"")</f>
        <v>0</v>
      </c>
      <c r="S23" s="36">
        <f t="shared" si="0"/>
        <v>16</v>
      </c>
      <c r="T23" s="34"/>
      <c r="U23" s="37" t="s">
        <v>214</v>
      </c>
      <c r="V23" s="34">
        <f>IFERROR(SUMIF(Table625[Sub-Accounts],Table826[[#This Row],[Update your chart of accounts here]],Table625[Debit]),"")</f>
        <v>0</v>
      </c>
      <c r="W23" s="34">
        <f>IFERROR(SUMIF(Table625[Sub-Accounts],Table826[[#This Row],[Update your chart of accounts here]],Table625[Credit]),"")</f>
        <v>0</v>
      </c>
      <c r="X23" s="34"/>
      <c r="Y23" s="34"/>
      <c r="Z23" s="34"/>
      <c r="AA23" s="34"/>
      <c r="AB23" s="34">
        <f>MAX(Table826[[#This Row],[Debit]]+Table826[[#This Row],[Debit -]]-Table826[[#This Row],[Credit]]-Table826[[#This Row],[Credit +]],0)</f>
        <v>0</v>
      </c>
      <c r="AC23" s="34">
        <f>MAX(Table826[[#This Row],[Credit]]-Table826[[#This Row],[Debit]]+Table826[[#This Row],[Credit +]]-Table826[[#This Row],[Debit -]],0)</f>
        <v>0</v>
      </c>
      <c r="AD23" s="34" t="str">
        <f>IFERROR(IF(AND(OR(Table826[[#This Row],[Classification]]="Expense",Table826[[#This Row],[Classification]]="Cost of Goods Sold"),Table826[[#This Row],[Debit\]]&gt;Table826[[#This Row],[Credit.]]),Table826[[#This Row],[Debit\]]-Table826[[#This Row],[Credit.]],""),"")</f>
        <v/>
      </c>
      <c r="AE23" s="34" t="str">
        <f>IFERROR(IF(AND(OR(Table826[[#This Row],[Classification]]="Income",Table826[[#This Row],[Classification]]="Cost of Goods Sold"),Table826[[#This Row],[Credit.]]&gt;Table826[[#This Row],[Debit\]]),Table826[[#This Row],[Credit.]]-Table826[[#This Row],[Debit\]],""),"")</f>
        <v/>
      </c>
      <c r="AF23" s="34"/>
      <c r="AG23" s="34" t="str">
        <f>IFERROR(IF(AND(Table826[[#This Row],[Classification]]="Assets",Table826[[#This Row],[Debit\]]-Table826[[#This Row],[Credit.]]),Table826[[#This Row],[Debit\]]-Table826[[#This Row],[Credit.]],""),"")</f>
        <v/>
      </c>
      <c r="AH23" s="34" t="str">
        <f>IFERROR(IF(AND(OR(Table826[[#This Row],[Classification]]="Liabilities",Table826[[#This Row],[Classification]]="Owner´s Equity"),Table826[[#This Row],[Credit.]]&gt;Table826[[#This Row],[Debit\]]),Table826[[#This Row],[Credit.]]-Table826[[#This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IFERROR(SUMIF(Table423[,],Table625[[#This Row],[Accounts Name]],Table423[,3]),"")</f>
        <v>375657</v>
      </c>
      <c r="P24" s="34">
        <f>IFERROR(SUMIF(Table423[,],Table625[[#This Row],[Accounts Name]],Table423[,2]),"")</f>
        <v>0</v>
      </c>
      <c r="S24" s="36">
        <f t="shared" si="0"/>
        <v>17</v>
      </c>
      <c r="T24" s="34" t="s">
        <v>48</v>
      </c>
      <c r="U24" s="37" t="s">
        <v>145</v>
      </c>
      <c r="V24" s="34">
        <f>IFERROR(SUMIF(Table625[Sub-Accounts],Table826[[#This Row],[Update your chart of accounts here]],Table625[Debit]),"")</f>
        <v>0</v>
      </c>
      <c r="W24" s="34">
        <f>IFERROR(SUMIF(Table625[Sub-Accounts],Table826[[#This Row],[Update your chart of accounts here]],Table625[Credit]),"")</f>
        <v>11852079.26</v>
      </c>
      <c r="X24" s="34"/>
      <c r="Y24" s="34" t="s">
        <v>226</v>
      </c>
      <c r="Z24" s="34">
        <f>I16</f>
        <v>1000000</v>
      </c>
      <c r="AA24" s="34"/>
      <c r="AB24" s="34">
        <f>MAX(Table826[[#This Row],[Debit]]+Table826[[#This Row],[Debit -]]-Table826[[#This Row],[Credit]]-Table826[[#This Row],[Credit +]],0)</f>
        <v>0</v>
      </c>
      <c r="AC24" s="34">
        <f>MAX(Table826[[#This Row],[Credit]]-Table826[[#This Row],[Debit]]+Table826[[#This Row],[Credit +]]-Table826[[#This Row],[Debit -]],0)</f>
        <v>10852079.26</v>
      </c>
      <c r="AD24" s="34" t="str">
        <f>IFERROR(IF(AND(OR(Table826[[#This Row],[Classification]]="Expense",Table826[[#This Row],[Classification]]="Cost of Goods Sold"),Table826[[#This Row],[Debit\]]&gt;Table826[[#This Row],[Credit.]]),Table826[[#This Row],[Debit\]]-Table826[[#This Row],[Credit.]],""),"")</f>
        <v/>
      </c>
      <c r="AE24" s="34" t="str">
        <f>IFERROR(IF(AND(OR(Table826[[#This Row],[Classification]]="Income",Table826[[#This Row],[Classification]]="Cost of Goods Sold"),Table826[[#This Row],[Credit.]]&gt;Table826[[#This Row],[Debit\]]),Table826[[#This Row],[Credit.]]-Table826[[#This Row],[Debit\]],""),"")</f>
        <v/>
      </c>
      <c r="AF24" s="34"/>
      <c r="AG24" s="34" t="str">
        <f>IFERROR(IF(AND(Table826[[#This Row],[Classification]]="Assets",Table826[[#This Row],[Debit\]]-Table826[[#This Row],[Credit.]]),Table826[[#This Row],[Debit\]]-Table826[[#This Row],[Credit.]],""),"")</f>
        <v/>
      </c>
      <c r="AH24" s="34">
        <f>IFERROR(IF(AND(OR(Table826[[#This Row],[Classification]]="Liabilities",Table826[[#This Row],[Classification]]="Owner´s Equity"),Table826[[#This Row],[Credit.]]&gt;Table826[[#This Row],[Debit\]]),Table826[[#This Row],[Credit.]]-Table826[[#This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IFERROR(SUMIF(Table423[,],Table625[[#This Row],[Accounts Name]],Table423[,3]),"")</f>
        <v>0</v>
      </c>
      <c r="P25" s="34">
        <f>IFERROR(SUMIF(Table423[,],Table625[[#This Row],[Accounts Name]],Table423[,2]),"")</f>
        <v>288789</v>
      </c>
      <c r="S25" s="36">
        <f t="shared" si="0"/>
        <v>18</v>
      </c>
      <c r="T25" s="34"/>
      <c r="U25" s="37" t="s">
        <v>215</v>
      </c>
      <c r="V25" s="34">
        <f>IFERROR(SUMIF(Table625[Sub-Accounts],Table826[[#This Row],[Update your chart of accounts here]],Table625[Debit]),"")</f>
        <v>0</v>
      </c>
      <c r="W25" s="34">
        <f>IFERROR(SUMIF(Table625[Sub-Accounts],Table826[[#This Row],[Update your chart of accounts here]],Table625[Credit]),"")</f>
        <v>0</v>
      </c>
      <c r="X25" s="34"/>
      <c r="Y25" s="34"/>
      <c r="Z25" s="34"/>
      <c r="AA25" s="34"/>
      <c r="AB25" s="34">
        <f>MAX(Table826[[#This Row],[Debit]]+Table826[[#This Row],[Debit -]]-Table826[[#This Row],[Credit]]-Table826[[#This Row],[Credit +]],0)</f>
        <v>0</v>
      </c>
      <c r="AC25" s="34">
        <f>MAX(Table826[[#This Row],[Credit]]-Table826[[#This Row],[Debit]]+Table826[[#This Row],[Credit +]]-Table826[[#This Row],[Debit -]],0)</f>
        <v>0</v>
      </c>
      <c r="AD25" s="34" t="str">
        <f>IFERROR(IF(AND(OR(Table826[[#This Row],[Classification]]="Expense",Table826[[#This Row],[Classification]]="Cost of Goods Sold"),Table826[[#This Row],[Debit\]]&gt;Table826[[#This Row],[Credit.]]),Table826[[#This Row],[Debit\]]-Table826[[#This Row],[Credit.]],""),"")</f>
        <v/>
      </c>
      <c r="AE25" s="34" t="str">
        <f>IFERROR(IF(AND(OR(Table826[[#This Row],[Classification]]="Income",Table826[[#This Row],[Classification]]="Cost of Goods Sold"),Table826[[#This Row],[Credit.]]&gt;Table826[[#This Row],[Debit\]]),Table826[[#This Row],[Credit.]]-Table826[[#This Row],[Debit\]],""),"")</f>
        <v/>
      </c>
      <c r="AF25" s="34"/>
      <c r="AG25" s="34" t="str">
        <f>IFERROR(IF(AND(Table826[[#This Row],[Classification]]="Assets",Table826[[#This Row],[Debit\]]-Table826[[#This Row],[Credit.]]),Table826[[#This Row],[Debit\]]-Table826[[#This Row],[Credit.]],""),"")</f>
        <v/>
      </c>
      <c r="AH25" s="34" t="str">
        <f>IFERROR(IF(AND(OR(Table826[[#This Row],[Classification]]="Liabilities",Table826[[#This Row],[Classification]]="Owner´s Equity"),Table826[[#This Row],[Credit.]]&gt;Table826[[#This Row],[Debit\]]),Table826[[#This Row],[Credit.]]-Table826[[#This Row],[Debit\]],""),"")</f>
        <v/>
      </c>
    </row>
    <row r="26" spans="2:34" hidden="1" x14ac:dyDescent="0.25">
      <c r="B26" s="34"/>
      <c r="C26" s="37" t="s">
        <v>80</v>
      </c>
      <c r="D26" s="34"/>
      <c r="E26" s="34">
        <v>288789</v>
      </c>
      <c r="G26" s="39"/>
      <c r="H26" s="43" t="s">
        <v>189</v>
      </c>
      <c r="I26" s="41"/>
      <c r="J26" s="41"/>
      <c r="L26" s="34">
        <v>19</v>
      </c>
      <c r="M26" s="35" t="s">
        <v>143</v>
      </c>
      <c r="N26" s="35" t="s">
        <v>81</v>
      </c>
      <c r="O26" s="34">
        <f>IFERROR(SUMIF(Table423[,],Table625[[#This Row],[Accounts Name]],Table423[,3]),"")</f>
        <v>975000</v>
      </c>
      <c r="P26" s="34">
        <f>IFERROR(SUMIF(Table423[,],Table625[[#This Row],[Accounts Name]],Table423[,2]),"")</f>
        <v>0</v>
      </c>
      <c r="S26" s="36">
        <f t="shared" si="0"/>
        <v>19</v>
      </c>
      <c r="T26" s="34" t="s">
        <v>62</v>
      </c>
      <c r="U26" s="37" t="s">
        <v>62</v>
      </c>
      <c r="V26" s="34">
        <f>IFERROR(SUMIF(Table625[Sub-Accounts],Table826[[#This Row],[Update your chart of accounts here]],Table625[Debit]),"")</f>
        <v>0</v>
      </c>
      <c r="W26" s="34">
        <f>IFERROR(SUMIF(Table625[Sub-Accounts],Table826[[#This Row],[Update your chart of accounts here]],Table625[Credit]),"")</f>
        <v>332888373.44999999</v>
      </c>
      <c r="X26" s="34"/>
      <c r="Y26" s="34" t="s">
        <v>228</v>
      </c>
      <c r="Z26" s="34">
        <f>I24</f>
        <v>21</v>
      </c>
      <c r="AA26" s="34"/>
      <c r="AB26" s="34">
        <f>MAX(Table826[[#This Row],[Debit]]+Table826[[#This Row],[Debit -]]-Table826[[#This Row],[Credit]]-Table826[[#This Row],[Credit +]],0)</f>
        <v>0</v>
      </c>
      <c r="AC26" s="34">
        <f>MAX(Table826[[#This Row],[Credit]]-Table826[[#This Row],[Debit]]+Table826[[#This Row],[Credit +]]-Table826[[#This Row],[Debit -]],0)</f>
        <v>332888352.44999999</v>
      </c>
      <c r="AD26" s="34" t="str">
        <f>IFERROR(IF(AND(OR(Table826[[#This Row],[Classification]]="Expense",Table826[[#This Row],[Classification]]="Cost of Goods Sold"),Table826[[#This Row],[Debit\]]&gt;Table826[[#This Row],[Credit.]]),Table826[[#This Row],[Debit\]]-Table826[[#This Row],[Credit.]],""),"")</f>
        <v/>
      </c>
      <c r="AE26" s="34">
        <f>IFERROR(IF(AND(OR(Table826[[#This Row],[Classification]]="Income",Table826[[#This Row],[Classification]]="Cost of Goods Sold"),Table826[[#This Row],[Credit.]]&gt;Table826[[#This Row],[Debit\]]),Table826[[#This Row],[Credit.]]-Table826[[#This Row],[Debit\]],""),"")</f>
        <v>332888352.44999999</v>
      </c>
      <c r="AF26" s="34"/>
      <c r="AG26" s="34" t="str">
        <f>IFERROR(IF(AND(Table826[[#This Row],[Classification]]="Assets",Table826[[#This Row],[Debit\]]-Table826[[#This Row],[Credit.]]),Table826[[#This Row],[Debit\]]-Table826[[#This Row],[Credit.]],""),"")</f>
        <v/>
      </c>
      <c r="AH26" s="34" t="str">
        <f>IFERROR(IF(AND(OR(Table826[[#This Row],[Classification]]="Liabilities",Table826[[#This Row],[Classification]]="Owner´s Equity"),Table826[[#This Row],[Credit.]]&gt;Table826[[#This Row],[Debit\]]),Table826[[#This Row],[Credit.]]-Table826[[#This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IFERROR(SUMIF(Table423[,],Table625[[#This Row],[Accounts Name]],Table423[,3]),"")</f>
        <v>0</v>
      </c>
      <c r="P27" s="34">
        <f>IFERROR(SUMIF(Table423[,],Table625[[#This Row],[Accounts Name]],Table423[,2]),"")</f>
        <v>426561</v>
      </c>
      <c r="S27" s="36">
        <f t="shared" si="0"/>
        <v>20</v>
      </c>
      <c r="T27" s="34" t="s">
        <v>62</v>
      </c>
      <c r="U27" s="37" t="s">
        <v>216</v>
      </c>
      <c r="V27" s="34">
        <f>IFERROR(SUMIF(Table625[Sub-Accounts],Table826[[#This Row],[Update your chart of accounts here]],Table625[Debit]),"")</f>
        <v>0</v>
      </c>
      <c r="W27" s="34">
        <f>IFERROR(SUMIF(Table625[Sub-Accounts],Table826[[#This Row],[Update your chart of accounts here]],Table625[Credit]),"")</f>
        <v>0</v>
      </c>
      <c r="X27" s="34"/>
      <c r="Y27" s="34" t="s">
        <v>225</v>
      </c>
      <c r="Z27" s="34"/>
      <c r="AA27" s="34">
        <f>J13</f>
        <v>251563</v>
      </c>
      <c r="AB27" s="34">
        <f>MAX(Table826[[#This Row],[Debit]]+Table826[[#This Row],[Debit -]]-Table826[[#This Row],[Credit]]-Table826[[#This Row],[Credit +]],0)</f>
        <v>0</v>
      </c>
      <c r="AC27" s="34">
        <f>MAX(Table826[[#This Row],[Credit]]-Table826[[#This Row],[Debit]]+Table826[[#This Row],[Credit +]]-Table826[[#This Row],[Debit -]],0)</f>
        <v>251563</v>
      </c>
      <c r="AD27" s="34" t="str">
        <f>IFERROR(IF(AND(OR(Table826[[#This Row],[Classification]]="Expense",Table826[[#This Row],[Classification]]="Cost of Goods Sold"),Table826[[#This Row],[Debit\]]&gt;Table826[[#This Row],[Credit.]]),Table826[[#This Row],[Debit\]]-Table826[[#This Row],[Credit.]],""),"")</f>
        <v/>
      </c>
      <c r="AE27" s="34">
        <f>IFERROR(IF(AND(OR(Table826[[#This Row],[Classification]]="Income",Table826[[#This Row],[Classification]]="Cost of Goods Sold"),Table826[[#This Row],[Credit.]]&gt;Table826[[#This Row],[Debit\]]),Table826[[#This Row],[Credit.]]-Table826[[#This Row],[Debit\]],""),"")</f>
        <v>251563</v>
      </c>
      <c r="AF27" s="34"/>
      <c r="AG27" s="34" t="str">
        <f>IFERROR(IF(AND(Table826[[#This Row],[Classification]]="Assets",Table826[[#This Row],[Debit\]]-Table826[[#This Row],[Credit.]]),Table826[[#This Row],[Debit\]]-Table826[[#This Row],[Credit.]],""),"")</f>
        <v/>
      </c>
      <c r="AH27" s="34" t="str">
        <f>IFERROR(IF(AND(OR(Table826[[#This Row],[Classification]]="Liabilities",Table826[[#This Row],[Classification]]="Owner´s Equity"),Table826[[#This Row],[Credit.]]&gt;Table826[[#This Row],[Debit\]]),Table826[[#This Row],[Credit.]]-Table826[[#This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IFERROR(SUMIF(Table423[,],Table625[[#This Row],[Accounts Name]],Table423[,3]),"")</f>
        <v>350000</v>
      </c>
      <c r="P28" s="34">
        <f>IFERROR(SUMIF(Table423[,],Table625[[#This Row],[Accounts Name]],Table423[,2]),"")</f>
        <v>0</v>
      </c>
      <c r="S28" s="36">
        <f t="shared" si="0"/>
        <v>21</v>
      </c>
      <c r="T28" s="34" t="s">
        <v>6</v>
      </c>
      <c r="U28" s="37" t="s">
        <v>147</v>
      </c>
      <c r="V28" s="34">
        <f>IFERROR(SUMIF(Table625[Sub-Accounts],Table826[[#This Row],[Update your chart of accounts here]],Table625[Debit]),"")</f>
        <v>316209838.63</v>
      </c>
      <c r="W28" s="34">
        <f>IFERROR(SUMIF(Table625[Sub-Accounts],Table826[[#This Row],[Update your chart of accounts here]],Table625[Credit]),"")</f>
        <v>0</v>
      </c>
      <c r="X28" s="34"/>
      <c r="Y28" s="34" t="s">
        <v>231</v>
      </c>
      <c r="Z28" s="34">
        <f>I30</f>
        <v>1379881</v>
      </c>
      <c r="AA28" s="34"/>
      <c r="AB28" s="34">
        <f>MAX(Table826[[#This Row],[Debit]]+Table826[[#This Row],[Debit -]]-Table826[[#This Row],[Credit]]-Table826[[#This Row],[Credit +]],0)</f>
        <v>317589719.63</v>
      </c>
      <c r="AC28" s="34">
        <f>MAX(Table826[[#This Row],[Credit]]-Table826[[#This Row],[Debit]]+Table826[[#This Row],[Credit +]]-Table826[[#This Row],[Debit -]],0)</f>
        <v>0</v>
      </c>
      <c r="AD28" s="34">
        <f>IFERROR(IF(AND(OR(Table826[[#This Row],[Classification]]="Expense",Table826[[#This Row],[Classification]]="Cost of Goods Sold"),Table826[[#This Row],[Debit\]]&gt;Table826[[#This Row],[Credit.]]),Table826[[#This Row],[Debit\]]-Table826[[#This Row],[Credit.]],""),"")</f>
        <v>317589719.63</v>
      </c>
      <c r="AE28" s="34" t="str">
        <f>IFERROR(IF(AND(OR(Table826[[#This Row],[Classification]]="Income",Table826[[#This Row],[Classification]]="Cost of Goods Sold"),Table826[[#This Row],[Credit.]]&gt;Table826[[#This Row],[Debit\]]),Table826[[#This Row],[Credit.]]-Table826[[#This Row],[Debit\]],""),"")</f>
        <v/>
      </c>
      <c r="AF28" s="34"/>
      <c r="AG28" s="34" t="str">
        <f>IFERROR(IF(AND(Table826[[#This Row],[Classification]]="Assets",Table826[[#This Row],[Debit\]]-Table826[[#This Row],[Credit.]]),Table826[[#This Row],[Debit\]]-Table826[[#This Row],[Credit.]],""),"")</f>
        <v/>
      </c>
      <c r="AH28" s="34" t="str">
        <f>IFERROR(IF(AND(OR(Table826[[#This Row],[Classification]]="Liabilities",Table826[[#This Row],[Classification]]="Owner´s Equity"),Table826[[#This Row],[Credit.]]&gt;Table826[[#This Row],[Debit\]]),Table826[[#This Row],[Credit.]]-Table826[[#This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IFERROR(SUMIF(Table423[,],Table625[[#This Row],[Accounts Name]],Table423[,3]),"")</f>
        <v>0</v>
      </c>
      <c r="P29" s="34">
        <f>IFERROR(SUMIF(Table423[,],Table625[[#This Row],[Accounts Name]],Table423[,2]),"")</f>
        <v>4840392.6399999997</v>
      </c>
      <c r="S29" s="36">
        <f t="shared" si="0"/>
        <v>22</v>
      </c>
      <c r="T29" s="34" t="s">
        <v>61</v>
      </c>
      <c r="U29" s="37" t="s">
        <v>151</v>
      </c>
      <c r="V29" s="34">
        <f>IFERROR(SUMIF(Table625[Sub-Accounts],Table826[[#This Row],[Update your chart of accounts here]],Table625[Debit]),"")</f>
        <v>3516485</v>
      </c>
      <c r="W29" s="34">
        <f>IFERROR(SUMIF(Table625[Sub-Accounts],Table826[[#This Row],[Update your chart of accounts here]],Table625[Credit]),"")</f>
        <v>0</v>
      </c>
      <c r="X29" s="34"/>
      <c r="Y29" s="34"/>
      <c r="Z29" s="34"/>
      <c r="AA29" s="34"/>
      <c r="AB29" s="34">
        <f>MAX(Table826[[#This Row],[Debit]]+Table826[[#This Row],[Debit -]]-Table826[[#This Row],[Credit]]-Table826[[#This Row],[Credit +]],0)</f>
        <v>3516485</v>
      </c>
      <c r="AC29" s="34">
        <f>MAX(Table826[[#This Row],[Credit]]-Table826[[#This Row],[Debit]]+Table826[[#This Row],[Credit +]]-Table826[[#This Row],[Debit -]],0)</f>
        <v>0</v>
      </c>
      <c r="AD29" s="34">
        <f>IFERROR(IF(AND(OR(Table826[[#This Row],[Classification]]="Expense",Table826[[#This Row],[Classification]]="Cost of Goods Sold"),Table826[[#This Row],[Debit\]]&gt;Table826[[#This Row],[Credit.]]),Table826[[#This Row],[Debit\]]-Table826[[#This Row],[Credit.]],""),"")</f>
        <v>3516485</v>
      </c>
      <c r="AE29" s="34" t="str">
        <f>IFERROR(IF(AND(OR(Table826[[#This Row],[Classification]]="Income",Table826[[#This Row],[Classification]]="Cost of Goods Sold"),Table826[[#This Row],[Credit.]]&gt;Table826[[#This Row],[Debit\]]),Table826[[#This Row],[Credit.]]-Table826[[#This Row],[Debit\]],""),"")</f>
        <v/>
      </c>
      <c r="AF29" s="34"/>
      <c r="AG29" s="34" t="str">
        <f>IFERROR(IF(AND(Table826[[#This Row],[Classification]]="Assets",Table826[[#This Row],[Debit\]]-Table826[[#This Row],[Credit.]]),Table826[[#This Row],[Debit\]]-Table826[[#This Row],[Credit.]],""),"")</f>
        <v/>
      </c>
      <c r="AH29" s="34" t="str">
        <f>IFERROR(IF(AND(OR(Table826[[#This Row],[Classification]]="Liabilities",Table826[[#This Row],[Classification]]="Owner´s Equity"),Table826[[#This Row],[Credit.]]&gt;Table826[[#This Row],[Debit\]]),Table826[[#This Row],[Credit.]]-Table826[[#This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IFERROR(SUMIF(Table423[,],Table625[[#This Row],[Accounts Name]],Table423[,3]),"")</f>
        <v>0</v>
      </c>
      <c r="P30" s="34">
        <f>IFERROR(SUMIF(Table423[,],Table625[[#This Row],[Accounts Name]],Table423[,2]),"")</f>
        <v>175000</v>
      </c>
      <c r="S30" s="36">
        <f t="shared" si="0"/>
        <v>23</v>
      </c>
      <c r="T30" s="34" t="s">
        <v>61</v>
      </c>
      <c r="U30" s="37" t="s">
        <v>167</v>
      </c>
      <c r="V30" s="34">
        <f>IFERROR(SUMIF(Table625[Sub-Accounts],Table826[[#This Row],[Update your chart of accounts here]],Table625[Debit]),"")</f>
        <v>395822.76</v>
      </c>
      <c r="W30" s="34">
        <f>IFERROR(SUMIF(Table625[Sub-Accounts],Table826[[#This Row],[Update your chart of accounts here]],Table625[Credit]),"")</f>
        <v>0</v>
      </c>
      <c r="X30" s="34"/>
      <c r="Y30" s="34" t="s">
        <v>231</v>
      </c>
      <c r="Z30" s="34">
        <f>I29</f>
        <v>325745</v>
      </c>
      <c r="AA30" s="34"/>
      <c r="AB30" s="34">
        <f>MAX(Table826[[#This Row],[Debit]]+Table826[[#This Row],[Debit -]]-Table826[[#This Row],[Credit]]-Table826[[#This Row],[Credit +]],0)</f>
        <v>721567.76</v>
      </c>
      <c r="AC30" s="34">
        <f>MAX(Table826[[#This Row],[Credit]]-Table826[[#This Row],[Debit]]+Table826[[#This Row],[Credit +]]-Table826[[#This Row],[Debit -]],0)</f>
        <v>0</v>
      </c>
      <c r="AD30" s="34">
        <f>IFERROR(IF(AND(OR(Table826[[#This Row],[Classification]]="Expense",Table826[[#This Row],[Classification]]="Cost of Goods Sold"),Table826[[#This Row],[Debit\]]&gt;Table826[[#This Row],[Credit.]]),Table826[[#This Row],[Debit\]]-Table826[[#This Row],[Credit.]],""),"")</f>
        <v>721567.76</v>
      </c>
      <c r="AE30" s="34" t="str">
        <f>IFERROR(IF(AND(OR(Table826[[#This Row],[Classification]]="Income",Table826[[#This Row],[Classification]]="Cost of Goods Sold"),Table826[[#This Row],[Credit.]]&gt;Table826[[#This Row],[Debit\]]),Table826[[#This Row],[Credit.]]-Table826[[#This Row],[Debit\]],""),"")</f>
        <v/>
      </c>
      <c r="AF30" s="34"/>
      <c r="AG30" s="34" t="str">
        <f>IFERROR(IF(AND(Table826[[#This Row],[Classification]]="Assets",Table826[[#This Row],[Debit\]]-Table826[[#This Row],[Credit.]]),Table826[[#This Row],[Debit\]]-Table826[[#This Row],[Credit.]],""),"")</f>
        <v/>
      </c>
      <c r="AH30" s="34" t="str">
        <f>IFERROR(IF(AND(OR(Table826[[#This Row],[Classification]]="Liabilities",Table826[[#This Row],[Classification]]="Owner´s Equity"),Table826[[#This Row],[Credit.]]&gt;Table826[[#This Row],[Debit\]]),Table826[[#This Row],[Credit.]]-Table826[[#This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IFERROR(SUMIF(Table423[,],Table625[[#This Row],[Accounts Name]],Table423[,3]),"")</f>
        <v>0</v>
      </c>
      <c r="P31" s="34">
        <f>IFERROR(SUMIF(Table423[,],Table625[[#This Row],[Accounts Name]],Table423[,2]),"")</f>
        <v>100000</v>
      </c>
      <c r="S31" s="36">
        <f t="shared" si="0"/>
        <v>24</v>
      </c>
      <c r="T31" s="34" t="s">
        <v>61</v>
      </c>
      <c r="U31" s="37" t="s">
        <v>166</v>
      </c>
      <c r="V31" s="34">
        <f>IFERROR(SUMIF(Table625[Sub-Accounts],Table826[[#This Row],[Update your chart of accounts here]],Table625[Debit]),"")</f>
        <v>1409746.56</v>
      </c>
      <c r="W31" s="34">
        <f>IFERROR(SUMIF(Table625[Sub-Accounts],Table826[[#This Row],[Update your chart of accounts here]],Table625[Credit]),"")</f>
        <v>0</v>
      </c>
      <c r="X31" s="34"/>
      <c r="Y31" s="34"/>
      <c r="Z31" s="34"/>
      <c r="AA31" s="34"/>
      <c r="AB31" s="34">
        <f>MAX(Table826[[#This Row],[Debit]]+Table826[[#This Row],[Debit -]]-Table826[[#This Row],[Credit]]-Table826[[#This Row],[Credit +]],0)</f>
        <v>1409746.56</v>
      </c>
      <c r="AC31" s="34">
        <f>MAX(Table826[[#This Row],[Credit]]-Table826[[#This Row],[Debit]]+Table826[[#This Row],[Credit +]]-Table826[[#This Row],[Debit -]],0)</f>
        <v>0</v>
      </c>
      <c r="AD31" s="34">
        <f>IFERROR(IF(AND(OR(Table826[[#This Row],[Classification]]="Expense",Table826[[#This Row],[Classification]]="Cost of Goods Sold"),Table826[[#This Row],[Debit\]]&gt;Table826[[#This Row],[Credit.]]),Table826[[#This Row],[Debit\]]-Table826[[#This Row],[Credit.]],""),"")</f>
        <v>1409746.56</v>
      </c>
      <c r="AE31" s="34" t="str">
        <f>IFERROR(IF(AND(OR(Table826[[#This Row],[Classification]]="Income",Table826[[#This Row],[Classification]]="Cost of Goods Sold"),Table826[[#This Row],[Credit.]]&gt;Table826[[#This Row],[Debit\]]),Table826[[#This Row],[Credit.]]-Table826[[#This Row],[Debit\]],""),"")</f>
        <v/>
      </c>
      <c r="AF31" s="34"/>
      <c r="AG31" s="34" t="str">
        <f>IFERROR(IF(AND(Table826[[#This Row],[Classification]]="Assets",Table826[[#This Row],[Debit\]]-Table826[[#This Row],[Credit.]]),Table826[[#This Row],[Debit\]]-Table826[[#This Row],[Credit.]],""),"")</f>
        <v/>
      </c>
      <c r="AH31" s="34" t="str">
        <f>IFERROR(IF(AND(OR(Table826[[#This Row],[Classification]]="Liabilities",Table826[[#This Row],[Classification]]="Owner´s Equity"),Table826[[#This Row],[Credit.]]&gt;Table826[[#This Row],[Debit\]]),Table826[[#This Row],[Credit.]]-Table826[[#This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IFERROR(SUMIF(Table423[,],Table625[[#This Row],[Accounts Name]],Table423[,3]),"")</f>
        <v>0</v>
      </c>
      <c r="P32" s="34">
        <f>IFERROR(SUMIF(Table423[,],Table625[[#This Row],[Accounts Name]],Table423[,2]),"")</f>
        <v>10050</v>
      </c>
      <c r="S32" s="36">
        <f t="shared" si="0"/>
        <v>25</v>
      </c>
      <c r="T32" s="34" t="s">
        <v>61</v>
      </c>
      <c r="U32" s="37" t="s">
        <v>175</v>
      </c>
      <c r="V32" s="34">
        <f>IFERROR(SUMIF(Table625[Sub-Accounts],Table826[[#This Row],[Update your chart of accounts here]],Table625[Debit]),"")</f>
        <v>0</v>
      </c>
      <c r="W32" s="34">
        <f>IFERROR(SUMIF(Table625[Sub-Accounts],Table826[[#This Row],[Update your chart of accounts here]],Table625[Credit]),"")</f>
        <v>0</v>
      </c>
      <c r="X32" s="34"/>
      <c r="Y32" s="34" t="s">
        <v>231</v>
      </c>
      <c r="Z32" s="34">
        <f>I27</f>
        <v>845624</v>
      </c>
      <c r="AA32" s="34"/>
      <c r="AB32" s="34">
        <f>MAX(Table826[[#This Row],[Debit]]+Table826[[#This Row],[Debit -]]-Table826[[#This Row],[Credit]]-Table826[[#This Row],[Credit +]],0)</f>
        <v>845624</v>
      </c>
      <c r="AC32" s="34">
        <f>MAX(Table826[[#This Row],[Credit]]-Table826[[#This Row],[Debit]]+Table826[[#This Row],[Credit +]]-Table826[[#This Row],[Debit -]],0)</f>
        <v>0</v>
      </c>
      <c r="AD32" s="34">
        <f>IFERROR(IF(AND(OR(Table826[[#This Row],[Classification]]="Expense",Table826[[#This Row],[Classification]]="Cost of Goods Sold"),Table826[[#This Row],[Debit\]]&gt;Table826[[#This Row],[Credit.]]),Table826[[#This Row],[Debit\]]-Table826[[#This Row],[Credit.]],""),"")</f>
        <v>845624</v>
      </c>
      <c r="AE32" s="34" t="str">
        <f>IFERROR(IF(AND(OR(Table826[[#This Row],[Classification]]="Income",Table826[[#This Row],[Classification]]="Cost of Goods Sold"),Table826[[#This Row],[Credit.]]&gt;Table826[[#This Row],[Debit\]]),Table826[[#This Row],[Credit.]]-Table826[[#This Row],[Debit\]],""),"")</f>
        <v/>
      </c>
      <c r="AF32" s="34"/>
      <c r="AG32" s="34" t="str">
        <f>IFERROR(IF(AND(Table826[[#This Row],[Classification]]="Assets",Table826[[#This Row],[Debit\]]-Table826[[#This Row],[Credit.]]),Table826[[#This Row],[Debit\]]-Table826[[#This Row],[Credit.]],""),"")</f>
        <v/>
      </c>
      <c r="AH32" s="34" t="str">
        <f>IFERROR(IF(AND(OR(Table826[[#This Row],[Classification]]="Liabilities",Table826[[#This Row],[Classification]]="Owner´s Equity"),Table826[[#This Row],[Credit.]]&gt;Table826[[#This Row],[Debit\]]),Table826[[#This Row],[Credit.]]-Table826[[#This Row],[Debit\]],""),"")</f>
        <v/>
      </c>
    </row>
    <row r="33" spans="2:34" hidden="1" x14ac:dyDescent="0.25">
      <c r="B33" s="34"/>
      <c r="C33" s="37" t="s">
        <v>87</v>
      </c>
      <c r="D33" s="34"/>
      <c r="E33" s="34">
        <v>10050</v>
      </c>
      <c r="G33" s="39"/>
      <c r="H33" s="40"/>
      <c r="I33" s="41"/>
      <c r="J33" s="41"/>
      <c r="L33" s="34">
        <v>26</v>
      </c>
      <c r="M33" s="35" t="s">
        <v>141</v>
      </c>
      <c r="N33" s="35" t="s">
        <v>88</v>
      </c>
      <c r="O33" s="34">
        <f>IFERROR(SUMIF(Table423[,],Table625[[#This Row],[Accounts Name]],Table423[,3]),"")</f>
        <v>0</v>
      </c>
      <c r="P33" s="34">
        <f>IFERROR(SUMIF(Table423[,],Table625[[#This Row],[Accounts Name]],Table423[,2]),"")</f>
        <v>4800</v>
      </c>
      <c r="S33" s="36">
        <f t="shared" si="0"/>
        <v>26</v>
      </c>
      <c r="T33" s="34" t="s">
        <v>61</v>
      </c>
      <c r="U33" s="37" t="s">
        <v>154</v>
      </c>
      <c r="V33" s="34">
        <f>IFERROR(SUMIF(Table625[Sub-Accounts],Table826[[#This Row],[Update your chart of accounts here]],Table625[Debit]),"")</f>
        <v>2500001</v>
      </c>
      <c r="W33" s="34">
        <f>IFERROR(SUMIF(Table625[Sub-Accounts],Table826[[#This Row],[Update your chart of accounts here]],Table625[Credit]),"")</f>
        <v>0</v>
      </c>
      <c r="X33" s="34"/>
      <c r="Y33" s="34"/>
      <c r="Z33" s="34"/>
      <c r="AA33" s="34"/>
      <c r="AB33" s="34">
        <f>MAX(Table826[[#This Row],[Debit]]+Table826[[#This Row],[Debit -]]-Table826[[#This Row],[Credit]]-Table826[[#This Row],[Credit +]],0)</f>
        <v>2500001</v>
      </c>
      <c r="AC33" s="34">
        <f>MAX(Table826[[#This Row],[Credit]]-Table826[[#This Row],[Debit]]+Table826[[#This Row],[Credit +]]-Table826[[#This Row],[Debit -]],0)</f>
        <v>0</v>
      </c>
      <c r="AD33" s="34">
        <f>IFERROR(IF(AND(OR(Table826[[#This Row],[Classification]]="Expense",Table826[[#This Row],[Classification]]="Cost of Goods Sold"),Table826[[#This Row],[Debit\]]&gt;Table826[[#This Row],[Credit.]]),Table826[[#This Row],[Debit\]]-Table826[[#This Row],[Credit.]],""),"")</f>
        <v>2500001</v>
      </c>
      <c r="AE33" s="34" t="str">
        <f>IFERROR(IF(AND(OR(Table826[[#This Row],[Classification]]="Income",Table826[[#This Row],[Classification]]="Cost of Goods Sold"),Table826[[#This Row],[Credit.]]&gt;Table826[[#This Row],[Debit\]]),Table826[[#This Row],[Credit.]]-Table826[[#This Row],[Debit\]],""),"")</f>
        <v/>
      </c>
      <c r="AF33" s="34"/>
      <c r="AG33" s="34" t="str">
        <f>IFERROR(IF(AND(Table826[[#This Row],[Classification]]="Assets",Table826[[#This Row],[Debit\]]-Table826[[#This Row],[Credit.]]),Table826[[#This Row],[Debit\]]-Table826[[#This Row],[Credit.]],""),"")</f>
        <v/>
      </c>
      <c r="AH33" s="34" t="str">
        <f>IFERROR(IF(AND(OR(Table826[[#This Row],[Classification]]="Liabilities",Table826[[#This Row],[Classification]]="Owner´s Equity"),Table826[[#This Row],[Credit.]]&gt;Table826[[#This Row],[Debit\]]),Table826[[#This Row],[Credit.]]-Table826[[#This Row],[Debit\]],""),"")</f>
        <v/>
      </c>
    </row>
    <row r="34" spans="2:34" hidden="1" x14ac:dyDescent="0.25">
      <c r="B34" s="34"/>
      <c r="C34" s="37" t="s">
        <v>88</v>
      </c>
      <c r="D34" s="34"/>
      <c r="E34" s="34">
        <v>4800</v>
      </c>
      <c r="G34" s="39"/>
      <c r="H34" s="40"/>
      <c r="I34" s="41"/>
      <c r="J34" s="41"/>
      <c r="L34" s="34">
        <v>27</v>
      </c>
      <c r="M34" s="35" t="s">
        <v>141</v>
      </c>
      <c r="N34" s="35" t="s">
        <v>89</v>
      </c>
      <c r="O34" s="34">
        <f>IFERROR(SUMIF(Table423[,],Table625[[#This Row],[Accounts Name]],Table423[,3]),"")</f>
        <v>0</v>
      </c>
      <c r="P34" s="34">
        <f>IFERROR(SUMIF(Table423[,],Table625[[#This Row],[Accounts Name]],Table423[,2]),"")</f>
        <v>110610</v>
      </c>
      <c r="S34" s="36">
        <f t="shared" si="0"/>
        <v>27</v>
      </c>
      <c r="T34" s="34" t="s">
        <v>61</v>
      </c>
      <c r="U34" s="37" t="s">
        <v>161</v>
      </c>
      <c r="V34" s="34">
        <f>IFERROR(SUMIF(Table625[Sub-Accounts],Table826[[#This Row],[Update your chart of accounts here]],Table625[Debit]),"")</f>
        <v>77850</v>
      </c>
      <c r="W34" s="34">
        <f>IFERROR(SUMIF(Table625[Sub-Accounts],Table826[[#This Row],[Update your chart of accounts here]],Table625[Credit]),"")</f>
        <v>0</v>
      </c>
      <c r="X34" s="34"/>
      <c r="Y34" s="34"/>
      <c r="Z34" s="34"/>
      <c r="AA34" s="34"/>
      <c r="AB34" s="34">
        <f>MAX(Table826[[#This Row],[Debit]]+Table826[[#This Row],[Debit -]]-Table826[[#This Row],[Credit]]-Table826[[#This Row],[Credit +]],0)</f>
        <v>77850</v>
      </c>
      <c r="AC34" s="34">
        <f>MAX(Table826[[#This Row],[Credit]]-Table826[[#This Row],[Debit]]+Table826[[#This Row],[Credit +]]-Table826[[#This Row],[Debit -]],0)</f>
        <v>0</v>
      </c>
      <c r="AD34" s="34">
        <f>IFERROR(IF(AND(OR(Table826[[#This Row],[Classification]]="Expense",Table826[[#This Row],[Classification]]="Cost of Goods Sold"),Table826[[#This Row],[Debit\]]&gt;Table826[[#This Row],[Credit.]]),Table826[[#This Row],[Debit\]]-Table826[[#This Row],[Credit.]],""),"")</f>
        <v>77850</v>
      </c>
      <c r="AE34" s="34" t="str">
        <f>IFERROR(IF(AND(OR(Table826[[#This Row],[Classification]]="Income",Table826[[#This Row],[Classification]]="Cost of Goods Sold"),Table826[[#This Row],[Credit.]]&gt;Table826[[#This Row],[Debit\]]),Table826[[#This Row],[Credit.]]-Table826[[#This Row],[Debit\]],""),"")</f>
        <v/>
      </c>
      <c r="AF34" s="34"/>
      <c r="AG34" s="34" t="str">
        <f>IFERROR(IF(AND(Table826[[#This Row],[Classification]]="Assets",Table826[[#This Row],[Debit\]]-Table826[[#This Row],[Credit.]]),Table826[[#This Row],[Debit\]]-Table826[[#This Row],[Credit.]],""),"")</f>
        <v/>
      </c>
      <c r="AH34" s="34" t="str">
        <f>IFERROR(IF(AND(OR(Table826[[#This Row],[Classification]]="Liabilities",Table826[[#This Row],[Classification]]="Owner´s Equity"),Table826[[#This Row],[Credit.]]&gt;Table826[[#This Row],[Debit\]]),Table826[[#This Row],[Credit.]]-Table826[[#This Row],[Debit\]],""),"")</f>
        <v/>
      </c>
    </row>
    <row r="35" spans="2:34" hidden="1" x14ac:dyDescent="0.25">
      <c r="B35" s="34"/>
      <c r="C35" s="37" t="s">
        <v>89</v>
      </c>
      <c r="D35" s="34"/>
      <c r="E35" s="34">
        <v>110610</v>
      </c>
      <c r="G35" s="39"/>
      <c r="H35" s="43"/>
      <c r="I35" s="41"/>
      <c r="J35" s="41"/>
      <c r="L35" s="34">
        <v>28</v>
      </c>
      <c r="M35" s="35" t="s">
        <v>141</v>
      </c>
      <c r="N35" s="35" t="s">
        <v>90</v>
      </c>
      <c r="O35" s="34">
        <f>IFERROR(SUMIF(Table423[,],Table625[[#This Row],[Accounts Name]],Table423[,3]),"")</f>
        <v>0</v>
      </c>
      <c r="P35" s="34">
        <f>IFERROR(SUMIF(Table423[,],Table625[[#This Row],[Accounts Name]],Table423[,2]),"")</f>
        <v>33200</v>
      </c>
      <c r="S35" s="36">
        <f t="shared" si="0"/>
        <v>28</v>
      </c>
      <c r="T35" s="34" t="s">
        <v>61</v>
      </c>
      <c r="U35" s="37" t="s">
        <v>162</v>
      </c>
      <c r="V35" s="34">
        <f>IFERROR(SUMIF(Table625[Sub-Accounts],Table826[[#This Row],[Update your chart of accounts here]],Table625[Debit]),"")</f>
        <v>268183.07</v>
      </c>
      <c r="W35" s="34">
        <f>IFERROR(SUMIF(Table625[Sub-Accounts],Table826[[#This Row],[Update your chart of accounts here]],Table625[Credit]),"")</f>
        <v>0</v>
      </c>
      <c r="X35" s="34"/>
      <c r="Y35" s="34"/>
      <c r="Z35" s="34">
        <f>I28</f>
        <v>0</v>
      </c>
      <c r="AA35" s="34"/>
      <c r="AB35" s="34">
        <f>MAX(Table826[[#This Row],[Debit]]+Table826[[#This Row],[Debit -]]-Table826[[#This Row],[Credit]]-Table826[[#This Row],[Credit +]],0)</f>
        <v>268183.07</v>
      </c>
      <c r="AC35" s="34">
        <f>MAX(Table826[[#This Row],[Credit]]-Table826[[#This Row],[Debit]]+Table826[[#This Row],[Credit +]]-Table826[[#This Row],[Debit -]],0)</f>
        <v>0</v>
      </c>
      <c r="AD35" s="34">
        <f>IFERROR(IF(AND(OR(Table826[[#This Row],[Classification]]="Expense",Table826[[#This Row],[Classification]]="Cost of Goods Sold"),Table826[[#This Row],[Debit\]]&gt;Table826[[#This Row],[Credit.]]),Table826[[#This Row],[Debit\]]-Table826[[#This Row],[Credit.]],""),"")</f>
        <v>268183.07</v>
      </c>
      <c r="AE35" s="34" t="str">
        <f>IFERROR(IF(AND(OR(Table826[[#This Row],[Classification]]="Income",Table826[[#This Row],[Classification]]="Cost of Goods Sold"),Table826[[#This Row],[Credit.]]&gt;Table826[[#This Row],[Debit\]]),Table826[[#This Row],[Credit.]]-Table826[[#This Row],[Debit\]],""),"")</f>
        <v/>
      </c>
      <c r="AF35" s="34"/>
      <c r="AG35" s="34" t="str">
        <f>IFERROR(IF(AND(Table826[[#This Row],[Classification]]="Assets",Table826[[#This Row],[Debit\]]-Table826[[#This Row],[Credit.]]),Table826[[#This Row],[Debit\]]-Table826[[#This Row],[Credit.]],""),"")</f>
        <v/>
      </c>
      <c r="AH35" s="34" t="str">
        <f>IFERROR(IF(AND(OR(Table826[[#This Row],[Classification]]="Liabilities",Table826[[#This Row],[Classification]]="Owner´s Equity"),Table826[[#This Row],[Credit.]]&gt;Table826[[#This Row],[Debit\]]),Table826[[#This Row],[Credit.]]-Table826[[#This Row],[Debit\]],""),"")</f>
        <v/>
      </c>
    </row>
    <row r="36" spans="2:34" hidden="1" x14ac:dyDescent="0.25">
      <c r="B36" s="34"/>
      <c r="C36" s="37" t="s">
        <v>90</v>
      </c>
      <c r="D36" s="34"/>
      <c r="E36" s="34">
        <v>33200</v>
      </c>
      <c r="G36" s="39"/>
      <c r="H36" s="40"/>
      <c r="I36" s="41"/>
      <c r="J36" s="41"/>
      <c r="L36" s="34">
        <v>29</v>
      </c>
      <c r="M36" s="35" t="s">
        <v>140</v>
      </c>
      <c r="N36" s="35" t="s">
        <v>91</v>
      </c>
      <c r="O36" s="34">
        <f>IFERROR(SUMIF(Table423[,],Table625[[#This Row],[Accounts Name]],Table423[,3]),"")</f>
        <v>124460</v>
      </c>
      <c r="P36" s="34">
        <f>IFERROR(SUMIF(Table423[,],Table625[[#This Row],[Accounts Name]],Table423[,2]),"")</f>
        <v>0</v>
      </c>
      <c r="S36" s="36">
        <f t="shared" si="0"/>
        <v>29</v>
      </c>
      <c r="T36" s="34" t="s">
        <v>61</v>
      </c>
      <c r="U36" s="37" t="s">
        <v>165</v>
      </c>
      <c r="V36" s="34">
        <f>IFERROR(SUMIF(Table625[Sub-Accounts],Table826[[#This Row],[Update your chart of accounts here]],Table625[Debit]),"")</f>
        <v>653656.38</v>
      </c>
      <c r="W36" s="34">
        <f>IFERROR(SUMIF(Table625[Sub-Accounts],Table826[[#This Row],[Update your chart of accounts here]],Table625[Credit]),"")</f>
        <v>0</v>
      </c>
      <c r="X36" s="34"/>
      <c r="Y36" s="34"/>
      <c r="Z36" s="34"/>
      <c r="AA36" s="34"/>
      <c r="AB36" s="34">
        <f>MAX(Table826[[#This Row],[Debit]]+Table826[[#This Row],[Debit -]]-Table826[[#This Row],[Credit]]-Table826[[#This Row],[Credit +]],0)</f>
        <v>653656.38</v>
      </c>
      <c r="AC36" s="34">
        <f>MAX(Table826[[#This Row],[Credit]]-Table826[[#This Row],[Debit]]+Table826[[#This Row],[Credit +]]-Table826[[#This Row],[Debit -]],0)</f>
        <v>0</v>
      </c>
      <c r="AD36" s="34">
        <f>IFERROR(IF(AND(OR(Table826[[#This Row],[Classification]]="Expense",Table826[[#This Row],[Classification]]="Cost of Goods Sold"),Table826[[#This Row],[Debit\]]&gt;Table826[[#This Row],[Credit.]]),Table826[[#This Row],[Debit\]]-Table826[[#This Row],[Credit.]],""),"")</f>
        <v>653656.38</v>
      </c>
      <c r="AE36" s="34" t="str">
        <f>IFERROR(IF(AND(OR(Table826[[#This Row],[Classification]]="Income",Table826[[#This Row],[Classification]]="Cost of Goods Sold"),Table826[[#This Row],[Credit.]]&gt;Table826[[#This Row],[Debit\]]),Table826[[#This Row],[Credit.]]-Table826[[#This Row],[Debit\]],""),"")</f>
        <v/>
      </c>
      <c r="AF36" s="34"/>
      <c r="AG36" s="34" t="str">
        <f>IFERROR(IF(AND(Table826[[#This Row],[Classification]]="Assets",Table826[[#This Row],[Debit\]]-Table826[[#This Row],[Credit.]]),Table826[[#This Row],[Debit\]]-Table826[[#This Row],[Credit.]],""),"")</f>
        <v/>
      </c>
      <c r="AH36" s="34" t="str">
        <f>IFERROR(IF(AND(OR(Table826[[#This Row],[Classification]]="Liabilities",Table826[[#This Row],[Classification]]="Owner´s Equity"),Table826[[#This Row],[Credit.]]&gt;Table826[[#This Row],[Debit\]]),Table826[[#This Row],[Credit.]]-Table826[[#This Row],[Debit\]],""),"")</f>
        <v/>
      </c>
    </row>
    <row r="37" spans="2:34" hidden="1" x14ac:dyDescent="0.25">
      <c r="B37" s="34"/>
      <c r="C37" s="37" t="s">
        <v>91</v>
      </c>
      <c r="D37" s="34">
        <v>124460</v>
      </c>
      <c r="E37" s="34"/>
      <c r="G37" s="39"/>
      <c r="H37" s="40"/>
      <c r="I37" s="41"/>
      <c r="J37" s="41"/>
      <c r="L37" s="34">
        <v>30</v>
      </c>
      <c r="M37" s="35" t="s">
        <v>144</v>
      </c>
      <c r="N37" s="35" t="s">
        <v>92</v>
      </c>
      <c r="O37" s="34">
        <f>IFERROR(SUMIF(Table423[,],Table625[[#This Row],[Accounts Name]],Table423[,3]),"")</f>
        <v>2228108</v>
      </c>
      <c r="P37" s="34">
        <f>IFERROR(SUMIF(Table423[,],Table625[[#This Row],[Accounts Name]],Table423[,2]),"")</f>
        <v>0</v>
      </c>
      <c r="S37" s="36">
        <f t="shared" si="0"/>
        <v>30</v>
      </c>
      <c r="T37" s="34" t="s">
        <v>61</v>
      </c>
      <c r="U37" s="37" t="s">
        <v>159</v>
      </c>
      <c r="V37" s="34">
        <f>IFERROR(SUMIF(Table625[Sub-Accounts],Table826[[#This Row],[Update your chart of accounts here]],Table625[Debit]),"")</f>
        <v>208578.65</v>
      </c>
      <c r="W37" s="34">
        <f>IFERROR(SUMIF(Table625[Sub-Accounts],Table826[[#This Row],[Update your chart of accounts here]],Table625[Credit]),"")</f>
        <v>0</v>
      </c>
      <c r="X37" s="34"/>
      <c r="Y37" s="34"/>
      <c r="Z37" s="34"/>
      <c r="AA37" s="34"/>
      <c r="AB37" s="34">
        <f>MAX(Table826[[#This Row],[Debit]]+Table826[[#This Row],[Debit -]]-Table826[[#This Row],[Credit]]-Table826[[#This Row],[Credit +]],0)</f>
        <v>208578.65</v>
      </c>
      <c r="AC37" s="34">
        <f>MAX(Table826[[#This Row],[Credit]]-Table826[[#This Row],[Debit]]+Table826[[#This Row],[Credit +]]-Table826[[#This Row],[Debit -]],0)</f>
        <v>0</v>
      </c>
      <c r="AD37" s="34">
        <f>IFERROR(IF(AND(OR(Table826[[#This Row],[Classification]]="Expense",Table826[[#This Row],[Classification]]="Cost of Goods Sold"),Table826[[#This Row],[Debit\]]&gt;Table826[[#This Row],[Credit.]]),Table826[[#This Row],[Debit\]]-Table826[[#This Row],[Credit.]],""),"")</f>
        <v>208578.65</v>
      </c>
      <c r="AE37" s="34" t="str">
        <f>IFERROR(IF(AND(OR(Table826[[#This Row],[Classification]]="Income",Table826[[#This Row],[Classification]]="Cost of Goods Sold"),Table826[[#This Row],[Credit.]]&gt;Table826[[#This Row],[Debit\]]),Table826[[#This Row],[Credit.]]-Table826[[#This Row],[Debit\]],""),"")</f>
        <v/>
      </c>
      <c r="AF37" s="34"/>
      <c r="AG37" s="34" t="str">
        <f>IFERROR(IF(AND(Table826[[#This Row],[Classification]]="Assets",Table826[[#This Row],[Debit\]]-Table826[[#This Row],[Credit.]]),Table826[[#This Row],[Debit\]]-Table826[[#This Row],[Credit.]],""),"")</f>
        <v/>
      </c>
      <c r="AH37" s="34" t="str">
        <f>IFERROR(IF(AND(OR(Table826[[#This Row],[Classification]]="Liabilities",Table826[[#This Row],[Classification]]="Owner´s Equity"),Table826[[#This Row],[Credit.]]&gt;Table826[[#This Row],[Debit\]]),Table826[[#This Row],[Credit.]]-Table826[[#This Row],[Debit\]],""),"")</f>
        <v/>
      </c>
    </row>
    <row r="38" spans="2:34" hidden="1" x14ac:dyDescent="0.25">
      <c r="B38" s="34"/>
      <c r="C38" s="37" t="s">
        <v>92</v>
      </c>
      <c r="D38" s="34">
        <v>2228108</v>
      </c>
      <c r="E38" s="34"/>
      <c r="G38" s="39"/>
      <c r="H38" s="43"/>
      <c r="I38" s="41"/>
      <c r="J38" s="41"/>
      <c r="L38" s="34">
        <v>31</v>
      </c>
      <c r="M38" s="35" t="s">
        <v>140</v>
      </c>
      <c r="N38" s="35" t="s">
        <v>93</v>
      </c>
      <c r="O38" s="34">
        <f>IFERROR(SUMIF(Table423[,],Table625[[#This Row],[Accounts Name]],Table423[,3]),"")</f>
        <v>510902</v>
      </c>
      <c r="P38" s="34">
        <f>IFERROR(SUMIF(Table423[,],Table625[[#This Row],[Accounts Name]],Table423[,2]),"")</f>
        <v>0</v>
      </c>
      <c r="S38" s="36">
        <f t="shared" si="0"/>
        <v>31</v>
      </c>
      <c r="T38" s="34" t="s">
        <v>61</v>
      </c>
      <c r="U38" s="37" t="s">
        <v>157</v>
      </c>
      <c r="V38" s="34">
        <f>IFERROR(SUMIF(Table625[Sub-Accounts],Table826[[#This Row],[Update your chart of accounts here]],Table625[Debit]),"")</f>
        <v>542263</v>
      </c>
      <c r="W38" s="34">
        <f>IFERROR(SUMIF(Table625[Sub-Accounts],Table826[[#This Row],[Update your chart of accounts here]],Table625[Credit]),"")</f>
        <v>0</v>
      </c>
      <c r="X38" s="34"/>
      <c r="Y38" s="34"/>
      <c r="Z38" s="34"/>
      <c r="AA38" s="34"/>
      <c r="AB38" s="34">
        <f>MAX(Table826[[#This Row],[Debit]]+Table826[[#This Row],[Debit -]]-Table826[[#This Row],[Credit]]-Table826[[#This Row],[Credit +]],0)</f>
        <v>542263</v>
      </c>
      <c r="AC38" s="34">
        <f>MAX(Table826[[#This Row],[Credit]]-Table826[[#This Row],[Debit]]+Table826[[#This Row],[Credit +]]-Table826[[#This Row],[Debit -]],0)</f>
        <v>0</v>
      </c>
      <c r="AD38" s="34">
        <f>IFERROR(IF(AND(OR(Table826[[#This Row],[Classification]]="Expense",Table826[[#This Row],[Classification]]="Cost of Goods Sold"),Table826[[#This Row],[Debit\]]&gt;Table826[[#This Row],[Credit.]]),Table826[[#This Row],[Debit\]]-Table826[[#This Row],[Credit.]],""),"")</f>
        <v>542263</v>
      </c>
      <c r="AE38" s="34" t="str">
        <f>IFERROR(IF(AND(OR(Table826[[#This Row],[Classification]]="Income",Table826[[#This Row],[Classification]]="Cost of Goods Sold"),Table826[[#This Row],[Credit.]]&gt;Table826[[#This Row],[Debit\]]),Table826[[#This Row],[Credit.]]-Table826[[#This Row],[Debit\]],""),"")</f>
        <v/>
      </c>
      <c r="AF38" s="34"/>
      <c r="AG38" s="34" t="str">
        <f>IFERROR(IF(AND(Table826[[#This Row],[Classification]]="Assets",Table826[[#This Row],[Debit\]]-Table826[[#This Row],[Credit.]]),Table826[[#This Row],[Debit\]]-Table826[[#This Row],[Credit.]],""),"")</f>
        <v/>
      </c>
      <c r="AH38" s="34" t="str">
        <f>IFERROR(IF(AND(OR(Table826[[#This Row],[Classification]]="Liabilities",Table826[[#This Row],[Classification]]="Owner´s Equity"),Table826[[#This Row],[Credit.]]&gt;Table826[[#This Row],[Debit\]]),Table826[[#This Row],[Credit.]]-Table826[[#This Row],[Debit\]],""),"")</f>
        <v/>
      </c>
    </row>
    <row r="39" spans="2:34" hidden="1" x14ac:dyDescent="0.25">
      <c r="B39" s="34"/>
      <c r="C39" s="37" t="s">
        <v>93</v>
      </c>
      <c r="D39" s="34">
        <v>510902</v>
      </c>
      <c r="E39" s="34"/>
      <c r="G39" s="39"/>
      <c r="H39" s="40"/>
      <c r="I39" s="41"/>
      <c r="J39" s="41"/>
      <c r="L39" s="34">
        <v>32</v>
      </c>
      <c r="M39" s="35" t="s">
        <v>140</v>
      </c>
      <c r="N39" s="35" t="s">
        <v>94</v>
      </c>
      <c r="O39" s="34">
        <f>IFERROR(SUMIF(Table423[,],Table625[[#This Row],[Accounts Name]],Table423[,3]),"")</f>
        <v>1702569</v>
      </c>
      <c r="P39" s="34">
        <f>IFERROR(SUMIF(Table423[,],Table625[[#This Row],[Accounts Name]],Table423[,2]),"")</f>
        <v>0</v>
      </c>
      <c r="S39" s="36">
        <f t="shared" si="0"/>
        <v>32</v>
      </c>
      <c r="T39" s="34" t="s">
        <v>61</v>
      </c>
      <c r="U39" s="37" t="s">
        <v>168</v>
      </c>
      <c r="V39" s="34">
        <f>IFERROR(SUMIF(Table625[Sub-Accounts],Table826[[#This Row],[Update your chart of accounts here]],Table625[Debit]),"")</f>
        <v>302989.64</v>
      </c>
      <c r="W39" s="34">
        <f>IFERROR(SUMIF(Table625[Sub-Accounts],Table826[[#This Row],[Update your chart of accounts here]],Table625[Credit]),"")</f>
        <v>0</v>
      </c>
      <c r="X39" s="34"/>
      <c r="Y39" s="34"/>
      <c r="Z39" s="34"/>
      <c r="AA39" s="34"/>
      <c r="AB39" s="34">
        <f>MAX(Table826[[#This Row],[Debit]]+Table826[[#This Row],[Debit -]]-Table826[[#This Row],[Credit]]-Table826[[#This Row],[Credit +]],0)</f>
        <v>302989.64</v>
      </c>
      <c r="AC39" s="34">
        <f>MAX(Table826[[#This Row],[Credit]]-Table826[[#This Row],[Debit]]+Table826[[#This Row],[Credit +]]-Table826[[#This Row],[Debit -]],0)</f>
        <v>0</v>
      </c>
      <c r="AD39" s="34">
        <f>IFERROR(IF(AND(OR(Table826[[#This Row],[Classification]]="Expense",Table826[[#This Row],[Classification]]="Cost of Goods Sold"),Table826[[#This Row],[Debit\]]&gt;Table826[[#This Row],[Credit.]]),Table826[[#This Row],[Debit\]]-Table826[[#This Row],[Credit.]],""),"")</f>
        <v>302989.64</v>
      </c>
      <c r="AE39" s="34" t="str">
        <f>IFERROR(IF(AND(OR(Table826[[#This Row],[Classification]]="Income",Table826[[#This Row],[Classification]]="Cost of Goods Sold"),Table826[[#This Row],[Credit.]]&gt;Table826[[#This Row],[Debit\]]),Table826[[#This Row],[Credit.]]-Table826[[#This Row],[Debit\]],""),"")</f>
        <v/>
      </c>
      <c r="AF39" s="34"/>
      <c r="AG39" s="34" t="str">
        <f>IFERROR(IF(AND(Table826[[#This Row],[Classification]]="Assets",Table826[[#This Row],[Debit\]]-Table826[[#This Row],[Credit.]]),Table826[[#This Row],[Debit\]]-Table826[[#This Row],[Credit.]],""),"")</f>
        <v/>
      </c>
      <c r="AH39" s="34" t="str">
        <f>IFERROR(IF(AND(OR(Table826[[#This Row],[Classification]]="Liabilities",Table826[[#This Row],[Classification]]="Owner´s Equity"),Table826[[#This Row],[Credit.]]&gt;Table826[[#This Row],[Debit\]]),Table826[[#This Row],[Credit.]]-Table826[[#This Row],[Debit\]],""),"")</f>
        <v/>
      </c>
    </row>
    <row r="40" spans="2:34" hidden="1" x14ac:dyDescent="0.25">
      <c r="B40" s="34"/>
      <c r="C40" s="37" t="s">
        <v>94</v>
      </c>
      <c r="D40" s="34">
        <v>1702569</v>
      </c>
      <c r="E40" s="34"/>
      <c r="G40" s="39"/>
      <c r="H40" s="40"/>
      <c r="I40" s="41"/>
      <c r="J40" s="41"/>
      <c r="L40" s="34">
        <v>33</v>
      </c>
      <c r="M40" s="35" t="s">
        <v>140</v>
      </c>
      <c r="N40" s="35" t="s">
        <v>95</v>
      </c>
      <c r="O40" s="34">
        <f>IFERROR(SUMIF(Table423[,],Table625[[#This Row],[Accounts Name]],Table423[,3]),"")</f>
        <v>735271</v>
      </c>
      <c r="P40" s="34">
        <f>IFERROR(SUMIF(Table423[,],Table625[[#This Row],[Accounts Name]],Table423[,2]),"")</f>
        <v>0</v>
      </c>
      <c r="S40" s="36">
        <f t="shared" si="0"/>
        <v>33</v>
      </c>
      <c r="T40" s="34" t="s">
        <v>61</v>
      </c>
      <c r="U40" s="37" t="s">
        <v>153</v>
      </c>
      <c r="V40" s="34">
        <f>IFERROR(SUMIF(Table625[Sub-Accounts],Table826[[#This Row],[Update your chart of accounts here]],Table625[Debit]),"")</f>
        <v>233250</v>
      </c>
      <c r="W40" s="34">
        <f>IFERROR(SUMIF(Table625[Sub-Accounts],Table826[[#This Row],[Update your chart of accounts here]],Table625[Credit]),"")</f>
        <v>0</v>
      </c>
      <c r="X40" s="34"/>
      <c r="Y40" s="34"/>
      <c r="Z40" s="34"/>
      <c r="AA40" s="34"/>
      <c r="AB40" s="34">
        <f>MAX(Table826[[#This Row],[Debit]]+Table826[[#This Row],[Debit -]]-Table826[[#This Row],[Credit]]-Table826[[#This Row],[Credit +]],0)</f>
        <v>233250</v>
      </c>
      <c r="AC40" s="34">
        <f>MAX(Table826[[#This Row],[Credit]]-Table826[[#This Row],[Debit]]+Table826[[#This Row],[Credit +]]-Table826[[#This Row],[Debit -]],0)</f>
        <v>0</v>
      </c>
      <c r="AD40" s="34">
        <f>IFERROR(IF(AND(OR(Table826[[#This Row],[Classification]]="Expense",Table826[[#This Row],[Classification]]="Cost of Goods Sold"),Table826[[#This Row],[Debit\]]&gt;Table826[[#This Row],[Credit.]]),Table826[[#This Row],[Debit\]]-Table826[[#This Row],[Credit.]],""),"")</f>
        <v>233250</v>
      </c>
      <c r="AE40" s="34" t="str">
        <f>IFERROR(IF(AND(OR(Table826[[#This Row],[Classification]]="Income",Table826[[#This Row],[Classification]]="Cost of Goods Sold"),Table826[[#This Row],[Credit.]]&gt;Table826[[#This Row],[Debit\]]),Table826[[#This Row],[Credit.]]-Table826[[#This Row],[Debit\]],""),"")</f>
        <v/>
      </c>
      <c r="AF40" s="34"/>
      <c r="AG40" s="34" t="str">
        <f>IFERROR(IF(AND(Table826[[#This Row],[Classification]]="Assets",Table826[[#This Row],[Debit\]]-Table826[[#This Row],[Credit.]]),Table826[[#This Row],[Debit\]]-Table826[[#This Row],[Credit.]],""),"")</f>
        <v/>
      </c>
      <c r="AH40" s="34" t="str">
        <f>IFERROR(IF(AND(OR(Table826[[#This Row],[Classification]]="Liabilities",Table826[[#This Row],[Classification]]="Owner´s Equity"),Table826[[#This Row],[Credit.]]&gt;Table826[[#This Row],[Debit\]]),Table826[[#This Row],[Credit.]]-Table826[[#This Row],[Debit\]],""),"")</f>
        <v/>
      </c>
    </row>
    <row r="41" spans="2:34" hidden="1" x14ac:dyDescent="0.25">
      <c r="B41" s="34"/>
      <c r="C41" s="37" t="s">
        <v>95</v>
      </c>
      <c r="D41" s="34">
        <v>735271</v>
      </c>
      <c r="E41" s="34"/>
      <c r="G41" s="39"/>
      <c r="H41" s="43"/>
      <c r="I41" s="41"/>
      <c r="J41" s="41"/>
      <c r="L41" s="34">
        <v>34</v>
      </c>
      <c r="M41" s="35" t="s">
        <v>141</v>
      </c>
      <c r="N41" s="35" t="s">
        <v>96</v>
      </c>
      <c r="O41" s="34">
        <f>IFERROR(SUMIF(Table423[,],Table625[[#This Row],[Accounts Name]],Table423[,3]),"")</f>
        <v>0</v>
      </c>
      <c r="P41" s="34">
        <f>IFERROR(SUMIF(Table423[,],Table625[[#This Row],[Accounts Name]],Table423[,2]),"")</f>
        <v>1318131</v>
      </c>
      <c r="S41" s="36">
        <f t="shared" si="0"/>
        <v>34</v>
      </c>
      <c r="T41" s="34" t="s">
        <v>61</v>
      </c>
      <c r="U41" s="37" t="s">
        <v>152</v>
      </c>
      <c r="V41" s="34">
        <f>IFERROR(SUMIF(Table625[Sub-Accounts],Table826[[#This Row],[Update your chart of accounts here]],Table625[Debit]),"")</f>
        <v>51948.32</v>
      </c>
      <c r="W41" s="34">
        <f>IFERROR(SUMIF(Table625[Sub-Accounts],Table826[[#This Row],[Update your chart of accounts here]],Table625[Credit]),"")</f>
        <v>0</v>
      </c>
      <c r="X41" s="34"/>
      <c r="Y41" s="34"/>
      <c r="Z41" s="34"/>
      <c r="AA41" s="34"/>
      <c r="AB41" s="34">
        <f>MAX(Table826[[#This Row],[Debit]]+Table826[[#This Row],[Debit -]]-Table826[[#This Row],[Credit]]-Table826[[#This Row],[Credit +]],0)</f>
        <v>51948.32</v>
      </c>
      <c r="AC41" s="34">
        <f>MAX(Table826[[#This Row],[Credit]]-Table826[[#This Row],[Debit]]+Table826[[#This Row],[Credit +]]-Table826[[#This Row],[Debit -]],0)</f>
        <v>0</v>
      </c>
      <c r="AD41" s="34">
        <f>IFERROR(IF(AND(OR(Table826[[#This Row],[Classification]]="Expense",Table826[[#This Row],[Classification]]="Cost of Goods Sold"),Table826[[#This Row],[Debit\]]&gt;Table826[[#This Row],[Credit.]]),Table826[[#This Row],[Debit\]]-Table826[[#This Row],[Credit.]],""),"")</f>
        <v>51948.32</v>
      </c>
      <c r="AE41" s="34" t="str">
        <f>IFERROR(IF(AND(OR(Table826[[#This Row],[Classification]]="Income",Table826[[#This Row],[Classification]]="Cost of Goods Sold"),Table826[[#This Row],[Credit.]]&gt;Table826[[#This Row],[Debit\]]),Table826[[#This Row],[Credit.]]-Table826[[#This Row],[Debit\]],""),"")</f>
        <v/>
      </c>
      <c r="AF41" s="34"/>
      <c r="AG41" s="34" t="str">
        <f>IFERROR(IF(AND(Table826[[#This Row],[Classification]]="Assets",Table826[[#This Row],[Debit\]]-Table826[[#This Row],[Credit.]]),Table826[[#This Row],[Debit\]]-Table826[[#This Row],[Credit.]],""),"")</f>
        <v/>
      </c>
      <c r="AH41" s="34" t="str">
        <f>IFERROR(IF(AND(OR(Table826[[#This Row],[Classification]]="Liabilities",Table826[[#This Row],[Classification]]="Owner´s Equity"),Table826[[#This Row],[Credit.]]&gt;Table826[[#This Row],[Debit\]]),Table826[[#This Row],[Credit.]]-Table826[[#This Row],[Debit\]],""),"")</f>
        <v/>
      </c>
    </row>
    <row r="42" spans="2:34" hidden="1" x14ac:dyDescent="0.25">
      <c r="B42" s="34"/>
      <c r="C42" s="37" t="s">
        <v>96</v>
      </c>
      <c r="D42" s="34"/>
      <c r="E42" s="34">
        <v>1318131</v>
      </c>
      <c r="G42" s="39"/>
      <c r="H42" s="40"/>
      <c r="I42" s="41"/>
      <c r="J42" s="41"/>
      <c r="L42" s="34">
        <v>35</v>
      </c>
      <c r="M42" s="35" t="s">
        <v>145</v>
      </c>
      <c r="N42" s="35" t="s">
        <v>97</v>
      </c>
      <c r="O42" s="34">
        <f>IFERROR(SUMIF(Table423[,],Table625[[#This Row],[Accounts Name]],Table423[,3]),"")</f>
        <v>0</v>
      </c>
      <c r="P42" s="34">
        <f>IFERROR(SUMIF(Table423[,],Table625[[#This Row],[Accounts Name]],Table423[,2]),"")</f>
        <v>11852079.26</v>
      </c>
      <c r="S42" s="36">
        <f t="shared" si="0"/>
        <v>35</v>
      </c>
      <c r="T42" s="34" t="s">
        <v>61</v>
      </c>
      <c r="U42" s="37" t="s">
        <v>156</v>
      </c>
      <c r="V42" s="34">
        <f>IFERROR(SUMIF(Table625[Sub-Accounts],Table826[[#This Row],[Update your chart of accounts here]],Table625[Debit]),"")</f>
        <v>219706</v>
      </c>
      <c r="W42" s="34">
        <f>IFERROR(SUMIF(Table625[Sub-Accounts],Table826[[#This Row],[Update your chart of accounts here]],Table625[Credit]),"")</f>
        <v>0</v>
      </c>
      <c r="X42" s="34"/>
      <c r="Y42" s="34"/>
      <c r="Z42" s="34"/>
      <c r="AA42" s="34"/>
      <c r="AB42" s="34">
        <f>MAX(Table826[[#This Row],[Debit]]+Table826[[#This Row],[Debit -]]-Table826[[#This Row],[Credit]]-Table826[[#This Row],[Credit +]],0)</f>
        <v>219706</v>
      </c>
      <c r="AC42" s="34">
        <f>MAX(Table826[[#This Row],[Credit]]-Table826[[#This Row],[Debit]]+Table826[[#This Row],[Credit +]]-Table826[[#This Row],[Debit -]],0)</f>
        <v>0</v>
      </c>
      <c r="AD42" s="34">
        <f>IFERROR(IF(AND(OR(Table826[[#This Row],[Classification]]="Expense",Table826[[#This Row],[Classification]]="Cost of Goods Sold"),Table826[[#This Row],[Debit\]]&gt;Table826[[#This Row],[Credit.]]),Table826[[#This Row],[Debit\]]-Table826[[#This Row],[Credit.]],""),"")</f>
        <v>219706</v>
      </c>
      <c r="AE42" s="34" t="str">
        <f>IFERROR(IF(AND(OR(Table826[[#This Row],[Classification]]="Income",Table826[[#This Row],[Classification]]="Cost of Goods Sold"),Table826[[#This Row],[Credit.]]&gt;Table826[[#This Row],[Debit\]]),Table826[[#This Row],[Credit.]]-Table826[[#This Row],[Debit\]],""),"")</f>
        <v/>
      </c>
      <c r="AF42" s="34"/>
      <c r="AG42" s="34" t="str">
        <f>IFERROR(IF(AND(Table826[[#This Row],[Classification]]="Assets",Table826[[#This Row],[Debit\]]-Table826[[#This Row],[Credit.]]),Table826[[#This Row],[Debit\]]-Table826[[#This Row],[Credit.]],""),"")</f>
        <v/>
      </c>
      <c r="AH42" s="34" t="str">
        <f>IFERROR(IF(AND(OR(Table826[[#This Row],[Classification]]="Liabilities",Table826[[#This Row],[Classification]]="Owner´s Equity"),Table826[[#This Row],[Credit.]]&gt;Table826[[#This Row],[Debit\]]),Table826[[#This Row],[Credit.]]-Table826[[#This Row],[Debit\]],""),"")</f>
        <v/>
      </c>
    </row>
    <row r="43" spans="2:34" hidden="1" x14ac:dyDescent="0.25">
      <c r="B43" s="34"/>
      <c r="C43" s="37" t="s">
        <v>97</v>
      </c>
      <c r="D43" s="34"/>
      <c r="E43" s="34">
        <v>11852079.26</v>
      </c>
      <c r="G43" s="39"/>
      <c r="H43" s="40"/>
      <c r="I43" s="41"/>
      <c r="J43" s="41"/>
      <c r="L43" s="34">
        <v>36</v>
      </c>
      <c r="M43" s="35" t="s">
        <v>146</v>
      </c>
      <c r="N43" s="35" t="s">
        <v>98</v>
      </c>
      <c r="O43" s="34">
        <f>IFERROR(SUMIF(Table423[,],Table625[[#This Row],[Accounts Name]],Table423[,3]),"")</f>
        <v>0</v>
      </c>
      <c r="P43" s="34">
        <f>IFERROR(SUMIF(Table423[,],Table625[[#This Row],[Accounts Name]],Table423[,2]),"")</f>
        <v>400</v>
      </c>
      <c r="S43" s="36">
        <f t="shared" si="0"/>
        <v>36</v>
      </c>
      <c r="T43" s="34" t="s">
        <v>61</v>
      </c>
      <c r="U43" s="37" t="s">
        <v>217</v>
      </c>
      <c r="V43" s="34">
        <f>IFERROR(SUMIF(Table625[Sub-Accounts],Table826[[#This Row],[Update your chart of accounts here]],Table625[Debit]),"")</f>
        <v>0</v>
      </c>
      <c r="W43" s="34">
        <f>IFERROR(SUMIF(Table625[Sub-Accounts],Table826[[#This Row],[Update your chart of accounts here]],Table625[Credit]),"")</f>
        <v>0</v>
      </c>
      <c r="X43" s="34"/>
      <c r="Y43" s="34"/>
      <c r="Z43" s="34"/>
      <c r="AA43" s="34"/>
      <c r="AB43" s="34">
        <f>MAX(Table826[[#This Row],[Debit]]+Table826[[#This Row],[Debit -]]-Table826[[#This Row],[Credit]]-Table826[[#This Row],[Credit +]],0)</f>
        <v>0</v>
      </c>
      <c r="AC43" s="34">
        <f>MAX(Table826[[#This Row],[Credit]]-Table826[[#This Row],[Debit]]+Table826[[#This Row],[Credit +]]-Table826[[#This Row],[Debit -]],0)</f>
        <v>0</v>
      </c>
      <c r="AD43" s="34" t="str">
        <f>IFERROR(IF(AND(OR(Table826[[#This Row],[Classification]]="Expense",Table826[[#This Row],[Classification]]="Cost of Goods Sold"),Table826[[#This Row],[Debit\]]&gt;Table826[[#This Row],[Credit.]]),Table826[[#This Row],[Debit\]]-Table826[[#This Row],[Credit.]],""),"")</f>
        <v/>
      </c>
      <c r="AE43" s="34" t="str">
        <f>IFERROR(IF(AND(OR(Table826[[#This Row],[Classification]]="Income",Table826[[#This Row],[Classification]]="Cost of Goods Sold"),Table826[[#This Row],[Credit.]]&gt;Table826[[#This Row],[Debit\]]),Table826[[#This Row],[Credit.]]-Table826[[#This Row],[Debit\]],""),"")</f>
        <v/>
      </c>
      <c r="AF43" s="34"/>
      <c r="AG43" s="34" t="str">
        <f>IFERROR(IF(AND(Table826[[#This Row],[Classification]]="Assets",Table826[[#This Row],[Debit\]]-Table826[[#This Row],[Credit.]]),Table826[[#This Row],[Debit\]]-Table826[[#This Row],[Credit.]],""),"")</f>
        <v/>
      </c>
      <c r="AH43" s="34" t="str">
        <f>IFERROR(IF(AND(OR(Table826[[#This Row],[Classification]]="Liabilities",Table826[[#This Row],[Classification]]="Owner´s Equity"),Table826[[#This Row],[Credit.]]&gt;Table826[[#This Row],[Debit\]]),Table826[[#This Row],[Credit.]]-Table826[[#This Row],[Debit\]],""),"")</f>
        <v/>
      </c>
    </row>
    <row r="44" spans="2:34" hidden="1" x14ac:dyDescent="0.25">
      <c r="B44" s="34"/>
      <c r="C44" s="37" t="s">
        <v>98</v>
      </c>
      <c r="D44" s="34"/>
      <c r="E44" s="34">
        <v>400</v>
      </c>
      <c r="G44" s="39"/>
      <c r="H44" s="43"/>
      <c r="I44" s="41"/>
      <c r="J44" s="41"/>
      <c r="L44" s="34">
        <v>37</v>
      </c>
      <c r="M44" s="35" t="s">
        <v>143</v>
      </c>
      <c r="N44" s="35" t="s">
        <v>99</v>
      </c>
      <c r="O44" s="34">
        <f>IFERROR(SUMIF(Table423[,],Table625[[#This Row],[Accounts Name]],Table423[,3]),"")</f>
        <v>0</v>
      </c>
      <c r="P44" s="34">
        <f>IFERROR(SUMIF(Table423[,],Table625[[#This Row],[Accounts Name]],Table423[,2]),"")</f>
        <v>800000</v>
      </c>
      <c r="S44" s="36">
        <f t="shared" si="0"/>
        <v>37</v>
      </c>
      <c r="T44" s="34" t="s">
        <v>61</v>
      </c>
      <c r="U44" s="37" t="s">
        <v>218</v>
      </c>
      <c r="V44" s="34">
        <f>IFERROR(SUMIF(Table625[Sub-Accounts],Table826[[#This Row],[Update your chart of accounts here]],Table625[Debit]),"")</f>
        <v>0</v>
      </c>
      <c r="W44" s="34">
        <f>IFERROR(SUMIF(Table625[Sub-Accounts],Table826[[#This Row],[Update your chart of accounts here]],Table625[Credit]),"")</f>
        <v>0</v>
      </c>
      <c r="X44" s="34"/>
      <c r="Y44" s="34"/>
      <c r="Z44" s="34"/>
      <c r="AA44" s="34"/>
      <c r="AB44" s="34">
        <f>MAX(Table826[[#This Row],[Debit]]+Table826[[#This Row],[Debit -]]-Table826[[#This Row],[Credit]]-Table826[[#This Row],[Credit +]],0)</f>
        <v>0</v>
      </c>
      <c r="AC44" s="34">
        <f>MAX(Table826[[#This Row],[Credit]]-Table826[[#This Row],[Debit]]+Table826[[#This Row],[Credit +]]-Table826[[#This Row],[Debit -]],0)</f>
        <v>0</v>
      </c>
      <c r="AD44" s="34" t="str">
        <f>IFERROR(IF(AND(OR(Table826[[#This Row],[Classification]]="Expense",Table826[[#This Row],[Classification]]="Cost of Goods Sold"),Table826[[#This Row],[Debit\]]&gt;Table826[[#This Row],[Credit.]]),Table826[[#This Row],[Debit\]]-Table826[[#This Row],[Credit.]],""),"")</f>
        <v/>
      </c>
      <c r="AE44" s="34" t="str">
        <f>IFERROR(IF(AND(OR(Table826[[#This Row],[Classification]]="Income",Table826[[#This Row],[Classification]]="Cost of Goods Sold"),Table826[[#This Row],[Credit.]]&gt;Table826[[#This Row],[Debit\]]),Table826[[#This Row],[Credit.]]-Table826[[#This Row],[Debit\]],""),"")</f>
        <v/>
      </c>
      <c r="AF44" s="34"/>
      <c r="AG44" s="34" t="str">
        <f>IFERROR(IF(AND(Table826[[#This Row],[Classification]]="Assets",Table826[[#This Row],[Debit\]]-Table826[[#This Row],[Credit.]]),Table826[[#This Row],[Debit\]]-Table826[[#This Row],[Credit.]],""),"")</f>
        <v/>
      </c>
      <c r="AH44" s="34" t="str">
        <f>IFERROR(IF(AND(OR(Table826[[#This Row],[Classification]]="Liabilities",Table826[[#This Row],[Classification]]="Owner´s Equity"),Table826[[#This Row],[Credit.]]&gt;Table826[[#This Row],[Debit\]]),Table826[[#This Row],[Credit.]]-Table826[[#This Row],[Debit\]],""),"")</f>
        <v/>
      </c>
    </row>
    <row r="45" spans="2:34" hidden="1" x14ac:dyDescent="0.25">
      <c r="B45" s="34"/>
      <c r="C45" s="37" t="s">
        <v>99</v>
      </c>
      <c r="D45" s="34"/>
      <c r="E45" s="34">
        <v>800000</v>
      </c>
      <c r="G45" s="39"/>
      <c r="H45" s="40"/>
      <c r="I45" s="41"/>
      <c r="J45" s="41"/>
      <c r="L45" s="34">
        <v>38</v>
      </c>
      <c r="M45" s="35" t="s">
        <v>62</v>
      </c>
      <c r="N45" s="35" t="s">
        <v>100</v>
      </c>
      <c r="O45" s="34">
        <f>IFERROR(SUMIF(Table423[,],Table625[[#This Row],[Accounts Name]],Table423[,3]),"")</f>
        <v>0</v>
      </c>
      <c r="P45" s="34">
        <f>IFERROR(SUMIF(Table423[,],Table625[[#This Row],[Accounts Name]],Table423[,2]),"")</f>
        <v>332888373.44999999</v>
      </c>
      <c r="S45" s="36">
        <f t="shared" si="0"/>
        <v>38</v>
      </c>
      <c r="T45" s="34" t="s">
        <v>61</v>
      </c>
      <c r="U45" s="37" t="s">
        <v>163</v>
      </c>
      <c r="V45" s="34">
        <f>IFERROR(SUMIF(Table625[Sub-Accounts],Table826[[#This Row],[Update your chart of accounts here]],Table625[Debit]),"")</f>
        <v>300</v>
      </c>
      <c r="W45" s="34">
        <f>IFERROR(SUMIF(Table625[Sub-Accounts],Table826[[#This Row],[Update your chart of accounts here]],Table625[Credit]),"")</f>
        <v>0</v>
      </c>
      <c r="X45" s="34"/>
      <c r="Y45" s="34"/>
      <c r="Z45" s="34"/>
      <c r="AA45" s="34"/>
      <c r="AB45" s="34">
        <f>MAX(Table826[[#This Row],[Debit]]+Table826[[#This Row],[Debit -]]-Table826[[#This Row],[Credit]]-Table826[[#This Row],[Credit +]],0)</f>
        <v>300</v>
      </c>
      <c r="AC45" s="34">
        <f>MAX(Table826[[#This Row],[Credit]]-Table826[[#This Row],[Debit]]+Table826[[#This Row],[Credit +]]-Table826[[#This Row],[Debit -]],0)</f>
        <v>0</v>
      </c>
      <c r="AD45" s="34">
        <f>IFERROR(IF(AND(OR(Table826[[#This Row],[Classification]]="Expense",Table826[[#This Row],[Classification]]="Cost of Goods Sold"),Table826[[#This Row],[Debit\]]&gt;Table826[[#This Row],[Credit.]]),Table826[[#This Row],[Debit\]]-Table826[[#This Row],[Credit.]],""),"")</f>
        <v>300</v>
      </c>
      <c r="AE45" s="34" t="str">
        <f>IFERROR(IF(AND(OR(Table826[[#This Row],[Classification]]="Income",Table826[[#This Row],[Classification]]="Cost of Goods Sold"),Table826[[#This Row],[Credit.]]&gt;Table826[[#This Row],[Debit\]]),Table826[[#This Row],[Credit.]]-Table826[[#This Row],[Debit\]],""),"")</f>
        <v/>
      </c>
      <c r="AF45" s="34"/>
      <c r="AG45" s="34" t="str">
        <f>IFERROR(IF(AND(Table826[[#This Row],[Classification]]="Assets",Table826[[#This Row],[Debit\]]-Table826[[#This Row],[Credit.]]),Table826[[#This Row],[Debit\]]-Table826[[#This Row],[Credit.]],""),"")</f>
        <v/>
      </c>
      <c r="AH45" s="34" t="str">
        <f>IFERROR(IF(AND(OR(Table826[[#This Row],[Classification]]="Liabilities",Table826[[#This Row],[Classification]]="Owner´s Equity"),Table826[[#This Row],[Credit.]]&gt;Table826[[#This Row],[Debit\]]),Table826[[#This Row],[Credit.]]-Table826[[#This Row],[Debit\]],""),"")</f>
        <v/>
      </c>
    </row>
    <row r="46" spans="2:34" hidden="1" x14ac:dyDescent="0.25">
      <c r="B46" s="34"/>
      <c r="C46" s="37" t="s">
        <v>100</v>
      </c>
      <c r="D46" s="34"/>
      <c r="E46" s="34">
        <v>332888373.44999999</v>
      </c>
      <c r="G46" s="39"/>
      <c r="H46" s="40"/>
      <c r="I46" s="41"/>
      <c r="J46" s="41"/>
      <c r="L46" s="34">
        <v>39</v>
      </c>
      <c r="M46" s="35" t="s">
        <v>147</v>
      </c>
      <c r="N46" s="35" t="s">
        <v>101</v>
      </c>
      <c r="O46" s="34">
        <f>IFERROR(SUMIF(Table423[,],Table625[[#This Row],[Accounts Name]],Table423[,3]),"")</f>
        <v>316209838.63</v>
      </c>
      <c r="P46" s="34">
        <f>IFERROR(SUMIF(Table423[,],Table625[[#This Row],[Accounts Name]],Table423[,2]),"")</f>
        <v>0</v>
      </c>
      <c r="S46" s="36">
        <f t="shared" si="0"/>
        <v>39</v>
      </c>
      <c r="T46" s="34" t="s">
        <v>61</v>
      </c>
      <c r="U46" s="37" t="s">
        <v>164</v>
      </c>
      <c r="V46" s="34">
        <f>IFERROR(SUMIF(Table625[Sub-Accounts],Table826[[#This Row],[Update your chart of accounts here]],Table625[Debit]),"")</f>
        <v>436840.42</v>
      </c>
      <c r="W46" s="34">
        <f>IFERROR(SUMIF(Table625[Sub-Accounts],Table826[[#This Row],[Update your chart of accounts here]],Table625[Credit]),"")</f>
        <v>0</v>
      </c>
      <c r="X46" s="34"/>
      <c r="Y46" s="34"/>
      <c r="Z46" s="34"/>
      <c r="AA46" s="34"/>
      <c r="AB46" s="34">
        <f>MAX(Table826[[#This Row],[Debit]]+Table826[[#This Row],[Debit -]]-Table826[[#This Row],[Credit]]-Table826[[#This Row],[Credit +]],0)</f>
        <v>436840.42</v>
      </c>
      <c r="AC46" s="34">
        <f>MAX(Table826[[#This Row],[Credit]]-Table826[[#This Row],[Debit]]+Table826[[#This Row],[Credit +]]-Table826[[#This Row],[Debit -]],0)</f>
        <v>0</v>
      </c>
      <c r="AD46" s="34">
        <f>IFERROR(IF(AND(OR(Table826[[#This Row],[Classification]]="Expense",Table826[[#This Row],[Classification]]="Cost of Goods Sold"),Table826[[#This Row],[Debit\]]&gt;Table826[[#This Row],[Credit.]]),Table826[[#This Row],[Debit\]]-Table826[[#This Row],[Credit.]],""),"")</f>
        <v>436840.42</v>
      </c>
      <c r="AE46" s="34" t="str">
        <f>IFERROR(IF(AND(OR(Table826[[#This Row],[Classification]]="Income",Table826[[#This Row],[Classification]]="Cost of Goods Sold"),Table826[[#This Row],[Credit.]]&gt;Table826[[#This Row],[Debit\]]),Table826[[#This Row],[Credit.]]-Table826[[#This Row],[Debit\]],""),"")</f>
        <v/>
      </c>
      <c r="AF46" s="34"/>
      <c r="AG46" s="34" t="str">
        <f>IFERROR(IF(AND(Table826[[#This Row],[Classification]]="Assets",Table826[[#This Row],[Debit\]]-Table826[[#This Row],[Credit.]]),Table826[[#This Row],[Debit\]]-Table826[[#This Row],[Credit.]],""),"")</f>
        <v/>
      </c>
      <c r="AH46" s="34" t="str">
        <f>IFERROR(IF(AND(OR(Table826[[#This Row],[Classification]]="Liabilities",Table826[[#This Row],[Classification]]="Owner´s Equity"),Table826[[#This Row],[Credit.]]&gt;Table826[[#This Row],[Debit\]]),Table826[[#This Row],[Credit.]]-Table826[[#This Row],[Debit\]],""),"")</f>
        <v/>
      </c>
    </row>
    <row r="47" spans="2:34" hidden="1" x14ac:dyDescent="0.25">
      <c r="B47" s="34"/>
      <c r="C47" s="37" t="s">
        <v>101</v>
      </c>
      <c r="D47" s="34">
        <v>316209838.63</v>
      </c>
      <c r="E47" s="34"/>
      <c r="G47" s="39"/>
      <c r="H47" s="43"/>
      <c r="I47" s="41"/>
      <c r="J47" s="41"/>
      <c r="L47" s="34">
        <v>40</v>
      </c>
      <c r="M47" s="35" t="s">
        <v>148</v>
      </c>
      <c r="N47" s="35" t="s">
        <v>102</v>
      </c>
      <c r="O47" s="34">
        <f>IFERROR(SUMIF(Table423[,],Table625[[#This Row],[Accounts Name]],Table423[,3]),"")</f>
        <v>568965.54</v>
      </c>
      <c r="P47" s="34">
        <f>IFERROR(SUMIF(Table423[,],Table625[[#This Row],[Accounts Name]],Table423[,2]),"")</f>
        <v>0</v>
      </c>
      <c r="S47" s="36">
        <f t="shared" si="0"/>
        <v>40</v>
      </c>
      <c r="T47" s="34" t="s">
        <v>61</v>
      </c>
      <c r="U47" s="37" t="s">
        <v>219</v>
      </c>
      <c r="V47" s="34">
        <f>IFERROR(SUMIF(Table625[Sub-Accounts],Table826[[#This Row],[Update your chart of accounts here]],Table625[Debit]),"")</f>
        <v>0</v>
      </c>
      <c r="W47" s="34">
        <f>IFERROR(SUMIF(Table625[Sub-Accounts],Table826[[#This Row],[Update your chart of accounts here]],Table625[Credit]),"")</f>
        <v>0</v>
      </c>
      <c r="X47" s="34"/>
      <c r="Y47" s="34"/>
      <c r="Z47" s="34"/>
      <c r="AA47" s="34"/>
      <c r="AB47" s="34">
        <f>MAX(Table826[[#This Row],[Debit]]+Table826[[#This Row],[Debit -]]-Table826[[#This Row],[Credit]]-Table826[[#This Row],[Credit +]],0)</f>
        <v>0</v>
      </c>
      <c r="AC47" s="34">
        <f>MAX(Table826[[#This Row],[Credit]]-Table826[[#This Row],[Debit]]+Table826[[#This Row],[Credit +]]-Table826[[#This Row],[Debit -]],0)</f>
        <v>0</v>
      </c>
      <c r="AD47" s="34" t="str">
        <f>IFERROR(IF(AND(OR(Table826[[#This Row],[Classification]]="Expense",Table826[[#This Row],[Classification]]="Cost of Goods Sold"),Table826[[#This Row],[Debit\]]&gt;Table826[[#This Row],[Credit.]]),Table826[[#This Row],[Debit\]]-Table826[[#This Row],[Credit.]],""),"")</f>
        <v/>
      </c>
      <c r="AE47" s="34" t="str">
        <f>IFERROR(IF(AND(OR(Table826[[#This Row],[Classification]]="Income",Table826[[#This Row],[Classification]]="Cost of Goods Sold"),Table826[[#This Row],[Credit.]]&gt;Table826[[#This Row],[Debit\]]),Table826[[#This Row],[Credit.]]-Table826[[#This Row],[Debit\]],""),"")</f>
        <v/>
      </c>
      <c r="AF47" s="34"/>
      <c r="AG47" s="34" t="str">
        <f>IFERROR(IF(AND(Table826[[#This Row],[Classification]]="Assets",Table826[[#This Row],[Debit\]]-Table826[[#This Row],[Credit.]]),Table826[[#This Row],[Debit\]]-Table826[[#This Row],[Credit.]],""),"")</f>
        <v/>
      </c>
      <c r="AH47" s="34" t="str">
        <f>IFERROR(IF(AND(OR(Table826[[#This Row],[Classification]]="Liabilities",Table826[[#This Row],[Classification]]="Owner´s Equity"),Table826[[#This Row],[Credit.]]&gt;Table826[[#This Row],[Debit\]]),Table826[[#This Row],[Credit.]]-Table826[[#This Row],[Debit\]],""),"")</f>
        <v/>
      </c>
    </row>
    <row r="48" spans="2:34" hidden="1" x14ac:dyDescent="0.25">
      <c r="B48" s="34"/>
      <c r="C48" s="37" t="s">
        <v>102</v>
      </c>
      <c r="D48" s="34">
        <v>568965.54</v>
      </c>
      <c r="E48" s="34"/>
      <c r="G48" s="39"/>
      <c r="H48" s="40"/>
      <c r="I48" s="41"/>
      <c r="J48" s="41"/>
      <c r="L48" s="34">
        <v>41</v>
      </c>
      <c r="M48" s="35" t="s">
        <v>149</v>
      </c>
      <c r="N48" s="35" t="s">
        <v>103</v>
      </c>
      <c r="O48" s="34">
        <f>IFERROR(SUMIF(Table423[,],Table625[[#This Row],[Accounts Name]],Table423[,3]),"")</f>
        <v>175000</v>
      </c>
      <c r="P48" s="34">
        <f>IFERROR(SUMIF(Table423[,],Table625[[#This Row],[Accounts Name]],Table423[,2]),"")</f>
        <v>0</v>
      </c>
      <c r="S48" s="36">
        <f t="shared" si="0"/>
        <v>41</v>
      </c>
      <c r="T48" s="34" t="s">
        <v>61</v>
      </c>
      <c r="U48" s="37" t="s">
        <v>169</v>
      </c>
      <c r="V48" s="34">
        <f>IFERROR(SUMIF(Table625[Sub-Accounts],Table826[[#This Row],[Update your chart of accounts here]],Table625[Debit]),"")</f>
        <v>2000</v>
      </c>
      <c r="W48" s="34">
        <f>IFERROR(SUMIF(Table625[Sub-Accounts],Table826[[#This Row],[Update your chart of accounts here]],Table625[Credit]),"")</f>
        <v>0</v>
      </c>
      <c r="X48" s="34"/>
      <c r="Y48" s="34"/>
      <c r="Z48" s="34"/>
      <c r="AA48" s="34"/>
      <c r="AB48" s="34">
        <f>MAX(Table826[[#This Row],[Debit]]+Table826[[#This Row],[Debit -]]-Table826[[#This Row],[Credit]]-Table826[[#This Row],[Credit +]],0)</f>
        <v>2000</v>
      </c>
      <c r="AC48" s="34">
        <f>MAX(Table826[[#This Row],[Credit]]-Table826[[#This Row],[Debit]]+Table826[[#This Row],[Credit +]]-Table826[[#This Row],[Debit -]],0)</f>
        <v>0</v>
      </c>
      <c r="AD48" s="34">
        <f>IFERROR(IF(AND(OR(Table826[[#This Row],[Classification]]="Expense",Table826[[#This Row],[Classification]]="Cost of Goods Sold"),Table826[[#This Row],[Debit\]]&gt;Table826[[#This Row],[Credit.]]),Table826[[#This Row],[Debit\]]-Table826[[#This Row],[Credit.]],""),"")</f>
        <v>2000</v>
      </c>
      <c r="AE48" s="34" t="str">
        <f>IFERROR(IF(AND(OR(Table826[[#This Row],[Classification]]="Income",Table826[[#This Row],[Classification]]="Cost of Goods Sold"),Table826[[#This Row],[Credit.]]&gt;Table826[[#This Row],[Debit\]]),Table826[[#This Row],[Credit.]]-Table826[[#This Row],[Debit\]],""),"")</f>
        <v/>
      </c>
      <c r="AF48" s="34"/>
      <c r="AG48" s="34" t="str">
        <f>IFERROR(IF(AND(Table826[[#This Row],[Classification]]="Assets",Table826[[#This Row],[Debit\]]-Table826[[#This Row],[Credit.]]),Table826[[#This Row],[Debit\]]-Table826[[#This Row],[Credit.]],""),"")</f>
        <v/>
      </c>
      <c r="AH48" s="34" t="str">
        <f>IFERROR(IF(AND(OR(Table826[[#This Row],[Classification]]="Liabilities",Table826[[#This Row],[Classification]]="Owner´s Equity"),Table826[[#This Row],[Credit.]]&gt;Table826[[#This Row],[Debit\]]),Table826[[#This Row],[Credit.]]-Table826[[#This Row],[Debit\]],""),"")</f>
        <v/>
      </c>
    </row>
    <row r="49" spans="2:34" hidden="1" x14ac:dyDescent="0.25">
      <c r="B49" s="34"/>
      <c r="C49" s="37" t="s">
        <v>103</v>
      </c>
      <c r="D49" s="34">
        <v>175000</v>
      </c>
      <c r="E49" s="34"/>
      <c r="G49" s="39"/>
      <c r="H49" s="40"/>
      <c r="I49" s="41"/>
      <c r="J49" s="41"/>
      <c r="L49" s="34">
        <v>42</v>
      </c>
      <c r="M49" s="35" t="s">
        <v>150</v>
      </c>
      <c r="N49" s="35" t="s">
        <v>104</v>
      </c>
      <c r="O49" s="34">
        <f>IFERROR(SUMIF(Table423[,],Table625[[#This Row],[Accounts Name]],Table423[,3]),"")</f>
        <v>176009.84</v>
      </c>
      <c r="P49" s="34">
        <f>IFERROR(SUMIF(Table423[,],Table625[[#This Row],[Accounts Name]],Table423[,2]),"")</f>
        <v>0</v>
      </c>
      <c r="S49" s="36">
        <f t="shared" si="0"/>
        <v>42</v>
      </c>
      <c r="T49" s="34" t="s">
        <v>61</v>
      </c>
      <c r="U49" s="37" t="s">
        <v>170</v>
      </c>
      <c r="V49" s="34">
        <f>IFERROR(SUMIF(Table625[Sub-Accounts],Table826[[#This Row],[Update your chart of accounts here]],Table625[Debit]),"")</f>
        <v>13250</v>
      </c>
      <c r="W49" s="34">
        <f>IFERROR(SUMIF(Table625[Sub-Accounts],Table826[[#This Row],[Update your chart of accounts here]],Table625[Credit]),"")</f>
        <v>0</v>
      </c>
      <c r="X49" s="34"/>
      <c r="Y49" s="34"/>
      <c r="Z49" s="34"/>
      <c r="AA49" s="34"/>
      <c r="AB49" s="34">
        <f>MAX(Table826[[#This Row],[Debit]]+Table826[[#This Row],[Debit -]]-Table826[[#This Row],[Credit]]-Table826[[#This Row],[Credit +]],0)</f>
        <v>13250</v>
      </c>
      <c r="AC49" s="34">
        <f>MAX(Table826[[#This Row],[Credit]]-Table826[[#This Row],[Debit]]+Table826[[#This Row],[Credit +]]-Table826[[#This Row],[Debit -]],0)</f>
        <v>0</v>
      </c>
      <c r="AD49" s="34">
        <f>IFERROR(IF(AND(OR(Table826[[#This Row],[Classification]]="Expense",Table826[[#This Row],[Classification]]="Cost of Goods Sold"),Table826[[#This Row],[Debit\]]&gt;Table826[[#This Row],[Credit.]]),Table826[[#This Row],[Debit\]]-Table826[[#This Row],[Credit.]],""),"")</f>
        <v>13250</v>
      </c>
      <c r="AE49" s="34" t="str">
        <f>IFERROR(IF(AND(OR(Table826[[#This Row],[Classification]]="Income",Table826[[#This Row],[Classification]]="Cost of Goods Sold"),Table826[[#This Row],[Credit.]]&gt;Table826[[#This Row],[Debit\]]),Table826[[#This Row],[Credit.]]-Table826[[#This Row],[Debit\]],""),"")</f>
        <v/>
      </c>
      <c r="AF49" s="34"/>
      <c r="AG49" s="34" t="str">
        <f>IFERROR(IF(AND(Table826[[#This Row],[Classification]]="Assets",Table826[[#This Row],[Debit\]]-Table826[[#This Row],[Credit.]]),Table826[[#This Row],[Debit\]]-Table826[[#This Row],[Credit.]],""),"")</f>
        <v/>
      </c>
      <c r="AH49" s="34" t="str">
        <f>IFERROR(IF(AND(OR(Table826[[#This Row],[Classification]]="Liabilities",Table826[[#This Row],[Classification]]="Owner´s Equity"),Table826[[#This Row],[Credit.]]&gt;Table826[[#This Row],[Debit\]]),Table826[[#This Row],[Credit.]]-Table826[[#This Row],[Debit\]],""),"")</f>
        <v/>
      </c>
    </row>
    <row r="50" spans="2:34" hidden="1" x14ac:dyDescent="0.25">
      <c r="B50" s="34"/>
      <c r="C50" s="37" t="s">
        <v>104</v>
      </c>
      <c r="D50" s="34">
        <v>176009.84</v>
      </c>
      <c r="E50" s="34"/>
      <c r="G50" s="39"/>
      <c r="H50" s="43"/>
      <c r="I50" s="41"/>
      <c r="J50" s="41"/>
      <c r="L50" s="34">
        <v>43</v>
      </c>
      <c r="M50" s="35" t="s">
        <v>151</v>
      </c>
      <c r="N50" s="35" t="s">
        <v>105</v>
      </c>
      <c r="O50" s="34">
        <f>IFERROR(SUMIF(Table423[,],Table625[[#This Row],[Accounts Name]],Table423[,3]),"")</f>
        <v>4000</v>
      </c>
      <c r="P50" s="34">
        <f>IFERROR(SUMIF(Table423[,],Table625[[#This Row],[Accounts Name]],Table423[,2]),"")</f>
        <v>0</v>
      </c>
      <c r="S50" s="36">
        <f t="shared" si="0"/>
        <v>43</v>
      </c>
      <c r="T50" s="34" t="s">
        <v>61</v>
      </c>
      <c r="U50" s="37" t="s">
        <v>220</v>
      </c>
      <c r="V50" s="34">
        <f>IFERROR(SUMIF(Table625[Sub-Accounts],Table826[[#This Row],[Update your chart of accounts here]],Table625[Debit]),"")</f>
        <v>0</v>
      </c>
      <c r="W50" s="34">
        <f>IFERROR(SUMIF(Table625[Sub-Accounts],Table826[[#This Row],[Update your chart of accounts here]],Table625[Credit]),"")</f>
        <v>0</v>
      </c>
      <c r="X50" s="34"/>
      <c r="Y50" s="34"/>
      <c r="Z50" s="34"/>
      <c r="AA50" s="34"/>
      <c r="AB50" s="34">
        <f>MAX(Table826[[#This Row],[Debit]]+Table826[[#This Row],[Debit -]]-Table826[[#This Row],[Credit]]-Table826[[#This Row],[Credit +]],0)</f>
        <v>0</v>
      </c>
      <c r="AC50" s="34">
        <f>MAX(Table826[[#This Row],[Credit]]-Table826[[#This Row],[Debit]]+Table826[[#This Row],[Credit +]]-Table826[[#This Row],[Debit -]],0)</f>
        <v>0</v>
      </c>
      <c r="AD50" s="34" t="str">
        <f>IFERROR(IF(AND(OR(Table826[[#This Row],[Classification]]="Expense",Table826[[#This Row],[Classification]]="Cost of Goods Sold"),Table826[[#This Row],[Debit\]]&gt;Table826[[#This Row],[Credit.]]),Table826[[#This Row],[Debit\]]-Table826[[#This Row],[Credit.]],""),"")</f>
        <v/>
      </c>
      <c r="AE50" s="34" t="str">
        <f>IFERROR(IF(AND(OR(Table826[[#This Row],[Classification]]="Income",Table826[[#This Row],[Classification]]="Cost of Goods Sold"),Table826[[#This Row],[Credit.]]&gt;Table826[[#This Row],[Debit\]]),Table826[[#This Row],[Credit.]]-Table826[[#This Row],[Debit\]],""),"")</f>
        <v/>
      </c>
      <c r="AF50" s="34"/>
      <c r="AG50" s="34" t="str">
        <f>IFERROR(IF(AND(Table826[[#This Row],[Classification]]="Assets",Table826[[#This Row],[Debit\]]-Table826[[#This Row],[Credit.]]),Table826[[#This Row],[Debit\]]-Table826[[#This Row],[Credit.]],""),"")</f>
        <v/>
      </c>
      <c r="AH50" s="34" t="str">
        <f>IFERROR(IF(AND(OR(Table826[[#This Row],[Classification]]="Liabilities",Table826[[#This Row],[Classification]]="Owner´s Equity"),Table826[[#This Row],[Credit.]]&gt;Table826[[#This Row],[Debit\]]),Table826[[#This Row],[Credit.]]-Table826[[#This Row],[Debit\]],""),"")</f>
        <v/>
      </c>
    </row>
    <row r="51" spans="2:34" hidden="1" x14ac:dyDescent="0.25">
      <c r="B51" s="34"/>
      <c r="C51" s="37" t="s">
        <v>105</v>
      </c>
      <c r="D51" s="34">
        <v>4000</v>
      </c>
      <c r="E51" s="34"/>
      <c r="G51" s="39"/>
      <c r="H51" s="40"/>
      <c r="I51" s="41"/>
      <c r="J51" s="41"/>
      <c r="L51" s="34">
        <v>44</v>
      </c>
      <c r="M51" s="35" t="s">
        <v>152</v>
      </c>
      <c r="N51" s="35" t="s">
        <v>106</v>
      </c>
      <c r="O51" s="34">
        <f>IFERROR(SUMIF(Table423[,],Table625[[#This Row],[Accounts Name]],Table423[,3]),"")</f>
        <v>50190.32</v>
      </c>
      <c r="P51" s="34">
        <f>IFERROR(SUMIF(Table423[,],Table625[[#This Row],[Accounts Name]],Table423[,2]),"")</f>
        <v>0</v>
      </c>
      <c r="S51" s="36">
        <f t="shared" si="0"/>
        <v>44</v>
      </c>
      <c r="T51" s="34" t="s">
        <v>61</v>
      </c>
      <c r="U51" s="37" t="s">
        <v>155</v>
      </c>
      <c r="V51" s="34">
        <f>IFERROR(SUMIF(Table625[Sub-Accounts],Table826[[#This Row],[Update your chart of accounts here]],Table625[Debit]),"")</f>
        <v>1000000</v>
      </c>
      <c r="W51" s="34">
        <f>IFERROR(SUMIF(Table625[Sub-Accounts],Table826[[#This Row],[Update your chart of accounts here]],Table625[Credit]),"")</f>
        <v>0</v>
      </c>
      <c r="X51" s="34"/>
      <c r="Y51" s="34" t="s">
        <v>226</v>
      </c>
      <c r="Z51" s="34"/>
      <c r="AA51" s="34">
        <f>J15</f>
        <v>1000000</v>
      </c>
      <c r="AB51" s="34">
        <f>MAX(Table826[[#This Row],[Debit]]+Table826[[#This Row],[Debit -]]-Table826[[#This Row],[Credit]]-Table826[[#This Row],[Credit +]],0)</f>
        <v>0</v>
      </c>
      <c r="AC51" s="34">
        <f>MAX(Table826[[#This Row],[Credit]]-Table826[[#This Row],[Debit]]+Table826[[#This Row],[Credit +]]-Table826[[#This Row],[Debit -]],0)</f>
        <v>0</v>
      </c>
      <c r="AD51" s="34" t="str">
        <f>IFERROR(IF(AND(OR(Table826[[#This Row],[Classification]]="Expense",Table826[[#This Row],[Classification]]="Cost of Goods Sold"),Table826[[#This Row],[Debit\]]&gt;Table826[[#This Row],[Credit.]]),Table826[[#This Row],[Debit\]]-Table826[[#This Row],[Credit.]],""),"")</f>
        <v/>
      </c>
      <c r="AE51" s="34" t="str">
        <f>IFERROR(IF(AND(OR(Table826[[#This Row],[Classification]]="Income",Table826[[#This Row],[Classification]]="Cost of Goods Sold"),Table826[[#This Row],[Credit.]]&gt;Table826[[#This Row],[Debit\]]),Table826[[#This Row],[Credit.]]-Table826[[#This Row],[Debit\]],""),"")</f>
        <v/>
      </c>
      <c r="AF51" s="34"/>
      <c r="AG51" s="34" t="str">
        <f>IFERROR(IF(AND(Table826[[#This Row],[Classification]]="Assets",Table826[[#This Row],[Debit\]]-Table826[[#This Row],[Credit.]]),Table826[[#This Row],[Debit\]]-Table826[[#This Row],[Credit.]],""),"")</f>
        <v/>
      </c>
      <c r="AH51" s="34" t="str">
        <f>IFERROR(IF(AND(OR(Table826[[#This Row],[Classification]]="Liabilities",Table826[[#This Row],[Classification]]="Owner´s Equity"),Table826[[#This Row],[Credit.]]&gt;Table826[[#This Row],[Debit\]]),Table826[[#This Row],[Credit.]]-Table826[[#This Row],[Debit\]],""),"")</f>
        <v/>
      </c>
    </row>
    <row r="52" spans="2:34" hidden="1" x14ac:dyDescent="0.25">
      <c r="B52" s="34"/>
      <c r="C52" s="37" t="s">
        <v>106</v>
      </c>
      <c r="D52" s="34">
        <v>50190.32</v>
      </c>
      <c r="E52" s="34"/>
      <c r="G52" s="39"/>
      <c r="H52" s="40"/>
      <c r="I52" s="41"/>
      <c r="J52" s="41"/>
      <c r="L52" s="34">
        <v>45</v>
      </c>
      <c r="M52" s="35" t="s">
        <v>153</v>
      </c>
      <c r="N52" s="35" t="s">
        <v>107</v>
      </c>
      <c r="O52" s="34">
        <f>IFERROR(SUMIF(Table423[,],Table625[[#This Row],[Accounts Name]],Table423[,3]),"")</f>
        <v>233250</v>
      </c>
      <c r="P52" s="34">
        <f>IFERROR(SUMIF(Table423[,],Table625[[#This Row],[Accounts Name]],Table423[,2]),"")</f>
        <v>0</v>
      </c>
      <c r="S52" s="36">
        <f t="shared" si="0"/>
        <v>45</v>
      </c>
      <c r="T52" s="34" t="s">
        <v>61</v>
      </c>
      <c r="U52" s="37" t="s">
        <v>171</v>
      </c>
      <c r="V52" s="34">
        <f>IFERROR(SUMIF(Table625[Sub-Accounts],Table826[[#This Row],[Update your chart of accounts here]],Table625[Debit]),"")</f>
        <v>0</v>
      </c>
      <c r="W52" s="34">
        <f>IFERROR(SUMIF(Table625[Sub-Accounts],Table826[[#This Row],[Update your chart of accounts here]],Table625[Credit]),"")</f>
        <v>0</v>
      </c>
      <c r="X52" s="34"/>
      <c r="Y52" s="34" t="s">
        <v>224</v>
      </c>
      <c r="Z52" s="34">
        <f>I9</f>
        <v>409278.51677448238</v>
      </c>
      <c r="AA52" s="34"/>
      <c r="AB52" s="34">
        <f>MAX(Table826[[#This Row],[Debit]]+Table826[[#This Row],[Debit -]]-Table826[[#This Row],[Credit]]-Table826[[#This Row],[Credit +]],0)</f>
        <v>409278.51677448238</v>
      </c>
      <c r="AC52" s="34">
        <f>MAX(Table826[[#This Row],[Credit]]-Table826[[#This Row],[Debit]]+Table826[[#This Row],[Credit +]]-Table826[[#This Row],[Debit -]],0)</f>
        <v>0</v>
      </c>
      <c r="AD52" s="34">
        <f>IFERROR(IF(AND(OR(Table826[[#This Row],[Classification]]="Expense",Table826[[#This Row],[Classification]]="Cost of Goods Sold"),Table826[[#This Row],[Debit\]]&gt;Table826[[#This Row],[Credit.]]),Table826[[#This Row],[Debit\]]-Table826[[#This Row],[Credit.]],""),"")</f>
        <v>409278.51677448238</v>
      </c>
      <c r="AE52" s="34" t="str">
        <f>IFERROR(IF(AND(OR(Table826[[#This Row],[Classification]]="Income",Table826[[#This Row],[Classification]]="Cost of Goods Sold"),Table826[[#This Row],[Credit.]]&gt;Table826[[#This Row],[Debit\]]),Table826[[#This Row],[Credit.]]-Table826[[#This Row],[Debit\]],""),"")</f>
        <v/>
      </c>
      <c r="AF52" s="34"/>
      <c r="AG52" s="34" t="str">
        <f>IFERROR(IF(AND(Table826[[#This Row],[Classification]]="Assets",Table826[[#This Row],[Debit\]]-Table826[[#This Row],[Credit.]]),Table826[[#This Row],[Debit\]]-Table826[[#This Row],[Credit.]],""),"")</f>
        <v/>
      </c>
      <c r="AH52" s="34" t="str">
        <f>IFERROR(IF(AND(OR(Table826[[#This Row],[Classification]]="Liabilities",Table826[[#This Row],[Classification]]="Owner´s Equity"),Table826[[#This Row],[Credit.]]&gt;Table826[[#This Row],[Debit\]]),Table826[[#This Row],[Credit.]]-Table826[[#This Row],[Debit\]],""),"")</f>
        <v/>
      </c>
    </row>
    <row r="53" spans="2:34" hidden="1" x14ac:dyDescent="0.25">
      <c r="B53" s="34"/>
      <c r="C53" s="37" t="s">
        <v>107</v>
      </c>
      <c r="D53" s="34">
        <v>233250</v>
      </c>
      <c r="E53" s="34"/>
      <c r="G53" s="39"/>
      <c r="H53" s="43"/>
      <c r="I53" s="41"/>
      <c r="J53" s="41"/>
      <c r="L53" s="34">
        <v>46</v>
      </c>
      <c r="M53" s="35" t="s">
        <v>154</v>
      </c>
      <c r="N53" s="35" t="s">
        <v>108</v>
      </c>
      <c r="O53" s="34">
        <f>IFERROR(SUMIF(Table423[,],Table625[[#This Row],[Accounts Name]],Table423[,3]),"")</f>
        <v>2500001</v>
      </c>
      <c r="P53" s="34">
        <f>IFERROR(SUMIF(Table423[,],Table625[[#This Row],[Accounts Name]],Table423[,2]),"")</f>
        <v>0</v>
      </c>
      <c r="S53" s="36">
        <f t="shared" si="0"/>
        <v>46</v>
      </c>
      <c r="T53" s="34" t="s">
        <v>61</v>
      </c>
      <c r="U53" s="37" t="s">
        <v>148</v>
      </c>
      <c r="V53" s="34">
        <f>IFERROR(SUMIF(Table625[Sub-Accounts],Table826[[#This Row],[Update your chart of accounts here]],Table625[Debit]),"")</f>
        <v>568965.54</v>
      </c>
      <c r="W53" s="34">
        <f>IFERROR(SUMIF(Table625[Sub-Accounts],Table826[[#This Row],[Update your chart of accounts here]],Table625[Credit]),"")</f>
        <v>0</v>
      </c>
      <c r="X53" s="34"/>
      <c r="Y53" s="34"/>
      <c r="Z53" s="34"/>
      <c r="AA53" s="34"/>
      <c r="AB53" s="34">
        <f>MAX(Table826[[#This Row],[Debit]]+Table826[[#This Row],[Debit -]]-Table826[[#This Row],[Credit]]-Table826[[#This Row],[Credit +]],0)</f>
        <v>568965.54</v>
      </c>
      <c r="AC53" s="34">
        <f>MAX(Table826[[#This Row],[Credit]]-Table826[[#This Row],[Debit]]+Table826[[#This Row],[Credit +]]-Table826[[#This Row],[Debit -]],0)</f>
        <v>0</v>
      </c>
      <c r="AD53" s="34">
        <f>IFERROR(IF(AND(OR(Table826[[#This Row],[Classification]]="Expense",Table826[[#This Row],[Classification]]="Cost of Goods Sold"),Table826[[#This Row],[Debit\]]&gt;Table826[[#This Row],[Credit.]]),Table826[[#This Row],[Debit\]]-Table826[[#This Row],[Credit.]],""),"")</f>
        <v>568965.54</v>
      </c>
      <c r="AE53" s="34" t="str">
        <f>IFERROR(IF(AND(OR(Table826[[#This Row],[Classification]]="Income",Table826[[#This Row],[Classification]]="Cost of Goods Sold"),Table826[[#This Row],[Credit.]]&gt;Table826[[#This Row],[Debit\]]),Table826[[#This Row],[Credit.]]-Table826[[#This Row],[Debit\]],""),"")</f>
        <v/>
      </c>
      <c r="AF53" s="34"/>
      <c r="AG53" s="34" t="str">
        <f>IFERROR(IF(AND(Table826[[#This Row],[Classification]]="Assets",Table826[[#This Row],[Debit\]]-Table826[[#This Row],[Credit.]]),Table826[[#This Row],[Debit\]]-Table826[[#This Row],[Credit.]],""),"")</f>
        <v/>
      </c>
      <c r="AH53" s="34" t="str">
        <f>IFERROR(IF(AND(OR(Table826[[#This Row],[Classification]]="Liabilities",Table826[[#This Row],[Classification]]="Owner´s Equity"),Table826[[#This Row],[Credit.]]&gt;Table826[[#This Row],[Debit\]]),Table826[[#This Row],[Credit.]]-Table826[[#This Row],[Debit\]],""),"")</f>
        <v/>
      </c>
    </row>
    <row r="54" spans="2:34" hidden="1" x14ac:dyDescent="0.25">
      <c r="B54" s="34"/>
      <c r="C54" s="37" t="s">
        <v>108</v>
      </c>
      <c r="D54" s="34">
        <v>2500001</v>
      </c>
      <c r="E54" s="34"/>
      <c r="G54" s="39"/>
      <c r="H54" s="40"/>
      <c r="I54" s="41"/>
      <c r="J54" s="41"/>
      <c r="L54" s="34">
        <v>47</v>
      </c>
      <c r="M54" s="35" t="s">
        <v>155</v>
      </c>
      <c r="N54" s="35" t="s">
        <v>109</v>
      </c>
      <c r="O54" s="34">
        <f>IFERROR(SUMIF(Table423[,],Table625[[#This Row],[Accounts Name]],Table423[,3]),"")</f>
        <v>1000000</v>
      </c>
      <c r="P54" s="34">
        <f>IFERROR(SUMIF(Table423[,],Table625[[#This Row],[Accounts Name]],Table423[,2]),"")</f>
        <v>0</v>
      </c>
      <c r="S54" s="36">
        <f t="shared" si="0"/>
        <v>47</v>
      </c>
      <c r="T54" s="34" t="s">
        <v>61</v>
      </c>
      <c r="U54" s="37" t="s">
        <v>158</v>
      </c>
      <c r="V54" s="34">
        <f>IFERROR(SUMIF(Table625[Sub-Accounts],Table826[[#This Row],[Update your chart of accounts here]],Table625[Debit]),"")</f>
        <v>436880</v>
      </c>
      <c r="W54" s="34">
        <f>IFERROR(SUMIF(Table625[Sub-Accounts],Table826[[#This Row],[Update your chart of accounts here]],Table625[Credit]),"")</f>
        <v>0</v>
      </c>
      <c r="X54" s="34"/>
      <c r="Y54" s="34"/>
      <c r="Z54" s="34"/>
      <c r="AA54" s="34"/>
      <c r="AB54" s="34">
        <f>MAX(Table826[[#This Row],[Debit]]+Table826[[#This Row],[Debit -]]-Table826[[#This Row],[Credit]]-Table826[[#This Row],[Credit +]],0)</f>
        <v>436880</v>
      </c>
      <c r="AC54" s="34">
        <f>MAX(Table826[[#This Row],[Credit]]-Table826[[#This Row],[Debit]]+Table826[[#This Row],[Credit +]]-Table826[[#This Row],[Debit -]],0)</f>
        <v>0</v>
      </c>
      <c r="AD54" s="34">
        <f>IFERROR(IF(AND(OR(Table826[[#This Row],[Classification]]="Expense",Table826[[#This Row],[Classification]]="Cost of Goods Sold"),Table826[[#This Row],[Debit\]]&gt;Table826[[#This Row],[Credit.]]),Table826[[#This Row],[Debit\]]-Table826[[#This Row],[Credit.]],""),"")</f>
        <v>436880</v>
      </c>
      <c r="AE54" s="34" t="str">
        <f>IFERROR(IF(AND(OR(Table826[[#This Row],[Classification]]="Income",Table826[[#This Row],[Classification]]="Cost of Goods Sold"),Table826[[#This Row],[Credit.]]&gt;Table826[[#This Row],[Debit\]]),Table826[[#This Row],[Credit.]]-Table826[[#This Row],[Debit\]],""),"")</f>
        <v/>
      </c>
      <c r="AF54" s="34"/>
      <c r="AG54" s="34" t="str">
        <f>IFERROR(IF(AND(Table826[[#This Row],[Classification]]="Assets",Table826[[#This Row],[Debit\]]-Table826[[#This Row],[Credit.]]),Table826[[#This Row],[Debit\]]-Table826[[#This Row],[Credit.]],""),"")</f>
        <v/>
      </c>
      <c r="AH54" s="34" t="str">
        <f>IFERROR(IF(AND(OR(Table826[[#This Row],[Classification]]="Liabilities",Table826[[#This Row],[Classification]]="Owner´s Equity"),Table826[[#This Row],[Credit.]]&gt;Table826[[#This Row],[Debit\]]),Table826[[#This Row],[Credit.]]-Table826[[#This Row],[Debit\]],""),"")</f>
        <v/>
      </c>
    </row>
    <row r="55" spans="2:34" hidden="1" x14ac:dyDescent="0.25">
      <c r="B55" s="34"/>
      <c r="C55" s="37" t="s">
        <v>109</v>
      </c>
      <c r="D55" s="34">
        <v>1000000</v>
      </c>
      <c r="E55" s="34"/>
      <c r="G55" s="39"/>
      <c r="H55" s="40"/>
      <c r="I55" s="41"/>
      <c r="J55" s="41"/>
      <c r="L55" s="34">
        <v>48</v>
      </c>
      <c r="M55" s="35" t="s">
        <v>156</v>
      </c>
      <c r="N55" s="35" t="s">
        <v>110</v>
      </c>
      <c r="O55" s="34">
        <f>IFERROR(SUMIF(Table423[,],Table625[[#This Row],[Accounts Name]],Table423[,3]),"")</f>
        <v>900</v>
      </c>
      <c r="P55" s="34">
        <f>IFERROR(SUMIF(Table423[,],Table625[[#This Row],[Accounts Name]],Table423[,2]),"")</f>
        <v>0</v>
      </c>
      <c r="S55" s="36">
        <f t="shared" si="0"/>
        <v>48</v>
      </c>
      <c r="T55" s="34" t="s">
        <v>61</v>
      </c>
      <c r="U55" s="37" t="s">
        <v>149</v>
      </c>
      <c r="V55" s="34">
        <f>IFERROR(SUMIF(Table625[Sub-Accounts],Table826[[#This Row],[Update your chart of accounts here]],Table625[Debit]),"")</f>
        <v>175000</v>
      </c>
      <c r="W55" s="34">
        <f>IFERROR(SUMIF(Table625[Sub-Accounts],Table826[[#This Row],[Update your chart of accounts here]],Table625[Credit]),"")</f>
        <v>0</v>
      </c>
      <c r="X55" s="34"/>
      <c r="Y55" s="34"/>
      <c r="Z55" s="34"/>
      <c r="AA55" s="34"/>
      <c r="AB55" s="34">
        <f>MAX(Table826[[#This Row],[Debit]]+Table826[[#This Row],[Debit -]]-Table826[[#This Row],[Credit]]-Table826[[#This Row],[Credit +]],0)</f>
        <v>175000</v>
      </c>
      <c r="AC55" s="34">
        <f>MAX(Table826[[#This Row],[Credit]]-Table826[[#This Row],[Debit]]+Table826[[#This Row],[Credit +]]-Table826[[#This Row],[Debit -]],0)</f>
        <v>0</v>
      </c>
      <c r="AD55" s="34">
        <f>IFERROR(IF(AND(OR(Table826[[#This Row],[Classification]]="Expense",Table826[[#This Row],[Classification]]="Cost of Goods Sold"),Table826[[#This Row],[Debit\]]&gt;Table826[[#This Row],[Credit.]]),Table826[[#This Row],[Debit\]]-Table826[[#This Row],[Credit.]],""),"")</f>
        <v>175000</v>
      </c>
      <c r="AE55" s="34" t="str">
        <f>IFERROR(IF(AND(OR(Table826[[#This Row],[Classification]]="Income",Table826[[#This Row],[Classification]]="Cost of Goods Sold"),Table826[[#This Row],[Credit.]]&gt;Table826[[#This Row],[Debit\]]),Table826[[#This Row],[Credit.]]-Table826[[#This Row],[Debit\]],""),"")</f>
        <v/>
      </c>
      <c r="AF55" s="34"/>
      <c r="AG55" s="34" t="str">
        <f>IFERROR(IF(AND(Table826[[#This Row],[Classification]]="Assets",Table826[[#This Row],[Debit\]]-Table826[[#This Row],[Credit.]]),Table826[[#This Row],[Debit\]]-Table826[[#This Row],[Credit.]],""),"")</f>
        <v/>
      </c>
      <c r="AH55" s="34" t="str">
        <f>IFERROR(IF(AND(OR(Table826[[#This Row],[Classification]]="Liabilities",Table826[[#This Row],[Classification]]="Owner´s Equity"),Table826[[#This Row],[Credit.]]&gt;Table826[[#This Row],[Debit\]]),Table826[[#This Row],[Credit.]]-Table826[[#This Row],[Debit\]],""),"")</f>
        <v/>
      </c>
    </row>
    <row r="56" spans="2:34" hidden="1" x14ac:dyDescent="0.25">
      <c r="B56" s="34"/>
      <c r="C56" s="37" t="s">
        <v>110</v>
      </c>
      <c r="D56" s="34">
        <v>900</v>
      </c>
      <c r="E56" s="34"/>
      <c r="G56" s="39"/>
      <c r="H56" s="43"/>
      <c r="I56" s="41"/>
      <c r="J56" s="41"/>
      <c r="L56" s="34">
        <v>49</v>
      </c>
      <c r="M56" s="35" t="s">
        <v>157</v>
      </c>
      <c r="N56" s="35" t="s">
        <v>111</v>
      </c>
      <c r="O56" s="34">
        <f>IFERROR(SUMIF(Table423[,],Table625[[#This Row],[Accounts Name]],Table423[,3]),"")</f>
        <v>542263</v>
      </c>
      <c r="P56" s="34">
        <f>IFERROR(SUMIF(Table423[,],Table625[[#This Row],[Accounts Name]],Table423[,2]),"")</f>
        <v>0</v>
      </c>
      <c r="S56" s="36">
        <f t="shared" si="0"/>
        <v>49</v>
      </c>
      <c r="T56" s="34" t="s">
        <v>61</v>
      </c>
      <c r="U56" s="37" t="s">
        <v>160</v>
      </c>
      <c r="V56" s="34">
        <f>IFERROR(SUMIF(Table625[Sub-Accounts],Table826[[#This Row],[Update your chart of accounts here]],Table625[Debit]),"")</f>
        <v>145440</v>
      </c>
      <c r="W56" s="34">
        <f>IFERROR(SUMIF(Table625[Sub-Accounts],Table826[[#This Row],[Update your chart of accounts here]],Table625[Credit]),"")</f>
        <v>0</v>
      </c>
      <c r="X56" s="34"/>
      <c r="Y56" s="34"/>
      <c r="Z56" s="34"/>
      <c r="AA56" s="34"/>
      <c r="AB56" s="34">
        <f>MAX(Table826[[#This Row],[Debit]]+Table826[[#This Row],[Debit -]]-Table826[[#This Row],[Credit]]-Table826[[#This Row],[Credit +]],0)</f>
        <v>145440</v>
      </c>
      <c r="AC56" s="34">
        <f>MAX(Table826[[#This Row],[Credit]]-Table826[[#This Row],[Debit]]+Table826[[#This Row],[Credit +]]-Table826[[#This Row],[Debit -]],0)</f>
        <v>0</v>
      </c>
      <c r="AD56" s="34">
        <f>IFERROR(IF(AND(OR(Table826[[#This Row],[Classification]]="Expense",Table826[[#This Row],[Classification]]="Cost of Goods Sold"),Table826[[#This Row],[Debit\]]&gt;Table826[[#This Row],[Credit.]]),Table826[[#This Row],[Debit\]]-Table826[[#This Row],[Credit.]],""),"")</f>
        <v>145440</v>
      </c>
      <c r="AE56" s="34" t="str">
        <f>IFERROR(IF(AND(OR(Table826[[#This Row],[Classification]]="Income",Table826[[#This Row],[Classification]]="Cost of Goods Sold"),Table826[[#This Row],[Credit.]]&gt;Table826[[#This Row],[Debit\]]),Table826[[#This Row],[Credit.]]-Table826[[#This Row],[Debit\]],""),"")</f>
        <v/>
      </c>
      <c r="AF56" s="34"/>
      <c r="AG56" s="34" t="str">
        <f>IFERROR(IF(AND(Table826[[#This Row],[Classification]]="Assets",Table826[[#This Row],[Debit\]]-Table826[[#This Row],[Credit.]]),Table826[[#This Row],[Debit\]]-Table826[[#This Row],[Credit.]],""),"")</f>
        <v/>
      </c>
      <c r="AH56" s="34" t="str">
        <f>IFERROR(IF(AND(OR(Table826[[#This Row],[Classification]]="Liabilities",Table826[[#This Row],[Classification]]="Owner´s Equity"),Table826[[#This Row],[Credit.]]&gt;Table826[[#This Row],[Debit\]]),Table826[[#This Row],[Credit.]]-Table826[[#This Row],[Debit\]],""),"")</f>
        <v/>
      </c>
    </row>
    <row r="57" spans="2:34" hidden="1" x14ac:dyDescent="0.25">
      <c r="B57" s="34"/>
      <c r="C57" s="37" t="s">
        <v>111</v>
      </c>
      <c r="D57" s="34">
        <v>542263</v>
      </c>
      <c r="E57" s="34"/>
      <c r="G57" s="39"/>
      <c r="H57" s="40"/>
      <c r="I57" s="41"/>
      <c r="J57" s="41"/>
      <c r="L57" s="34">
        <v>50</v>
      </c>
      <c r="M57" s="35" t="s">
        <v>158</v>
      </c>
      <c r="N57" s="35" t="s">
        <v>112</v>
      </c>
      <c r="O57" s="34">
        <f>IFERROR(SUMIF(Table423[,],Table625[[#This Row],[Accounts Name]],Table423[,3]),"")</f>
        <v>20412.8</v>
      </c>
      <c r="P57" s="34">
        <f>IFERROR(SUMIF(Table423[,],Table625[[#This Row],[Accounts Name]],Table423[,2]),"")</f>
        <v>0</v>
      </c>
      <c r="S57" s="36">
        <f t="shared" si="0"/>
        <v>50</v>
      </c>
      <c r="T57" s="34" t="s">
        <v>61</v>
      </c>
      <c r="U57" s="37" t="s">
        <v>150</v>
      </c>
      <c r="V57" s="34">
        <f>IFERROR(SUMIF(Table625[Sub-Accounts],Table826[[#This Row],[Update your chart of accounts here]],Table625[Debit]),"")</f>
        <v>176009.84</v>
      </c>
      <c r="W57" s="34">
        <f>IFERROR(SUMIF(Table625[Sub-Accounts],Table826[[#This Row],[Update your chart of accounts here]],Table625[Credit]),"")</f>
        <v>0</v>
      </c>
      <c r="X57" s="34"/>
      <c r="Y57" s="34"/>
      <c r="Z57" s="34"/>
      <c r="AA57" s="34"/>
      <c r="AB57" s="34">
        <f>MAX(Table826[[#This Row],[Debit]]+Table826[[#This Row],[Debit -]]-Table826[[#This Row],[Credit]]-Table826[[#This Row],[Credit +]],0)</f>
        <v>176009.84</v>
      </c>
      <c r="AC57" s="34">
        <f>MAX(Table826[[#This Row],[Credit]]-Table826[[#This Row],[Debit]]+Table826[[#This Row],[Credit +]]-Table826[[#This Row],[Debit -]],0)</f>
        <v>0</v>
      </c>
      <c r="AD57" s="34">
        <f>IFERROR(IF(AND(OR(Table826[[#This Row],[Classification]]="Expense",Table826[[#This Row],[Classification]]="Cost of Goods Sold"),Table826[[#This Row],[Debit\]]&gt;Table826[[#This Row],[Credit.]]),Table826[[#This Row],[Debit\]]-Table826[[#This Row],[Credit.]],""),"")</f>
        <v>176009.84</v>
      </c>
      <c r="AE57" s="34" t="str">
        <f>IFERROR(IF(AND(OR(Table826[[#This Row],[Classification]]="Income",Table826[[#This Row],[Classification]]="Cost of Goods Sold"),Table826[[#This Row],[Credit.]]&gt;Table826[[#This Row],[Debit\]]),Table826[[#This Row],[Credit.]]-Table826[[#This Row],[Debit\]],""),"")</f>
        <v/>
      </c>
      <c r="AF57" s="34"/>
      <c r="AG57" s="34" t="str">
        <f>IFERROR(IF(AND(Table826[[#This Row],[Classification]]="Assets",Table826[[#This Row],[Debit\]]-Table826[[#This Row],[Credit.]]),Table826[[#This Row],[Debit\]]-Table826[[#This Row],[Credit.]],""),"")</f>
        <v/>
      </c>
      <c r="AH57" s="34" t="str">
        <f>IFERROR(IF(AND(OR(Table826[[#This Row],[Classification]]="Liabilities",Table826[[#This Row],[Classification]]="Owner´s Equity"),Table826[[#This Row],[Credit.]]&gt;Table826[[#This Row],[Debit\]]),Table826[[#This Row],[Credit.]]-Table826[[#This Row],[Debit\]],""),"")</f>
        <v/>
      </c>
    </row>
    <row r="58" spans="2:34" hidden="1" x14ac:dyDescent="0.25">
      <c r="B58" s="34"/>
      <c r="C58" s="37" t="s">
        <v>112</v>
      </c>
      <c r="D58" s="34">
        <v>20412.8</v>
      </c>
      <c r="E58" s="34"/>
      <c r="G58" s="39"/>
      <c r="H58" s="40"/>
      <c r="I58" s="41"/>
      <c r="J58" s="41"/>
      <c r="L58" s="34">
        <v>51</v>
      </c>
      <c r="M58" s="35" t="s">
        <v>158</v>
      </c>
      <c r="N58" s="35" t="s">
        <v>113</v>
      </c>
      <c r="O58" s="34">
        <f>IFERROR(SUMIF(Table423[,],Table625[[#This Row],[Accounts Name]],Table423[,3]),"")</f>
        <v>416467.20000000001</v>
      </c>
      <c r="P58" s="34">
        <f>IFERROR(SUMIF(Table423[,],Table625[[#This Row],[Accounts Name]],Table423[,2]),"")</f>
        <v>0</v>
      </c>
      <c r="S58" s="36">
        <f t="shared" si="0"/>
        <v>51</v>
      </c>
      <c r="T58" s="34" t="s">
        <v>61</v>
      </c>
      <c r="U58" s="37" t="s">
        <v>221</v>
      </c>
      <c r="V58" s="34">
        <f>IFERROR(SUMIF(Table625[Sub-Accounts],Table826[[#This Row],[Update your chart of accounts here]],Table625[Debit]),"")</f>
        <v>0</v>
      </c>
      <c r="W58" s="34">
        <f>IFERROR(SUMIF(Table625[Sub-Accounts],Table826[[#This Row],[Update your chart of accounts here]],Table625[Credit]),"")</f>
        <v>0</v>
      </c>
      <c r="X58" s="34"/>
      <c r="Y58" s="34"/>
      <c r="Z58" s="34"/>
      <c r="AA58" s="34"/>
      <c r="AB58" s="34">
        <f>MAX(Table826[[#This Row],[Debit]]+Table826[[#This Row],[Debit -]]-Table826[[#This Row],[Credit]]-Table826[[#This Row],[Credit +]],0)</f>
        <v>0</v>
      </c>
      <c r="AC58" s="34">
        <f>MAX(Table826[[#This Row],[Credit]]-Table826[[#This Row],[Debit]]+Table826[[#This Row],[Credit +]]-Table826[[#This Row],[Debit -]],0)</f>
        <v>0</v>
      </c>
      <c r="AD58" s="34" t="str">
        <f>IFERROR(IF(AND(OR(Table826[[#This Row],[Classification]]="Expense",Table826[[#This Row],[Classification]]="Cost of Goods Sold"),Table826[[#This Row],[Debit\]]&gt;Table826[[#This Row],[Credit.]]),Table826[[#This Row],[Debit\]]-Table826[[#This Row],[Credit.]],""),"")</f>
        <v/>
      </c>
      <c r="AE58" s="34" t="str">
        <f>IFERROR(IF(AND(OR(Table826[[#This Row],[Classification]]="Income",Table826[[#This Row],[Classification]]="Cost of Goods Sold"),Table826[[#This Row],[Credit.]]&gt;Table826[[#This Row],[Debit\]]),Table826[[#This Row],[Credit.]]-Table826[[#This Row],[Debit\]],""),"")</f>
        <v/>
      </c>
      <c r="AF58" s="34"/>
      <c r="AG58" s="34" t="str">
        <f>IFERROR(IF(AND(Table826[[#This Row],[Classification]]="Assets",Table826[[#This Row],[Debit\]]-Table826[[#This Row],[Credit.]]),Table826[[#This Row],[Debit\]]-Table826[[#This Row],[Credit.]],""),"")</f>
        <v/>
      </c>
      <c r="AH58" s="34" t="str">
        <f>IFERROR(IF(AND(OR(Table826[[#This Row],[Classification]]="Liabilities",Table826[[#This Row],[Classification]]="Owner´s Equity"),Table826[[#This Row],[Credit.]]&gt;Table826[[#This Row],[Debit\]]),Table826[[#This Row],[Credit.]]-Table826[[#This Row],[Debit\]],""),"")</f>
        <v/>
      </c>
    </row>
    <row r="59" spans="2:34" hidden="1" x14ac:dyDescent="0.25">
      <c r="B59" s="34"/>
      <c r="C59" s="37" t="s">
        <v>113</v>
      </c>
      <c r="D59" s="34">
        <v>416467.20000000001</v>
      </c>
      <c r="E59" s="34"/>
      <c r="G59" s="39"/>
      <c r="H59" s="43"/>
      <c r="I59" s="41"/>
      <c r="J59" s="41"/>
      <c r="L59" s="34">
        <v>52</v>
      </c>
      <c r="M59" s="35" t="s">
        <v>159</v>
      </c>
      <c r="N59" s="35" t="s">
        <v>114</v>
      </c>
      <c r="O59" s="34">
        <f>IFERROR(SUMIF(Table423[,],Table625[[#This Row],[Accounts Name]],Table423[,3]),"")</f>
        <v>27500</v>
      </c>
      <c r="P59" s="34">
        <f>IFERROR(SUMIF(Table423[,],Table625[[#This Row],[Accounts Name]],Table423[,2]),"")</f>
        <v>0</v>
      </c>
      <c r="S59" s="36">
        <f t="shared" si="0"/>
        <v>52</v>
      </c>
      <c r="T59" s="34" t="s">
        <v>61</v>
      </c>
      <c r="U59" s="37" t="s">
        <v>222</v>
      </c>
      <c r="V59" s="34">
        <f>IFERROR(SUMIF(Table625[Sub-Accounts],Table826[[#This Row],[Update your chart of accounts here]],Table625[Debit]),"")</f>
        <v>0</v>
      </c>
      <c r="W59" s="34">
        <f>IFERROR(SUMIF(Table625[Sub-Accounts],Table826[[#This Row],[Update your chart of accounts here]],Table625[Credit]),"")</f>
        <v>0</v>
      </c>
      <c r="X59" s="34"/>
      <c r="Y59" s="34"/>
      <c r="Z59" s="34"/>
      <c r="AA59" s="34"/>
      <c r="AB59" s="34">
        <f>MAX(Table826[[#This Row],[Debit]]+Table826[[#This Row],[Debit -]]-Table826[[#This Row],[Credit]]-Table826[[#This Row],[Credit +]],0)</f>
        <v>0</v>
      </c>
      <c r="AC59" s="34">
        <f>MAX(Table826[[#This Row],[Credit]]-Table826[[#This Row],[Debit]]+Table826[[#This Row],[Credit +]]-Table826[[#This Row],[Debit -]],0)</f>
        <v>0</v>
      </c>
      <c r="AD59" s="34" t="str">
        <f>IFERROR(IF(AND(OR(Table826[[#This Row],[Classification]]="Expense",Table826[[#This Row],[Classification]]="Cost of Goods Sold"),Table826[[#This Row],[Debit\]]&gt;Table826[[#This Row],[Credit.]]),Table826[[#This Row],[Debit\]]-Table826[[#This Row],[Credit.]],""),"")</f>
        <v/>
      </c>
      <c r="AE59" s="34" t="str">
        <f>IFERROR(IF(AND(OR(Table826[[#This Row],[Classification]]="Income",Table826[[#This Row],[Classification]]="Cost of Goods Sold"),Table826[[#This Row],[Credit.]]&gt;Table826[[#This Row],[Debit\]]),Table826[[#This Row],[Credit.]]-Table826[[#This Row],[Debit\]],""),"")</f>
        <v/>
      </c>
      <c r="AF59" s="34"/>
      <c r="AG59" s="34" t="str">
        <f>IFERROR(IF(AND(Table826[[#This Row],[Classification]]="Assets",Table826[[#This Row],[Debit\]]-Table826[[#This Row],[Credit.]]),Table826[[#This Row],[Debit\]]-Table826[[#This Row],[Credit.]],""),"")</f>
        <v/>
      </c>
      <c r="AH59" s="34" t="str">
        <f>IFERROR(IF(AND(OR(Table826[[#This Row],[Classification]]="Liabilities",Table826[[#This Row],[Classification]]="Owner´s Equity"),Table826[[#This Row],[Credit.]]&gt;Table826[[#This Row],[Debit\]]),Table826[[#This Row],[Credit.]]-Table826[[#This Row],[Debit\]],""),"")</f>
        <v/>
      </c>
    </row>
    <row r="60" spans="2:34" x14ac:dyDescent="0.25">
      <c r="B60" s="34"/>
      <c r="C60" s="37" t="s">
        <v>114</v>
      </c>
      <c r="D60" s="34">
        <v>27500</v>
      </c>
      <c r="E60" s="34"/>
      <c r="G60" s="39"/>
      <c r="H60" s="40"/>
      <c r="I60" s="41"/>
      <c r="J60" s="41"/>
      <c r="L60" s="34">
        <v>53</v>
      </c>
      <c r="M60" s="35" t="s">
        <v>160</v>
      </c>
      <c r="N60" s="35" t="s">
        <v>115</v>
      </c>
      <c r="O60" s="34">
        <f>IFERROR(SUMIF(Table423[,],Table625[[#This Row],[Accounts Name]],Table423[,3]),"")</f>
        <v>30000</v>
      </c>
      <c r="P60" s="34">
        <f>IFERROR(SUMIF(Table423[,],Table625[[#This Row],[Accounts Name]],Table423[,2]),"")</f>
        <v>0</v>
      </c>
      <c r="S60" s="36">
        <f t="shared" si="0"/>
        <v>53</v>
      </c>
      <c r="T60" s="34" t="s">
        <v>11</v>
      </c>
      <c r="U60" s="37" t="s">
        <v>229</v>
      </c>
      <c r="V60" s="34">
        <f>IFERROR(SUMIF(Table625[Sub-Accounts],Table826[[#This Row],[Update your chart of accounts here]],Table625[Debit]),"")</f>
        <v>0</v>
      </c>
      <c r="W60" s="34">
        <f>IFERROR(SUMIF(Table625[Sub-Accounts],Table826[[#This Row],[Update your chart of accounts here]],Table625[Credit]),"")</f>
        <v>0</v>
      </c>
      <c r="X60" s="34"/>
      <c r="Y60" s="34"/>
      <c r="Z60" s="34">
        <f>AA62</f>
        <v>10003059</v>
      </c>
      <c r="AA60" s="34"/>
      <c r="AB60" s="34">
        <f>MAX(Table826[[#This Row],[Debit]]+Table826[[#This Row],[Debit -]]-Table826[[#This Row],[Credit]]-Table826[[#This Row],[Credit +]],0)</f>
        <v>10003059</v>
      </c>
      <c r="AC60" s="34">
        <f>MAX(Table826[[#This Row],[Credit]]-Table826[[#This Row],[Debit]]+Table826[[#This Row],[Credit +]]-Table826[[#This Row],[Debit -]],0)</f>
        <v>0</v>
      </c>
      <c r="AD60" s="34" t="str">
        <f>IFERROR(IF(AND(OR(Table826[[#This Row],[Classification]]="Expense",Table826[[#This Row],[Classification]]="Cost of Goods Sold"),Table826[[#This Row],[Debit\]]&gt;Table826[[#This Row],[Credit.]]),Table826[[#This Row],[Debit\]]-Table826[[#This Row],[Credit.]],""),"")</f>
        <v/>
      </c>
      <c r="AE60" s="34" t="str">
        <f>IFERROR(IF(AND(OR(Table826[[#This Row],[Classification]]="Income",Table826[[#This Row],[Classification]]="Cost of Goods Sold"),Table826[[#This Row],[Credit.]]&gt;Table826[[#This Row],[Debit\]]),Table826[[#This Row],[Credit.]]-Table826[[#This Row],[Debit\]],""),"")</f>
        <v/>
      </c>
      <c r="AF60" s="34"/>
      <c r="AG60" s="34">
        <f>IFERROR(IF(AND(Table826[[#This Row],[Classification]]="Assets",Table826[[#This Row],[Debit\]]-Table826[[#This Row],[Credit.]]),Table826[[#This Row],[Debit\]]-Table826[[#This Row],[Credit.]],""),"")</f>
        <v>10003059</v>
      </c>
      <c r="AH60" s="34" t="str">
        <f>IFERROR(IF(AND(OR(Table826[[#This Row],[Classification]]="Liabilities",Table826[[#This Row],[Classification]]="Owner´s Equity"),Table826[[#This Row],[Credit.]]&gt;Table826[[#This Row],[Debit\]]),Table826[[#This Row],[Credit.]]-Table826[[#This Row],[Debit\]],""),"")</f>
        <v/>
      </c>
    </row>
    <row r="61" spans="2:34" x14ac:dyDescent="0.25">
      <c r="B61" s="34"/>
      <c r="C61" s="37" t="s">
        <v>115</v>
      </c>
      <c r="D61" s="34">
        <v>30000</v>
      </c>
      <c r="E61" s="34"/>
      <c r="G61" s="39"/>
      <c r="H61" s="40"/>
      <c r="I61" s="41"/>
      <c r="J61" s="41"/>
      <c r="L61" s="34">
        <v>54</v>
      </c>
      <c r="M61" s="35" t="s">
        <v>161</v>
      </c>
      <c r="N61" s="35" t="s">
        <v>116</v>
      </c>
      <c r="O61" s="34">
        <f>IFERROR(SUMIF(Table423[,],Table625[[#This Row],[Accounts Name]],Table423[,3]),"")</f>
        <v>77850</v>
      </c>
      <c r="P61" s="34">
        <f>IFERROR(SUMIF(Table423[,],Table625[[#This Row],[Accounts Name]],Table423[,2]),"")</f>
        <v>0</v>
      </c>
      <c r="S61" s="36">
        <f t="shared" si="0"/>
        <v>54</v>
      </c>
      <c r="T61" s="34" t="s">
        <v>48</v>
      </c>
      <c r="U61" s="37" t="s">
        <v>207</v>
      </c>
      <c r="V61" s="34">
        <f>IFERROR(SUMIF(Table625[Sub-Accounts],Table826[[#This Row],[Update your chart of accounts here]],Table625[Debit]),"")</f>
        <v>0</v>
      </c>
      <c r="W61" s="34">
        <f>IFERROR(SUMIF(Table625[Sub-Accounts],Table826[[#This Row],[Update your chart of accounts here]],Table625[Credit]),"")</f>
        <v>0</v>
      </c>
      <c r="X61" s="34"/>
      <c r="Y61" s="34"/>
      <c r="Z61" s="34"/>
      <c r="AA61" s="34">
        <f>Z12</f>
        <v>8341041.1232255697</v>
      </c>
      <c r="AB61" s="34">
        <f>MAX(Table826[[#This Row],[Debit]]+Table826[[#This Row],[Debit -]]-Table826[[#This Row],[Credit]]-Table826[[#This Row],[Credit +]],0)</f>
        <v>0</v>
      </c>
      <c r="AC61" s="34">
        <f>MAX(Table826[[#This Row],[Credit]]-Table826[[#This Row],[Debit]]+Table826[[#This Row],[Credit +]]-Table826[[#This Row],[Debit -]],0)</f>
        <v>8341041.1232255697</v>
      </c>
      <c r="AD61" s="34" t="str">
        <f>IFERROR(IF(AND(OR(Table826[[#This Row],[Classification]]="Expense",Table826[[#This Row],[Classification]]="Cost of Goods Sold"),Table826[[#This Row],[Debit\]]&gt;Table826[[#This Row],[Credit.]]),Table826[[#This Row],[Debit\]]-Table826[[#This Row],[Credit.]],""),"")</f>
        <v/>
      </c>
      <c r="AE61" s="34" t="str">
        <f>IFERROR(IF(AND(OR(Table826[[#This Row],[Classification]]="Income",Table826[[#This Row],[Classification]]="Cost of Goods Sold"),Table826[[#This Row],[Credit.]]&gt;Table826[[#This Row],[Debit\]]),Table826[[#This Row],[Credit.]]-Table826[[#This Row],[Debit\]],""),"")</f>
        <v/>
      </c>
      <c r="AF61" s="34"/>
      <c r="AG61" s="34" t="str">
        <f>IFERROR(IF(AND(Table826[[#This Row],[Classification]]="Assets",Table826[[#This Row],[Debit\]]-Table826[[#This Row],[Credit.]]),Table826[[#This Row],[Debit\]]-Table826[[#This Row],[Credit.]],""),"")</f>
        <v/>
      </c>
      <c r="AH61" s="34">
        <f>IFERROR(IF(AND(OR(Table826[[#This Row],[Classification]]="Liabilities",Table826[[#This Row],[Classification]]="Owner´s Equity"),Table826[[#This Row],[Credit.]]&gt;Table826[[#This Row],[Debit\]]),Table826[[#This Row],[Credit.]]-Table826[[#This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IFERROR(SUMIF(Table423[,],Table625[[#This Row],[Accounts Name]],Table423[,3]),"")</f>
        <v>129108.59</v>
      </c>
      <c r="P62" s="34">
        <f>IFERROR(SUMIF(Table423[,],Table625[[#This Row],[Accounts Name]],Table423[,2]),"")</f>
        <v>0</v>
      </c>
      <c r="S62" s="36">
        <f t="shared" si="0"/>
        <v>55</v>
      </c>
      <c r="T62" s="34" t="s">
        <v>62</v>
      </c>
      <c r="U62" s="37" t="s">
        <v>229</v>
      </c>
      <c r="V62" s="34">
        <f>IFERROR(SUMIF(Table625[Sub-Accounts],Table826[[#This Row],[Update your chart of accounts here]],Table625[Debit]),"")</f>
        <v>0</v>
      </c>
      <c r="W62" s="34">
        <f>IFERROR(SUMIF(Table625[Sub-Accounts],Table826[[#This Row],[Update your chart of accounts here]],Table625[Credit]),"")</f>
        <v>0</v>
      </c>
      <c r="X62" s="34"/>
      <c r="Y62" s="34"/>
      <c r="Z62" s="34"/>
      <c r="AA62" s="34">
        <v>10003059</v>
      </c>
      <c r="AB62" s="34">
        <f>MAX(Table826[[#This Row],[Debit]]+Table826[[#This Row],[Debit -]]-Table826[[#This Row],[Credit]]-Table826[[#This Row],[Credit +]],0)</f>
        <v>0</v>
      </c>
      <c r="AC62" s="34">
        <f>MAX(Table826[[#This Row],[Credit]]-Table826[[#This Row],[Debit]]+Table826[[#This Row],[Credit +]]-Table826[[#This Row],[Debit -]],0)</f>
        <v>10003059</v>
      </c>
      <c r="AD62" s="34" t="str">
        <f>IFERROR(IF(AND(OR(Table826[[#This Row],[Classification]]="Expense",Table826[[#This Row],[Classification]]="Cost of Goods Sold"),Table826[[#This Row],[Debit\]]&gt;Table826[[#This Row],[Credit.]]),Table826[[#This Row],[Debit\]]-Table826[[#This Row],[Credit.]],""),"")</f>
        <v/>
      </c>
      <c r="AE62" s="34">
        <f>IFERROR(IF(AND(OR(Table826[[#This Row],[Classification]]="Income",Table826[[#This Row],[Classification]]="Cost of Goods Sold"),Table826[[#This Row],[Credit.]]&gt;Table826[[#This Row],[Debit\]]),Table826[[#This Row],[Credit.]]-Table826[[#This Row],[Debit\]],""),"")</f>
        <v>10003059</v>
      </c>
      <c r="AF62" s="34"/>
      <c r="AG62" s="34" t="str">
        <f>IFERROR(IF(AND(Table826[[#This Row],[Classification]]="Assets",Table826[[#This Row],[Debit\]]-Table826[[#This Row],[Credit.]]),Table826[[#This Row],[Debit\]]-Table826[[#This Row],[Credit.]],""),"")</f>
        <v/>
      </c>
      <c r="AH62" s="34" t="str">
        <f>IFERROR(IF(AND(OR(Table826[[#This Row],[Classification]]="Liabilities",Table826[[#This Row],[Classification]]="Owner´s Equity"),Table826[[#This Row],[Credit.]]&gt;Table826[[#This Row],[Debit\]]),Table826[[#This Row],[Credit.]]-Table826[[#This Row],[Debit\]],""),"")</f>
        <v/>
      </c>
    </row>
    <row r="63" spans="2:34" x14ac:dyDescent="0.25">
      <c r="B63" s="34"/>
      <c r="C63" s="37" t="s">
        <v>117</v>
      </c>
      <c r="D63" s="34">
        <v>129108.59</v>
      </c>
      <c r="E63" s="34"/>
      <c r="G63" s="39"/>
      <c r="H63" s="40"/>
      <c r="I63" s="41"/>
      <c r="J63" s="41"/>
      <c r="L63" s="34">
        <v>56</v>
      </c>
      <c r="M63" s="35" t="s">
        <v>156</v>
      </c>
      <c r="N63" s="35" t="s">
        <v>118</v>
      </c>
      <c r="O63" s="34">
        <f>IFERROR(SUMIF(Table423[,],Table625[[#This Row],[Accounts Name]],Table423[,3]),"")</f>
        <v>131390</v>
      </c>
      <c r="P63" s="34">
        <f>IFERROR(SUMIF(Table423[,],Table625[[#This Row],[Accounts Name]],Table423[,2]),"")</f>
        <v>0</v>
      </c>
      <c r="S63" s="36">
        <f t="shared" si="0"/>
        <v>56</v>
      </c>
      <c r="T63" s="34" t="s">
        <v>11</v>
      </c>
      <c r="U63" s="37" t="s">
        <v>232</v>
      </c>
      <c r="V63" s="34">
        <f>IFERROR(SUMIF(Table625[Sub-Accounts],Table826[[#This Row],[Update your chart of accounts here]],Table625[Debit]),"")</f>
        <v>0</v>
      </c>
      <c r="W63" s="34">
        <f>IFERROR(SUMIF(Table625[Sub-Accounts],Table826[[#This Row],[Update your chart of accounts here]],Table625[Credit]),"")</f>
        <v>0</v>
      </c>
      <c r="X63" s="34"/>
      <c r="Y63" s="34" t="s">
        <v>233</v>
      </c>
      <c r="Z63" s="34">
        <f>I21</f>
        <v>115200</v>
      </c>
      <c r="AA63" s="34"/>
      <c r="AB63" s="34">
        <f>MAX(Table826[[#This Row],[Debit]]+Table826[[#This Row],[Debit -]]-Table826[[#This Row],[Credit]]-Table826[[#This Row],[Credit +]],0)</f>
        <v>115200</v>
      </c>
      <c r="AC63" s="34">
        <f>MAX(Table826[[#This Row],[Credit]]-Table826[[#This Row],[Debit]]+Table826[[#This Row],[Credit +]]-Table826[[#This Row],[Debit -]],0)</f>
        <v>0</v>
      </c>
      <c r="AD63" s="34" t="str">
        <f>IFERROR(IF(AND(OR(Table826[[#This Row],[Classification]]="Expense",Table826[[#This Row],[Classification]]="Cost of Goods Sold"),Table826[[#This Row],[Debit\]]&gt;Table826[[#This Row],[Credit.]]),Table826[[#This Row],[Debit\]]-Table826[[#This Row],[Credit.]],""),"")</f>
        <v/>
      </c>
      <c r="AE63" s="34" t="str">
        <f>IFERROR(IF(AND(OR(Table826[[#This Row],[Classification]]="Income",Table826[[#This Row],[Classification]]="Cost of Goods Sold"),Table826[[#This Row],[Credit.]]&gt;Table826[[#This Row],[Debit\]]),Table826[[#This Row],[Credit.]]-Table826[[#This Row],[Debit\]],""),"")</f>
        <v/>
      </c>
      <c r="AF63" s="34"/>
      <c r="AG63" s="34">
        <f>IFERROR(IF(AND(Table826[[#This Row],[Classification]]="Assets",Table826[[#This Row],[Debit\]]-Table826[[#This Row],[Credit.]]),Table826[[#This Row],[Debit\]]-Table826[[#This Row],[Credit.]],""),"")</f>
        <v>115200</v>
      </c>
      <c r="AH63" s="34" t="str">
        <f>IFERROR(IF(AND(OR(Table826[[#This Row],[Classification]]="Liabilities",Table826[[#This Row],[Classification]]="Owner´s Equity"),Table826[[#This Row],[Credit.]]&gt;Table826[[#This Row],[Debit\]]),Table826[[#This Row],[Credit.]]-Table826[[#This Row],[Debit\]],""),"")</f>
        <v/>
      </c>
    </row>
    <row r="64" spans="2:34" hidden="1" x14ac:dyDescent="0.25">
      <c r="B64" s="34"/>
      <c r="C64" s="37" t="s">
        <v>118</v>
      </c>
      <c r="D64" s="34">
        <v>131390</v>
      </c>
      <c r="E64" s="34"/>
      <c r="G64" s="39"/>
      <c r="H64" s="40"/>
      <c r="I64" s="41"/>
      <c r="J64" s="41"/>
      <c r="L64" s="34">
        <v>57</v>
      </c>
      <c r="M64" s="35" t="s">
        <v>163</v>
      </c>
      <c r="N64" s="35" t="s">
        <v>119</v>
      </c>
      <c r="O64" s="34">
        <f>IFERROR(SUMIF(Table423[,],Table625[[#This Row],[Accounts Name]],Table423[,3]),"")</f>
        <v>300</v>
      </c>
      <c r="P64" s="34">
        <f>IFERROR(SUMIF(Table423[,],Table625[[#This Row],[Accounts Name]],Table423[,2]),"")</f>
        <v>0</v>
      </c>
      <c r="S64" s="36">
        <f t="shared" si="0"/>
        <v>57</v>
      </c>
      <c r="T64" s="34"/>
      <c r="U64" s="37"/>
      <c r="V64" s="34">
        <f>IFERROR(SUMIF(Table625[Sub-Accounts],Table826[[#This Row],[Update your chart of accounts here]],Table625[Debit]),"")</f>
        <v>0</v>
      </c>
      <c r="W64" s="34">
        <f>IFERROR(SUMIF(Table625[Sub-Accounts],Table826[[#This Row],[Update your chart of accounts here]],Table625[Credit]),"")</f>
        <v>0</v>
      </c>
      <c r="X64" s="34"/>
      <c r="Y64" s="34"/>
      <c r="Z64" s="34"/>
      <c r="AA64" s="34"/>
      <c r="AB64" s="34">
        <f>MAX(Table826[[#This Row],[Debit]]+Table826[[#This Row],[Debit -]]-Table826[[#This Row],[Credit]]-Table826[[#This Row],[Credit +]],0)</f>
        <v>0</v>
      </c>
      <c r="AC64" s="34">
        <f>MAX(Table826[[#This Row],[Credit]]-Table826[[#This Row],[Debit]]+Table826[[#This Row],[Credit +]]-Table826[[#This Row],[Debit -]],0)</f>
        <v>0</v>
      </c>
      <c r="AD64" s="34" t="str">
        <f>IFERROR(IF(AND(OR(Table826[[#This Row],[Classification]]="Expense",Table826[[#This Row],[Classification]]="Cost of Goods Sold"),Table826[[#This Row],[Debit\]]&gt;Table826[[#This Row],[Credit.]]),Table826[[#This Row],[Debit\]]-Table826[[#This Row],[Credit.]],""),"")</f>
        <v/>
      </c>
      <c r="AE64" s="34" t="str">
        <f>IFERROR(IF(AND(OR(Table826[[#This Row],[Classification]]="Income",Table826[[#This Row],[Classification]]="Cost of Goods Sold"),Table826[[#This Row],[Credit.]]&gt;Table826[[#This Row],[Debit\]]),Table826[[#This Row],[Credit.]]-Table826[[#This Row],[Debit\]],""),"")</f>
        <v/>
      </c>
      <c r="AF64" s="34"/>
      <c r="AG64" s="34" t="str">
        <f>IFERROR(IF(AND(Table826[[#This Row],[Classification]]="Assets",Table826[[#This Row],[Debit\]]-Table826[[#This Row],[Credit.]]),Table826[[#This Row],[Debit\]]-Table826[[#This Row],[Credit.]],""),"")</f>
        <v/>
      </c>
      <c r="AH64" s="34" t="str">
        <f>IFERROR(IF(AND(OR(Table826[[#This Row],[Classification]]="Liabilities",Table826[[#This Row],[Classification]]="Owner´s Equity"),Table826[[#This Row],[Credit.]]&gt;Table826[[#This Row],[Debit\]]),Table826[[#This Row],[Credit.]]-Table826[[#This Row],[Debit\]],""),"")</f>
        <v/>
      </c>
    </row>
    <row r="65" spans="2:34" hidden="1" x14ac:dyDescent="0.25">
      <c r="B65" s="34"/>
      <c r="C65" s="37" t="s">
        <v>119</v>
      </c>
      <c r="D65" s="34">
        <v>300</v>
      </c>
      <c r="E65" s="34"/>
      <c r="G65" s="39"/>
      <c r="H65" s="43"/>
      <c r="I65" s="41"/>
      <c r="J65" s="41"/>
      <c r="L65" s="34">
        <v>58</v>
      </c>
      <c r="M65" s="35" t="s">
        <v>164</v>
      </c>
      <c r="N65" s="35" t="s">
        <v>120</v>
      </c>
      <c r="O65" s="34">
        <f>IFERROR(SUMIF(Table423[,],Table625[[#This Row],[Accounts Name]],Table423[,3]),"")</f>
        <v>436840.42</v>
      </c>
      <c r="P65" s="34">
        <f>IFERROR(SUMIF(Table423[,],Table625[[#This Row],[Accounts Name]],Table423[,2]),"")</f>
        <v>0</v>
      </c>
      <c r="S65" s="36">
        <f t="shared" si="0"/>
        <v>58</v>
      </c>
      <c r="T65" s="34"/>
      <c r="U65" s="37"/>
      <c r="V65" s="34">
        <f>IFERROR(SUMIF(Table625[Sub-Accounts],Table826[[#This Row],[Update your chart of accounts here]],Table625[Debit]),"")</f>
        <v>0</v>
      </c>
      <c r="W65" s="34">
        <f>IFERROR(SUMIF(Table625[Sub-Accounts],Table826[[#This Row],[Update your chart of accounts here]],Table625[Credit]),"")</f>
        <v>0</v>
      </c>
      <c r="X65" s="34"/>
      <c r="Y65" s="34"/>
      <c r="Z65" s="34"/>
      <c r="AA65" s="34"/>
      <c r="AB65" s="34">
        <f>MAX(Table826[[#This Row],[Debit]]+Table826[[#This Row],[Debit -]]-Table826[[#This Row],[Credit]]-Table826[[#This Row],[Credit +]],0)</f>
        <v>0</v>
      </c>
      <c r="AC65" s="34">
        <f>MAX(Table826[[#This Row],[Credit]]-Table826[[#This Row],[Debit]]+Table826[[#This Row],[Credit +]]-Table826[[#This Row],[Debit -]],0)</f>
        <v>0</v>
      </c>
      <c r="AD65" s="34" t="str">
        <f>IFERROR(IF(AND(OR(Table826[[#This Row],[Classification]]="Expense",Table826[[#This Row],[Classification]]="Cost of Goods Sold"),Table826[[#This Row],[Debit\]]&gt;Table826[[#This Row],[Credit.]]),Table826[[#This Row],[Debit\]]-Table826[[#This Row],[Credit.]],""),"")</f>
        <v/>
      </c>
      <c r="AE65" s="34" t="str">
        <f>IFERROR(IF(AND(OR(Table826[[#This Row],[Classification]]="Income",Table826[[#This Row],[Classification]]="Cost of Goods Sold"),Table826[[#This Row],[Credit.]]&gt;Table826[[#This Row],[Debit\]]),Table826[[#This Row],[Credit.]]-Table826[[#This Row],[Debit\]],""),"")</f>
        <v/>
      </c>
      <c r="AF65" s="34"/>
      <c r="AG65" s="34" t="str">
        <f>IFERROR(IF(AND(Table826[[#This Row],[Classification]]="Assets",Table826[[#This Row],[Debit\]]-Table826[[#This Row],[Credit.]]),Table826[[#This Row],[Debit\]]-Table826[[#This Row],[Credit.]],""),"")</f>
        <v/>
      </c>
      <c r="AH65" s="34" t="str">
        <f>IFERROR(IF(AND(OR(Table826[[#This Row],[Classification]]="Liabilities",Table826[[#This Row],[Classification]]="Owner´s Equity"),Table826[[#This Row],[Credit.]]&gt;Table826[[#This Row],[Debit\]]),Table826[[#This Row],[Credit.]]-Table826[[#This Row],[Debit\]],""),"")</f>
        <v/>
      </c>
    </row>
    <row r="66" spans="2:34" hidden="1" x14ac:dyDescent="0.25">
      <c r="B66" s="34"/>
      <c r="C66" s="37" t="s">
        <v>120</v>
      </c>
      <c r="D66" s="34">
        <v>436840.42</v>
      </c>
      <c r="E66" s="34"/>
      <c r="G66" s="39"/>
      <c r="H66" s="40"/>
      <c r="I66" s="41"/>
      <c r="J66" s="41"/>
      <c r="L66" s="34">
        <v>59</v>
      </c>
      <c r="M66" s="35" t="s">
        <v>151</v>
      </c>
      <c r="N66" s="35" t="s">
        <v>121</v>
      </c>
      <c r="O66" s="34">
        <f>IFERROR(SUMIF(Table423[,],Table625[[#This Row],[Accounts Name]],Table423[,3]),"")</f>
        <v>102350</v>
      </c>
      <c r="P66" s="34">
        <f>IFERROR(SUMIF(Table423[,],Table625[[#This Row],[Accounts Name]],Table423[,2]),"")</f>
        <v>0</v>
      </c>
      <c r="S66" s="36">
        <f t="shared" si="0"/>
        <v>59</v>
      </c>
      <c r="T66" s="34"/>
      <c r="U66" s="37"/>
      <c r="V66" s="34">
        <f>IFERROR(SUMIF(Table625[Sub-Accounts],Table826[[#This Row],[Update your chart of accounts here]],Table625[Debit]),"")</f>
        <v>0</v>
      </c>
      <c r="W66" s="34">
        <f>IFERROR(SUMIF(Table625[Sub-Accounts],Table826[[#This Row],[Update your chart of accounts here]],Table625[Credit]),"")</f>
        <v>0</v>
      </c>
      <c r="X66" s="34"/>
      <c r="Y66" s="34"/>
      <c r="Z66" s="34"/>
      <c r="AA66" s="34"/>
      <c r="AB66" s="34">
        <f>MAX(Table826[[#This Row],[Debit]]+Table826[[#This Row],[Debit -]]-Table826[[#This Row],[Credit]]-Table826[[#This Row],[Credit +]],0)</f>
        <v>0</v>
      </c>
      <c r="AC66" s="34">
        <f>MAX(Table826[[#This Row],[Credit]]-Table826[[#This Row],[Debit]]+Table826[[#This Row],[Credit +]]-Table826[[#This Row],[Debit -]],0)</f>
        <v>0</v>
      </c>
      <c r="AD66" s="34" t="str">
        <f>IFERROR(IF(AND(OR(Table826[[#This Row],[Classification]]="Expense",Table826[[#This Row],[Classification]]="Cost of Goods Sold"),Table826[[#This Row],[Debit\]]&gt;Table826[[#This Row],[Credit.]]),Table826[[#This Row],[Debit\]]-Table826[[#This Row],[Credit.]],""),"")</f>
        <v/>
      </c>
      <c r="AE66" s="34" t="str">
        <f>IFERROR(IF(AND(OR(Table826[[#This Row],[Classification]]="Income",Table826[[#This Row],[Classification]]="Cost of Goods Sold"),Table826[[#This Row],[Credit.]]&gt;Table826[[#This Row],[Debit\]]),Table826[[#This Row],[Credit.]]-Table826[[#This Row],[Debit\]],""),"")</f>
        <v/>
      </c>
      <c r="AF66" s="34"/>
      <c r="AG66" s="34" t="str">
        <f>IFERROR(IF(AND(Table826[[#This Row],[Classification]]="Assets",Table826[[#This Row],[Debit\]]-Table826[[#This Row],[Credit.]]),Table826[[#This Row],[Debit\]]-Table826[[#This Row],[Credit.]],""),"")</f>
        <v/>
      </c>
      <c r="AH66" s="34" t="str">
        <f>IFERROR(IF(AND(OR(Table826[[#This Row],[Classification]]="Liabilities",Table826[[#This Row],[Classification]]="Owner´s Equity"),Table826[[#This Row],[Credit.]]&gt;Table826[[#This Row],[Debit\]]),Table826[[#This Row],[Credit.]]-Table826[[#This Row],[Debit\]],""),"")</f>
        <v/>
      </c>
    </row>
    <row r="67" spans="2:34" hidden="1" x14ac:dyDescent="0.25">
      <c r="B67" s="34"/>
      <c r="C67" s="37" t="s">
        <v>121</v>
      </c>
      <c r="D67" s="34">
        <v>102350</v>
      </c>
      <c r="E67" s="34"/>
      <c r="G67" s="39"/>
      <c r="H67" s="40"/>
      <c r="I67" s="41"/>
      <c r="J67" s="41"/>
      <c r="L67" s="34">
        <v>60</v>
      </c>
      <c r="M67" s="35" t="s">
        <v>151</v>
      </c>
      <c r="N67" s="35" t="s">
        <v>122</v>
      </c>
      <c r="O67" s="34">
        <f>IFERROR(SUMIF(Table423[,],Table625[[#This Row],[Accounts Name]],Table423[,3]),"")</f>
        <v>62000</v>
      </c>
      <c r="P67" s="34">
        <f>IFERROR(SUMIF(Table423[,],Table625[[#This Row],[Accounts Name]],Table423[,2]),"")</f>
        <v>0</v>
      </c>
      <c r="S67" s="36">
        <f t="shared" si="0"/>
        <v>60</v>
      </c>
      <c r="T67" s="34"/>
      <c r="U67" s="37"/>
      <c r="V67" s="34">
        <f>IFERROR(SUMIF(Table625[Sub-Accounts],Table826[[#This Row],[Update your chart of accounts here]],Table625[Debit]),"")</f>
        <v>0</v>
      </c>
      <c r="W67" s="34">
        <f>IFERROR(SUMIF(Table625[Sub-Accounts],Table826[[#This Row],[Update your chart of accounts here]],Table625[Credit]),"")</f>
        <v>0</v>
      </c>
      <c r="X67" s="34"/>
      <c r="Y67" s="34"/>
      <c r="Z67" s="34"/>
      <c r="AA67" s="34"/>
      <c r="AB67" s="34">
        <f>MAX(Table826[[#This Row],[Debit]]+Table826[[#This Row],[Debit -]]-Table826[[#This Row],[Credit]]-Table826[[#This Row],[Credit +]],0)</f>
        <v>0</v>
      </c>
      <c r="AC67" s="34">
        <f>MAX(Table826[[#This Row],[Credit]]-Table826[[#This Row],[Debit]]+Table826[[#This Row],[Credit +]]-Table826[[#This Row],[Debit -]],0)</f>
        <v>0</v>
      </c>
      <c r="AD67" s="34" t="str">
        <f>IFERROR(IF(AND(OR(Table826[[#This Row],[Classification]]="Expense",Table826[[#This Row],[Classification]]="Cost of Goods Sold"),Table826[[#This Row],[Debit\]]&gt;Table826[[#This Row],[Credit.]]),Table826[[#This Row],[Debit\]]-Table826[[#This Row],[Credit.]],""),"")</f>
        <v/>
      </c>
      <c r="AE67" s="34" t="str">
        <f>IFERROR(IF(AND(OR(Table826[[#This Row],[Classification]]="Income",Table826[[#This Row],[Classification]]="Cost of Goods Sold"),Table826[[#This Row],[Credit.]]&gt;Table826[[#This Row],[Debit\]]),Table826[[#This Row],[Credit.]]-Table826[[#This Row],[Debit\]],""),"")</f>
        <v/>
      </c>
      <c r="AF67" s="34"/>
      <c r="AG67" s="34" t="str">
        <f>IFERROR(IF(AND(Table826[[#This Row],[Classification]]="Assets",Table826[[#This Row],[Debit\]]-Table826[[#This Row],[Credit.]]),Table826[[#This Row],[Debit\]]-Table826[[#This Row],[Credit.]],""),"")</f>
        <v/>
      </c>
      <c r="AH67" s="34" t="str">
        <f>IFERROR(IF(AND(OR(Table826[[#This Row],[Classification]]="Liabilities",Table826[[#This Row],[Classification]]="Owner´s Equity"),Table826[[#This Row],[Credit.]]&gt;Table826[[#This Row],[Debit\]]),Table826[[#This Row],[Credit.]]-Table826[[#This Row],[Debit\]],""),"")</f>
        <v/>
      </c>
    </row>
    <row r="68" spans="2:34" hidden="1" x14ac:dyDescent="0.25">
      <c r="B68" s="34"/>
      <c r="C68" s="37" t="s">
        <v>122</v>
      </c>
      <c r="D68" s="34">
        <v>62000</v>
      </c>
      <c r="E68" s="34"/>
      <c r="G68" s="39"/>
      <c r="H68" s="43"/>
      <c r="I68" s="41"/>
      <c r="J68" s="41"/>
      <c r="L68" s="34">
        <v>61</v>
      </c>
      <c r="M68" s="35" t="s">
        <v>151</v>
      </c>
      <c r="N68" s="35" t="s">
        <v>123</v>
      </c>
      <c r="O68" s="34">
        <f>IFERROR(SUMIF(Table423[,],Table625[[#This Row],[Accounts Name]],Table423[,3]),"")</f>
        <v>278343</v>
      </c>
      <c r="P68" s="34">
        <f>IFERROR(SUMIF(Table423[,],Table625[[#This Row],[Accounts Name]],Table423[,2]),"")</f>
        <v>0</v>
      </c>
      <c r="S68" s="36">
        <f t="shared" si="0"/>
        <v>61</v>
      </c>
      <c r="T68" s="34"/>
      <c r="U68" s="37"/>
      <c r="V68" s="34">
        <f>IFERROR(SUMIF(Table625[Sub-Accounts],Table826[[#This Row],[Update your chart of accounts here]],Table625[Debit]),"")</f>
        <v>0</v>
      </c>
      <c r="W68" s="34">
        <f>IFERROR(SUMIF(Table625[Sub-Accounts],Table826[[#This Row],[Update your chart of accounts here]],Table625[Credit]),"")</f>
        <v>0</v>
      </c>
      <c r="X68" s="34"/>
      <c r="Y68" s="34"/>
      <c r="Z68" s="34"/>
      <c r="AA68" s="34"/>
      <c r="AB68" s="34">
        <f>MAX(Table826[[#This Row],[Debit]]+Table826[[#This Row],[Debit -]]-Table826[[#This Row],[Credit]]-Table826[[#This Row],[Credit +]],0)</f>
        <v>0</v>
      </c>
      <c r="AC68" s="34">
        <f>MAX(Table826[[#This Row],[Credit]]-Table826[[#This Row],[Debit]]+Table826[[#This Row],[Credit +]]-Table826[[#This Row],[Debit -]],0)</f>
        <v>0</v>
      </c>
      <c r="AD68" s="34" t="str">
        <f>IFERROR(IF(AND(OR(Table826[[#This Row],[Classification]]="Expense",Table826[[#This Row],[Classification]]="Cost of Goods Sold"),Table826[[#This Row],[Debit\]]&gt;Table826[[#This Row],[Credit.]]),Table826[[#This Row],[Debit\]]-Table826[[#This Row],[Credit.]],""),"")</f>
        <v/>
      </c>
      <c r="AE68" s="34" t="str">
        <f>IFERROR(IF(AND(OR(Table826[[#This Row],[Classification]]="Income",Table826[[#This Row],[Classification]]="Cost of Goods Sold"),Table826[[#This Row],[Credit.]]&gt;Table826[[#This Row],[Debit\]]),Table826[[#This Row],[Credit.]]-Table826[[#This Row],[Debit\]],""),"")</f>
        <v/>
      </c>
      <c r="AF68" s="34"/>
      <c r="AG68" s="34" t="str">
        <f>IFERROR(IF(AND(Table826[[#This Row],[Classification]]="Assets",Table826[[#This Row],[Debit\]]-Table826[[#This Row],[Credit.]]),Table826[[#This Row],[Debit\]]-Table826[[#This Row],[Credit.]],""),"")</f>
        <v/>
      </c>
      <c r="AH68" s="34" t="str">
        <f>IFERROR(IF(AND(OR(Table826[[#This Row],[Classification]]="Liabilities",Table826[[#This Row],[Classification]]="Owner´s Equity"),Table826[[#This Row],[Credit.]]&gt;Table826[[#This Row],[Debit\]]),Table826[[#This Row],[Credit.]]-Table826[[#This Row],[Debit\]],""),"")</f>
        <v/>
      </c>
    </row>
    <row r="69" spans="2:34" hidden="1" x14ac:dyDescent="0.25">
      <c r="B69" s="34"/>
      <c r="C69" s="37" t="s">
        <v>123</v>
      </c>
      <c r="D69" s="34">
        <v>278343</v>
      </c>
      <c r="E69" s="34"/>
      <c r="G69" s="39"/>
      <c r="H69" s="40"/>
      <c r="I69" s="41"/>
      <c r="J69" s="41"/>
      <c r="L69" s="34">
        <v>62</v>
      </c>
      <c r="M69" s="35" t="s">
        <v>159</v>
      </c>
      <c r="N69" s="35" t="s">
        <v>124</v>
      </c>
      <c r="O69" s="34">
        <f>IFERROR(SUMIF(Table423[,],Table625[[#This Row],[Accounts Name]],Table423[,3]),"")</f>
        <v>181078.65</v>
      </c>
      <c r="P69" s="34">
        <f>IFERROR(SUMIF(Table423[,],Table625[[#This Row],[Accounts Name]],Table423[,2]),"")</f>
        <v>0</v>
      </c>
      <c r="S69" s="36">
        <f t="shared" si="0"/>
        <v>62</v>
      </c>
      <c r="T69" s="34"/>
      <c r="U69" s="37"/>
      <c r="V69" s="34">
        <f>IFERROR(SUMIF(Table625[Sub-Accounts],Table826[[#This Row],[Update your chart of accounts here]],Table625[Debit]),"")</f>
        <v>0</v>
      </c>
      <c r="W69" s="34">
        <f>IFERROR(SUMIF(Table625[Sub-Accounts],Table826[[#This Row],[Update your chart of accounts here]],Table625[Credit]),"")</f>
        <v>0</v>
      </c>
      <c r="X69" s="34"/>
      <c r="Y69" s="34"/>
      <c r="Z69" s="34"/>
      <c r="AA69" s="34"/>
      <c r="AB69" s="34">
        <f>MAX(Table826[[#This Row],[Debit]]+Table826[[#This Row],[Debit -]]-Table826[[#This Row],[Credit]]-Table826[[#This Row],[Credit +]],0)</f>
        <v>0</v>
      </c>
      <c r="AC69" s="34">
        <f>MAX(Table826[[#This Row],[Credit]]-Table826[[#This Row],[Debit]]+Table826[[#This Row],[Credit +]]-Table826[[#This Row],[Debit -]],0)</f>
        <v>0</v>
      </c>
      <c r="AD69" s="34" t="str">
        <f>IFERROR(IF(AND(OR(Table826[[#This Row],[Classification]]="Expense",Table826[[#This Row],[Classification]]="Cost of Goods Sold"),Table826[[#This Row],[Debit\]]&gt;Table826[[#This Row],[Credit.]]),Table826[[#This Row],[Debit\]]-Table826[[#This Row],[Credit.]],""),"")</f>
        <v/>
      </c>
      <c r="AE69" s="34" t="str">
        <f>IFERROR(IF(AND(OR(Table826[[#This Row],[Classification]]="Income",Table826[[#This Row],[Classification]]="Cost of Goods Sold"),Table826[[#This Row],[Credit.]]&gt;Table826[[#This Row],[Debit\]]),Table826[[#This Row],[Credit.]]-Table826[[#This Row],[Debit\]],""),"")</f>
        <v/>
      </c>
      <c r="AF69" s="34"/>
      <c r="AG69" s="34" t="str">
        <f>IFERROR(IF(AND(Table826[[#This Row],[Classification]]="Assets",Table826[[#This Row],[Debit\]]-Table826[[#This Row],[Credit.]]),Table826[[#This Row],[Debit\]]-Table826[[#This Row],[Credit.]],""),"")</f>
        <v/>
      </c>
      <c r="AH69" s="34" t="str">
        <f>IFERROR(IF(AND(OR(Table826[[#This Row],[Classification]]="Liabilities",Table826[[#This Row],[Classification]]="Owner´s Equity"),Table826[[#This Row],[Credit.]]&gt;Table826[[#This Row],[Debit\]]),Table826[[#This Row],[Credit.]]-Table826[[#This Row],[Debit\]],""),"")</f>
        <v/>
      </c>
    </row>
    <row r="70" spans="2:34" hidden="1" x14ac:dyDescent="0.25">
      <c r="B70" s="34"/>
      <c r="C70" s="37" t="s">
        <v>124</v>
      </c>
      <c r="D70" s="34">
        <v>181078.65</v>
      </c>
      <c r="E70" s="34"/>
      <c r="G70" s="39"/>
      <c r="H70" s="40"/>
      <c r="I70" s="41"/>
      <c r="J70" s="41"/>
      <c r="L70" s="34">
        <v>63</v>
      </c>
      <c r="M70" s="35" t="s">
        <v>165</v>
      </c>
      <c r="N70" s="35" t="s">
        <v>125</v>
      </c>
      <c r="O70" s="34">
        <f>IFERROR(SUMIF(Table423[,],Table625[[#This Row],[Accounts Name]],Table423[,3]),"")</f>
        <v>653656.38</v>
      </c>
      <c r="P70" s="34">
        <f>IFERROR(SUMIF(Table423[,],Table625[[#This Row],[Accounts Name]],Table423[,2]),"")</f>
        <v>0</v>
      </c>
      <c r="S70" s="36">
        <f t="shared" si="0"/>
        <v>63</v>
      </c>
      <c r="T70" s="34"/>
      <c r="U70" s="37"/>
      <c r="V70" s="34">
        <f>IFERROR(SUMIF(Table625[Sub-Accounts],Table826[[#This Row],[Update your chart of accounts here]],Table625[Debit]),"")</f>
        <v>0</v>
      </c>
      <c r="W70" s="34">
        <f>IFERROR(SUMIF(Table625[Sub-Accounts],Table826[[#This Row],[Update your chart of accounts here]],Table625[Credit]),"")</f>
        <v>0</v>
      </c>
      <c r="X70" s="34"/>
      <c r="Y70" s="34"/>
      <c r="Z70" s="34"/>
      <c r="AA70" s="34"/>
      <c r="AB70" s="34">
        <f>MAX(Table826[[#This Row],[Debit]]+Table826[[#This Row],[Debit -]]-Table826[[#This Row],[Credit]]-Table826[[#This Row],[Credit +]],0)</f>
        <v>0</v>
      </c>
      <c r="AC70" s="34">
        <f>MAX(Table826[[#This Row],[Credit]]-Table826[[#This Row],[Debit]]+Table826[[#This Row],[Credit +]]-Table826[[#This Row],[Debit -]],0)</f>
        <v>0</v>
      </c>
      <c r="AD70" s="34" t="str">
        <f>IFERROR(IF(AND(OR(Table826[[#This Row],[Classification]]="Expense",Table826[[#This Row],[Classification]]="Cost of Goods Sold"),Table826[[#This Row],[Debit\]]&gt;Table826[[#This Row],[Credit.]]),Table826[[#This Row],[Debit\]]-Table826[[#This Row],[Credit.]],""),"")</f>
        <v/>
      </c>
      <c r="AE70" s="34" t="str">
        <f>IFERROR(IF(AND(OR(Table826[[#This Row],[Classification]]="Income",Table826[[#This Row],[Classification]]="Cost of Goods Sold"),Table826[[#This Row],[Credit.]]&gt;Table826[[#This Row],[Debit\]]),Table826[[#This Row],[Credit.]]-Table826[[#This Row],[Debit\]],""),"")</f>
        <v/>
      </c>
      <c r="AF70" s="34"/>
      <c r="AG70" s="34" t="str">
        <f>IFERROR(IF(AND(Table826[[#This Row],[Classification]]="Assets",Table826[[#This Row],[Debit\]]-Table826[[#This Row],[Credit.]]),Table826[[#This Row],[Debit\]]-Table826[[#This Row],[Credit.]],""),"")</f>
        <v/>
      </c>
      <c r="AH70" s="34" t="str">
        <f>IFERROR(IF(AND(OR(Table826[[#This Row],[Classification]]="Liabilities",Table826[[#This Row],[Classification]]="Owner´s Equity"),Table826[[#This Row],[Credit.]]&gt;Table826[[#This Row],[Debit\]]),Table826[[#This Row],[Credit.]]-Table826[[#This Row],[Debit\]],""),"")</f>
        <v/>
      </c>
    </row>
    <row r="71" spans="2:34" hidden="1" x14ac:dyDescent="0.25">
      <c r="B71" s="34"/>
      <c r="C71" s="37" t="s">
        <v>125</v>
      </c>
      <c r="D71" s="34">
        <v>653656.38</v>
      </c>
      <c r="E71" s="34"/>
      <c r="G71" s="39"/>
      <c r="H71" s="43"/>
      <c r="I71" s="41"/>
      <c r="J71" s="41"/>
      <c r="L71" s="34">
        <v>64</v>
      </c>
      <c r="M71" s="35" t="s">
        <v>160</v>
      </c>
      <c r="N71" s="35" t="s">
        <v>126</v>
      </c>
      <c r="O71" s="34">
        <f>IFERROR(SUMIF(Table423[,],Table625[[#This Row],[Accounts Name]],Table423[,3]),"")</f>
        <v>115440</v>
      </c>
      <c r="P71" s="34">
        <f>IFERROR(SUMIF(Table423[,],Table625[[#This Row],[Accounts Name]],Table423[,2]),"")</f>
        <v>0</v>
      </c>
      <c r="S71" s="36">
        <f t="shared" si="0"/>
        <v>64</v>
      </c>
      <c r="T71" s="34"/>
      <c r="U71" s="37"/>
      <c r="V71" s="34">
        <f>IFERROR(SUMIF(Table625[Sub-Accounts],Table826[[#This Row],[Update your chart of accounts here]],Table625[Debit]),"")</f>
        <v>0</v>
      </c>
      <c r="W71" s="34">
        <f>IFERROR(SUMIF(Table625[Sub-Accounts],Table826[[#This Row],[Update your chart of accounts here]],Table625[Credit]),"")</f>
        <v>0</v>
      </c>
      <c r="X71" s="34"/>
      <c r="Y71" s="34"/>
      <c r="Z71" s="34"/>
      <c r="AA71" s="34"/>
      <c r="AB71" s="34">
        <f>MAX(Table826[[#This Row],[Debit]]+Table826[[#This Row],[Debit -]]-Table826[[#This Row],[Credit]]-Table826[[#This Row],[Credit +]],0)</f>
        <v>0</v>
      </c>
      <c r="AC71" s="34">
        <f>MAX(Table826[[#This Row],[Credit]]-Table826[[#This Row],[Debit]]+Table826[[#This Row],[Credit +]]-Table826[[#This Row],[Debit -]],0)</f>
        <v>0</v>
      </c>
      <c r="AD71" s="34" t="str">
        <f>IFERROR(IF(AND(OR(Table826[[#This Row],[Classification]]="Expense",Table826[[#This Row],[Classification]]="Cost of Goods Sold"),Table826[[#This Row],[Debit\]]&gt;Table826[[#This Row],[Credit.]]),Table826[[#This Row],[Debit\]]-Table826[[#This Row],[Credit.]],""),"")</f>
        <v/>
      </c>
      <c r="AE71" s="34" t="str">
        <f>IFERROR(IF(AND(OR(Table826[[#This Row],[Classification]]="Income",Table826[[#This Row],[Classification]]="Cost of Goods Sold"),Table826[[#This Row],[Credit.]]&gt;Table826[[#This Row],[Debit\]]),Table826[[#This Row],[Credit.]]-Table826[[#This Row],[Debit\]],""),"")</f>
        <v/>
      </c>
      <c r="AF71" s="34"/>
      <c r="AG71" s="34" t="str">
        <f>IFERROR(IF(AND(Table826[[#This Row],[Classification]]="Assets",Table826[[#This Row],[Debit\]]-Table826[[#This Row],[Credit.]]),Table826[[#This Row],[Debit\]]-Table826[[#This Row],[Credit.]],""),"")</f>
        <v/>
      </c>
      <c r="AH71" s="34" t="str">
        <f>IFERROR(IF(AND(OR(Table826[[#This Row],[Classification]]="Liabilities",Table826[[#This Row],[Classification]]="Owner´s Equity"),Table826[[#This Row],[Credit.]]&gt;Table826[[#This Row],[Debit\]]),Table826[[#This Row],[Credit.]]-Table826[[#This Row],[Debit\]],""),"")</f>
        <v/>
      </c>
    </row>
    <row r="72" spans="2:34" hidden="1" x14ac:dyDescent="0.25">
      <c r="B72" s="34"/>
      <c r="C72" s="37" t="s">
        <v>126</v>
      </c>
      <c r="D72" s="34">
        <v>115440</v>
      </c>
      <c r="E72" s="34"/>
      <c r="G72" s="39"/>
      <c r="H72" s="40"/>
      <c r="I72" s="41"/>
      <c r="J72" s="41"/>
      <c r="L72" s="34">
        <v>65</v>
      </c>
      <c r="M72" s="35" t="s">
        <v>166</v>
      </c>
      <c r="N72" s="35" t="s">
        <v>127</v>
      </c>
      <c r="O72" s="34">
        <f>IFERROR(SUMIF(Table423[,],Table625[[#This Row],[Accounts Name]],Table423[,3]),"")</f>
        <v>1409746.56</v>
      </c>
      <c r="P72" s="34">
        <f>IFERROR(SUMIF(Table423[,],Table625[[#This Row],[Accounts Name]],Table423[,2]),"")</f>
        <v>0</v>
      </c>
      <c r="S72" s="36">
        <f t="shared" si="0"/>
        <v>65</v>
      </c>
      <c r="T72" s="34"/>
      <c r="U72" s="37"/>
      <c r="V72" s="34">
        <f>IFERROR(SUMIF(Table625[Sub-Accounts],Table826[[#This Row],[Update your chart of accounts here]],Table625[Debit]),"")</f>
        <v>0</v>
      </c>
      <c r="W72" s="34">
        <f>IFERROR(SUMIF(Table625[Sub-Accounts],Table826[[#This Row],[Update your chart of accounts here]],Table625[Credit]),"")</f>
        <v>0</v>
      </c>
      <c r="X72" s="34"/>
      <c r="Y72" s="34"/>
      <c r="Z72" s="34"/>
      <c r="AA72" s="34"/>
      <c r="AB72" s="34">
        <f>MAX(Table826[[#This Row],[Debit]]+Table826[[#This Row],[Debit -]]-Table826[[#This Row],[Credit]]-Table826[[#This Row],[Credit +]],0)</f>
        <v>0</v>
      </c>
      <c r="AC72" s="34">
        <f>MAX(Table826[[#This Row],[Credit]]-Table826[[#This Row],[Debit]]+Table826[[#This Row],[Credit +]]-Table826[[#This Row],[Debit -]],0)</f>
        <v>0</v>
      </c>
      <c r="AD72" s="34" t="str">
        <f>IFERROR(IF(AND(OR(Table826[[#This Row],[Classification]]="Expense",Table826[[#This Row],[Classification]]="Cost of Goods Sold"),Table826[[#This Row],[Debit\]]&gt;Table826[[#This Row],[Credit.]]),Table826[[#This Row],[Debit\]]-Table826[[#This Row],[Credit.]],""),"")</f>
        <v/>
      </c>
      <c r="AE72" s="34" t="str">
        <f>IFERROR(IF(AND(OR(Table826[[#This Row],[Classification]]="Income",Table826[[#This Row],[Classification]]="Cost of Goods Sold"),Table826[[#This Row],[Credit.]]&gt;Table826[[#This Row],[Debit\]]),Table826[[#This Row],[Credit.]]-Table826[[#This Row],[Debit\]],""),"")</f>
        <v/>
      </c>
      <c r="AF72" s="34"/>
      <c r="AG72" s="34" t="str">
        <f>IFERROR(IF(AND(Table826[[#This Row],[Classification]]="Assets",Table826[[#This Row],[Debit\]]-Table826[[#This Row],[Credit.]]),Table826[[#This Row],[Debit\]]-Table826[[#This Row],[Credit.]],""),"")</f>
        <v/>
      </c>
      <c r="AH72" s="34" t="str">
        <f>IFERROR(IF(AND(OR(Table826[[#This Row],[Classification]]="Liabilities",Table826[[#This Row],[Classification]]="Owner´s Equity"),Table826[[#This Row],[Credit.]]&gt;Table826[[#This Row],[Debit\]]),Table826[[#This Row],[Credit.]]-Table826[[#This Row],[Debit\]],""),"")</f>
        <v/>
      </c>
    </row>
    <row r="73" spans="2:34" hidden="1" x14ac:dyDescent="0.25">
      <c r="B73" s="34"/>
      <c r="C73" s="37" t="s">
        <v>127</v>
      </c>
      <c r="D73" s="34">
        <v>1409746.56</v>
      </c>
      <c r="E73" s="34"/>
      <c r="G73" s="39"/>
      <c r="H73" s="40"/>
      <c r="I73" s="41"/>
      <c r="J73" s="41"/>
      <c r="L73" s="34">
        <v>66</v>
      </c>
      <c r="M73" s="35" t="s">
        <v>152</v>
      </c>
      <c r="N73" s="35" t="s">
        <v>128</v>
      </c>
      <c r="O73" s="34">
        <f>IFERROR(SUMIF(Table423[,],Table625[[#This Row],[Accounts Name]],Table423[,3]),"")</f>
        <v>1758</v>
      </c>
      <c r="P73" s="34">
        <f>IFERROR(SUMIF(Table423[,],Table625[[#This Row],[Accounts Name]],Table423[,2]),"")</f>
        <v>0</v>
      </c>
      <c r="S73" s="36">
        <f t="shared" si="0"/>
        <v>66</v>
      </c>
      <c r="T73" s="34"/>
      <c r="U73" s="37"/>
      <c r="V73" s="34">
        <f>IFERROR(SUMIF(Table625[Sub-Accounts],Table826[[#This Row],[Update your chart of accounts here]],Table625[Debit]),"")</f>
        <v>0</v>
      </c>
      <c r="W73" s="34">
        <f>IFERROR(SUMIF(Table625[Sub-Accounts],Table826[[#This Row],[Update your chart of accounts here]],Table625[Credit]),"")</f>
        <v>0</v>
      </c>
      <c r="X73" s="34"/>
      <c r="Y73" s="34"/>
      <c r="Z73" s="34"/>
      <c r="AA73" s="34"/>
      <c r="AB73" s="34">
        <f>MAX(Table826[[#This Row],[Debit]]+Table826[[#This Row],[Debit -]]-Table826[[#This Row],[Credit]]-Table826[[#This Row],[Credit +]],0)</f>
        <v>0</v>
      </c>
      <c r="AC73" s="34">
        <f>MAX(Table826[[#This Row],[Credit]]-Table826[[#This Row],[Debit]]+Table826[[#This Row],[Credit +]]-Table826[[#This Row],[Debit -]],0)</f>
        <v>0</v>
      </c>
      <c r="AD73" s="34" t="str">
        <f>IFERROR(IF(AND(OR(Table826[[#This Row],[Classification]]="Expense",Table826[[#This Row],[Classification]]="Cost of Goods Sold"),Table826[[#This Row],[Debit\]]&gt;Table826[[#This Row],[Credit.]]),Table826[[#This Row],[Debit\]]-Table826[[#This Row],[Credit.]],""),"")</f>
        <v/>
      </c>
      <c r="AE73" s="34" t="str">
        <f>IFERROR(IF(AND(OR(Table826[[#This Row],[Classification]]="Income",Table826[[#This Row],[Classification]]="Cost of Goods Sold"),Table826[[#This Row],[Credit.]]&gt;Table826[[#This Row],[Debit\]]),Table826[[#This Row],[Credit.]]-Table826[[#This Row],[Debit\]],""),"")</f>
        <v/>
      </c>
      <c r="AF73" s="34"/>
      <c r="AG73" s="34" t="str">
        <f>IFERROR(IF(AND(Table826[[#This Row],[Classification]]="Assets",Table826[[#This Row],[Debit\]]-Table826[[#This Row],[Credit.]]),Table826[[#This Row],[Debit\]]-Table826[[#This Row],[Credit.]],""),"")</f>
        <v/>
      </c>
      <c r="AH73" s="34" t="str">
        <f>IFERROR(IF(AND(OR(Table826[[#This Row],[Classification]]="Liabilities",Table826[[#This Row],[Classification]]="Owner´s Equity"),Table826[[#This Row],[Credit.]]&gt;Table826[[#This Row],[Debit\]]),Table826[[#This Row],[Credit.]]-Table826[[#This Row],[Debit\]],""),"")</f>
        <v/>
      </c>
    </row>
    <row r="74" spans="2:34" hidden="1" x14ac:dyDescent="0.25">
      <c r="B74" s="34"/>
      <c r="C74" s="37" t="s">
        <v>128</v>
      </c>
      <c r="D74" s="34">
        <v>1758</v>
      </c>
      <c r="E74" s="34"/>
      <c r="G74" s="39"/>
      <c r="H74" s="43"/>
      <c r="I74" s="41"/>
      <c r="J74" s="41"/>
      <c r="L74" s="34">
        <v>67</v>
      </c>
      <c r="M74" s="35" t="s">
        <v>167</v>
      </c>
      <c r="N74" s="35" t="s">
        <v>129</v>
      </c>
      <c r="O74" s="34">
        <f>IFERROR(SUMIF(Table423[,],Table625[[#This Row],[Accounts Name]],Table423[,3]),"")</f>
        <v>196582.42</v>
      </c>
      <c r="P74" s="34">
        <f>IFERROR(SUMIF(Table423[,],Table625[[#This Row],[Accounts Name]],Table423[,2]),"")</f>
        <v>0</v>
      </c>
      <c r="S74" s="36">
        <f t="shared" ref="S74:S137" si="1">S73+1</f>
        <v>67</v>
      </c>
      <c r="T74" s="34"/>
      <c r="U74" s="37"/>
      <c r="V74" s="34">
        <f>IFERROR(SUMIF(Table625[Sub-Accounts],Table826[[#This Row],[Update your chart of accounts here]],Table625[Debit]),"")</f>
        <v>0</v>
      </c>
      <c r="W74" s="34">
        <f>IFERROR(SUMIF(Table625[Sub-Accounts],Table826[[#This Row],[Update your chart of accounts here]],Table625[Credit]),"")</f>
        <v>0</v>
      </c>
      <c r="X74" s="34"/>
      <c r="Y74" s="34"/>
      <c r="Z74" s="34"/>
      <c r="AA74" s="34"/>
      <c r="AB74" s="34">
        <f>MAX(Table826[[#This Row],[Debit]]+Table826[[#This Row],[Debit -]]-Table826[[#This Row],[Credit]]-Table826[[#This Row],[Credit +]],0)</f>
        <v>0</v>
      </c>
      <c r="AC74" s="34">
        <f>MAX(Table826[[#This Row],[Credit]]-Table826[[#This Row],[Debit]]+Table826[[#This Row],[Credit +]]-Table826[[#This Row],[Debit -]],0)</f>
        <v>0</v>
      </c>
      <c r="AD74" s="34" t="str">
        <f>IFERROR(IF(AND(OR(Table826[[#This Row],[Classification]]="Expense",Table826[[#This Row],[Classification]]="Cost of Goods Sold"),Table826[[#This Row],[Debit\]]&gt;Table826[[#This Row],[Credit.]]),Table826[[#This Row],[Debit\]]-Table826[[#This Row],[Credit.]],""),"")</f>
        <v/>
      </c>
      <c r="AE74" s="34" t="str">
        <f>IFERROR(IF(AND(OR(Table826[[#This Row],[Classification]]="Income",Table826[[#This Row],[Classification]]="Cost of Goods Sold"),Table826[[#This Row],[Credit.]]&gt;Table826[[#This Row],[Debit\]]),Table826[[#This Row],[Credit.]]-Table826[[#This Row],[Debit\]],""),"")</f>
        <v/>
      </c>
      <c r="AF74" s="34"/>
      <c r="AG74" s="34" t="str">
        <f>IFERROR(IF(AND(Table826[[#This Row],[Classification]]="Assets",Table826[[#This Row],[Debit\]]-Table826[[#This Row],[Credit.]]),Table826[[#This Row],[Debit\]]-Table826[[#This Row],[Credit.]],""),"")</f>
        <v/>
      </c>
      <c r="AH74" s="34" t="str">
        <f>IFERROR(IF(AND(OR(Table826[[#This Row],[Classification]]="Liabilities",Table826[[#This Row],[Classification]]="Owner´s Equity"),Table826[[#This Row],[Credit.]]&gt;Table826[[#This Row],[Debit\]]),Table826[[#This Row],[Credit.]]-Table826[[#This Row],[Debit\]],""),"")</f>
        <v/>
      </c>
    </row>
    <row r="75" spans="2:34" hidden="1" x14ac:dyDescent="0.25">
      <c r="B75" s="34"/>
      <c r="C75" s="37" t="s">
        <v>129</v>
      </c>
      <c r="D75" s="34">
        <v>196582.42</v>
      </c>
      <c r="E75" s="34"/>
      <c r="G75" s="39"/>
      <c r="H75" s="40"/>
      <c r="I75" s="41"/>
      <c r="J75" s="41"/>
      <c r="L75" s="34">
        <v>68</v>
      </c>
      <c r="M75" s="35" t="s">
        <v>151</v>
      </c>
      <c r="N75" s="35" t="s">
        <v>130</v>
      </c>
      <c r="O75" s="34">
        <f>IFERROR(SUMIF(Table423[,],Table625[[#This Row],[Accounts Name]],Table423[,3]),"")</f>
        <v>3069792</v>
      </c>
      <c r="P75" s="34">
        <f>IFERROR(SUMIF(Table423[,],Table625[[#This Row],[Accounts Name]],Table423[,2]),"")</f>
        <v>0</v>
      </c>
      <c r="S75" s="36">
        <f t="shared" si="1"/>
        <v>68</v>
      </c>
      <c r="T75" s="34"/>
      <c r="U75" s="37"/>
      <c r="V75" s="34">
        <f>IFERROR(SUMIF(Table625[Sub-Accounts],Table826[[#This Row],[Update your chart of accounts here]],Table625[Debit]),"")</f>
        <v>0</v>
      </c>
      <c r="W75" s="34">
        <f>IFERROR(SUMIF(Table625[Sub-Accounts],Table826[[#This Row],[Update your chart of accounts here]],Table625[Credit]),"")</f>
        <v>0</v>
      </c>
      <c r="X75" s="34"/>
      <c r="Y75" s="34"/>
      <c r="Z75" s="34"/>
      <c r="AA75" s="34"/>
      <c r="AB75" s="34">
        <f>MAX(Table826[[#This Row],[Debit]]+Table826[[#This Row],[Debit -]]-Table826[[#This Row],[Credit]]-Table826[[#This Row],[Credit +]],0)</f>
        <v>0</v>
      </c>
      <c r="AC75" s="34">
        <f>MAX(Table826[[#This Row],[Credit]]-Table826[[#This Row],[Debit]]+Table826[[#This Row],[Credit +]]-Table826[[#This Row],[Debit -]],0)</f>
        <v>0</v>
      </c>
      <c r="AD75" s="34" t="str">
        <f>IFERROR(IF(AND(OR(Table826[[#This Row],[Classification]]="Expense",Table826[[#This Row],[Classification]]="Cost of Goods Sold"),Table826[[#This Row],[Debit\]]&gt;Table826[[#This Row],[Credit.]]),Table826[[#This Row],[Debit\]]-Table826[[#This Row],[Credit.]],""),"")</f>
        <v/>
      </c>
      <c r="AE75" s="34" t="str">
        <f>IFERROR(IF(AND(OR(Table826[[#This Row],[Classification]]="Income",Table826[[#This Row],[Classification]]="Cost of Goods Sold"),Table826[[#This Row],[Credit.]]&gt;Table826[[#This Row],[Debit\]]),Table826[[#This Row],[Credit.]]-Table826[[#This Row],[Debit\]],""),"")</f>
        <v/>
      </c>
      <c r="AF75" s="34"/>
      <c r="AG75" s="34" t="str">
        <f>IFERROR(IF(AND(Table826[[#This Row],[Classification]]="Assets",Table826[[#This Row],[Debit\]]-Table826[[#This Row],[Credit.]]),Table826[[#This Row],[Debit\]]-Table826[[#This Row],[Credit.]],""),"")</f>
        <v/>
      </c>
      <c r="AH75" s="34" t="str">
        <f>IFERROR(IF(AND(OR(Table826[[#This Row],[Classification]]="Liabilities",Table826[[#This Row],[Classification]]="Owner´s Equity"),Table826[[#This Row],[Credit.]]&gt;Table826[[#This Row],[Debit\]]),Table826[[#This Row],[Credit.]]-Table826[[#This Row],[Debit\]],""),"")</f>
        <v/>
      </c>
    </row>
    <row r="76" spans="2:34" hidden="1" x14ac:dyDescent="0.25">
      <c r="B76" s="34"/>
      <c r="C76" s="37" t="s">
        <v>130</v>
      </c>
      <c r="D76" s="34">
        <v>3069792</v>
      </c>
      <c r="E76" s="34"/>
      <c r="G76" s="39"/>
      <c r="H76" s="40"/>
      <c r="I76" s="41"/>
      <c r="J76" s="41"/>
      <c r="L76" s="34">
        <v>69</v>
      </c>
      <c r="M76" s="35" t="s">
        <v>168</v>
      </c>
      <c r="N76" s="35" t="s">
        <v>131</v>
      </c>
      <c r="O76" s="34">
        <f>IFERROR(SUMIF(Table423[,],Table625[[#This Row],[Accounts Name]],Table423[,3]),"")</f>
        <v>302989.64</v>
      </c>
      <c r="P76" s="34">
        <f>IFERROR(SUMIF(Table423[,],Table625[[#This Row],[Accounts Name]],Table423[,2]),"")</f>
        <v>0</v>
      </c>
      <c r="S76" s="36">
        <f t="shared" si="1"/>
        <v>69</v>
      </c>
      <c r="T76" s="34"/>
      <c r="U76" s="37"/>
      <c r="V76" s="34">
        <f>IFERROR(SUMIF(Table625[Sub-Accounts],Table826[[#This Row],[Update your chart of accounts here]],Table625[Debit]),"")</f>
        <v>0</v>
      </c>
      <c r="W76" s="34">
        <f>IFERROR(SUMIF(Table625[Sub-Accounts],Table826[[#This Row],[Update your chart of accounts here]],Table625[Credit]),"")</f>
        <v>0</v>
      </c>
      <c r="X76" s="34"/>
      <c r="Y76" s="34"/>
      <c r="Z76" s="34"/>
      <c r="AA76" s="34"/>
      <c r="AB76" s="34">
        <f>MAX(Table826[[#This Row],[Debit]]+Table826[[#This Row],[Debit -]]-Table826[[#This Row],[Credit]]-Table826[[#This Row],[Credit +]],0)</f>
        <v>0</v>
      </c>
      <c r="AC76" s="34">
        <f>MAX(Table826[[#This Row],[Credit]]-Table826[[#This Row],[Debit]]+Table826[[#This Row],[Credit +]]-Table826[[#This Row],[Debit -]],0)</f>
        <v>0</v>
      </c>
      <c r="AD76" s="34" t="str">
        <f>IFERROR(IF(AND(OR(Table826[[#This Row],[Classification]]="Expense",Table826[[#This Row],[Classification]]="Cost of Goods Sold"),Table826[[#This Row],[Debit\]]&gt;Table826[[#This Row],[Credit.]]),Table826[[#This Row],[Debit\]]-Table826[[#This Row],[Credit.]],""),"")</f>
        <v/>
      </c>
      <c r="AE76" s="34" t="str">
        <f>IFERROR(IF(AND(OR(Table826[[#This Row],[Classification]]="Income",Table826[[#This Row],[Classification]]="Cost of Goods Sold"),Table826[[#This Row],[Credit.]]&gt;Table826[[#This Row],[Debit\]]),Table826[[#This Row],[Credit.]]-Table826[[#This Row],[Debit\]],""),"")</f>
        <v/>
      </c>
      <c r="AF76" s="34"/>
      <c r="AG76" s="34" t="str">
        <f>IFERROR(IF(AND(Table826[[#This Row],[Classification]]="Assets",Table826[[#This Row],[Debit\]]-Table826[[#This Row],[Credit.]]),Table826[[#This Row],[Debit\]]-Table826[[#This Row],[Credit.]],""),"")</f>
        <v/>
      </c>
      <c r="AH76" s="34" t="str">
        <f>IFERROR(IF(AND(OR(Table826[[#This Row],[Classification]]="Liabilities",Table826[[#This Row],[Classification]]="Owner´s Equity"),Table826[[#This Row],[Credit.]]&gt;Table826[[#This Row],[Debit\]]),Table826[[#This Row],[Credit.]]-Table826[[#This Row],[Debit\]],""),"")</f>
        <v/>
      </c>
    </row>
    <row r="77" spans="2:34" hidden="1" x14ac:dyDescent="0.25">
      <c r="B77" s="34"/>
      <c r="C77" s="37" t="s">
        <v>131</v>
      </c>
      <c r="D77" s="34">
        <v>302989.64</v>
      </c>
      <c r="E77" s="34"/>
      <c r="G77" s="39"/>
      <c r="H77" s="43"/>
      <c r="I77" s="41"/>
      <c r="J77" s="41"/>
      <c r="L77" s="34">
        <v>70</v>
      </c>
      <c r="M77" s="35" t="s">
        <v>167</v>
      </c>
      <c r="N77" s="35" t="s">
        <v>132</v>
      </c>
      <c r="O77" s="34">
        <f>IFERROR(SUMIF(Table423[,],Table625[[#This Row],[Accounts Name]],Table423[,3]),"")</f>
        <v>35000</v>
      </c>
      <c r="P77" s="34">
        <f>IFERROR(SUMIF(Table423[,],Table625[[#This Row],[Accounts Name]],Table423[,2]),"")</f>
        <v>0</v>
      </c>
      <c r="S77" s="36">
        <f t="shared" si="1"/>
        <v>70</v>
      </c>
      <c r="T77" s="34"/>
      <c r="U77" s="37"/>
      <c r="V77" s="34">
        <f>IFERROR(SUMIF(Table625[Sub-Accounts],Table826[[#This Row],[Update your chart of accounts here]],Table625[Debit]),"")</f>
        <v>0</v>
      </c>
      <c r="W77" s="34">
        <f>IFERROR(SUMIF(Table625[Sub-Accounts],Table826[[#This Row],[Update your chart of accounts here]],Table625[Credit]),"")</f>
        <v>0</v>
      </c>
      <c r="X77" s="34"/>
      <c r="Y77" s="34"/>
      <c r="Z77" s="34"/>
      <c r="AA77" s="34"/>
      <c r="AB77" s="34">
        <f>MAX(Table826[[#This Row],[Debit]]+Table826[[#This Row],[Debit -]]-Table826[[#This Row],[Credit]]-Table826[[#This Row],[Credit +]],0)</f>
        <v>0</v>
      </c>
      <c r="AC77" s="34">
        <f>MAX(Table826[[#This Row],[Credit]]-Table826[[#This Row],[Debit]]+Table826[[#This Row],[Credit +]]-Table826[[#This Row],[Debit -]],0)</f>
        <v>0</v>
      </c>
      <c r="AD77" s="34" t="str">
        <f>IFERROR(IF(AND(OR(Table826[[#This Row],[Classification]]="Expense",Table826[[#This Row],[Classification]]="Cost of Goods Sold"),Table826[[#This Row],[Debit\]]&gt;Table826[[#This Row],[Credit.]]),Table826[[#This Row],[Debit\]]-Table826[[#This Row],[Credit.]],""),"")</f>
        <v/>
      </c>
      <c r="AE77" s="34" t="str">
        <f>IFERROR(IF(AND(OR(Table826[[#This Row],[Classification]]="Income",Table826[[#This Row],[Classification]]="Cost of Goods Sold"),Table826[[#This Row],[Credit.]]&gt;Table826[[#This Row],[Debit\]]),Table826[[#This Row],[Credit.]]-Table826[[#This Row],[Debit\]],""),"")</f>
        <v/>
      </c>
      <c r="AF77" s="34"/>
      <c r="AG77" s="34" t="str">
        <f>IFERROR(IF(AND(Table826[[#This Row],[Classification]]="Assets",Table826[[#This Row],[Debit\]]-Table826[[#This Row],[Credit.]]),Table826[[#This Row],[Debit\]]-Table826[[#This Row],[Credit.]],""),"")</f>
        <v/>
      </c>
      <c r="AH77" s="34" t="str">
        <f>IFERROR(IF(AND(OR(Table826[[#This Row],[Classification]]="Liabilities",Table826[[#This Row],[Classification]]="Owner´s Equity"),Table826[[#This Row],[Credit.]]&gt;Table826[[#This Row],[Debit\]]),Table826[[#This Row],[Credit.]]-Table826[[#This Row],[Debit\]],""),"")</f>
        <v/>
      </c>
    </row>
    <row r="78" spans="2:34" hidden="1" x14ac:dyDescent="0.25">
      <c r="B78" s="34"/>
      <c r="C78" s="37" t="s">
        <v>132</v>
      </c>
      <c r="D78" s="34">
        <v>35000</v>
      </c>
      <c r="E78" s="34"/>
      <c r="G78" s="39"/>
      <c r="H78" s="40"/>
      <c r="I78" s="41"/>
      <c r="J78" s="41"/>
      <c r="L78" s="34">
        <v>71</v>
      </c>
      <c r="M78" s="35" t="s">
        <v>167</v>
      </c>
      <c r="N78" s="35" t="s">
        <v>133</v>
      </c>
      <c r="O78" s="34">
        <f>IFERROR(SUMIF(Table423[,],Table625[[#This Row],[Accounts Name]],Table423[,3]),"")</f>
        <v>164240.34</v>
      </c>
      <c r="P78" s="34">
        <f>IFERROR(SUMIF(Table423[,],Table625[[#This Row],[Accounts Name]],Table423[,2]),"")</f>
        <v>0</v>
      </c>
      <c r="S78" s="36">
        <f t="shared" si="1"/>
        <v>71</v>
      </c>
      <c r="T78" s="34"/>
      <c r="U78" s="37"/>
      <c r="V78" s="34">
        <f>IFERROR(SUMIF(Table625[Sub-Accounts],Table826[[#This Row],[Update your chart of accounts here]],Table625[Debit]),"")</f>
        <v>0</v>
      </c>
      <c r="W78" s="34">
        <f>IFERROR(SUMIF(Table625[Sub-Accounts],Table826[[#This Row],[Update your chart of accounts here]],Table625[Credit]),"")</f>
        <v>0</v>
      </c>
      <c r="X78" s="34"/>
      <c r="Y78" s="34"/>
      <c r="Z78" s="34"/>
      <c r="AA78" s="34"/>
      <c r="AB78" s="34">
        <f>MAX(Table826[[#This Row],[Debit]]+Table826[[#This Row],[Debit -]]-Table826[[#This Row],[Credit]]-Table826[[#This Row],[Credit +]],0)</f>
        <v>0</v>
      </c>
      <c r="AC78" s="34">
        <f>MAX(Table826[[#This Row],[Credit]]-Table826[[#This Row],[Debit]]+Table826[[#This Row],[Credit +]]-Table826[[#This Row],[Debit -]],0)</f>
        <v>0</v>
      </c>
      <c r="AD78" s="34" t="str">
        <f>IFERROR(IF(AND(OR(Table826[[#This Row],[Classification]]="Expense",Table826[[#This Row],[Classification]]="Cost of Goods Sold"),Table826[[#This Row],[Debit\]]&gt;Table826[[#This Row],[Credit.]]),Table826[[#This Row],[Debit\]]-Table826[[#This Row],[Credit.]],""),"")</f>
        <v/>
      </c>
      <c r="AE78" s="34" t="str">
        <f>IFERROR(IF(AND(OR(Table826[[#This Row],[Classification]]="Income",Table826[[#This Row],[Classification]]="Cost of Goods Sold"),Table826[[#This Row],[Credit.]]&gt;Table826[[#This Row],[Debit\]]),Table826[[#This Row],[Credit.]]-Table826[[#This Row],[Debit\]],""),"")</f>
        <v/>
      </c>
      <c r="AF78" s="34"/>
      <c r="AG78" s="34" t="str">
        <f>IFERROR(IF(AND(Table826[[#This Row],[Classification]]="Assets",Table826[[#This Row],[Debit\]]-Table826[[#This Row],[Credit.]]),Table826[[#This Row],[Debit\]]-Table826[[#This Row],[Credit.]],""),"")</f>
        <v/>
      </c>
      <c r="AH78" s="34" t="str">
        <f>IFERROR(IF(AND(OR(Table826[[#This Row],[Classification]]="Liabilities",Table826[[#This Row],[Classification]]="Owner´s Equity"),Table826[[#This Row],[Credit.]]&gt;Table826[[#This Row],[Debit\]]),Table826[[#This Row],[Credit.]]-Table826[[#This Row],[Debit\]],""),"")</f>
        <v/>
      </c>
    </row>
    <row r="79" spans="2:34" hidden="1" x14ac:dyDescent="0.25">
      <c r="B79" s="34"/>
      <c r="C79" s="37" t="s">
        <v>133</v>
      </c>
      <c r="D79" s="34">
        <v>164240.34</v>
      </c>
      <c r="E79" s="34"/>
      <c r="G79" s="39"/>
      <c r="H79" s="40"/>
      <c r="I79" s="41"/>
      <c r="J79" s="41"/>
      <c r="L79" s="34">
        <v>72</v>
      </c>
      <c r="M79" s="35" t="s">
        <v>169</v>
      </c>
      <c r="N79" s="35" t="s">
        <v>134</v>
      </c>
      <c r="O79" s="34">
        <f>IFERROR(SUMIF(Table423[,],Table625[[#This Row],[Accounts Name]],Table423[,3]),"")</f>
        <v>2000</v>
      </c>
      <c r="P79" s="34">
        <f>IFERROR(SUMIF(Table423[,],Table625[[#This Row],[Accounts Name]],Table423[,2]),"")</f>
        <v>0</v>
      </c>
      <c r="S79" s="36">
        <f t="shared" si="1"/>
        <v>72</v>
      </c>
      <c r="T79" s="34"/>
      <c r="U79" s="37"/>
      <c r="V79" s="34">
        <f>IFERROR(SUMIF(Table625[Sub-Accounts],Table826[[#This Row],[Update your chart of accounts here]],Table625[Debit]),"")</f>
        <v>0</v>
      </c>
      <c r="W79" s="34">
        <f>IFERROR(SUMIF(Table625[Sub-Accounts],Table826[[#This Row],[Update your chart of accounts here]],Table625[Credit]),"")</f>
        <v>0</v>
      </c>
      <c r="X79" s="34"/>
      <c r="Y79" s="34"/>
      <c r="Z79" s="34"/>
      <c r="AA79" s="34"/>
      <c r="AB79" s="34">
        <f>MAX(Table826[[#This Row],[Debit]]+Table826[[#This Row],[Debit -]]-Table826[[#This Row],[Credit]]-Table826[[#This Row],[Credit +]],0)</f>
        <v>0</v>
      </c>
      <c r="AC79" s="34">
        <f>MAX(Table826[[#This Row],[Credit]]-Table826[[#This Row],[Debit]]+Table826[[#This Row],[Credit +]]-Table826[[#This Row],[Debit -]],0)</f>
        <v>0</v>
      </c>
      <c r="AD79" s="34" t="str">
        <f>IFERROR(IF(AND(OR(Table826[[#This Row],[Classification]]="Expense",Table826[[#This Row],[Classification]]="Cost of Goods Sold"),Table826[[#This Row],[Debit\]]&gt;Table826[[#This Row],[Credit.]]),Table826[[#This Row],[Debit\]]-Table826[[#This Row],[Credit.]],""),"")</f>
        <v/>
      </c>
      <c r="AE79" s="34" t="str">
        <f>IFERROR(IF(AND(OR(Table826[[#This Row],[Classification]]="Income",Table826[[#This Row],[Classification]]="Cost of Goods Sold"),Table826[[#This Row],[Credit.]]&gt;Table826[[#This Row],[Debit\]]),Table826[[#This Row],[Credit.]]-Table826[[#This Row],[Debit\]],""),"")</f>
        <v/>
      </c>
      <c r="AF79" s="34"/>
      <c r="AG79" s="34" t="str">
        <f>IFERROR(IF(AND(Table826[[#This Row],[Classification]]="Assets",Table826[[#This Row],[Debit\]]-Table826[[#This Row],[Credit.]]),Table826[[#This Row],[Debit\]]-Table826[[#This Row],[Credit.]],""),"")</f>
        <v/>
      </c>
      <c r="AH79" s="34" t="str">
        <f>IFERROR(IF(AND(OR(Table826[[#This Row],[Classification]]="Liabilities",Table826[[#This Row],[Classification]]="Owner´s Equity"),Table826[[#This Row],[Credit.]]&gt;Table826[[#This Row],[Debit\]]),Table826[[#This Row],[Credit.]]-Table826[[#This Row],[Debit\]],""),"")</f>
        <v/>
      </c>
    </row>
    <row r="80" spans="2:34" hidden="1" x14ac:dyDescent="0.25">
      <c r="B80" s="34"/>
      <c r="C80" s="37" t="s">
        <v>134</v>
      </c>
      <c r="D80" s="34">
        <v>2000</v>
      </c>
      <c r="E80" s="34"/>
      <c r="G80" s="39"/>
      <c r="H80" s="43"/>
      <c r="I80" s="41"/>
      <c r="J80" s="41"/>
      <c r="L80" s="34">
        <v>73</v>
      </c>
      <c r="M80" s="35" t="s">
        <v>170</v>
      </c>
      <c r="N80" s="35" t="s">
        <v>135</v>
      </c>
      <c r="O80" s="34">
        <f>IFERROR(SUMIF(Table423[,],Table625[[#This Row],[Accounts Name]],Table423[,3]),"")</f>
        <v>13250</v>
      </c>
      <c r="P80" s="34">
        <f>IFERROR(SUMIF(Table423[,],Table625[[#This Row],[Accounts Name]],Table423[,2]),"")</f>
        <v>0</v>
      </c>
      <c r="S80" s="36">
        <f t="shared" si="1"/>
        <v>73</v>
      </c>
      <c r="T80" s="34"/>
      <c r="U80" s="37"/>
      <c r="V80" s="34">
        <f>IFERROR(SUMIF(Table625[Sub-Accounts],Table826[[#This Row],[Update your chart of accounts here]],Table625[Debit]),"")</f>
        <v>0</v>
      </c>
      <c r="W80" s="34">
        <f>IFERROR(SUMIF(Table625[Sub-Accounts],Table826[[#This Row],[Update your chart of accounts here]],Table625[Credit]),"")</f>
        <v>0</v>
      </c>
      <c r="X80" s="34"/>
      <c r="Y80" s="34"/>
      <c r="Z80" s="34"/>
      <c r="AA80" s="34"/>
      <c r="AB80" s="34">
        <f>MAX(Table826[[#This Row],[Debit]]+Table826[[#This Row],[Debit -]]-Table826[[#This Row],[Credit]]-Table826[[#This Row],[Credit +]],0)</f>
        <v>0</v>
      </c>
      <c r="AC80" s="34">
        <f>MAX(Table826[[#This Row],[Credit]]-Table826[[#This Row],[Debit]]+Table826[[#This Row],[Credit +]]-Table826[[#This Row],[Debit -]],0)</f>
        <v>0</v>
      </c>
      <c r="AD80" s="34" t="str">
        <f>IFERROR(IF(AND(OR(Table826[[#This Row],[Classification]]="Expense",Table826[[#This Row],[Classification]]="Cost of Goods Sold"),Table826[[#This Row],[Debit\]]&gt;Table826[[#This Row],[Credit.]]),Table826[[#This Row],[Debit\]]-Table826[[#This Row],[Credit.]],""),"")</f>
        <v/>
      </c>
      <c r="AE80" s="34" t="str">
        <f>IFERROR(IF(AND(OR(Table826[[#This Row],[Classification]]="Income",Table826[[#This Row],[Classification]]="Cost of Goods Sold"),Table826[[#This Row],[Credit.]]&gt;Table826[[#This Row],[Debit\]]),Table826[[#This Row],[Credit.]]-Table826[[#This Row],[Debit\]],""),"")</f>
        <v/>
      </c>
      <c r="AF80" s="34"/>
      <c r="AG80" s="34" t="str">
        <f>IFERROR(IF(AND(Table826[[#This Row],[Classification]]="Assets",Table826[[#This Row],[Debit\]]-Table826[[#This Row],[Credit.]]),Table826[[#This Row],[Debit\]]-Table826[[#This Row],[Credit.]],""),"")</f>
        <v/>
      </c>
      <c r="AH80" s="34" t="str">
        <f>IFERROR(IF(AND(OR(Table826[[#This Row],[Classification]]="Liabilities",Table826[[#This Row],[Classification]]="Owner´s Equity"),Table826[[#This Row],[Credit.]]&gt;Table826[[#This Row],[Debit\]]),Table826[[#This Row],[Credit.]]-Table826[[#This Row],[Debit\]],""),"")</f>
        <v/>
      </c>
    </row>
    <row r="81" spans="2:34" hidden="1" x14ac:dyDescent="0.25">
      <c r="B81" s="34"/>
      <c r="C81" s="37" t="s">
        <v>135</v>
      </c>
      <c r="D81" s="34">
        <v>13250</v>
      </c>
      <c r="E81" s="34"/>
      <c r="G81" s="39"/>
      <c r="H81" s="40"/>
      <c r="I81" s="41"/>
      <c r="J81" s="41"/>
      <c r="L81" s="34">
        <v>74</v>
      </c>
      <c r="M81" s="35" t="s">
        <v>156</v>
      </c>
      <c r="N81" s="35" t="s">
        <v>136</v>
      </c>
      <c r="O81" s="34">
        <f>IFERROR(SUMIF(Table423[,],Table625[[#This Row],[Accounts Name]],Table423[,3]),"")</f>
        <v>87416</v>
      </c>
      <c r="P81" s="34">
        <f>IFERROR(SUMIF(Table423[,],Table625[[#This Row],[Accounts Name]],Table423[,2]),"")</f>
        <v>0</v>
      </c>
      <c r="S81" s="36">
        <f t="shared" si="1"/>
        <v>74</v>
      </c>
      <c r="T81" s="34"/>
      <c r="U81" s="37"/>
      <c r="V81" s="34">
        <f>IFERROR(SUMIF(Table625[Sub-Accounts],Table826[[#This Row],[Update your chart of accounts here]],Table625[Debit]),"")</f>
        <v>0</v>
      </c>
      <c r="W81" s="34">
        <f>IFERROR(SUMIF(Table625[Sub-Accounts],Table826[[#This Row],[Update your chart of accounts here]],Table625[Credit]),"")</f>
        <v>0</v>
      </c>
      <c r="X81" s="34"/>
      <c r="Y81" s="34"/>
      <c r="Z81" s="34"/>
      <c r="AA81" s="34"/>
      <c r="AB81" s="34">
        <f>MAX(Table826[[#This Row],[Debit]]+Table826[[#This Row],[Debit -]]-Table826[[#This Row],[Credit]]-Table826[[#This Row],[Credit +]],0)</f>
        <v>0</v>
      </c>
      <c r="AC81" s="34">
        <f>MAX(Table826[[#This Row],[Credit]]-Table826[[#This Row],[Debit]]+Table826[[#This Row],[Credit +]]-Table826[[#This Row],[Debit -]],0)</f>
        <v>0</v>
      </c>
      <c r="AD81" s="34" t="str">
        <f>IFERROR(IF(AND(OR(Table826[[#This Row],[Classification]]="Expense",Table826[[#This Row],[Classification]]="Cost of Goods Sold"),Table826[[#This Row],[Debit\]]&gt;Table826[[#This Row],[Credit.]]),Table826[[#This Row],[Debit\]]-Table826[[#This Row],[Credit.]],""),"")</f>
        <v/>
      </c>
      <c r="AE81" s="34" t="str">
        <f>IFERROR(IF(AND(OR(Table826[[#This Row],[Classification]]="Income",Table826[[#This Row],[Classification]]="Cost of Goods Sold"),Table826[[#This Row],[Credit.]]&gt;Table826[[#This Row],[Debit\]]),Table826[[#This Row],[Credit.]]-Table826[[#This Row],[Debit\]],""),"")</f>
        <v/>
      </c>
      <c r="AF81" s="34"/>
      <c r="AG81" s="34" t="str">
        <f>IFERROR(IF(AND(Table826[[#This Row],[Classification]]="Assets",Table826[[#This Row],[Debit\]]-Table826[[#This Row],[Credit.]]),Table826[[#This Row],[Debit\]]-Table826[[#This Row],[Credit.]],""),"")</f>
        <v/>
      </c>
      <c r="AH81" s="34" t="str">
        <f>IFERROR(IF(AND(OR(Table826[[#This Row],[Classification]]="Liabilities",Table826[[#This Row],[Classification]]="Owner´s Equity"),Table826[[#This Row],[Credit.]]&gt;Table826[[#This Row],[Debit\]]),Table826[[#This Row],[Credit.]]-Table826[[#This Row],[Debit\]],""),"")</f>
        <v/>
      </c>
    </row>
    <row r="82" spans="2:34" hidden="1" x14ac:dyDescent="0.25">
      <c r="B82" s="34"/>
      <c r="C82" s="37" t="s">
        <v>136</v>
      </c>
      <c r="D82" s="34">
        <v>87416</v>
      </c>
      <c r="E82" s="34"/>
      <c r="G82" s="39"/>
      <c r="H82" s="40"/>
      <c r="I82" s="41"/>
      <c r="J82" s="41"/>
      <c r="L82" s="34">
        <v>75</v>
      </c>
      <c r="M82" s="35" t="s">
        <v>162</v>
      </c>
      <c r="N82" s="35" t="s">
        <v>137</v>
      </c>
      <c r="O82" s="34">
        <f>IFERROR(SUMIF(Table423[,],Table625[[#This Row],[Accounts Name]],Table423[,3]),"")</f>
        <v>139074.48000000001</v>
      </c>
      <c r="P82" s="34">
        <f>IFERROR(SUMIF(Table423[,],Table625[[#This Row],[Accounts Name]],Table423[,2]),"")</f>
        <v>0</v>
      </c>
      <c r="S82" s="36">
        <f t="shared" si="1"/>
        <v>75</v>
      </c>
      <c r="T82" s="34"/>
      <c r="U82" s="37"/>
      <c r="V82" s="34">
        <f>IFERROR(SUMIF(Table625[Sub-Accounts],Table826[[#This Row],[Update your chart of accounts here]],Table625[Debit]),"")</f>
        <v>0</v>
      </c>
      <c r="W82" s="34">
        <f>IFERROR(SUMIF(Table625[Sub-Accounts],Table826[[#This Row],[Update your chart of accounts here]],Table625[Credit]),"")</f>
        <v>0</v>
      </c>
      <c r="X82" s="34"/>
      <c r="Y82" s="34"/>
      <c r="Z82" s="34"/>
      <c r="AA82" s="34"/>
      <c r="AB82" s="34">
        <f>MAX(Table826[[#This Row],[Debit]]+Table826[[#This Row],[Debit -]]-Table826[[#This Row],[Credit]]-Table826[[#This Row],[Credit +]],0)</f>
        <v>0</v>
      </c>
      <c r="AC82" s="34">
        <f>MAX(Table826[[#This Row],[Credit]]-Table826[[#This Row],[Debit]]+Table826[[#This Row],[Credit +]]-Table826[[#This Row],[Debit -]],0)</f>
        <v>0</v>
      </c>
      <c r="AD82" s="34" t="str">
        <f>IFERROR(IF(AND(OR(Table826[[#This Row],[Classification]]="Expense",Table826[[#This Row],[Classification]]="Cost of Goods Sold"),Table826[[#This Row],[Debit\]]&gt;Table826[[#This Row],[Credit.]]),Table826[[#This Row],[Debit\]]-Table826[[#This Row],[Credit.]],""),"")</f>
        <v/>
      </c>
      <c r="AE82" s="34" t="str">
        <f>IFERROR(IF(AND(OR(Table826[[#This Row],[Classification]]="Income",Table826[[#This Row],[Classification]]="Cost of Goods Sold"),Table826[[#This Row],[Credit.]]&gt;Table826[[#This Row],[Debit\]]),Table826[[#This Row],[Credit.]]-Table826[[#This Row],[Debit\]],""),"")</f>
        <v/>
      </c>
      <c r="AF82" s="34"/>
      <c r="AG82" s="34" t="str">
        <f>IFERROR(IF(AND(Table826[[#This Row],[Classification]]="Assets",Table826[[#This Row],[Debit\]]-Table826[[#This Row],[Credit.]]),Table826[[#This Row],[Debit\]]-Table826[[#This Row],[Credit.]],""),"")</f>
        <v/>
      </c>
      <c r="AH82" s="34" t="str">
        <f>IFERROR(IF(AND(OR(Table826[[#This Row],[Classification]]="Liabilities",Table826[[#This Row],[Classification]]="Owner´s Equity"),Table826[[#This Row],[Credit.]]&gt;Table826[[#This Row],[Debit\]]),Table826[[#This Row],[Credit.]]-Table826[[#This Row],[Debit\]],""),"")</f>
        <v/>
      </c>
    </row>
    <row r="83" spans="2:34" hidden="1" x14ac:dyDescent="0.25">
      <c r="B83" s="34"/>
      <c r="C83" s="37" t="s">
        <v>137</v>
      </c>
      <c r="D83" s="34">
        <v>139074.48000000001</v>
      </c>
      <c r="E83" s="34"/>
      <c r="G83" s="39"/>
      <c r="H83" s="43"/>
      <c r="I83" s="41"/>
      <c r="J83" s="41"/>
      <c r="L83" s="34">
        <v>76</v>
      </c>
      <c r="M83" s="35"/>
      <c r="N83" s="35"/>
      <c r="O83" s="34">
        <f>IFERROR(SUMIF(Table423[,],Table625[[#This Row],[Accounts Name]],Table423[,3]),"")</f>
        <v>0</v>
      </c>
      <c r="P83" s="34">
        <f>IFERROR(SUMIF(Table423[,],Table625[[#This Row],[Accounts Name]],Table423[,2]),"")</f>
        <v>0</v>
      </c>
      <c r="S83" s="36">
        <f t="shared" si="1"/>
        <v>76</v>
      </c>
      <c r="T83" s="34"/>
      <c r="U83" s="37"/>
      <c r="V83" s="34">
        <f>IFERROR(SUMIF(Table625[Sub-Accounts],Table826[[#This Row],[Update your chart of accounts here]],Table625[Debit]),"")</f>
        <v>0</v>
      </c>
      <c r="W83" s="34">
        <f>IFERROR(SUMIF(Table625[Sub-Accounts],Table826[[#This Row],[Update your chart of accounts here]],Table625[Credit]),"")</f>
        <v>0</v>
      </c>
      <c r="X83" s="34"/>
      <c r="Y83" s="34"/>
      <c r="Z83" s="34"/>
      <c r="AA83" s="34"/>
      <c r="AB83" s="34">
        <f>MAX(Table826[[#This Row],[Debit]]+Table826[[#This Row],[Debit -]]-Table826[[#This Row],[Credit]]-Table826[[#This Row],[Credit +]],0)</f>
        <v>0</v>
      </c>
      <c r="AC83" s="34">
        <f>MAX(Table826[[#This Row],[Credit]]-Table826[[#This Row],[Debit]]+Table826[[#This Row],[Credit +]]-Table826[[#This Row],[Debit -]],0)</f>
        <v>0</v>
      </c>
      <c r="AD83" s="34" t="str">
        <f>IFERROR(IF(AND(OR(Table826[[#This Row],[Classification]]="Expense",Table826[[#This Row],[Classification]]="Cost of Goods Sold"),Table826[[#This Row],[Debit\]]&gt;Table826[[#This Row],[Credit.]]),Table826[[#This Row],[Debit\]]-Table826[[#This Row],[Credit.]],""),"")</f>
        <v/>
      </c>
      <c r="AE83" s="34" t="str">
        <f>IFERROR(IF(AND(OR(Table826[[#This Row],[Classification]]="Income",Table826[[#This Row],[Classification]]="Cost of Goods Sold"),Table826[[#This Row],[Credit.]]&gt;Table826[[#This Row],[Debit\]]),Table826[[#This Row],[Credit.]]-Table826[[#This Row],[Debit\]],""),"")</f>
        <v/>
      </c>
      <c r="AF83" s="34"/>
      <c r="AG83" s="34" t="str">
        <f>IFERROR(IF(AND(Table826[[#This Row],[Classification]]="Assets",Table826[[#This Row],[Debit\]]-Table826[[#This Row],[Credit.]]),Table826[[#This Row],[Debit\]]-Table826[[#This Row],[Credit.]],""),"")</f>
        <v/>
      </c>
      <c r="AH83" s="34" t="str">
        <f>IFERROR(IF(AND(OR(Table826[[#This Row],[Classification]]="Liabilities",Table826[[#This Row],[Classification]]="Owner´s Equity"),Table826[[#This Row],[Credit.]]&gt;Table826[[#This Row],[Debit\]]),Table826[[#This Row],[Credit.]]-Table826[[#This Row],[Debit\]],""),"")</f>
        <v/>
      </c>
    </row>
    <row r="84" spans="2:34" hidden="1" x14ac:dyDescent="0.25">
      <c r="B84" s="34"/>
      <c r="C84" s="37"/>
      <c r="D84" s="34"/>
      <c r="E84" s="34"/>
      <c r="G84" s="39"/>
      <c r="H84" s="40"/>
      <c r="I84" s="41"/>
      <c r="J84" s="41"/>
      <c r="L84" s="34">
        <v>77</v>
      </c>
      <c r="M84" s="35"/>
      <c r="N84" s="35"/>
      <c r="O84" s="34">
        <f>IFERROR(SUMIF(Table423[,],Table625[[#This Row],[Accounts Name]],Table423[,3]),"")</f>
        <v>0</v>
      </c>
      <c r="P84" s="34">
        <f>IFERROR(SUMIF(Table423[,],Table625[[#This Row],[Accounts Name]],Table423[,2]),"")</f>
        <v>0</v>
      </c>
      <c r="S84" s="36">
        <f t="shared" si="1"/>
        <v>77</v>
      </c>
      <c r="T84" s="34"/>
      <c r="U84" s="37"/>
      <c r="V84" s="34">
        <f>IFERROR(SUMIF(Table625[Sub-Accounts],Table826[[#This Row],[Update your chart of accounts here]],Table625[Debit]),"")</f>
        <v>0</v>
      </c>
      <c r="W84" s="34">
        <f>IFERROR(SUMIF(Table625[Sub-Accounts],Table826[[#This Row],[Update your chart of accounts here]],Table625[Credit]),"")</f>
        <v>0</v>
      </c>
      <c r="X84" s="34"/>
      <c r="Y84" s="34"/>
      <c r="Z84" s="34"/>
      <c r="AA84" s="34"/>
      <c r="AB84" s="34">
        <f>MAX(Table826[[#This Row],[Debit]]+Table826[[#This Row],[Debit -]]-Table826[[#This Row],[Credit]]-Table826[[#This Row],[Credit +]],0)</f>
        <v>0</v>
      </c>
      <c r="AC84" s="34">
        <f>MAX(Table826[[#This Row],[Credit]]-Table826[[#This Row],[Debit]]+Table826[[#This Row],[Credit +]]-Table826[[#This Row],[Debit -]],0)</f>
        <v>0</v>
      </c>
      <c r="AD84" s="34" t="str">
        <f>IFERROR(IF(AND(OR(Table826[[#This Row],[Classification]]="Expense",Table826[[#This Row],[Classification]]="Cost of Goods Sold"),Table826[[#This Row],[Debit\]]&gt;Table826[[#This Row],[Credit.]]),Table826[[#This Row],[Debit\]]-Table826[[#This Row],[Credit.]],""),"")</f>
        <v/>
      </c>
      <c r="AE84" s="34" t="str">
        <f>IFERROR(IF(AND(OR(Table826[[#This Row],[Classification]]="Income",Table826[[#This Row],[Classification]]="Cost of Goods Sold"),Table826[[#This Row],[Credit.]]&gt;Table826[[#This Row],[Debit\]]),Table826[[#This Row],[Credit.]]-Table826[[#This Row],[Debit\]],""),"")</f>
        <v/>
      </c>
      <c r="AF84" s="34"/>
      <c r="AG84" s="34" t="str">
        <f>IFERROR(IF(AND(Table826[[#This Row],[Classification]]="Assets",Table826[[#This Row],[Debit\]]-Table826[[#This Row],[Credit.]]),Table826[[#This Row],[Debit\]]-Table826[[#This Row],[Credit.]],""),"")</f>
        <v/>
      </c>
      <c r="AH84" s="34" t="str">
        <f>IFERROR(IF(AND(OR(Table826[[#This Row],[Classification]]="Liabilities",Table826[[#This Row],[Classification]]="Owner´s Equity"),Table826[[#This Row],[Credit.]]&gt;Table826[[#This Row],[Debit\]]),Table826[[#This Row],[Credit.]]-Table826[[#This Row],[Debit\]],""),"")</f>
        <v/>
      </c>
    </row>
    <row r="85" spans="2:34" hidden="1" x14ac:dyDescent="0.25">
      <c r="B85" s="34"/>
      <c r="C85" s="37"/>
      <c r="D85" s="34"/>
      <c r="E85" s="34"/>
      <c r="G85" s="39"/>
      <c r="H85" s="40"/>
      <c r="I85" s="41"/>
      <c r="J85" s="41"/>
      <c r="L85" s="34">
        <v>78</v>
      </c>
      <c r="M85" s="35"/>
      <c r="N85" s="35"/>
      <c r="O85" s="34">
        <f>IFERROR(SUMIF(Table423[,],Table625[[#This Row],[Accounts Name]],Table423[,3]),"")</f>
        <v>0</v>
      </c>
      <c r="P85" s="34">
        <f>IFERROR(SUMIF(Table423[,],Table625[[#This Row],[Accounts Name]],Table423[,2]),"")</f>
        <v>0</v>
      </c>
      <c r="S85" s="36">
        <f t="shared" si="1"/>
        <v>78</v>
      </c>
      <c r="T85" s="34"/>
      <c r="U85" s="37"/>
      <c r="V85" s="34">
        <f>IFERROR(SUMIF(Table625[Sub-Accounts],Table826[[#This Row],[Update your chart of accounts here]],Table625[Debit]),"")</f>
        <v>0</v>
      </c>
      <c r="W85" s="34">
        <f>IFERROR(SUMIF(Table625[Sub-Accounts],Table826[[#This Row],[Update your chart of accounts here]],Table625[Credit]),"")</f>
        <v>0</v>
      </c>
      <c r="X85" s="34"/>
      <c r="Y85" s="34"/>
      <c r="Z85" s="34"/>
      <c r="AA85" s="34"/>
      <c r="AB85" s="34">
        <f>MAX(Table826[[#This Row],[Debit]]+Table826[[#This Row],[Debit -]]-Table826[[#This Row],[Credit]]-Table826[[#This Row],[Credit +]],0)</f>
        <v>0</v>
      </c>
      <c r="AC85" s="34">
        <f>MAX(Table826[[#This Row],[Credit]]-Table826[[#This Row],[Debit]]+Table826[[#This Row],[Credit +]]-Table826[[#This Row],[Debit -]],0)</f>
        <v>0</v>
      </c>
      <c r="AD85" s="34" t="str">
        <f>IFERROR(IF(AND(OR(Table826[[#This Row],[Classification]]="Expense",Table826[[#This Row],[Classification]]="Cost of Goods Sold"),Table826[[#This Row],[Debit\]]&gt;Table826[[#This Row],[Credit.]]),Table826[[#This Row],[Debit\]]-Table826[[#This Row],[Credit.]],""),"")</f>
        <v/>
      </c>
      <c r="AE85" s="34" t="str">
        <f>IFERROR(IF(AND(OR(Table826[[#This Row],[Classification]]="Income",Table826[[#This Row],[Classification]]="Cost of Goods Sold"),Table826[[#This Row],[Credit.]]&gt;Table826[[#This Row],[Debit\]]),Table826[[#This Row],[Credit.]]-Table826[[#This Row],[Debit\]],""),"")</f>
        <v/>
      </c>
      <c r="AF85" s="34"/>
      <c r="AG85" s="34" t="str">
        <f>IFERROR(IF(AND(Table826[[#This Row],[Classification]]="Assets",Table826[[#This Row],[Debit\]]-Table826[[#This Row],[Credit.]]),Table826[[#This Row],[Debit\]]-Table826[[#This Row],[Credit.]],""),"")</f>
        <v/>
      </c>
      <c r="AH85" s="34" t="str">
        <f>IFERROR(IF(AND(OR(Table826[[#This Row],[Classification]]="Liabilities",Table826[[#This Row],[Classification]]="Owner´s Equity"),Table826[[#This Row],[Credit.]]&gt;Table826[[#This Row],[Debit\]]),Table826[[#This Row],[Credit.]]-Table826[[#This Row],[Debit\]],""),"")</f>
        <v/>
      </c>
    </row>
    <row r="86" spans="2:34" hidden="1" x14ac:dyDescent="0.25">
      <c r="B86" s="34"/>
      <c r="C86" s="37"/>
      <c r="D86" s="34"/>
      <c r="E86" s="34"/>
      <c r="G86" s="39"/>
      <c r="H86" s="43"/>
      <c r="I86" s="41"/>
      <c r="J86" s="41"/>
      <c r="L86" s="34">
        <v>79</v>
      </c>
      <c r="M86" s="35"/>
      <c r="N86" s="35"/>
      <c r="O86" s="34">
        <f>IFERROR(SUMIF(Table423[,],Table625[[#This Row],[Accounts Name]],Table423[,3]),"")</f>
        <v>0</v>
      </c>
      <c r="P86" s="34">
        <f>IFERROR(SUMIF(Table423[,],Table625[[#This Row],[Accounts Name]],Table423[,2]),"")</f>
        <v>0</v>
      </c>
      <c r="S86" s="36">
        <f t="shared" si="1"/>
        <v>79</v>
      </c>
      <c r="T86" s="34"/>
      <c r="U86" s="37"/>
      <c r="V86" s="34">
        <f>IFERROR(SUMIF(Table625[Sub-Accounts],Table826[[#This Row],[Update your chart of accounts here]],Table625[Debit]),"")</f>
        <v>0</v>
      </c>
      <c r="W86" s="34">
        <f>IFERROR(SUMIF(Table625[Sub-Accounts],Table826[[#This Row],[Update your chart of accounts here]],Table625[Credit]),"")</f>
        <v>0</v>
      </c>
      <c r="X86" s="34"/>
      <c r="Y86" s="34"/>
      <c r="Z86" s="34"/>
      <c r="AA86" s="34"/>
      <c r="AB86" s="34">
        <f>MAX(Table826[[#This Row],[Debit]]+Table826[[#This Row],[Debit -]]-Table826[[#This Row],[Credit]]-Table826[[#This Row],[Credit +]],0)</f>
        <v>0</v>
      </c>
      <c r="AC86" s="34">
        <f>MAX(Table826[[#This Row],[Credit]]-Table826[[#This Row],[Debit]]+Table826[[#This Row],[Credit +]]-Table826[[#This Row],[Debit -]],0)</f>
        <v>0</v>
      </c>
      <c r="AD86" s="34" t="str">
        <f>IFERROR(IF(AND(OR(Table826[[#This Row],[Classification]]="Expense",Table826[[#This Row],[Classification]]="Cost of Goods Sold"),Table826[[#This Row],[Debit\]]&gt;Table826[[#This Row],[Credit.]]),Table826[[#This Row],[Debit\]]-Table826[[#This Row],[Credit.]],""),"")</f>
        <v/>
      </c>
      <c r="AE86" s="34" t="str">
        <f>IFERROR(IF(AND(OR(Table826[[#This Row],[Classification]]="Income",Table826[[#This Row],[Classification]]="Cost of Goods Sold"),Table826[[#This Row],[Credit.]]&gt;Table826[[#This Row],[Debit\]]),Table826[[#This Row],[Credit.]]-Table826[[#This Row],[Debit\]],""),"")</f>
        <v/>
      </c>
      <c r="AF86" s="34"/>
      <c r="AG86" s="34" t="str">
        <f>IFERROR(IF(AND(Table826[[#This Row],[Classification]]="Assets",Table826[[#This Row],[Debit\]]-Table826[[#This Row],[Credit.]]),Table826[[#This Row],[Debit\]]-Table826[[#This Row],[Credit.]],""),"")</f>
        <v/>
      </c>
      <c r="AH86" s="34" t="str">
        <f>IFERROR(IF(AND(OR(Table826[[#This Row],[Classification]]="Liabilities",Table826[[#This Row],[Classification]]="Owner´s Equity"),Table826[[#This Row],[Credit.]]&gt;Table826[[#This Row],[Debit\]]),Table826[[#This Row],[Credit.]]-Table826[[#This Row],[Debit\]],""),"")</f>
        <v/>
      </c>
    </row>
    <row r="87" spans="2:34" hidden="1" x14ac:dyDescent="0.25">
      <c r="B87" s="34"/>
      <c r="C87" s="37"/>
      <c r="D87" s="34"/>
      <c r="E87" s="34"/>
      <c r="G87" s="39"/>
      <c r="H87" s="40"/>
      <c r="I87" s="41"/>
      <c r="J87" s="41"/>
      <c r="L87" s="34">
        <v>80</v>
      </c>
      <c r="M87" s="35"/>
      <c r="N87" s="35"/>
      <c r="O87" s="34">
        <f>IFERROR(SUMIF(Table423[,],Table625[[#This Row],[Accounts Name]],Table423[,3]),"")</f>
        <v>0</v>
      </c>
      <c r="P87" s="34">
        <f>IFERROR(SUMIF(Table423[,],Table625[[#This Row],[Accounts Name]],Table423[,2]),"")</f>
        <v>0</v>
      </c>
      <c r="S87" s="36">
        <f t="shared" si="1"/>
        <v>80</v>
      </c>
      <c r="T87" s="34"/>
      <c r="U87" s="37"/>
      <c r="V87" s="34">
        <f>IFERROR(SUMIF(Table625[Sub-Accounts],Table826[[#This Row],[Update your chart of accounts here]],Table625[Debit]),"")</f>
        <v>0</v>
      </c>
      <c r="W87" s="34">
        <f>IFERROR(SUMIF(Table625[Sub-Accounts],Table826[[#This Row],[Update your chart of accounts here]],Table625[Credit]),"")</f>
        <v>0</v>
      </c>
      <c r="X87" s="34"/>
      <c r="Y87" s="34"/>
      <c r="Z87" s="34"/>
      <c r="AA87" s="34"/>
      <c r="AB87" s="34">
        <f>MAX(Table826[[#This Row],[Debit]]+Table826[[#This Row],[Debit -]]-Table826[[#This Row],[Credit]]-Table826[[#This Row],[Credit +]],0)</f>
        <v>0</v>
      </c>
      <c r="AC87" s="34">
        <f>MAX(Table826[[#This Row],[Credit]]-Table826[[#This Row],[Debit]]+Table826[[#This Row],[Credit +]]-Table826[[#This Row],[Debit -]],0)</f>
        <v>0</v>
      </c>
      <c r="AD87" s="34" t="str">
        <f>IFERROR(IF(AND(OR(Table826[[#This Row],[Classification]]="Expense",Table826[[#This Row],[Classification]]="Cost of Goods Sold"),Table826[[#This Row],[Debit\]]&gt;Table826[[#This Row],[Credit.]]),Table826[[#This Row],[Debit\]]-Table826[[#This Row],[Credit.]],""),"")</f>
        <v/>
      </c>
      <c r="AE87" s="34" t="str">
        <f>IFERROR(IF(AND(OR(Table826[[#This Row],[Classification]]="Income",Table826[[#This Row],[Classification]]="Cost of Goods Sold"),Table826[[#This Row],[Credit.]]&gt;Table826[[#This Row],[Debit\]]),Table826[[#This Row],[Credit.]]-Table826[[#This Row],[Debit\]],""),"")</f>
        <v/>
      </c>
      <c r="AF87" s="34"/>
      <c r="AG87" s="34" t="str">
        <f>IFERROR(IF(AND(Table826[[#This Row],[Classification]]="Assets",Table826[[#This Row],[Debit\]]-Table826[[#This Row],[Credit.]]),Table826[[#This Row],[Debit\]]-Table826[[#This Row],[Credit.]],""),"")</f>
        <v/>
      </c>
      <c r="AH87" s="34" t="str">
        <f>IFERROR(IF(AND(OR(Table826[[#This Row],[Classification]]="Liabilities",Table826[[#This Row],[Classification]]="Owner´s Equity"),Table826[[#This Row],[Credit.]]&gt;Table826[[#This Row],[Debit\]]),Table826[[#This Row],[Credit.]]-Table826[[#This Row],[Debit\]],""),"")</f>
        <v/>
      </c>
    </row>
    <row r="88" spans="2:34" hidden="1" x14ac:dyDescent="0.25">
      <c r="B88" s="34"/>
      <c r="C88" s="37"/>
      <c r="D88" s="34"/>
      <c r="E88" s="34"/>
      <c r="G88" s="39"/>
      <c r="H88" s="40"/>
      <c r="I88" s="41"/>
      <c r="J88" s="41"/>
      <c r="L88" s="34">
        <v>81</v>
      </c>
      <c r="M88" s="35"/>
      <c r="N88" s="35"/>
      <c r="O88" s="34">
        <f>IFERROR(SUMIF(Table423[,],Table625[[#This Row],[Accounts Name]],Table423[,3]),"")</f>
        <v>0</v>
      </c>
      <c r="P88" s="34">
        <f>IFERROR(SUMIF(Table423[,],Table625[[#This Row],[Accounts Name]],Table423[,2]),"")</f>
        <v>0</v>
      </c>
      <c r="S88" s="36">
        <f t="shared" si="1"/>
        <v>81</v>
      </c>
      <c r="T88" s="34"/>
      <c r="U88" s="37"/>
      <c r="V88" s="34">
        <f>IFERROR(SUMIF(Table625[Sub-Accounts],Table826[[#This Row],[Update your chart of accounts here]],Table625[Debit]),"")</f>
        <v>0</v>
      </c>
      <c r="W88" s="34">
        <f>IFERROR(SUMIF(Table625[Sub-Accounts],Table826[[#This Row],[Update your chart of accounts here]],Table625[Credit]),"")</f>
        <v>0</v>
      </c>
      <c r="X88" s="34"/>
      <c r="Y88" s="34"/>
      <c r="Z88" s="34"/>
      <c r="AA88" s="34"/>
      <c r="AB88" s="34">
        <f>MAX(Table826[[#This Row],[Debit]]+Table826[[#This Row],[Debit -]]-Table826[[#This Row],[Credit]]-Table826[[#This Row],[Credit +]],0)</f>
        <v>0</v>
      </c>
      <c r="AC88" s="34">
        <f>MAX(Table826[[#This Row],[Credit]]-Table826[[#This Row],[Debit]]+Table826[[#This Row],[Credit +]]-Table826[[#This Row],[Debit -]],0)</f>
        <v>0</v>
      </c>
      <c r="AD88" s="34" t="str">
        <f>IFERROR(IF(AND(OR(Table826[[#This Row],[Classification]]="Expense",Table826[[#This Row],[Classification]]="Cost of Goods Sold"),Table826[[#This Row],[Debit\]]&gt;Table826[[#This Row],[Credit.]]),Table826[[#This Row],[Debit\]]-Table826[[#This Row],[Credit.]],""),"")</f>
        <v/>
      </c>
      <c r="AE88" s="34" t="str">
        <f>IFERROR(IF(AND(OR(Table826[[#This Row],[Classification]]="Income",Table826[[#This Row],[Classification]]="Cost of Goods Sold"),Table826[[#This Row],[Credit.]]&gt;Table826[[#This Row],[Debit\]]),Table826[[#This Row],[Credit.]]-Table826[[#This Row],[Debit\]],""),"")</f>
        <v/>
      </c>
      <c r="AF88" s="34"/>
      <c r="AG88" s="34" t="str">
        <f>IFERROR(IF(AND(Table826[[#This Row],[Classification]]="Assets",Table826[[#This Row],[Debit\]]-Table826[[#This Row],[Credit.]]),Table826[[#This Row],[Debit\]]-Table826[[#This Row],[Credit.]],""),"")</f>
        <v/>
      </c>
      <c r="AH88" s="34" t="str">
        <f>IFERROR(IF(AND(OR(Table826[[#This Row],[Classification]]="Liabilities",Table826[[#This Row],[Classification]]="Owner´s Equity"),Table826[[#This Row],[Credit.]]&gt;Table826[[#This Row],[Debit\]]),Table826[[#This Row],[Credit.]]-Table826[[#This Row],[Debit\]],""),"")</f>
        <v/>
      </c>
    </row>
    <row r="89" spans="2:34" hidden="1" x14ac:dyDescent="0.25">
      <c r="B89" s="34"/>
      <c r="C89" s="37"/>
      <c r="D89" s="34"/>
      <c r="E89" s="34"/>
      <c r="G89" s="39"/>
      <c r="H89" s="43"/>
      <c r="I89" s="41"/>
      <c r="J89" s="41"/>
      <c r="L89" s="34">
        <v>82</v>
      </c>
      <c r="M89" s="35"/>
      <c r="N89" s="35"/>
      <c r="O89" s="34">
        <f>IFERROR(SUMIF(Table423[,],Table625[[#This Row],[Accounts Name]],Table423[,3]),"")</f>
        <v>0</v>
      </c>
      <c r="P89" s="34">
        <f>IFERROR(SUMIF(Table423[,],Table625[[#This Row],[Accounts Name]],Table423[,2]),"")</f>
        <v>0</v>
      </c>
      <c r="S89" s="36">
        <f t="shared" si="1"/>
        <v>82</v>
      </c>
      <c r="T89" s="34"/>
      <c r="U89" s="37"/>
      <c r="V89" s="34">
        <f>IFERROR(SUMIF(Table625[Sub-Accounts],Table826[[#This Row],[Update your chart of accounts here]],Table625[Debit]),"")</f>
        <v>0</v>
      </c>
      <c r="W89" s="34">
        <f>IFERROR(SUMIF(Table625[Sub-Accounts],Table826[[#This Row],[Update your chart of accounts here]],Table625[Credit]),"")</f>
        <v>0</v>
      </c>
      <c r="X89" s="34"/>
      <c r="Y89" s="34"/>
      <c r="Z89" s="34"/>
      <c r="AA89" s="34"/>
      <c r="AB89" s="34">
        <f>MAX(Table826[[#This Row],[Debit]]+Table826[[#This Row],[Debit -]]-Table826[[#This Row],[Credit]]-Table826[[#This Row],[Credit +]],0)</f>
        <v>0</v>
      </c>
      <c r="AC89" s="34">
        <f>MAX(Table826[[#This Row],[Credit]]-Table826[[#This Row],[Debit]]+Table826[[#This Row],[Credit +]]-Table826[[#This Row],[Debit -]],0)</f>
        <v>0</v>
      </c>
      <c r="AD89" s="34" t="str">
        <f>IFERROR(IF(AND(OR(Table826[[#This Row],[Classification]]="Expense",Table826[[#This Row],[Classification]]="Cost of Goods Sold"),Table826[[#This Row],[Debit\]]&gt;Table826[[#This Row],[Credit.]]),Table826[[#This Row],[Debit\]]-Table826[[#This Row],[Credit.]],""),"")</f>
        <v/>
      </c>
      <c r="AE89" s="34" t="str">
        <f>IFERROR(IF(AND(OR(Table826[[#This Row],[Classification]]="Income",Table826[[#This Row],[Classification]]="Cost of Goods Sold"),Table826[[#This Row],[Credit.]]&gt;Table826[[#This Row],[Debit\]]),Table826[[#This Row],[Credit.]]-Table826[[#This Row],[Debit\]],""),"")</f>
        <v/>
      </c>
      <c r="AF89" s="34"/>
      <c r="AG89" s="34" t="str">
        <f>IFERROR(IF(AND(Table826[[#This Row],[Classification]]="Assets",Table826[[#This Row],[Debit\]]-Table826[[#This Row],[Credit.]]),Table826[[#This Row],[Debit\]]-Table826[[#This Row],[Credit.]],""),"")</f>
        <v/>
      </c>
      <c r="AH89" s="34" t="str">
        <f>IFERROR(IF(AND(OR(Table826[[#This Row],[Classification]]="Liabilities",Table826[[#This Row],[Classification]]="Owner´s Equity"),Table826[[#This Row],[Credit.]]&gt;Table826[[#This Row],[Debit\]]),Table826[[#This Row],[Credit.]]-Table826[[#This Row],[Debit\]],""),"")</f>
        <v/>
      </c>
    </row>
    <row r="90" spans="2:34" hidden="1" x14ac:dyDescent="0.25">
      <c r="B90" s="34"/>
      <c r="C90" s="45"/>
      <c r="D90" s="34"/>
      <c r="E90" s="34"/>
      <c r="G90" s="39"/>
      <c r="H90" s="40"/>
      <c r="I90" s="41"/>
      <c r="J90" s="41"/>
      <c r="L90" s="34">
        <v>83</v>
      </c>
      <c r="M90" s="35"/>
      <c r="N90" s="35"/>
      <c r="O90" s="34">
        <f>IFERROR(SUMIF(Table423[,],Table625[[#This Row],[Accounts Name]],Table423[,3]),"")</f>
        <v>0</v>
      </c>
      <c r="P90" s="34">
        <f>IFERROR(SUMIF(Table423[,],Table625[[#This Row],[Accounts Name]],Table423[,2]),"")</f>
        <v>0</v>
      </c>
      <c r="S90" s="36">
        <f t="shared" si="1"/>
        <v>83</v>
      </c>
      <c r="T90" s="34"/>
      <c r="U90" s="37"/>
      <c r="V90" s="34">
        <f>IFERROR(SUMIF(Table625[Sub-Accounts],Table826[[#This Row],[Update your chart of accounts here]],Table625[Debit]),"")</f>
        <v>0</v>
      </c>
      <c r="W90" s="34">
        <f>IFERROR(SUMIF(Table625[Sub-Accounts],Table826[[#This Row],[Update your chart of accounts here]],Table625[Credit]),"")</f>
        <v>0</v>
      </c>
      <c r="X90" s="34"/>
      <c r="Y90" s="34"/>
      <c r="Z90" s="34"/>
      <c r="AA90" s="34"/>
      <c r="AB90" s="34">
        <f>MAX(Table826[[#This Row],[Debit]]+Table826[[#This Row],[Debit -]]-Table826[[#This Row],[Credit]]-Table826[[#This Row],[Credit +]],0)</f>
        <v>0</v>
      </c>
      <c r="AC90" s="34">
        <f>MAX(Table826[[#This Row],[Credit]]-Table826[[#This Row],[Debit]]+Table826[[#This Row],[Credit +]]-Table826[[#This Row],[Debit -]],0)</f>
        <v>0</v>
      </c>
      <c r="AD90" s="34" t="str">
        <f>IFERROR(IF(AND(OR(Table826[[#This Row],[Classification]]="Expense",Table826[[#This Row],[Classification]]="Cost of Goods Sold"),Table826[[#This Row],[Debit\]]&gt;Table826[[#This Row],[Credit.]]),Table826[[#This Row],[Debit\]]-Table826[[#This Row],[Credit.]],""),"")</f>
        <v/>
      </c>
      <c r="AE90" s="34" t="str">
        <f>IFERROR(IF(AND(OR(Table826[[#This Row],[Classification]]="Income",Table826[[#This Row],[Classification]]="Cost of Goods Sold"),Table826[[#This Row],[Credit.]]&gt;Table826[[#This Row],[Debit\]]),Table826[[#This Row],[Credit.]]-Table826[[#This Row],[Debit\]],""),"")</f>
        <v/>
      </c>
      <c r="AF90" s="34"/>
      <c r="AG90" s="34" t="str">
        <f>IFERROR(IF(AND(Table826[[#This Row],[Classification]]="Assets",Table826[[#This Row],[Debit\]]-Table826[[#This Row],[Credit.]]),Table826[[#This Row],[Debit\]]-Table826[[#This Row],[Credit.]],""),"")</f>
        <v/>
      </c>
      <c r="AH90" s="34" t="str">
        <f>IFERROR(IF(AND(OR(Table826[[#This Row],[Classification]]="Liabilities",Table826[[#This Row],[Classification]]="Owner´s Equity"),Table826[[#This Row],[Credit.]]&gt;Table826[[#This Row],[Debit\]]),Table826[[#This Row],[Credit.]]-Table826[[#This Row],[Debit\]],""),"")</f>
        <v/>
      </c>
    </row>
    <row r="91" spans="2:34" hidden="1" x14ac:dyDescent="0.25">
      <c r="B91" s="34"/>
      <c r="C91" s="45"/>
      <c r="D91" s="34"/>
      <c r="E91" s="34"/>
      <c r="G91" s="39"/>
      <c r="H91" s="40"/>
      <c r="I91" s="41"/>
      <c r="J91" s="41"/>
      <c r="L91" s="34">
        <v>84</v>
      </c>
      <c r="M91" s="35"/>
      <c r="N91" s="35"/>
      <c r="O91" s="34">
        <f>IFERROR(SUMIF(Table423[,],Table625[[#This Row],[Accounts Name]],Table423[,3]),"")</f>
        <v>0</v>
      </c>
      <c r="P91" s="34">
        <f>IFERROR(SUMIF(Table423[,],Table625[[#This Row],[Accounts Name]],Table423[,2]),"")</f>
        <v>0</v>
      </c>
      <c r="S91" s="36">
        <f t="shared" si="1"/>
        <v>84</v>
      </c>
      <c r="T91" s="34"/>
      <c r="U91" s="37"/>
      <c r="V91" s="34">
        <f>IFERROR(SUMIF(Table625[Sub-Accounts],Table826[[#This Row],[Update your chart of accounts here]],Table625[Debit]),"")</f>
        <v>0</v>
      </c>
      <c r="W91" s="34">
        <f>IFERROR(SUMIF(Table625[Sub-Accounts],Table826[[#This Row],[Update your chart of accounts here]],Table625[Credit]),"")</f>
        <v>0</v>
      </c>
      <c r="X91" s="34"/>
      <c r="Y91" s="34"/>
      <c r="Z91" s="34"/>
      <c r="AA91" s="34"/>
      <c r="AB91" s="34">
        <f>MAX(Table826[[#This Row],[Debit]]+Table826[[#This Row],[Debit -]]-Table826[[#This Row],[Credit]]-Table826[[#This Row],[Credit +]],0)</f>
        <v>0</v>
      </c>
      <c r="AC91" s="34">
        <f>MAX(Table826[[#This Row],[Credit]]-Table826[[#This Row],[Debit]]+Table826[[#This Row],[Credit +]]-Table826[[#This Row],[Debit -]],0)</f>
        <v>0</v>
      </c>
      <c r="AD91" s="34" t="str">
        <f>IFERROR(IF(AND(OR(Table826[[#This Row],[Classification]]="Expense",Table826[[#This Row],[Classification]]="Cost of Goods Sold"),Table826[[#This Row],[Debit\]]&gt;Table826[[#This Row],[Credit.]]),Table826[[#This Row],[Debit\]]-Table826[[#This Row],[Credit.]],""),"")</f>
        <v/>
      </c>
      <c r="AE91" s="34" t="str">
        <f>IFERROR(IF(AND(OR(Table826[[#This Row],[Classification]]="Income",Table826[[#This Row],[Classification]]="Cost of Goods Sold"),Table826[[#This Row],[Credit.]]&gt;Table826[[#This Row],[Debit\]]),Table826[[#This Row],[Credit.]]-Table826[[#This Row],[Debit\]],""),"")</f>
        <v/>
      </c>
      <c r="AF91" s="34"/>
      <c r="AG91" s="34" t="str">
        <f>IFERROR(IF(AND(Table826[[#This Row],[Classification]]="Assets",Table826[[#This Row],[Debit\]]-Table826[[#This Row],[Credit.]]),Table826[[#This Row],[Debit\]]-Table826[[#This Row],[Credit.]],""),"")</f>
        <v/>
      </c>
      <c r="AH91" s="34" t="str">
        <f>IFERROR(IF(AND(OR(Table826[[#This Row],[Classification]]="Liabilities",Table826[[#This Row],[Classification]]="Owner´s Equity"),Table826[[#This Row],[Credit.]]&gt;Table826[[#This Row],[Debit\]]),Table826[[#This Row],[Credit.]]-Table826[[#This Row],[Debit\]],""),"")</f>
        <v/>
      </c>
    </row>
    <row r="92" spans="2:34" hidden="1" x14ac:dyDescent="0.25">
      <c r="B92" s="34"/>
      <c r="C92" s="45"/>
      <c r="D92" s="34"/>
      <c r="E92" s="34"/>
      <c r="G92" s="39"/>
      <c r="H92" s="43"/>
      <c r="I92" s="41"/>
      <c r="J92" s="41"/>
      <c r="L92" s="34">
        <v>85</v>
      </c>
      <c r="M92" s="35"/>
      <c r="N92" s="35"/>
      <c r="O92" s="34">
        <f>IFERROR(SUMIF(Table423[,],Table625[[#This Row],[Accounts Name]],Table423[,3]),"")</f>
        <v>0</v>
      </c>
      <c r="P92" s="34">
        <f>IFERROR(SUMIF(Table423[,],Table625[[#This Row],[Accounts Name]],Table423[,2]),"")</f>
        <v>0</v>
      </c>
      <c r="S92" s="36">
        <f t="shared" si="1"/>
        <v>85</v>
      </c>
      <c r="T92" s="34"/>
      <c r="U92" s="37"/>
      <c r="V92" s="34">
        <f>IFERROR(SUMIF(Table625[Sub-Accounts],Table826[[#This Row],[Update your chart of accounts here]],Table625[Debit]),"")</f>
        <v>0</v>
      </c>
      <c r="W92" s="34">
        <f>IFERROR(SUMIF(Table625[Sub-Accounts],Table826[[#This Row],[Update your chart of accounts here]],Table625[Credit]),"")</f>
        <v>0</v>
      </c>
      <c r="X92" s="34"/>
      <c r="Y92" s="34"/>
      <c r="Z92" s="34"/>
      <c r="AA92" s="34"/>
      <c r="AB92" s="34">
        <f>MAX(Table826[[#This Row],[Debit]]+Table826[[#This Row],[Debit -]]-Table826[[#This Row],[Credit]]-Table826[[#This Row],[Credit +]],0)</f>
        <v>0</v>
      </c>
      <c r="AC92" s="34">
        <f>MAX(Table826[[#This Row],[Credit]]-Table826[[#This Row],[Debit]]+Table826[[#This Row],[Credit +]]-Table826[[#This Row],[Debit -]],0)</f>
        <v>0</v>
      </c>
      <c r="AD92" s="34" t="str">
        <f>IFERROR(IF(AND(OR(Table826[[#This Row],[Classification]]="Expense",Table826[[#This Row],[Classification]]="Cost of Goods Sold"),Table826[[#This Row],[Debit\]]&gt;Table826[[#This Row],[Credit.]]),Table826[[#This Row],[Debit\]]-Table826[[#This Row],[Credit.]],""),"")</f>
        <v/>
      </c>
      <c r="AE92" s="34" t="str">
        <f>IFERROR(IF(AND(OR(Table826[[#This Row],[Classification]]="Income",Table826[[#This Row],[Classification]]="Cost of Goods Sold"),Table826[[#This Row],[Credit.]]&gt;Table826[[#This Row],[Debit\]]),Table826[[#This Row],[Credit.]]-Table826[[#This Row],[Debit\]],""),"")</f>
        <v/>
      </c>
      <c r="AF92" s="34"/>
      <c r="AG92" s="34" t="str">
        <f>IFERROR(IF(AND(Table826[[#This Row],[Classification]]="Assets",Table826[[#This Row],[Debit\]]-Table826[[#This Row],[Credit.]]),Table826[[#This Row],[Debit\]]-Table826[[#This Row],[Credit.]],""),"")</f>
        <v/>
      </c>
      <c r="AH92" s="34" t="str">
        <f>IFERROR(IF(AND(OR(Table826[[#This Row],[Classification]]="Liabilities",Table826[[#This Row],[Classification]]="Owner´s Equity"),Table826[[#This Row],[Credit.]]&gt;Table826[[#This Row],[Debit\]]),Table826[[#This Row],[Credit.]]-Table826[[#This Row],[Debit\]],""),"")</f>
        <v/>
      </c>
    </row>
    <row r="93" spans="2:34" hidden="1" x14ac:dyDescent="0.25">
      <c r="B93" s="34"/>
      <c r="C93" s="45"/>
      <c r="D93" s="34"/>
      <c r="E93" s="34"/>
      <c r="G93" s="39"/>
      <c r="H93" s="40"/>
      <c r="I93" s="41"/>
      <c r="J93" s="41"/>
      <c r="L93" s="34">
        <v>86</v>
      </c>
      <c r="M93" s="35"/>
      <c r="N93" s="35"/>
      <c r="O93" s="34">
        <f>IFERROR(SUMIF(Table423[,],Table625[[#This Row],[Accounts Name]],Table423[,3]),"")</f>
        <v>0</v>
      </c>
      <c r="P93" s="34">
        <f>IFERROR(SUMIF(Table423[,],Table625[[#This Row],[Accounts Name]],Table423[,2]),"")</f>
        <v>0</v>
      </c>
      <c r="S93" s="36">
        <f t="shared" si="1"/>
        <v>86</v>
      </c>
      <c r="T93" s="34"/>
      <c r="U93" s="37"/>
      <c r="V93" s="34">
        <f>IFERROR(SUMIF(Table625[Sub-Accounts],Table826[[#This Row],[Update your chart of accounts here]],Table625[Debit]),"")</f>
        <v>0</v>
      </c>
      <c r="W93" s="34">
        <f>IFERROR(SUMIF(Table625[Sub-Accounts],Table826[[#This Row],[Update your chart of accounts here]],Table625[Credit]),"")</f>
        <v>0</v>
      </c>
      <c r="X93" s="34"/>
      <c r="Y93" s="34"/>
      <c r="Z93" s="34"/>
      <c r="AA93" s="34"/>
      <c r="AB93" s="34">
        <f>MAX(Table826[[#This Row],[Debit]]+Table826[[#This Row],[Debit -]]-Table826[[#This Row],[Credit]]-Table826[[#This Row],[Credit +]],0)</f>
        <v>0</v>
      </c>
      <c r="AC93" s="34">
        <f>MAX(Table826[[#This Row],[Credit]]-Table826[[#This Row],[Debit]]+Table826[[#This Row],[Credit +]]-Table826[[#This Row],[Debit -]],0)</f>
        <v>0</v>
      </c>
      <c r="AD93" s="34" t="str">
        <f>IFERROR(IF(AND(OR(Table826[[#This Row],[Classification]]="Expense",Table826[[#This Row],[Classification]]="Cost of Goods Sold"),Table826[[#This Row],[Debit\]]&gt;Table826[[#This Row],[Credit.]]),Table826[[#This Row],[Debit\]]-Table826[[#This Row],[Credit.]],""),"")</f>
        <v/>
      </c>
      <c r="AE93" s="34" t="str">
        <f>IFERROR(IF(AND(OR(Table826[[#This Row],[Classification]]="Income",Table826[[#This Row],[Classification]]="Cost of Goods Sold"),Table826[[#This Row],[Credit.]]&gt;Table826[[#This Row],[Debit\]]),Table826[[#This Row],[Credit.]]-Table826[[#This Row],[Debit\]],""),"")</f>
        <v/>
      </c>
      <c r="AF93" s="34"/>
      <c r="AG93" s="34" t="str">
        <f>IFERROR(IF(AND(Table826[[#This Row],[Classification]]="Assets",Table826[[#This Row],[Debit\]]-Table826[[#This Row],[Credit.]]),Table826[[#This Row],[Debit\]]-Table826[[#This Row],[Credit.]],""),"")</f>
        <v/>
      </c>
      <c r="AH93" s="34" t="str">
        <f>IFERROR(IF(AND(OR(Table826[[#This Row],[Classification]]="Liabilities",Table826[[#This Row],[Classification]]="Owner´s Equity"),Table826[[#This Row],[Credit.]]&gt;Table826[[#This Row],[Debit\]]),Table826[[#This Row],[Credit.]]-Table826[[#This Row],[Debit\]],""),"")</f>
        <v/>
      </c>
    </row>
    <row r="94" spans="2:34" hidden="1" x14ac:dyDescent="0.25">
      <c r="B94" s="34"/>
      <c r="C94" s="45"/>
      <c r="D94" s="34"/>
      <c r="E94" s="34"/>
      <c r="G94" s="39"/>
      <c r="H94" s="40"/>
      <c r="I94" s="41"/>
      <c r="J94" s="41"/>
      <c r="L94" s="34">
        <v>87</v>
      </c>
      <c r="M94" s="35"/>
      <c r="N94" s="35"/>
      <c r="O94" s="34">
        <f>IFERROR(SUMIF(Table423[,],Table625[[#This Row],[Accounts Name]],Table423[,3]),"")</f>
        <v>0</v>
      </c>
      <c r="P94" s="34">
        <f>IFERROR(SUMIF(Table423[,],Table625[[#This Row],[Accounts Name]],Table423[,2]),"")</f>
        <v>0</v>
      </c>
      <c r="S94" s="36">
        <f t="shared" si="1"/>
        <v>87</v>
      </c>
      <c r="T94" s="34"/>
      <c r="U94" s="37"/>
      <c r="V94" s="34">
        <f>IFERROR(SUMIF(Table625[Sub-Accounts],Table826[[#This Row],[Update your chart of accounts here]],Table625[Debit]),"")</f>
        <v>0</v>
      </c>
      <c r="W94" s="34">
        <f>IFERROR(SUMIF(Table625[Sub-Accounts],Table826[[#This Row],[Update your chart of accounts here]],Table625[Credit]),"")</f>
        <v>0</v>
      </c>
      <c r="X94" s="34"/>
      <c r="Y94" s="34"/>
      <c r="Z94" s="34"/>
      <c r="AA94" s="34"/>
      <c r="AB94" s="34">
        <f>MAX(Table826[[#This Row],[Debit]]+Table826[[#This Row],[Debit -]]-Table826[[#This Row],[Credit]]-Table826[[#This Row],[Credit +]],0)</f>
        <v>0</v>
      </c>
      <c r="AC94" s="34">
        <f>MAX(Table826[[#This Row],[Credit]]-Table826[[#This Row],[Debit]]+Table826[[#This Row],[Credit +]]-Table826[[#This Row],[Debit -]],0)</f>
        <v>0</v>
      </c>
      <c r="AD94" s="34" t="str">
        <f>IFERROR(IF(AND(OR(Table826[[#This Row],[Classification]]="Expense",Table826[[#This Row],[Classification]]="Cost of Goods Sold"),Table826[[#This Row],[Debit\]]&gt;Table826[[#This Row],[Credit.]]),Table826[[#This Row],[Debit\]]-Table826[[#This Row],[Credit.]],""),"")</f>
        <v/>
      </c>
      <c r="AE94" s="34" t="str">
        <f>IFERROR(IF(AND(OR(Table826[[#This Row],[Classification]]="Income",Table826[[#This Row],[Classification]]="Cost of Goods Sold"),Table826[[#This Row],[Credit.]]&gt;Table826[[#This Row],[Debit\]]),Table826[[#This Row],[Credit.]]-Table826[[#This Row],[Debit\]],""),"")</f>
        <v/>
      </c>
      <c r="AF94" s="34"/>
      <c r="AG94" s="34" t="str">
        <f>IFERROR(IF(AND(Table826[[#This Row],[Classification]]="Assets",Table826[[#This Row],[Debit\]]-Table826[[#This Row],[Credit.]]),Table826[[#This Row],[Debit\]]-Table826[[#This Row],[Credit.]],""),"")</f>
        <v/>
      </c>
      <c r="AH94" s="34" t="str">
        <f>IFERROR(IF(AND(OR(Table826[[#This Row],[Classification]]="Liabilities",Table826[[#This Row],[Classification]]="Owner´s Equity"),Table826[[#This Row],[Credit.]]&gt;Table826[[#This Row],[Debit\]]),Table826[[#This Row],[Credit.]]-Table826[[#This Row],[Debit\]],""),"")</f>
        <v/>
      </c>
    </row>
    <row r="95" spans="2:34" hidden="1" x14ac:dyDescent="0.25">
      <c r="B95" s="34"/>
      <c r="C95" s="45"/>
      <c r="D95" s="34"/>
      <c r="E95" s="34"/>
      <c r="G95" s="39"/>
      <c r="H95" s="43"/>
      <c r="I95" s="41"/>
      <c r="J95" s="41"/>
      <c r="L95" s="34">
        <v>88</v>
      </c>
      <c r="M95" s="35"/>
      <c r="N95" s="35"/>
      <c r="O95" s="34">
        <f>IFERROR(SUMIF(Table423[,],Table625[[#This Row],[Accounts Name]],Table423[,3]),"")</f>
        <v>0</v>
      </c>
      <c r="P95" s="34">
        <f>IFERROR(SUMIF(Table423[,],Table625[[#This Row],[Accounts Name]],Table423[,2]),"")</f>
        <v>0</v>
      </c>
      <c r="S95" s="36">
        <f t="shared" si="1"/>
        <v>88</v>
      </c>
      <c r="T95" s="34"/>
      <c r="U95" s="37"/>
      <c r="V95" s="34">
        <f>IFERROR(SUMIF(Table625[Sub-Accounts],Table826[[#This Row],[Update your chart of accounts here]],Table625[Debit]),"")</f>
        <v>0</v>
      </c>
      <c r="W95" s="34">
        <f>IFERROR(SUMIF(Table625[Sub-Accounts],Table826[[#This Row],[Update your chart of accounts here]],Table625[Credit]),"")</f>
        <v>0</v>
      </c>
      <c r="X95" s="34"/>
      <c r="Y95" s="34"/>
      <c r="Z95" s="34"/>
      <c r="AA95" s="34"/>
      <c r="AB95" s="34">
        <f>MAX(Table826[[#This Row],[Debit]]+Table826[[#This Row],[Debit -]]-Table826[[#This Row],[Credit]]-Table826[[#This Row],[Credit +]],0)</f>
        <v>0</v>
      </c>
      <c r="AC95" s="34">
        <f>MAX(Table826[[#This Row],[Credit]]-Table826[[#This Row],[Debit]]+Table826[[#This Row],[Credit +]]-Table826[[#This Row],[Debit -]],0)</f>
        <v>0</v>
      </c>
      <c r="AD95" s="34" t="str">
        <f>IFERROR(IF(AND(OR(Table826[[#This Row],[Classification]]="Expense",Table826[[#This Row],[Classification]]="Cost of Goods Sold"),Table826[[#This Row],[Debit\]]&gt;Table826[[#This Row],[Credit.]]),Table826[[#This Row],[Debit\]]-Table826[[#This Row],[Credit.]],""),"")</f>
        <v/>
      </c>
      <c r="AE95" s="34" t="str">
        <f>IFERROR(IF(AND(OR(Table826[[#This Row],[Classification]]="Income",Table826[[#This Row],[Classification]]="Cost of Goods Sold"),Table826[[#This Row],[Credit.]]&gt;Table826[[#This Row],[Debit\]]),Table826[[#This Row],[Credit.]]-Table826[[#This Row],[Debit\]],""),"")</f>
        <v/>
      </c>
      <c r="AF95" s="34"/>
      <c r="AG95" s="34" t="str">
        <f>IFERROR(IF(AND(Table826[[#This Row],[Classification]]="Assets",Table826[[#This Row],[Debit\]]-Table826[[#This Row],[Credit.]]),Table826[[#This Row],[Debit\]]-Table826[[#This Row],[Credit.]],""),"")</f>
        <v/>
      </c>
      <c r="AH95" s="34" t="str">
        <f>IFERROR(IF(AND(OR(Table826[[#This Row],[Classification]]="Liabilities",Table826[[#This Row],[Classification]]="Owner´s Equity"),Table826[[#This Row],[Credit.]]&gt;Table826[[#This Row],[Debit\]]),Table826[[#This Row],[Credit.]]-Table826[[#This Row],[Debit\]],""),"")</f>
        <v/>
      </c>
    </row>
    <row r="96" spans="2:34" hidden="1" x14ac:dyDescent="0.25">
      <c r="B96" s="34"/>
      <c r="C96" s="45"/>
      <c r="D96" s="34"/>
      <c r="E96" s="34"/>
      <c r="G96" s="39"/>
      <c r="H96" s="40"/>
      <c r="I96" s="41"/>
      <c r="J96" s="41"/>
      <c r="L96" s="34">
        <v>89</v>
      </c>
      <c r="M96" s="35"/>
      <c r="N96" s="35"/>
      <c r="O96" s="34">
        <f>IFERROR(SUMIF(Table423[,],Table625[[#This Row],[Accounts Name]],Table423[,3]),"")</f>
        <v>0</v>
      </c>
      <c r="P96" s="34">
        <f>IFERROR(SUMIF(Table423[,],Table625[[#This Row],[Accounts Name]],Table423[,2]),"")</f>
        <v>0</v>
      </c>
      <c r="S96" s="36">
        <f t="shared" si="1"/>
        <v>89</v>
      </c>
      <c r="T96" s="34"/>
      <c r="U96" s="37"/>
      <c r="V96" s="34">
        <f>IFERROR(SUMIF(Table625[Sub-Accounts],Table826[[#This Row],[Update your chart of accounts here]],Table625[Debit]),"")</f>
        <v>0</v>
      </c>
      <c r="W96" s="34">
        <f>IFERROR(SUMIF(Table625[Sub-Accounts],Table826[[#This Row],[Update your chart of accounts here]],Table625[Credit]),"")</f>
        <v>0</v>
      </c>
      <c r="X96" s="34"/>
      <c r="Y96" s="34"/>
      <c r="Z96" s="34"/>
      <c r="AA96" s="34"/>
      <c r="AB96" s="34">
        <f>MAX(Table826[[#This Row],[Debit]]+Table826[[#This Row],[Debit -]]-Table826[[#This Row],[Credit]]-Table826[[#This Row],[Credit +]],0)</f>
        <v>0</v>
      </c>
      <c r="AC96" s="34">
        <f>MAX(Table826[[#This Row],[Credit]]-Table826[[#This Row],[Debit]]+Table826[[#This Row],[Credit +]]-Table826[[#This Row],[Debit -]],0)</f>
        <v>0</v>
      </c>
      <c r="AD96" s="34" t="str">
        <f>IFERROR(IF(AND(OR(Table826[[#This Row],[Classification]]="Expense",Table826[[#This Row],[Classification]]="Cost of Goods Sold"),Table826[[#This Row],[Debit\]]&gt;Table826[[#This Row],[Credit.]]),Table826[[#This Row],[Debit\]]-Table826[[#This Row],[Credit.]],""),"")</f>
        <v/>
      </c>
      <c r="AE96" s="34" t="str">
        <f>IFERROR(IF(AND(OR(Table826[[#This Row],[Classification]]="Income",Table826[[#This Row],[Classification]]="Cost of Goods Sold"),Table826[[#This Row],[Credit.]]&gt;Table826[[#This Row],[Debit\]]),Table826[[#This Row],[Credit.]]-Table826[[#This Row],[Debit\]],""),"")</f>
        <v/>
      </c>
      <c r="AF96" s="34"/>
      <c r="AG96" s="34" t="str">
        <f>IFERROR(IF(AND(Table826[[#This Row],[Classification]]="Assets",Table826[[#This Row],[Debit\]]-Table826[[#This Row],[Credit.]]),Table826[[#This Row],[Debit\]]-Table826[[#This Row],[Credit.]],""),"")</f>
        <v/>
      </c>
      <c r="AH96" s="34" t="str">
        <f>IFERROR(IF(AND(OR(Table826[[#This Row],[Classification]]="Liabilities",Table826[[#This Row],[Classification]]="Owner´s Equity"),Table826[[#This Row],[Credit.]]&gt;Table826[[#This Row],[Debit\]]),Table826[[#This Row],[Credit.]]-Table826[[#This Row],[Debit\]],""),"")</f>
        <v/>
      </c>
    </row>
    <row r="97" spans="2:34" hidden="1" x14ac:dyDescent="0.25">
      <c r="B97" s="34"/>
      <c r="C97" s="45"/>
      <c r="D97" s="34"/>
      <c r="E97" s="34"/>
      <c r="G97" s="39"/>
      <c r="H97" s="40"/>
      <c r="I97" s="41"/>
      <c r="J97" s="41"/>
      <c r="L97" s="34">
        <v>90</v>
      </c>
      <c r="M97" s="35"/>
      <c r="N97" s="35"/>
      <c r="O97" s="34">
        <f>IFERROR(SUMIF(Table423[,],Table625[[#This Row],[Accounts Name]],Table423[,3]),"")</f>
        <v>0</v>
      </c>
      <c r="P97" s="34">
        <f>IFERROR(SUMIF(Table423[,],Table625[[#This Row],[Accounts Name]],Table423[,2]),"")</f>
        <v>0</v>
      </c>
      <c r="S97" s="36">
        <f t="shared" si="1"/>
        <v>90</v>
      </c>
      <c r="T97" s="34"/>
      <c r="U97" s="37"/>
      <c r="V97" s="34">
        <f>IFERROR(SUMIF(Table625[Sub-Accounts],Table826[[#This Row],[Update your chart of accounts here]],Table625[Debit]),"")</f>
        <v>0</v>
      </c>
      <c r="W97" s="34">
        <f>IFERROR(SUMIF(Table625[Sub-Accounts],Table826[[#This Row],[Update your chart of accounts here]],Table625[Credit]),"")</f>
        <v>0</v>
      </c>
      <c r="X97" s="34"/>
      <c r="Y97" s="34"/>
      <c r="Z97" s="34"/>
      <c r="AA97" s="34"/>
      <c r="AB97" s="34">
        <f>MAX(Table826[[#This Row],[Debit]]+Table826[[#This Row],[Debit -]]-Table826[[#This Row],[Credit]]-Table826[[#This Row],[Credit +]],0)</f>
        <v>0</v>
      </c>
      <c r="AC97" s="34">
        <f>MAX(Table826[[#This Row],[Credit]]-Table826[[#This Row],[Debit]]+Table826[[#This Row],[Credit +]]-Table826[[#This Row],[Debit -]],0)</f>
        <v>0</v>
      </c>
      <c r="AD97" s="34" t="str">
        <f>IFERROR(IF(AND(OR(Table826[[#This Row],[Classification]]="Expense",Table826[[#This Row],[Classification]]="Cost of Goods Sold"),Table826[[#This Row],[Debit\]]&gt;Table826[[#This Row],[Credit.]]),Table826[[#This Row],[Debit\]]-Table826[[#This Row],[Credit.]],""),"")</f>
        <v/>
      </c>
      <c r="AE97" s="34" t="str">
        <f>IFERROR(IF(AND(OR(Table826[[#This Row],[Classification]]="Income",Table826[[#This Row],[Classification]]="Cost of Goods Sold"),Table826[[#This Row],[Credit.]]&gt;Table826[[#This Row],[Debit\]]),Table826[[#This Row],[Credit.]]-Table826[[#This Row],[Debit\]],""),"")</f>
        <v/>
      </c>
      <c r="AF97" s="34"/>
      <c r="AG97" s="34" t="str">
        <f>IFERROR(IF(AND(Table826[[#This Row],[Classification]]="Assets",Table826[[#This Row],[Debit\]]-Table826[[#This Row],[Credit.]]),Table826[[#This Row],[Debit\]]-Table826[[#This Row],[Credit.]],""),"")</f>
        <v/>
      </c>
      <c r="AH97" s="34" t="str">
        <f>IFERROR(IF(AND(OR(Table826[[#This Row],[Classification]]="Liabilities",Table826[[#This Row],[Classification]]="Owner´s Equity"),Table826[[#This Row],[Credit.]]&gt;Table826[[#This Row],[Debit\]]),Table826[[#This Row],[Credit.]]-Table826[[#This Row],[Debit\]],""),"")</f>
        <v/>
      </c>
    </row>
    <row r="98" spans="2:34" hidden="1" x14ac:dyDescent="0.25">
      <c r="B98" s="34"/>
      <c r="C98" s="45"/>
      <c r="D98" s="34"/>
      <c r="E98" s="34"/>
      <c r="G98" s="39"/>
      <c r="H98" s="43"/>
      <c r="I98" s="41"/>
      <c r="J98" s="41"/>
      <c r="L98" s="34">
        <v>91</v>
      </c>
      <c r="M98" s="35"/>
      <c r="N98" s="35"/>
      <c r="O98" s="34">
        <f>IFERROR(SUMIF(Table423[,],Table625[[#This Row],[Accounts Name]],Table423[,3]),"")</f>
        <v>0</v>
      </c>
      <c r="P98" s="34">
        <f>IFERROR(SUMIF(Table423[,],Table625[[#This Row],[Accounts Name]],Table423[,2]),"")</f>
        <v>0</v>
      </c>
      <c r="S98" s="36">
        <f t="shared" si="1"/>
        <v>91</v>
      </c>
      <c r="T98" s="34"/>
      <c r="U98" s="37"/>
      <c r="V98" s="34">
        <f>IFERROR(SUMIF(Table625[Sub-Accounts],Table826[[#This Row],[Update your chart of accounts here]],Table625[Debit]),"")</f>
        <v>0</v>
      </c>
      <c r="W98" s="34">
        <f>IFERROR(SUMIF(Table625[Sub-Accounts],Table826[[#This Row],[Update your chart of accounts here]],Table625[Credit]),"")</f>
        <v>0</v>
      </c>
      <c r="X98" s="34"/>
      <c r="Y98" s="34"/>
      <c r="Z98" s="34"/>
      <c r="AA98" s="34"/>
      <c r="AB98" s="34">
        <f>MAX(Table826[[#This Row],[Debit]]+Table826[[#This Row],[Debit -]]-Table826[[#This Row],[Credit]]-Table826[[#This Row],[Credit +]],0)</f>
        <v>0</v>
      </c>
      <c r="AC98" s="34">
        <f>MAX(Table826[[#This Row],[Credit]]-Table826[[#This Row],[Debit]]+Table826[[#This Row],[Credit +]]-Table826[[#This Row],[Debit -]],0)</f>
        <v>0</v>
      </c>
      <c r="AD98" s="34" t="str">
        <f>IFERROR(IF(AND(OR(Table826[[#This Row],[Classification]]="Expense",Table826[[#This Row],[Classification]]="Cost of Goods Sold"),Table826[[#This Row],[Debit\]]&gt;Table826[[#This Row],[Credit.]]),Table826[[#This Row],[Debit\]]-Table826[[#This Row],[Credit.]],""),"")</f>
        <v/>
      </c>
      <c r="AE98" s="34" t="str">
        <f>IFERROR(IF(AND(OR(Table826[[#This Row],[Classification]]="Income",Table826[[#This Row],[Classification]]="Cost of Goods Sold"),Table826[[#This Row],[Credit.]]&gt;Table826[[#This Row],[Debit\]]),Table826[[#This Row],[Credit.]]-Table826[[#This Row],[Debit\]],""),"")</f>
        <v/>
      </c>
      <c r="AF98" s="34"/>
      <c r="AG98" s="34" t="str">
        <f>IFERROR(IF(AND(Table826[[#This Row],[Classification]]="Assets",Table826[[#This Row],[Debit\]]-Table826[[#This Row],[Credit.]]),Table826[[#This Row],[Debit\]]-Table826[[#This Row],[Credit.]],""),"")</f>
        <v/>
      </c>
      <c r="AH98" s="34" t="str">
        <f>IFERROR(IF(AND(OR(Table826[[#This Row],[Classification]]="Liabilities",Table826[[#This Row],[Classification]]="Owner´s Equity"),Table826[[#This Row],[Credit.]]&gt;Table826[[#This Row],[Debit\]]),Table826[[#This Row],[Credit.]]-Table826[[#This Row],[Debit\]],""),"")</f>
        <v/>
      </c>
    </row>
    <row r="99" spans="2:34" hidden="1" x14ac:dyDescent="0.25">
      <c r="B99" s="34"/>
      <c r="C99" s="45"/>
      <c r="D99" s="34"/>
      <c r="E99" s="34"/>
      <c r="G99" s="39"/>
      <c r="H99" s="40"/>
      <c r="I99" s="41"/>
      <c r="J99" s="41"/>
      <c r="L99" s="34">
        <v>92</v>
      </c>
      <c r="M99" s="35"/>
      <c r="N99" s="35"/>
      <c r="O99" s="34">
        <f>IFERROR(SUMIF(Table423[,],Table625[[#This Row],[Accounts Name]],Table423[,3]),"")</f>
        <v>0</v>
      </c>
      <c r="P99" s="34">
        <f>IFERROR(SUMIF(Table423[,],Table625[[#This Row],[Accounts Name]],Table423[,2]),"")</f>
        <v>0</v>
      </c>
      <c r="S99" s="36">
        <f t="shared" si="1"/>
        <v>92</v>
      </c>
      <c r="T99" s="34"/>
      <c r="U99" s="37"/>
      <c r="V99" s="34">
        <f>IFERROR(SUMIF(Table625[Sub-Accounts],Table826[[#This Row],[Update your chart of accounts here]],Table625[Debit]),"")</f>
        <v>0</v>
      </c>
      <c r="W99" s="34">
        <f>IFERROR(SUMIF(Table625[Sub-Accounts],Table826[[#This Row],[Update your chart of accounts here]],Table625[Credit]),"")</f>
        <v>0</v>
      </c>
      <c r="X99" s="34"/>
      <c r="Y99" s="34"/>
      <c r="Z99" s="34"/>
      <c r="AA99" s="34"/>
      <c r="AB99" s="34">
        <f>MAX(Table826[[#This Row],[Debit]]+Table826[[#This Row],[Debit -]]-Table826[[#This Row],[Credit]]-Table826[[#This Row],[Credit +]],0)</f>
        <v>0</v>
      </c>
      <c r="AC99" s="34">
        <f>MAX(Table826[[#This Row],[Credit]]-Table826[[#This Row],[Debit]]+Table826[[#This Row],[Credit +]]-Table826[[#This Row],[Debit -]],0)</f>
        <v>0</v>
      </c>
      <c r="AD99" s="34" t="str">
        <f>IFERROR(IF(AND(OR(Table826[[#This Row],[Classification]]="Expense",Table826[[#This Row],[Classification]]="Cost of Goods Sold"),Table826[[#This Row],[Debit\]]&gt;Table826[[#This Row],[Credit.]]),Table826[[#This Row],[Debit\]]-Table826[[#This Row],[Credit.]],""),"")</f>
        <v/>
      </c>
      <c r="AE99" s="34" t="str">
        <f>IFERROR(IF(AND(OR(Table826[[#This Row],[Classification]]="Income",Table826[[#This Row],[Classification]]="Cost of Goods Sold"),Table826[[#This Row],[Credit.]]&gt;Table826[[#This Row],[Debit\]]),Table826[[#This Row],[Credit.]]-Table826[[#This Row],[Debit\]],""),"")</f>
        <v/>
      </c>
      <c r="AF99" s="34"/>
      <c r="AG99" s="34" t="str">
        <f>IFERROR(IF(AND(Table826[[#This Row],[Classification]]="Assets",Table826[[#This Row],[Debit\]]-Table826[[#This Row],[Credit.]]),Table826[[#This Row],[Debit\]]-Table826[[#This Row],[Credit.]],""),"")</f>
        <v/>
      </c>
      <c r="AH99" s="34" t="str">
        <f>IFERROR(IF(AND(OR(Table826[[#This Row],[Classification]]="Liabilities",Table826[[#This Row],[Classification]]="Owner´s Equity"),Table826[[#This Row],[Credit.]]&gt;Table826[[#This Row],[Debit\]]),Table826[[#This Row],[Credit.]]-Table826[[#This Row],[Debit\]],""),"")</f>
        <v/>
      </c>
    </row>
    <row r="100" spans="2:34" hidden="1" x14ac:dyDescent="0.25">
      <c r="B100" s="34"/>
      <c r="C100" s="45"/>
      <c r="D100" s="34"/>
      <c r="E100" s="34"/>
      <c r="G100" s="39"/>
      <c r="H100" s="40"/>
      <c r="I100" s="41"/>
      <c r="J100" s="41"/>
      <c r="L100" s="34">
        <v>93</v>
      </c>
      <c r="M100" s="35"/>
      <c r="N100" s="35"/>
      <c r="O100" s="34">
        <f>IFERROR(SUMIF(Table423[,],Table625[[#This Row],[Accounts Name]],Table423[,3]),"")</f>
        <v>0</v>
      </c>
      <c r="P100" s="34">
        <f>IFERROR(SUMIF(Table423[,],Table625[[#This Row],[Accounts Name]],Table423[,2]),"")</f>
        <v>0</v>
      </c>
      <c r="S100" s="36">
        <f t="shared" si="1"/>
        <v>93</v>
      </c>
      <c r="T100" s="34"/>
      <c r="U100" s="37"/>
      <c r="V100" s="34">
        <f>IFERROR(SUMIF(Table625[Sub-Accounts],Table826[[#This Row],[Update your chart of accounts here]],Table625[Debit]),"")</f>
        <v>0</v>
      </c>
      <c r="W100" s="34">
        <f>IFERROR(SUMIF(Table625[Sub-Accounts],Table826[[#This Row],[Update your chart of accounts here]],Table625[Credit]),"")</f>
        <v>0</v>
      </c>
      <c r="X100" s="34"/>
      <c r="Y100" s="34"/>
      <c r="Z100" s="34"/>
      <c r="AA100" s="34"/>
      <c r="AB100" s="34">
        <f>MAX(Table826[[#This Row],[Debit]]+Table826[[#This Row],[Debit -]]-Table826[[#This Row],[Credit]]-Table826[[#This Row],[Credit +]],0)</f>
        <v>0</v>
      </c>
      <c r="AC100" s="34">
        <f>MAX(Table826[[#This Row],[Credit]]-Table826[[#This Row],[Debit]]+Table826[[#This Row],[Credit +]]-Table826[[#This Row],[Debit -]],0)</f>
        <v>0</v>
      </c>
      <c r="AD100" s="34" t="str">
        <f>IFERROR(IF(AND(OR(Table826[[#This Row],[Classification]]="Expense",Table826[[#This Row],[Classification]]="Cost of Goods Sold"),Table826[[#This Row],[Debit\]]&gt;Table826[[#This Row],[Credit.]]),Table826[[#This Row],[Debit\]]-Table826[[#This Row],[Credit.]],""),"")</f>
        <v/>
      </c>
      <c r="AE100" s="34" t="str">
        <f>IFERROR(IF(AND(OR(Table826[[#This Row],[Classification]]="Income",Table826[[#This Row],[Classification]]="Cost of Goods Sold"),Table826[[#This Row],[Credit.]]&gt;Table826[[#This Row],[Debit\]]),Table826[[#This Row],[Credit.]]-Table826[[#This Row],[Debit\]],""),"")</f>
        <v/>
      </c>
      <c r="AF100" s="34"/>
      <c r="AG100" s="34" t="str">
        <f>IFERROR(IF(AND(Table826[[#This Row],[Classification]]="Assets",Table826[[#This Row],[Debit\]]-Table826[[#This Row],[Credit.]]),Table826[[#This Row],[Debit\]]-Table826[[#This Row],[Credit.]],""),"")</f>
        <v/>
      </c>
      <c r="AH100" s="34" t="str">
        <f>IFERROR(IF(AND(OR(Table826[[#This Row],[Classification]]="Liabilities",Table826[[#This Row],[Classification]]="Owner´s Equity"),Table826[[#This Row],[Credit.]]&gt;Table826[[#This Row],[Debit\]]),Table826[[#This Row],[Credit.]]-Table826[[#This Row],[Debit\]],""),"")</f>
        <v/>
      </c>
    </row>
    <row r="101" spans="2:34" hidden="1" x14ac:dyDescent="0.25">
      <c r="B101" s="34"/>
      <c r="C101" s="45"/>
      <c r="D101" s="34"/>
      <c r="E101" s="34"/>
      <c r="G101" s="39"/>
      <c r="H101" s="43"/>
      <c r="I101" s="41"/>
      <c r="J101" s="41"/>
      <c r="L101" s="34">
        <v>94</v>
      </c>
      <c r="M101" s="35"/>
      <c r="N101" s="35"/>
      <c r="O101" s="34">
        <f>IFERROR(SUMIF(Table423[,],Table625[[#This Row],[Accounts Name]],Table423[,3]),"")</f>
        <v>0</v>
      </c>
      <c r="P101" s="34">
        <f>IFERROR(SUMIF(Table423[,],Table625[[#This Row],[Accounts Name]],Table423[,2]),"")</f>
        <v>0</v>
      </c>
      <c r="S101" s="36">
        <f t="shared" si="1"/>
        <v>94</v>
      </c>
      <c r="T101" s="34"/>
      <c r="U101" s="37"/>
      <c r="V101" s="34">
        <f>IFERROR(SUMIF(Table625[Sub-Accounts],Table826[[#This Row],[Update your chart of accounts here]],Table625[Debit]),"")</f>
        <v>0</v>
      </c>
      <c r="W101" s="34">
        <f>IFERROR(SUMIF(Table625[Sub-Accounts],Table826[[#This Row],[Update your chart of accounts here]],Table625[Credit]),"")</f>
        <v>0</v>
      </c>
      <c r="X101" s="34"/>
      <c r="Y101" s="34"/>
      <c r="Z101" s="34"/>
      <c r="AA101" s="34"/>
      <c r="AB101" s="34">
        <f>MAX(Table826[[#This Row],[Debit]]+Table826[[#This Row],[Debit -]]-Table826[[#This Row],[Credit]]-Table826[[#This Row],[Credit +]],0)</f>
        <v>0</v>
      </c>
      <c r="AC101" s="34">
        <f>MAX(Table826[[#This Row],[Credit]]-Table826[[#This Row],[Debit]]+Table826[[#This Row],[Credit +]]-Table826[[#This Row],[Debit -]],0)</f>
        <v>0</v>
      </c>
      <c r="AD101" s="34" t="str">
        <f>IFERROR(IF(AND(OR(Table826[[#This Row],[Classification]]="Expense",Table826[[#This Row],[Classification]]="Cost of Goods Sold"),Table826[[#This Row],[Debit\]]&gt;Table826[[#This Row],[Credit.]]),Table826[[#This Row],[Debit\]]-Table826[[#This Row],[Credit.]],""),"")</f>
        <v/>
      </c>
      <c r="AE101" s="34" t="str">
        <f>IFERROR(IF(AND(OR(Table826[[#This Row],[Classification]]="Income",Table826[[#This Row],[Classification]]="Cost of Goods Sold"),Table826[[#This Row],[Credit.]]&gt;Table826[[#This Row],[Debit\]]),Table826[[#This Row],[Credit.]]-Table826[[#This Row],[Debit\]],""),"")</f>
        <v/>
      </c>
      <c r="AF101" s="34"/>
      <c r="AG101" s="34" t="str">
        <f>IFERROR(IF(AND(Table826[[#This Row],[Classification]]="Assets",Table826[[#This Row],[Debit\]]-Table826[[#This Row],[Credit.]]),Table826[[#This Row],[Debit\]]-Table826[[#This Row],[Credit.]],""),"")</f>
        <v/>
      </c>
      <c r="AH101" s="34" t="str">
        <f>IFERROR(IF(AND(OR(Table826[[#This Row],[Classification]]="Liabilities",Table826[[#This Row],[Classification]]="Owner´s Equity"),Table826[[#This Row],[Credit.]]&gt;Table826[[#This Row],[Debit\]]),Table826[[#This Row],[Credit.]]-Table826[[#This Row],[Debit\]],""),"")</f>
        <v/>
      </c>
    </row>
    <row r="102" spans="2:34" hidden="1" x14ac:dyDescent="0.25">
      <c r="B102" s="34"/>
      <c r="C102" s="45"/>
      <c r="D102" s="34"/>
      <c r="E102" s="34"/>
      <c r="G102" s="39"/>
      <c r="H102" s="40"/>
      <c r="I102" s="41"/>
      <c r="J102" s="41"/>
      <c r="L102" s="34">
        <v>95</v>
      </c>
      <c r="M102" s="35"/>
      <c r="N102" s="35"/>
      <c r="O102" s="34">
        <f>IFERROR(SUMIF(Table423[,],Table625[[#This Row],[Accounts Name]],Table423[,3]),"")</f>
        <v>0</v>
      </c>
      <c r="P102" s="34">
        <f>IFERROR(SUMIF(Table423[,],Table625[[#This Row],[Accounts Name]],Table423[,2]),"")</f>
        <v>0</v>
      </c>
      <c r="S102" s="36">
        <f t="shared" si="1"/>
        <v>95</v>
      </c>
      <c r="T102" s="34"/>
      <c r="U102" s="37"/>
      <c r="V102" s="34">
        <f>IFERROR(SUMIF(Table625[Sub-Accounts],Table826[[#This Row],[Update your chart of accounts here]],Table625[Debit]),"")</f>
        <v>0</v>
      </c>
      <c r="W102" s="34">
        <f>IFERROR(SUMIF(Table625[Sub-Accounts],Table826[[#This Row],[Update your chart of accounts here]],Table625[Credit]),"")</f>
        <v>0</v>
      </c>
      <c r="X102" s="34"/>
      <c r="Y102" s="34"/>
      <c r="Z102" s="34"/>
      <c r="AA102" s="34"/>
      <c r="AB102" s="34">
        <f>MAX(Table826[[#This Row],[Debit]]+Table826[[#This Row],[Debit -]]-Table826[[#This Row],[Credit]]-Table826[[#This Row],[Credit +]],0)</f>
        <v>0</v>
      </c>
      <c r="AC102" s="34">
        <f>MAX(Table826[[#This Row],[Credit]]-Table826[[#This Row],[Debit]]+Table826[[#This Row],[Credit +]]-Table826[[#This Row],[Debit -]],0)</f>
        <v>0</v>
      </c>
      <c r="AD102" s="34" t="str">
        <f>IFERROR(IF(AND(OR(Table826[[#This Row],[Classification]]="Expense",Table826[[#This Row],[Classification]]="Cost of Goods Sold"),Table826[[#This Row],[Debit\]]&gt;Table826[[#This Row],[Credit.]]),Table826[[#This Row],[Debit\]]-Table826[[#This Row],[Credit.]],""),"")</f>
        <v/>
      </c>
      <c r="AE102" s="34" t="str">
        <f>IFERROR(IF(AND(OR(Table826[[#This Row],[Classification]]="Income",Table826[[#This Row],[Classification]]="Cost of Goods Sold"),Table826[[#This Row],[Credit.]]&gt;Table826[[#This Row],[Debit\]]),Table826[[#This Row],[Credit.]]-Table826[[#This Row],[Debit\]],""),"")</f>
        <v/>
      </c>
      <c r="AF102" s="34"/>
      <c r="AG102" s="34" t="str">
        <f>IFERROR(IF(AND(Table826[[#This Row],[Classification]]="Assets",Table826[[#This Row],[Debit\]]-Table826[[#This Row],[Credit.]]),Table826[[#This Row],[Debit\]]-Table826[[#This Row],[Credit.]],""),"")</f>
        <v/>
      </c>
      <c r="AH102" s="34" t="str">
        <f>IFERROR(IF(AND(OR(Table826[[#This Row],[Classification]]="Liabilities",Table826[[#This Row],[Classification]]="Owner´s Equity"),Table826[[#This Row],[Credit.]]&gt;Table826[[#This Row],[Debit\]]),Table826[[#This Row],[Credit.]]-Table826[[#This Row],[Debit\]],""),"")</f>
        <v/>
      </c>
    </row>
    <row r="103" spans="2:34" hidden="1" x14ac:dyDescent="0.25">
      <c r="B103" s="34"/>
      <c r="C103" s="45"/>
      <c r="D103" s="34"/>
      <c r="E103" s="34"/>
      <c r="G103" s="39"/>
      <c r="H103" s="40"/>
      <c r="I103" s="41"/>
      <c r="J103" s="41"/>
      <c r="L103" s="34">
        <v>96</v>
      </c>
      <c r="M103" s="35"/>
      <c r="N103" s="35"/>
      <c r="O103" s="34">
        <f>IFERROR(SUMIF(Table423[,],Table625[[#This Row],[Accounts Name]],Table423[,3]),"")</f>
        <v>0</v>
      </c>
      <c r="P103" s="34">
        <f>IFERROR(SUMIF(Table423[,],Table625[[#This Row],[Accounts Name]],Table423[,2]),"")</f>
        <v>0</v>
      </c>
      <c r="S103" s="36">
        <f t="shared" si="1"/>
        <v>96</v>
      </c>
      <c r="T103" s="34"/>
      <c r="U103" s="37"/>
      <c r="V103" s="34">
        <f>IFERROR(SUMIF(Table625[Sub-Accounts],Table826[[#This Row],[Update your chart of accounts here]],Table625[Debit]),"")</f>
        <v>0</v>
      </c>
      <c r="W103" s="34">
        <f>IFERROR(SUMIF(Table625[Sub-Accounts],Table826[[#This Row],[Update your chart of accounts here]],Table625[Credit]),"")</f>
        <v>0</v>
      </c>
      <c r="X103" s="34"/>
      <c r="Y103" s="34"/>
      <c r="Z103" s="34"/>
      <c r="AA103" s="34"/>
      <c r="AB103" s="34">
        <f>MAX(Table826[[#This Row],[Debit]]+Table826[[#This Row],[Debit -]]-Table826[[#This Row],[Credit]]-Table826[[#This Row],[Credit +]],0)</f>
        <v>0</v>
      </c>
      <c r="AC103" s="34">
        <f>MAX(Table826[[#This Row],[Credit]]-Table826[[#This Row],[Debit]]+Table826[[#This Row],[Credit +]]-Table826[[#This Row],[Debit -]],0)</f>
        <v>0</v>
      </c>
      <c r="AD103" s="34" t="str">
        <f>IFERROR(IF(AND(OR(Table826[[#This Row],[Classification]]="Expense",Table826[[#This Row],[Classification]]="Cost of Goods Sold"),Table826[[#This Row],[Debit\]]&gt;Table826[[#This Row],[Credit.]]),Table826[[#This Row],[Debit\]]-Table826[[#This Row],[Credit.]],""),"")</f>
        <v/>
      </c>
      <c r="AE103" s="34" t="str">
        <f>IFERROR(IF(AND(OR(Table826[[#This Row],[Classification]]="Income",Table826[[#This Row],[Classification]]="Cost of Goods Sold"),Table826[[#This Row],[Credit.]]&gt;Table826[[#This Row],[Debit\]]),Table826[[#This Row],[Credit.]]-Table826[[#This Row],[Debit\]],""),"")</f>
        <v/>
      </c>
      <c r="AF103" s="34"/>
      <c r="AG103" s="34" t="str">
        <f>IFERROR(IF(AND(Table826[[#This Row],[Classification]]="Assets",Table826[[#This Row],[Debit\]]-Table826[[#This Row],[Credit.]]),Table826[[#This Row],[Debit\]]-Table826[[#This Row],[Credit.]],""),"")</f>
        <v/>
      </c>
      <c r="AH103" s="34" t="str">
        <f>IFERROR(IF(AND(OR(Table826[[#This Row],[Classification]]="Liabilities",Table826[[#This Row],[Classification]]="Owner´s Equity"),Table826[[#This Row],[Credit.]]&gt;Table826[[#This Row],[Debit\]]),Table826[[#This Row],[Credit.]]-Table826[[#This Row],[Debit\]],""),"")</f>
        <v/>
      </c>
    </row>
    <row r="104" spans="2:34" hidden="1" x14ac:dyDescent="0.25">
      <c r="B104" s="34"/>
      <c r="C104" s="45"/>
      <c r="D104" s="34"/>
      <c r="E104" s="34"/>
      <c r="G104" s="39"/>
      <c r="H104" s="43"/>
      <c r="I104" s="41"/>
      <c r="J104" s="41"/>
      <c r="L104" s="34">
        <v>97</v>
      </c>
      <c r="M104" s="35"/>
      <c r="N104" s="35"/>
      <c r="O104" s="34">
        <f>IFERROR(SUMIF(Table423[,],Table625[[#This Row],[Accounts Name]],Table423[,3]),"")</f>
        <v>0</v>
      </c>
      <c r="P104" s="34">
        <f>IFERROR(SUMIF(Table423[,],Table625[[#This Row],[Accounts Name]],Table423[,2]),"")</f>
        <v>0</v>
      </c>
      <c r="S104" s="36">
        <f t="shared" si="1"/>
        <v>97</v>
      </c>
      <c r="T104" s="34"/>
      <c r="U104" s="37"/>
      <c r="V104" s="34">
        <f>IFERROR(SUMIF(Table625[Sub-Accounts],Table826[[#This Row],[Update your chart of accounts here]],Table625[Debit]),"")</f>
        <v>0</v>
      </c>
      <c r="W104" s="34">
        <f>IFERROR(SUMIF(Table625[Sub-Accounts],Table826[[#This Row],[Update your chart of accounts here]],Table625[Credit]),"")</f>
        <v>0</v>
      </c>
      <c r="X104" s="34"/>
      <c r="Y104" s="34"/>
      <c r="Z104" s="34"/>
      <c r="AA104" s="34"/>
      <c r="AB104" s="34">
        <f>MAX(Table826[[#This Row],[Debit]]+Table826[[#This Row],[Debit -]]-Table826[[#This Row],[Credit]]-Table826[[#This Row],[Credit +]],0)</f>
        <v>0</v>
      </c>
      <c r="AC104" s="34">
        <f>MAX(Table826[[#This Row],[Credit]]-Table826[[#This Row],[Debit]]+Table826[[#This Row],[Credit +]]-Table826[[#This Row],[Debit -]],0)</f>
        <v>0</v>
      </c>
      <c r="AD104" s="34" t="str">
        <f>IFERROR(IF(AND(OR(Table826[[#This Row],[Classification]]="Expense",Table826[[#This Row],[Classification]]="Cost of Goods Sold"),Table826[[#This Row],[Debit\]]&gt;Table826[[#This Row],[Credit.]]),Table826[[#This Row],[Debit\]]-Table826[[#This Row],[Credit.]],""),"")</f>
        <v/>
      </c>
      <c r="AE104" s="34" t="str">
        <f>IFERROR(IF(AND(OR(Table826[[#This Row],[Classification]]="Income",Table826[[#This Row],[Classification]]="Cost of Goods Sold"),Table826[[#This Row],[Credit.]]&gt;Table826[[#This Row],[Debit\]]),Table826[[#This Row],[Credit.]]-Table826[[#This Row],[Debit\]],""),"")</f>
        <v/>
      </c>
      <c r="AF104" s="34"/>
      <c r="AG104" s="34" t="str">
        <f>IFERROR(IF(AND(Table826[[#This Row],[Classification]]="Assets",Table826[[#This Row],[Debit\]]-Table826[[#This Row],[Credit.]]),Table826[[#This Row],[Debit\]]-Table826[[#This Row],[Credit.]],""),"")</f>
        <v/>
      </c>
      <c r="AH104" s="34" t="str">
        <f>IFERROR(IF(AND(OR(Table826[[#This Row],[Classification]]="Liabilities",Table826[[#This Row],[Classification]]="Owner´s Equity"),Table826[[#This Row],[Credit.]]&gt;Table826[[#This Row],[Debit\]]),Table826[[#This Row],[Credit.]]-Table826[[#This Row],[Debit\]],""),"")</f>
        <v/>
      </c>
    </row>
    <row r="105" spans="2:34" hidden="1" x14ac:dyDescent="0.25">
      <c r="B105" s="34"/>
      <c r="C105" s="45"/>
      <c r="D105" s="34"/>
      <c r="E105" s="34"/>
      <c r="G105" s="39"/>
      <c r="H105" s="40"/>
      <c r="I105" s="41"/>
      <c r="J105" s="41"/>
      <c r="L105" s="34">
        <v>98</v>
      </c>
      <c r="M105" s="35"/>
      <c r="N105" s="35"/>
      <c r="O105" s="34">
        <f>IFERROR(SUMIF(Table423[,],Table625[[#This Row],[Accounts Name]],Table423[,3]),"")</f>
        <v>0</v>
      </c>
      <c r="P105" s="34">
        <f>IFERROR(SUMIF(Table423[,],Table625[[#This Row],[Accounts Name]],Table423[,2]),"")</f>
        <v>0</v>
      </c>
      <c r="S105" s="36">
        <f t="shared" si="1"/>
        <v>98</v>
      </c>
      <c r="T105" s="34"/>
      <c r="U105" s="37"/>
      <c r="V105" s="34">
        <f>IFERROR(SUMIF(Table625[Sub-Accounts],Table826[[#This Row],[Update your chart of accounts here]],Table625[Debit]),"")</f>
        <v>0</v>
      </c>
      <c r="W105" s="34">
        <f>IFERROR(SUMIF(Table625[Sub-Accounts],Table826[[#This Row],[Update your chart of accounts here]],Table625[Credit]),"")</f>
        <v>0</v>
      </c>
      <c r="X105" s="34"/>
      <c r="Y105" s="34"/>
      <c r="Z105" s="34"/>
      <c r="AA105" s="34"/>
      <c r="AB105" s="34">
        <f>MAX(Table826[[#This Row],[Debit]]+Table826[[#This Row],[Debit -]]-Table826[[#This Row],[Credit]]-Table826[[#This Row],[Credit +]],0)</f>
        <v>0</v>
      </c>
      <c r="AC105" s="34">
        <f>MAX(Table826[[#This Row],[Credit]]-Table826[[#This Row],[Debit]]+Table826[[#This Row],[Credit +]]-Table826[[#This Row],[Debit -]],0)</f>
        <v>0</v>
      </c>
      <c r="AD105" s="34" t="str">
        <f>IFERROR(IF(AND(OR(Table826[[#This Row],[Classification]]="Expense",Table826[[#This Row],[Classification]]="Cost of Goods Sold"),Table826[[#This Row],[Debit\]]&gt;Table826[[#This Row],[Credit.]]),Table826[[#This Row],[Debit\]]-Table826[[#This Row],[Credit.]],""),"")</f>
        <v/>
      </c>
      <c r="AE105" s="34" t="str">
        <f>IFERROR(IF(AND(OR(Table826[[#This Row],[Classification]]="Income",Table826[[#This Row],[Classification]]="Cost of Goods Sold"),Table826[[#This Row],[Credit.]]&gt;Table826[[#This Row],[Debit\]]),Table826[[#This Row],[Credit.]]-Table826[[#This Row],[Debit\]],""),"")</f>
        <v/>
      </c>
      <c r="AF105" s="34"/>
      <c r="AG105" s="34" t="str">
        <f>IFERROR(IF(AND(Table826[[#This Row],[Classification]]="Assets",Table826[[#This Row],[Debit\]]-Table826[[#This Row],[Credit.]]),Table826[[#This Row],[Debit\]]-Table826[[#This Row],[Credit.]],""),"")</f>
        <v/>
      </c>
      <c r="AH105" s="34" t="str">
        <f>IFERROR(IF(AND(OR(Table826[[#This Row],[Classification]]="Liabilities",Table826[[#This Row],[Classification]]="Owner´s Equity"),Table826[[#This Row],[Credit.]]&gt;Table826[[#This Row],[Debit\]]),Table826[[#This Row],[Credit.]]-Table826[[#This Row],[Debit\]],""),"")</f>
        <v/>
      </c>
    </row>
    <row r="106" spans="2:34" hidden="1" x14ac:dyDescent="0.25">
      <c r="B106" s="34"/>
      <c r="C106" s="45"/>
      <c r="D106" s="34"/>
      <c r="E106" s="34"/>
      <c r="G106" s="39"/>
      <c r="H106" s="40"/>
      <c r="I106" s="41"/>
      <c r="J106" s="41"/>
      <c r="L106" s="34">
        <v>99</v>
      </c>
      <c r="M106" s="35"/>
      <c r="N106" s="35"/>
      <c r="O106" s="34">
        <f>IFERROR(SUMIF(Table423[,],Table625[[#This Row],[Accounts Name]],Table423[,3]),"")</f>
        <v>0</v>
      </c>
      <c r="P106" s="34">
        <f>IFERROR(SUMIF(Table423[,],Table625[[#This Row],[Accounts Name]],Table423[,2]),"")</f>
        <v>0</v>
      </c>
      <c r="S106" s="36">
        <f t="shared" si="1"/>
        <v>99</v>
      </c>
      <c r="T106" s="34"/>
      <c r="U106" s="37"/>
      <c r="V106" s="34">
        <f>IFERROR(SUMIF(Table625[Sub-Accounts],Table826[[#This Row],[Update your chart of accounts here]],Table625[Debit]),"")</f>
        <v>0</v>
      </c>
      <c r="W106" s="34">
        <f>IFERROR(SUMIF(Table625[Sub-Accounts],Table826[[#This Row],[Update your chart of accounts here]],Table625[Credit]),"")</f>
        <v>0</v>
      </c>
      <c r="X106" s="34"/>
      <c r="Y106" s="34"/>
      <c r="Z106" s="34"/>
      <c r="AA106" s="34"/>
      <c r="AB106" s="34">
        <f>MAX(Table826[[#This Row],[Debit]]+Table826[[#This Row],[Debit -]]-Table826[[#This Row],[Credit]]-Table826[[#This Row],[Credit +]],0)</f>
        <v>0</v>
      </c>
      <c r="AC106" s="34">
        <f>MAX(Table826[[#This Row],[Credit]]-Table826[[#This Row],[Debit]]+Table826[[#This Row],[Credit +]]-Table826[[#This Row],[Debit -]],0)</f>
        <v>0</v>
      </c>
      <c r="AD106" s="34" t="str">
        <f>IFERROR(IF(AND(OR(Table826[[#This Row],[Classification]]="Expense",Table826[[#This Row],[Classification]]="Cost of Goods Sold"),Table826[[#This Row],[Debit\]]&gt;Table826[[#This Row],[Credit.]]),Table826[[#This Row],[Debit\]]-Table826[[#This Row],[Credit.]],""),"")</f>
        <v/>
      </c>
      <c r="AE106" s="34" t="str">
        <f>IFERROR(IF(AND(OR(Table826[[#This Row],[Classification]]="Income",Table826[[#This Row],[Classification]]="Cost of Goods Sold"),Table826[[#This Row],[Credit.]]&gt;Table826[[#This Row],[Debit\]]),Table826[[#This Row],[Credit.]]-Table826[[#This Row],[Debit\]],""),"")</f>
        <v/>
      </c>
      <c r="AF106" s="34"/>
      <c r="AG106" s="34" t="str">
        <f>IFERROR(IF(AND(Table826[[#This Row],[Classification]]="Assets",Table826[[#This Row],[Debit\]]-Table826[[#This Row],[Credit.]]),Table826[[#This Row],[Debit\]]-Table826[[#This Row],[Credit.]],""),"")</f>
        <v/>
      </c>
      <c r="AH106" s="34" t="str">
        <f>IFERROR(IF(AND(OR(Table826[[#This Row],[Classification]]="Liabilities",Table826[[#This Row],[Classification]]="Owner´s Equity"),Table826[[#This Row],[Credit.]]&gt;Table826[[#This Row],[Debit\]]),Table826[[#This Row],[Credit.]]-Table826[[#This Row],[Debit\]],""),"")</f>
        <v/>
      </c>
    </row>
    <row r="107" spans="2:34" hidden="1" x14ac:dyDescent="0.25">
      <c r="B107" s="34"/>
      <c r="C107" s="45"/>
      <c r="D107" s="34"/>
      <c r="E107" s="34"/>
      <c r="G107" s="39"/>
      <c r="H107" s="43"/>
      <c r="I107" s="41"/>
      <c r="J107" s="41"/>
      <c r="L107" s="34">
        <v>100</v>
      </c>
      <c r="M107" s="35"/>
      <c r="N107" s="35"/>
      <c r="O107" s="34">
        <f>IFERROR(SUMIF(Table423[,],Table625[[#This Row],[Accounts Name]],Table423[,3]),"")</f>
        <v>0</v>
      </c>
      <c r="P107" s="34">
        <f>IFERROR(SUMIF(Table423[,],Table625[[#This Row],[Accounts Name]],Table423[,2]),"")</f>
        <v>0</v>
      </c>
      <c r="S107" s="36">
        <f t="shared" si="1"/>
        <v>100</v>
      </c>
      <c r="T107" s="34"/>
      <c r="U107" s="37"/>
      <c r="V107" s="34">
        <f>IFERROR(SUMIF(Table625[Sub-Accounts],Table826[[#This Row],[Update your chart of accounts here]],Table625[Debit]),"")</f>
        <v>0</v>
      </c>
      <c r="W107" s="34">
        <f>IFERROR(SUMIF(Table625[Sub-Accounts],Table826[[#This Row],[Update your chart of accounts here]],Table625[Credit]),"")</f>
        <v>0</v>
      </c>
      <c r="X107" s="34"/>
      <c r="Y107" s="34"/>
      <c r="Z107" s="34"/>
      <c r="AA107" s="34"/>
      <c r="AB107" s="34">
        <f>MAX(Table826[[#This Row],[Debit]]+Table826[[#This Row],[Debit -]]-Table826[[#This Row],[Credit]]-Table826[[#This Row],[Credit +]],0)</f>
        <v>0</v>
      </c>
      <c r="AC107" s="34">
        <f>MAX(Table826[[#This Row],[Credit]]-Table826[[#This Row],[Debit]]+Table826[[#This Row],[Credit +]]-Table826[[#This Row],[Debit -]],0)</f>
        <v>0</v>
      </c>
      <c r="AD107" s="34" t="str">
        <f>IFERROR(IF(AND(OR(Table826[[#This Row],[Classification]]="Expense",Table826[[#This Row],[Classification]]="Cost of Goods Sold"),Table826[[#This Row],[Debit\]]&gt;Table826[[#This Row],[Credit.]]),Table826[[#This Row],[Debit\]]-Table826[[#This Row],[Credit.]],""),"")</f>
        <v/>
      </c>
      <c r="AE107" s="34" t="str">
        <f>IFERROR(IF(AND(OR(Table826[[#This Row],[Classification]]="Income",Table826[[#This Row],[Classification]]="Cost of Goods Sold"),Table826[[#This Row],[Credit.]]&gt;Table826[[#This Row],[Debit\]]),Table826[[#This Row],[Credit.]]-Table826[[#This Row],[Debit\]],""),"")</f>
        <v/>
      </c>
      <c r="AF107" s="34"/>
      <c r="AG107" s="34" t="str">
        <f>IFERROR(IF(AND(Table826[[#This Row],[Classification]]="Assets",Table826[[#This Row],[Debit\]]-Table826[[#This Row],[Credit.]]),Table826[[#This Row],[Debit\]]-Table826[[#This Row],[Credit.]],""),"")</f>
        <v/>
      </c>
      <c r="AH107" s="34" t="str">
        <f>IFERROR(IF(AND(OR(Table826[[#This Row],[Classification]]="Liabilities",Table826[[#This Row],[Classification]]="Owner´s Equity"),Table826[[#This Row],[Credit.]]&gt;Table826[[#This Row],[Debit\]]),Table826[[#This Row],[Credit.]]-Table826[[#This Row],[Debit\]],""),"")</f>
        <v/>
      </c>
    </row>
    <row r="108" spans="2:34" hidden="1" x14ac:dyDescent="0.25">
      <c r="B108" s="34"/>
      <c r="C108" s="45"/>
      <c r="D108" s="34"/>
      <c r="E108" s="34"/>
      <c r="G108" s="39"/>
      <c r="H108" s="40"/>
      <c r="I108" s="41"/>
      <c r="J108" s="41"/>
      <c r="L108" s="34">
        <v>101</v>
      </c>
      <c r="M108" s="35"/>
      <c r="N108" s="35"/>
      <c r="O108" s="34">
        <f>IFERROR(SUMIF(Table423[,],Table625[[#This Row],[Accounts Name]],Table423[,3]),"")</f>
        <v>0</v>
      </c>
      <c r="P108" s="34">
        <f>IFERROR(SUMIF(Table423[,],Table625[[#This Row],[Accounts Name]],Table423[,2]),"")</f>
        <v>0</v>
      </c>
      <c r="S108" s="36">
        <f t="shared" si="1"/>
        <v>101</v>
      </c>
      <c r="T108" s="34"/>
      <c r="U108" s="37"/>
      <c r="V108" s="34">
        <f>IFERROR(SUMIF(Table625[Sub-Accounts],Table826[[#This Row],[Update your chart of accounts here]],Table625[Debit]),"")</f>
        <v>0</v>
      </c>
      <c r="W108" s="34">
        <f>IFERROR(SUMIF(Table625[Sub-Accounts],Table826[[#This Row],[Update your chart of accounts here]],Table625[Credit]),"")</f>
        <v>0</v>
      </c>
      <c r="X108" s="34"/>
      <c r="Y108" s="34"/>
      <c r="Z108" s="34"/>
      <c r="AA108" s="34"/>
      <c r="AB108" s="34">
        <f>MAX(Table826[[#This Row],[Debit]]+Table826[[#This Row],[Debit -]]-Table826[[#This Row],[Credit]]-Table826[[#This Row],[Credit +]],0)</f>
        <v>0</v>
      </c>
      <c r="AC108" s="34">
        <f>MAX(Table826[[#This Row],[Credit]]-Table826[[#This Row],[Debit]]+Table826[[#This Row],[Credit +]]-Table826[[#This Row],[Debit -]],0)</f>
        <v>0</v>
      </c>
      <c r="AD108" s="34" t="str">
        <f>IFERROR(IF(AND(OR(Table826[[#This Row],[Classification]]="Expense",Table826[[#This Row],[Classification]]="Cost of Goods Sold"),Table826[[#This Row],[Debit\]]&gt;Table826[[#This Row],[Credit.]]),Table826[[#This Row],[Debit\]]-Table826[[#This Row],[Credit.]],""),"")</f>
        <v/>
      </c>
      <c r="AE108" s="34" t="str">
        <f>IFERROR(IF(AND(OR(Table826[[#This Row],[Classification]]="Income",Table826[[#This Row],[Classification]]="Cost of Goods Sold"),Table826[[#This Row],[Credit.]]&gt;Table826[[#This Row],[Debit\]]),Table826[[#This Row],[Credit.]]-Table826[[#This Row],[Debit\]],""),"")</f>
        <v/>
      </c>
      <c r="AF108" s="34"/>
      <c r="AG108" s="34" t="str">
        <f>IFERROR(IF(AND(Table826[[#This Row],[Classification]]="Assets",Table826[[#This Row],[Debit\]]-Table826[[#This Row],[Credit.]]),Table826[[#This Row],[Debit\]]-Table826[[#This Row],[Credit.]],""),"")</f>
        <v/>
      </c>
      <c r="AH108" s="34" t="str">
        <f>IFERROR(IF(AND(OR(Table826[[#This Row],[Classification]]="Liabilities",Table826[[#This Row],[Classification]]="Owner´s Equity"),Table826[[#This Row],[Credit.]]&gt;Table826[[#This Row],[Debit\]]),Table826[[#This Row],[Credit.]]-Table826[[#This Row],[Debit\]],""),"")</f>
        <v/>
      </c>
    </row>
    <row r="109" spans="2:34" hidden="1" x14ac:dyDescent="0.25">
      <c r="B109" s="34"/>
      <c r="C109" s="45"/>
      <c r="D109" s="34"/>
      <c r="E109" s="34"/>
      <c r="G109" s="39"/>
      <c r="H109" s="40"/>
      <c r="I109" s="41"/>
      <c r="J109" s="41"/>
      <c r="L109" s="34">
        <v>102</v>
      </c>
      <c r="M109" s="35"/>
      <c r="N109" s="35"/>
      <c r="O109" s="34">
        <f>IFERROR(SUMIF(Table423[,],Table625[[#This Row],[Accounts Name]],Table423[,3]),"")</f>
        <v>0</v>
      </c>
      <c r="P109" s="34">
        <f>IFERROR(SUMIF(Table423[,],Table625[[#This Row],[Accounts Name]],Table423[,2]),"")</f>
        <v>0</v>
      </c>
      <c r="S109" s="36">
        <f t="shared" si="1"/>
        <v>102</v>
      </c>
      <c r="T109" s="34"/>
      <c r="U109" s="37"/>
      <c r="V109" s="34">
        <f>IFERROR(SUMIF(Table625[Sub-Accounts],Table826[[#This Row],[Update your chart of accounts here]],Table625[Debit]),"")</f>
        <v>0</v>
      </c>
      <c r="W109" s="34">
        <f>IFERROR(SUMIF(Table625[Sub-Accounts],Table826[[#This Row],[Update your chart of accounts here]],Table625[Credit]),"")</f>
        <v>0</v>
      </c>
      <c r="X109" s="34"/>
      <c r="Y109" s="34"/>
      <c r="Z109" s="34"/>
      <c r="AA109" s="34"/>
      <c r="AB109" s="34">
        <f>MAX(Table826[[#This Row],[Debit]]+Table826[[#This Row],[Debit -]]-Table826[[#This Row],[Credit]]-Table826[[#This Row],[Credit +]],0)</f>
        <v>0</v>
      </c>
      <c r="AC109" s="34">
        <f>MAX(Table826[[#This Row],[Credit]]-Table826[[#This Row],[Debit]]+Table826[[#This Row],[Credit +]]-Table826[[#This Row],[Debit -]],0)</f>
        <v>0</v>
      </c>
      <c r="AD109" s="34" t="str">
        <f>IFERROR(IF(AND(OR(Table826[[#This Row],[Classification]]="Expense",Table826[[#This Row],[Classification]]="Cost of Goods Sold"),Table826[[#This Row],[Debit\]]&gt;Table826[[#This Row],[Credit.]]),Table826[[#This Row],[Debit\]]-Table826[[#This Row],[Credit.]],""),"")</f>
        <v/>
      </c>
      <c r="AE109" s="34" t="str">
        <f>IFERROR(IF(AND(OR(Table826[[#This Row],[Classification]]="Income",Table826[[#This Row],[Classification]]="Cost of Goods Sold"),Table826[[#This Row],[Credit.]]&gt;Table826[[#This Row],[Debit\]]),Table826[[#This Row],[Credit.]]-Table826[[#This Row],[Debit\]],""),"")</f>
        <v/>
      </c>
      <c r="AF109" s="34"/>
      <c r="AG109" s="34" t="str">
        <f>IFERROR(IF(AND(Table826[[#This Row],[Classification]]="Assets",Table826[[#This Row],[Debit\]]-Table826[[#This Row],[Credit.]]),Table826[[#This Row],[Debit\]]-Table826[[#This Row],[Credit.]],""),"")</f>
        <v/>
      </c>
      <c r="AH109" s="34" t="str">
        <f>IFERROR(IF(AND(OR(Table826[[#This Row],[Classification]]="Liabilities",Table826[[#This Row],[Classification]]="Owner´s Equity"),Table826[[#This Row],[Credit.]]&gt;Table826[[#This Row],[Debit\]]),Table826[[#This Row],[Credit.]]-Table826[[#This Row],[Debit\]],""),"")</f>
        <v/>
      </c>
    </row>
    <row r="110" spans="2:34" hidden="1" x14ac:dyDescent="0.25">
      <c r="B110" s="34"/>
      <c r="C110" s="45"/>
      <c r="D110" s="34"/>
      <c r="E110" s="34"/>
      <c r="G110" s="39"/>
      <c r="H110" s="43"/>
      <c r="I110" s="41"/>
      <c r="J110" s="41"/>
      <c r="L110" s="34">
        <v>103</v>
      </c>
      <c r="M110" s="35"/>
      <c r="N110" s="35"/>
      <c r="O110" s="34">
        <f>IFERROR(SUMIF(Table423[,],Table625[[#This Row],[Accounts Name]],Table423[,3]),"")</f>
        <v>0</v>
      </c>
      <c r="P110" s="34">
        <f>IFERROR(SUMIF(Table423[,],Table625[[#This Row],[Accounts Name]],Table423[,2]),"")</f>
        <v>0</v>
      </c>
      <c r="S110" s="36">
        <f t="shared" si="1"/>
        <v>103</v>
      </c>
      <c r="T110" s="34"/>
      <c r="U110" s="37"/>
      <c r="V110" s="34">
        <f>IFERROR(SUMIF(Table625[Sub-Accounts],Table826[[#This Row],[Update your chart of accounts here]],Table625[Debit]),"")</f>
        <v>0</v>
      </c>
      <c r="W110" s="34">
        <f>IFERROR(SUMIF(Table625[Sub-Accounts],Table826[[#This Row],[Update your chart of accounts here]],Table625[Credit]),"")</f>
        <v>0</v>
      </c>
      <c r="X110" s="34"/>
      <c r="Y110" s="34"/>
      <c r="Z110" s="34"/>
      <c r="AA110" s="34"/>
      <c r="AB110" s="34">
        <f>MAX(Table826[[#This Row],[Debit]]+Table826[[#This Row],[Debit -]]-Table826[[#This Row],[Credit]]-Table826[[#This Row],[Credit +]],0)</f>
        <v>0</v>
      </c>
      <c r="AC110" s="34">
        <f>MAX(Table826[[#This Row],[Credit]]-Table826[[#This Row],[Debit]]+Table826[[#This Row],[Credit +]]-Table826[[#This Row],[Debit -]],0)</f>
        <v>0</v>
      </c>
      <c r="AD110" s="34" t="str">
        <f>IFERROR(IF(AND(OR(Table826[[#This Row],[Classification]]="Expense",Table826[[#This Row],[Classification]]="Cost of Goods Sold"),Table826[[#This Row],[Debit\]]&gt;Table826[[#This Row],[Credit.]]),Table826[[#This Row],[Debit\]]-Table826[[#This Row],[Credit.]],""),"")</f>
        <v/>
      </c>
      <c r="AE110" s="34" t="str">
        <f>IFERROR(IF(AND(OR(Table826[[#This Row],[Classification]]="Income",Table826[[#This Row],[Classification]]="Cost of Goods Sold"),Table826[[#This Row],[Credit.]]&gt;Table826[[#This Row],[Debit\]]),Table826[[#This Row],[Credit.]]-Table826[[#This Row],[Debit\]],""),"")</f>
        <v/>
      </c>
      <c r="AF110" s="34"/>
      <c r="AG110" s="34" t="str">
        <f>IFERROR(IF(AND(Table826[[#This Row],[Classification]]="Assets",Table826[[#This Row],[Debit\]]-Table826[[#This Row],[Credit.]]),Table826[[#This Row],[Debit\]]-Table826[[#This Row],[Credit.]],""),"")</f>
        <v/>
      </c>
      <c r="AH110" s="34" t="str">
        <f>IFERROR(IF(AND(OR(Table826[[#This Row],[Classification]]="Liabilities",Table826[[#This Row],[Classification]]="Owner´s Equity"),Table826[[#This Row],[Credit.]]&gt;Table826[[#This Row],[Debit\]]),Table826[[#This Row],[Credit.]]-Table826[[#This Row],[Debit\]],""),"")</f>
        <v/>
      </c>
    </row>
    <row r="111" spans="2:34" hidden="1" x14ac:dyDescent="0.25">
      <c r="B111" s="34"/>
      <c r="C111" s="45"/>
      <c r="D111" s="34"/>
      <c r="E111" s="34"/>
      <c r="G111" s="39"/>
      <c r="H111" s="40"/>
      <c r="I111" s="41"/>
      <c r="J111" s="41"/>
      <c r="L111" s="34">
        <v>104</v>
      </c>
      <c r="M111" s="35"/>
      <c r="N111" s="35"/>
      <c r="O111" s="34">
        <f>IFERROR(SUMIF(Table423[,],Table625[[#This Row],[Accounts Name]],Table423[,3]),"")</f>
        <v>0</v>
      </c>
      <c r="P111" s="34">
        <f>IFERROR(SUMIF(Table423[,],Table625[[#This Row],[Accounts Name]],Table423[,2]),"")</f>
        <v>0</v>
      </c>
      <c r="S111" s="36">
        <f t="shared" si="1"/>
        <v>104</v>
      </c>
      <c r="T111" s="34"/>
      <c r="U111" s="37"/>
      <c r="V111" s="34">
        <f>IFERROR(SUMIF(Table625[Sub-Accounts],Table826[[#This Row],[Update your chart of accounts here]],Table625[Debit]),"")</f>
        <v>0</v>
      </c>
      <c r="W111" s="34">
        <f>IFERROR(SUMIF(Table625[Sub-Accounts],Table826[[#This Row],[Update your chart of accounts here]],Table625[Credit]),"")</f>
        <v>0</v>
      </c>
      <c r="X111" s="34"/>
      <c r="Y111" s="34"/>
      <c r="Z111" s="34"/>
      <c r="AA111" s="34"/>
      <c r="AB111" s="34">
        <f>MAX(Table826[[#This Row],[Debit]]+Table826[[#This Row],[Debit -]]-Table826[[#This Row],[Credit]]-Table826[[#This Row],[Credit +]],0)</f>
        <v>0</v>
      </c>
      <c r="AC111" s="34">
        <f>MAX(Table826[[#This Row],[Credit]]-Table826[[#This Row],[Debit]]+Table826[[#This Row],[Credit +]]-Table826[[#This Row],[Debit -]],0)</f>
        <v>0</v>
      </c>
      <c r="AD111" s="34" t="str">
        <f>IFERROR(IF(AND(OR(Table826[[#This Row],[Classification]]="Expense",Table826[[#This Row],[Classification]]="Cost of Goods Sold"),Table826[[#This Row],[Debit\]]&gt;Table826[[#This Row],[Credit.]]),Table826[[#This Row],[Debit\]]-Table826[[#This Row],[Credit.]],""),"")</f>
        <v/>
      </c>
      <c r="AE111" s="34" t="str">
        <f>IFERROR(IF(AND(OR(Table826[[#This Row],[Classification]]="Income",Table826[[#This Row],[Classification]]="Cost of Goods Sold"),Table826[[#This Row],[Credit.]]&gt;Table826[[#This Row],[Debit\]]),Table826[[#This Row],[Credit.]]-Table826[[#This Row],[Debit\]],""),"")</f>
        <v/>
      </c>
      <c r="AF111" s="34"/>
      <c r="AG111" s="34" t="str">
        <f>IFERROR(IF(AND(Table826[[#This Row],[Classification]]="Assets",Table826[[#This Row],[Debit\]]-Table826[[#This Row],[Credit.]]),Table826[[#This Row],[Debit\]]-Table826[[#This Row],[Credit.]],""),"")</f>
        <v/>
      </c>
      <c r="AH111" s="34" t="str">
        <f>IFERROR(IF(AND(OR(Table826[[#This Row],[Classification]]="Liabilities",Table826[[#This Row],[Classification]]="Owner´s Equity"),Table826[[#This Row],[Credit.]]&gt;Table826[[#This Row],[Debit\]]),Table826[[#This Row],[Credit.]]-Table826[[#This Row],[Debit\]],""),"")</f>
        <v/>
      </c>
    </row>
    <row r="112" spans="2:34" hidden="1" x14ac:dyDescent="0.25">
      <c r="B112" s="34"/>
      <c r="C112" s="45"/>
      <c r="D112" s="34"/>
      <c r="E112" s="34"/>
      <c r="G112" s="39"/>
      <c r="H112" s="40"/>
      <c r="I112" s="41"/>
      <c r="J112" s="41"/>
      <c r="L112" s="34">
        <v>105</v>
      </c>
      <c r="M112" s="35"/>
      <c r="N112" s="35"/>
      <c r="O112" s="34">
        <f>IFERROR(SUMIF(Table423[,],Table625[[#This Row],[Accounts Name]],Table423[,3]),"")</f>
        <v>0</v>
      </c>
      <c r="P112" s="34">
        <f>IFERROR(SUMIF(Table423[,],Table625[[#This Row],[Accounts Name]],Table423[,2]),"")</f>
        <v>0</v>
      </c>
      <c r="S112" s="36">
        <f t="shared" si="1"/>
        <v>105</v>
      </c>
      <c r="T112" s="34"/>
      <c r="U112" s="37"/>
      <c r="V112" s="34">
        <f>IFERROR(SUMIF(Table625[Sub-Accounts],Table826[[#This Row],[Update your chart of accounts here]],Table625[Debit]),"")</f>
        <v>0</v>
      </c>
      <c r="W112" s="34">
        <f>IFERROR(SUMIF(Table625[Sub-Accounts],Table826[[#This Row],[Update your chart of accounts here]],Table625[Credit]),"")</f>
        <v>0</v>
      </c>
      <c r="X112" s="34"/>
      <c r="Y112" s="34"/>
      <c r="Z112" s="34"/>
      <c r="AA112" s="34"/>
      <c r="AB112" s="34">
        <f>MAX(Table826[[#This Row],[Debit]]+Table826[[#This Row],[Debit -]]-Table826[[#This Row],[Credit]]-Table826[[#This Row],[Credit +]],0)</f>
        <v>0</v>
      </c>
      <c r="AC112" s="34">
        <f>MAX(Table826[[#This Row],[Credit]]-Table826[[#This Row],[Debit]]+Table826[[#This Row],[Credit +]]-Table826[[#This Row],[Debit -]],0)</f>
        <v>0</v>
      </c>
      <c r="AD112" s="34" t="str">
        <f>IFERROR(IF(AND(OR(Table826[[#This Row],[Classification]]="Expense",Table826[[#This Row],[Classification]]="Cost of Goods Sold"),Table826[[#This Row],[Debit\]]&gt;Table826[[#This Row],[Credit.]]),Table826[[#This Row],[Debit\]]-Table826[[#This Row],[Credit.]],""),"")</f>
        <v/>
      </c>
      <c r="AE112" s="34" t="str">
        <f>IFERROR(IF(AND(OR(Table826[[#This Row],[Classification]]="Income",Table826[[#This Row],[Classification]]="Cost of Goods Sold"),Table826[[#This Row],[Credit.]]&gt;Table826[[#This Row],[Debit\]]),Table826[[#This Row],[Credit.]]-Table826[[#This Row],[Debit\]],""),"")</f>
        <v/>
      </c>
      <c r="AF112" s="34"/>
      <c r="AG112" s="34" t="str">
        <f>IFERROR(IF(AND(Table826[[#This Row],[Classification]]="Assets",Table826[[#This Row],[Debit\]]-Table826[[#This Row],[Credit.]]),Table826[[#This Row],[Debit\]]-Table826[[#This Row],[Credit.]],""),"")</f>
        <v/>
      </c>
      <c r="AH112" s="34" t="str">
        <f>IFERROR(IF(AND(OR(Table826[[#This Row],[Classification]]="Liabilities",Table826[[#This Row],[Classification]]="Owner´s Equity"),Table826[[#This Row],[Credit.]]&gt;Table826[[#This Row],[Debit\]]),Table826[[#This Row],[Credit.]]-Table826[[#This Row],[Debit\]],""),"")</f>
        <v/>
      </c>
    </row>
    <row r="113" spans="2:34" hidden="1" x14ac:dyDescent="0.25">
      <c r="B113" s="34"/>
      <c r="C113" s="45"/>
      <c r="D113" s="34"/>
      <c r="E113" s="34"/>
      <c r="G113" s="39"/>
      <c r="H113" s="43"/>
      <c r="I113" s="41"/>
      <c r="J113" s="41"/>
      <c r="L113" s="34">
        <v>106</v>
      </c>
      <c r="M113" s="35"/>
      <c r="N113" s="35"/>
      <c r="O113" s="34">
        <f>IFERROR(SUMIF(Table423[,],Table625[[#This Row],[Accounts Name]],Table423[,3]),"")</f>
        <v>0</v>
      </c>
      <c r="P113" s="34">
        <f>IFERROR(SUMIF(Table423[,],Table625[[#This Row],[Accounts Name]],Table423[,2]),"")</f>
        <v>0</v>
      </c>
      <c r="S113" s="36">
        <f t="shared" si="1"/>
        <v>106</v>
      </c>
      <c r="T113" s="34"/>
      <c r="U113" s="37"/>
      <c r="V113" s="34">
        <f>IFERROR(SUMIF(Table625[Sub-Accounts],Table826[[#This Row],[Update your chart of accounts here]],Table625[Debit]),"")</f>
        <v>0</v>
      </c>
      <c r="W113" s="34">
        <f>IFERROR(SUMIF(Table625[Sub-Accounts],Table826[[#This Row],[Update your chart of accounts here]],Table625[Credit]),"")</f>
        <v>0</v>
      </c>
      <c r="X113" s="34"/>
      <c r="Y113" s="34"/>
      <c r="Z113" s="34"/>
      <c r="AA113" s="34"/>
      <c r="AB113" s="34">
        <f>MAX(Table826[[#This Row],[Debit]]+Table826[[#This Row],[Debit -]]-Table826[[#This Row],[Credit]]-Table826[[#This Row],[Credit +]],0)</f>
        <v>0</v>
      </c>
      <c r="AC113" s="34">
        <f>MAX(Table826[[#This Row],[Credit]]-Table826[[#This Row],[Debit]]+Table826[[#This Row],[Credit +]]-Table826[[#This Row],[Debit -]],0)</f>
        <v>0</v>
      </c>
      <c r="AD113" s="34" t="str">
        <f>IFERROR(IF(AND(OR(Table826[[#This Row],[Classification]]="Expense",Table826[[#This Row],[Classification]]="Cost of Goods Sold"),Table826[[#This Row],[Debit\]]&gt;Table826[[#This Row],[Credit.]]),Table826[[#This Row],[Debit\]]-Table826[[#This Row],[Credit.]],""),"")</f>
        <v/>
      </c>
      <c r="AE113" s="34" t="str">
        <f>IFERROR(IF(AND(OR(Table826[[#This Row],[Classification]]="Income",Table826[[#This Row],[Classification]]="Cost of Goods Sold"),Table826[[#This Row],[Credit.]]&gt;Table826[[#This Row],[Debit\]]),Table826[[#This Row],[Credit.]]-Table826[[#This Row],[Debit\]],""),"")</f>
        <v/>
      </c>
      <c r="AF113" s="34"/>
      <c r="AG113" s="34" t="str">
        <f>IFERROR(IF(AND(Table826[[#This Row],[Classification]]="Assets",Table826[[#This Row],[Debit\]]-Table826[[#This Row],[Credit.]]),Table826[[#This Row],[Debit\]]-Table826[[#This Row],[Credit.]],""),"")</f>
        <v/>
      </c>
      <c r="AH113" s="34" t="str">
        <f>IFERROR(IF(AND(OR(Table826[[#This Row],[Classification]]="Liabilities",Table826[[#This Row],[Classification]]="Owner´s Equity"),Table826[[#This Row],[Credit.]]&gt;Table826[[#This Row],[Debit\]]),Table826[[#This Row],[Credit.]]-Table826[[#This Row],[Debit\]],""),"")</f>
        <v/>
      </c>
    </row>
    <row r="114" spans="2:34" hidden="1" x14ac:dyDescent="0.25">
      <c r="B114" s="34"/>
      <c r="C114" s="45"/>
      <c r="D114" s="34"/>
      <c r="E114" s="34"/>
      <c r="G114" s="39"/>
      <c r="H114" s="40"/>
      <c r="I114" s="41"/>
      <c r="J114" s="41"/>
      <c r="L114" s="34">
        <v>107</v>
      </c>
      <c r="M114" s="35"/>
      <c r="N114" s="35"/>
      <c r="O114" s="34">
        <f>IFERROR(SUMIF(Table423[,],Table625[[#This Row],[Accounts Name]],Table423[,3]),"")</f>
        <v>0</v>
      </c>
      <c r="P114" s="34">
        <f>IFERROR(SUMIF(Table423[,],Table625[[#This Row],[Accounts Name]],Table423[,2]),"")</f>
        <v>0</v>
      </c>
      <c r="S114" s="36">
        <f t="shared" si="1"/>
        <v>107</v>
      </c>
      <c r="T114" s="34"/>
      <c r="U114" s="37"/>
      <c r="V114" s="34">
        <f>IFERROR(SUMIF(Table625[Sub-Accounts],Table826[[#This Row],[Update your chart of accounts here]],Table625[Debit]),"")</f>
        <v>0</v>
      </c>
      <c r="W114" s="34">
        <f>IFERROR(SUMIF(Table625[Sub-Accounts],Table826[[#This Row],[Update your chart of accounts here]],Table625[Credit]),"")</f>
        <v>0</v>
      </c>
      <c r="X114" s="34"/>
      <c r="Y114" s="34"/>
      <c r="Z114" s="34"/>
      <c r="AA114" s="34"/>
      <c r="AB114" s="34">
        <f>MAX(Table826[[#This Row],[Debit]]+Table826[[#This Row],[Debit -]]-Table826[[#This Row],[Credit]]-Table826[[#This Row],[Credit +]],0)</f>
        <v>0</v>
      </c>
      <c r="AC114" s="34">
        <f>MAX(Table826[[#This Row],[Credit]]-Table826[[#This Row],[Debit]]+Table826[[#This Row],[Credit +]]-Table826[[#This Row],[Debit -]],0)</f>
        <v>0</v>
      </c>
      <c r="AD114" s="34" t="str">
        <f>IFERROR(IF(AND(OR(Table826[[#This Row],[Classification]]="Expense",Table826[[#This Row],[Classification]]="Cost of Goods Sold"),Table826[[#This Row],[Debit\]]&gt;Table826[[#This Row],[Credit.]]),Table826[[#This Row],[Debit\]]-Table826[[#This Row],[Credit.]],""),"")</f>
        <v/>
      </c>
      <c r="AE114" s="34" t="str">
        <f>IFERROR(IF(AND(OR(Table826[[#This Row],[Classification]]="Income",Table826[[#This Row],[Classification]]="Cost of Goods Sold"),Table826[[#This Row],[Credit.]]&gt;Table826[[#This Row],[Debit\]]),Table826[[#This Row],[Credit.]]-Table826[[#This Row],[Debit\]],""),"")</f>
        <v/>
      </c>
      <c r="AF114" s="34"/>
      <c r="AG114" s="34" t="str">
        <f>IFERROR(IF(AND(Table826[[#This Row],[Classification]]="Assets",Table826[[#This Row],[Debit\]]-Table826[[#This Row],[Credit.]]),Table826[[#This Row],[Debit\]]-Table826[[#This Row],[Credit.]],""),"")</f>
        <v/>
      </c>
      <c r="AH114" s="34" t="str">
        <f>IFERROR(IF(AND(OR(Table826[[#This Row],[Classification]]="Liabilities",Table826[[#This Row],[Classification]]="Owner´s Equity"),Table826[[#This Row],[Credit.]]&gt;Table826[[#This Row],[Debit\]]),Table826[[#This Row],[Credit.]]-Table826[[#This Row],[Debit\]],""),"")</f>
        <v/>
      </c>
    </row>
    <row r="115" spans="2:34" hidden="1" x14ac:dyDescent="0.25">
      <c r="B115" s="34"/>
      <c r="C115" s="45"/>
      <c r="D115" s="34"/>
      <c r="E115" s="34"/>
      <c r="G115" s="39"/>
      <c r="H115" s="40"/>
      <c r="I115" s="41"/>
      <c r="J115" s="41"/>
      <c r="L115" s="34">
        <v>108</v>
      </c>
      <c r="M115" s="35"/>
      <c r="N115" s="35"/>
      <c r="O115" s="34">
        <f>IFERROR(SUMIF(Table423[,],Table625[[#This Row],[Accounts Name]],Table423[,3]),"")</f>
        <v>0</v>
      </c>
      <c r="P115" s="34">
        <f>IFERROR(SUMIF(Table423[,],Table625[[#This Row],[Accounts Name]],Table423[,2]),"")</f>
        <v>0</v>
      </c>
      <c r="S115" s="36">
        <f t="shared" si="1"/>
        <v>108</v>
      </c>
      <c r="T115" s="34"/>
      <c r="U115" s="37"/>
      <c r="V115" s="34">
        <f>IFERROR(SUMIF(Table625[Sub-Accounts],Table826[[#This Row],[Update your chart of accounts here]],Table625[Debit]),"")</f>
        <v>0</v>
      </c>
      <c r="W115" s="34">
        <f>IFERROR(SUMIF(Table625[Sub-Accounts],Table826[[#This Row],[Update your chart of accounts here]],Table625[Credit]),"")</f>
        <v>0</v>
      </c>
      <c r="X115" s="34"/>
      <c r="Y115" s="34"/>
      <c r="Z115" s="34"/>
      <c r="AA115" s="34"/>
      <c r="AB115" s="34">
        <f>MAX(Table826[[#This Row],[Debit]]+Table826[[#This Row],[Debit -]]-Table826[[#This Row],[Credit]]-Table826[[#This Row],[Credit +]],0)</f>
        <v>0</v>
      </c>
      <c r="AC115" s="34">
        <f>MAX(Table826[[#This Row],[Credit]]-Table826[[#This Row],[Debit]]+Table826[[#This Row],[Credit +]]-Table826[[#This Row],[Debit -]],0)</f>
        <v>0</v>
      </c>
      <c r="AD115" s="34" t="str">
        <f>IFERROR(IF(AND(OR(Table826[[#This Row],[Classification]]="Expense",Table826[[#This Row],[Classification]]="Cost of Goods Sold"),Table826[[#This Row],[Debit\]]&gt;Table826[[#This Row],[Credit.]]),Table826[[#This Row],[Debit\]]-Table826[[#This Row],[Credit.]],""),"")</f>
        <v/>
      </c>
      <c r="AE115" s="34" t="str">
        <f>IFERROR(IF(AND(OR(Table826[[#This Row],[Classification]]="Income",Table826[[#This Row],[Classification]]="Cost of Goods Sold"),Table826[[#This Row],[Credit.]]&gt;Table826[[#This Row],[Debit\]]),Table826[[#This Row],[Credit.]]-Table826[[#This Row],[Debit\]],""),"")</f>
        <v/>
      </c>
      <c r="AF115" s="34"/>
      <c r="AG115" s="34" t="str">
        <f>IFERROR(IF(AND(Table826[[#This Row],[Classification]]="Assets",Table826[[#This Row],[Debit\]]-Table826[[#This Row],[Credit.]]),Table826[[#This Row],[Debit\]]-Table826[[#This Row],[Credit.]],""),"")</f>
        <v/>
      </c>
      <c r="AH115" s="34" t="str">
        <f>IFERROR(IF(AND(OR(Table826[[#This Row],[Classification]]="Liabilities",Table826[[#This Row],[Classification]]="Owner´s Equity"),Table826[[#This Row],[Credit.]]&gt;Table826[[#This Row],[Debit\]]),Table826[[#This Row],[Credit.]]-Table826[[#This Row],[Debit\]],""),"")</f>
        <v/>
      </c>
    </row>
    <row r="116" spans="2:34" hidden="1" x14ac:dyDescent="0.25">
      <c r="B116" s="34"/>
      <c r="C116" s="45"/>
      <c r="D116" s="34"/>
      <c r="E116" s="34"/>
      <c r="G116" s="39"/>
      <c r="H116" s="43"/>
      <c r="I116" s="41"/>
      <c r="J116" s="41"/>
      <c r="L116" s="34">
        <v>109</v>
      </c>
      <c r="M116" s="35"/>
      <c r="N116" s="35"/>
      <c r="O116" s="34">
        <f>IFERROR(SUMIF(Table423[,],Table625[[#This Row],[Accounts Name]],Table423[,3]),"")</f>
        <v>0</v>
      </c>
      <c r="P116" s="34">
        <f>IFERROR(SUMIF(Table423[,],Table625[[#This Row],[Accounts Name]],Table423[,2]),"")</f>
        <v>0</v>
      </c>
      <c r="S116" s="36">
        <f t="shared" si="1"/>
        <v>109</v>
      </c>
      <c r="T116" s="34"/>
      <c r="U116" s="37"/>
      <c r="V116" s="34">
        <f>IFERROR(SUMIF(Table625[Sub-Accounts],Table826[[#This Row],[Update your chart of accounts here]],Table625[Debit]),"")</f>
        <v>0</v>
      </c>
      <c r="W116" s="34">
        <f>IFERROR(SUMIF(Table625[Sub-Accounts],Table826[[#This Row],[Update your chart of accounts here]],Table625[Credit]),"")</f>
        <v>0</v>
      </c>
      <c r="X116" s="34"/>
      <c r="Y116" s="34"/>
      <c r="Z116" s="34"/>
      <c r="AA116" s="34"/>
      <c r="AB116" s="34">
        <f>MAX(Table826[[#This Row],[Debit]]+Table826[[#This Row],[Debit -]]-Table826[[#This Row],[Credit]]-Table826[[#This Row],[Credit +]],0)</f>
        <v>0</v>
      </c>
      <c r="AC116" s="34">
        <f>MAX(Table826[[#This Row],[Credit]]-Table826[[#This Row],[Debit]]+Table826[[#This Row],[Credit +]]-Table826[[#This Row],[Debit -]],0)</f>
        <v>0</v>
      </c>
      <c r="AD116" s="34" t="str">
        <f>IFERROR(IF(AND(OR(Table826[[#This Row],[Classification]]="Expense",Table826[[#This Row],[Classification]]="Cost of Goods Sold"),Table826[[#This Row],[Debit\]]&gt;Table826[[#This Row],[Credit.]]),Table826[[#This Row],[Debit\]]-Table826[[#This Row],[Credit.]],""),"")</f>
        <v/>
      </c>
      <c r="AE116" s="34" t="str">
        <f>IFERROR(IF(AND(OR(Table826[[#This Row],[Classification]]="Income",Table826[[#This Row],[Classification]]="Cost of Goods Sold"),Table826[[#This Row],[Credit.]]&gt;Table826[[#This Row],[Debit\]]),Table826[[#This Row],[Credit.]]-Table826[[#This Row],[Debit\]],""),"")</f>
        <v/>
      </c>
      <c r="AF116" s="34"/>
      <c r="AG116" s="34" t="str">
        <f>IFERROR(IF(AND(Table826[[#This Row],[Classification]]="Assets",Table826[[#This Row],[Debit\]]-Table826[[#This Row],[Credit.]]),Table826[[#This Row],[Debit\]]-Table826[[#This Row],[Credit.]],""),"")</f>
        <v/>
      </c>
      <c r="AH116" s="34" t="str">
        <f>IFERROR(IF(AND(OR(Table826[[#This Row],[Classification]]="Liabilities",Table826[[#This Row],[Classification]]="Owner´s Equity"),Table826[[#This Row],[Credit.]]&gt;Table826[[#This Row],[Debit\]]),Table826[[#This Row],[Credit.]]-Table826[[#This Row],[Debit\]],""),"")</f>
        <v/>
      </c>
    </row>
    <row r="117" spans="2:34" hidden="1" x14ac:dyDescent="0.25">
      <c r="B117" s="34"/>
      <c r="C117" s="45"/>
      <c r="D117" s="34"/>
      <c r="E117" s="34"/>
      <c r="G117" s="39"/>
      <c r="H117" s="40"/>
      <c r="I117" s="41"/>
      <c r="J117" s="41"/>
      <c r="L117" s="34">
        <v>110</v>
      </c>
      <c r="M117" s="35"/>
      <c r="N117" s="35"/>
      <c r="O117" s="34">
        <f>IFERROR(SUMIF(Table423[,],Table625[[#This Row],[Accounts Name]],Table423[,3]),"")</f>
        <v>0</v>
      </c>
      <c r="P117" s="34">
        <f>IFERROR(SUMIF(Table423[,],Table625[[#This Row],[Accounts Name]],Table423[,2]),"")</f>
        <v>0</v>
      </c>
      <c r="S117" s="36">
        <f t="shared" si="1"/>
        <v>110</v>
      </c>
      <c r="T117" s="34"/>
      <c r="U117" s="37"/>
      <c r="V117" s="34">
        <f>IFERROR(SUMIF(Table625[Sub-Accounts],Table826[[#This Row],[Update your chart of accounts here]],Table625[Debit]),"")</f>
        <v>0</v>
      </c>
      <c r="W117" s="34">
        <f>IFERROR(SUMIF(Table625[Sub-Accounts],Table826[[#This Row],[Update your chart of accounts here]],Table625[Credit]),"")</f>
        <v>0</v>
      </c>
      <c r="X117" s="34"/>
      <c r="Y117" s="34"/>
      <c r="Z117" s="34"/>
      <c r="AA117" s="34"/>
      <c r="AB117" s="34">
        <f>MAX(Table826[[#This Row],[Debit]]+Table826[[#This Row],[Debit -]]-Table826[[#This Row],[Credit]]-Table826[[#This Row],[Credit +]],0)</f>
        <v>0</v>
      </c>
      <c r="AC117" s="34">
        <f>MAX(Table826[[#This Row],[Credit]]-Table826[[#This Row],[Debit]]+Table826[[#This Row],[Credit +]]-Table826[[#This Row],[Debit -]],0)</f>
        <v>0</v>
      </c>
      <c r="AD117" s="34" t="str">
        <f>IFERROR(IF(AND(OR(Table826[[#This Row],[Classification]]="Expense",Table826[[#This Row],[Classification]]="Cost of Goods Sold"),Table826[[#This Row],[Debit\]]&gt;Table826[[#This Row],[Credit.]]),Table826[[#This Row],[Debit\]]-Table826[[#This Row],[Credit.]],""),"")</f>
        <v/>
      </c>
      <c r="AE117" s="34" t="str">
        <f>IFERROR(IF(AND(OR(Table826[[#This Row],[Classification]]="Income",Table826[[#This Row],[Classification]]="Cost of Goods Sold"),Table826[[#This Row],[Credit.]]&gt;Table826[[#This Row],[Debit\]]),Table826[[#This Row],[Credit.]]-Table826[[#This Row],[Debit\]],""),"")</f>
        <v/>
      </c>
      <c r="AF117" s="34"/>
      <c r="AG117" s="34" t="str">
        <f>IFERROR(IF(AND(Table826[[#This Row],[Classification]]="Assets",Table826[[#This Row],[Debit\]]-Table826[[#This Row],[Credit.]]),Table826[[#This Row],[Debit\]]-Table826[[#This Row],[Credit.]],""),"")</f>
        <v/>
      </c>
      <c r="AH117" s="34" t="str">
        <f>IFERROR(IF(AND(OR(Table826[[#This Row],[Classification]]="Liabilities",Table826[[#This Row],[Classification]]="Owner´s Equity"),Table826[[#This Row],[Credit.]]&gt;Table826[[#This Row],[Debit\]]),Table826[[#This Row],[Credit.]]-Table826[[#This Row],[Debit\]],""),"")</f>
        <v/>
      </c>
    </row>
    <row r="118" spans="2:34" hidden="1" x14ac:dyDescent="0.25">
      <c r="B118" s="34"/>
      <c r="C118" s="45"/>
      <c r="D118" s="34"/>
      <c r="E118" s="34"/>
      <c r="G118" s="39"/>
      <c r="H118" s="40"/>
      <c r="I118" s="41"/>
      <c r="J118" s="41"/>
      <c r="L118" s="34">
        <v>111</v>
      </c>
      <c r="M118" s="35"/>
      <c r="N118" s="35"/>
      <c r="O118" s="34">
        <f>IFERROR(SUMIF(Table423[,],Table625[[#This Row],[Accounts Name]],Table423[,3]),"")</f>
        <v>0</v>
      </c>
      <c r="P118" s="34">
        <f>IFERROR(SUMIF(Table423[,],Table625[[#This Row],[Accounts Name]],Table423[,2]),"")</f>
        <v>0</v>
      </c>
      <c r="S118" s="36">
        <f t="shared" si="1"/>
        <v>111</v>
      </c>
      <c r="T118" s="34"/>
      <c r="U118" s="37"/>
      <c r="V118" s="34">
        <f>IFERROR(SUMIF(Table625[Sub-Accounts],Table826[[#This Row],[Update your chart of accounts here]],Table625[Debit]),"")</f>
        <v>0</v>
      </c>
      <c r="W118" s="34">
        <f>IFERROR(SUMIF(Table625[Sub-Accounts],Table826[[#This Row],[Update your chart of accounts here]],Table625[Credit]),"")</f>
        <v>0</v>
      </c>
      <c r="X118" s="34"/>
      <c r="Y118" s="34"/>
      <c r="Z118" s="34"/>
      <c r="AA118" s="34"/>
      <c r="AB118" s="34">
        <f>MAX(Table826[[#This Row],[Debit]]+Table826[[#This Row],[Debit -]]-Table826[[#This Row],[Credit]]-Table826[[#This Row],[Credit +]],0)</f>
        <v>0</v>
      </c>
      <c r="AC118" s="34">
        <f>MAX(Table826[[#This Row],[Credit]]-Table826[[#This Row],[Debit]]+Table826[[#This Row],[Credit +]]-Table826[[#This Row],[Debit -]],0)</f>
        <v>0</v>
      </c>
      <c r="AD118" s="34" t="str">
        <f>IFERROR(IF(AND(OR(Table826[[#This Row],[Classification]]="Expense",Table826[[#This Row],[Classification]]="Cost of Goods Sold"),Table826[[#This Row],[Debit\]]&gt;Table826[[#This Row],[Credit.]]),Table826[[#This Row],[Debit\]]-Table826[[#This Row],[Credit.]],""),"")</f>
        <v/>
      </c>
      <c r="AE118" s="34" t="str">
        <f>IFERROR(IF(AND(OR(Table826[[#This Row],[Classification]]="Income",Table826[[#This Row],[Classification]]="Cost of Goods Sold"),Table826[[#This Row],[Credit.]]&gt;Table826[[#This Row],[Debit\]]),Table826[[#This Row],[Credit.]]-Table826[[#This Row],[Debit\]],""),"")</f>
        <v/>
      </c>
      <c r="AF118" s="34"/>
      <c r="AG118" s="34" t="str">
        <f>IFERROR(IF(AND(Table826[[#This Row],[Classification]]="Assets",Table826[[#This Row],[Debit\]]-Table826[[#This Row],[Credit.]]),Table826[[#This Row],[Debit\]]-Table826[[#This Row],[Credit.]],""),"")</f>
        <v/>
      </c>
      <c r="AH118" s="34" t="str">
        <f>IFERROR(IF(AND(OR(Table826[[#This Row],[Classification]]="Liabilities",Table826[[#This Row],[Classification]]="Owner´s Equity"),Table826[[#This Row],[Credit.]]&gt;Table826[[#This Row],[Debit\]]),Table826[[#This Row],[Credit.]]-Table826[[#This Row],[Debit\]],""),"")</f>
        <v/>
      </c>
    </row>
    <row r="119" spans="2:34" hidden="1" x14ac:dyDescent="0.25">
      <c r="B119" s="34"/>
      <c r="C119" s="45"/>
      <c r="D119" s="34"/>
      <c r="E119" s="34"/>
      <c r="G119" s="39"/>
      <c r="H119" s="43"/>
      <c r="I119" s="41"/>
      <c r="J119" s="41"/>
      <c r="L119" s="34">
        <v>112</v>
      </c>
      <c r="M119" s="35"/>
      <c r="N119" s="35"/>
      <c r="O119" s="34">
        <f>IFERROR(SUMIF(Table423[,],Table625[[#This Row],[Accounts Name]],Table423[,3]),"")</f>
        <v>0</v>
      </c>
      <c r="P119" s="34">
        <f>IFERROR(SUMIF(Table423[,],Table625[[#This Row],[Accounts Name]],Table423[,2]),"")</f>
        <v>0</v>
      </c>
      <c r="S119" s="36">
        <f t="shared" si="1"/>
        <v>112</v>
      </c>
      <c r="T119" s="34"/>
      <c r="U119" s="37"/>
      <c r="V119" s="34">
        <f>IFERROR(SUMIF(Table625[Sub-Accounts],Table826[[#This Row],[Update your chart of accounts here]],Table625[Debit]),"")</f>
        <v>0</v>
      </c>
      <c r="W119" s="34">
        <f>IFERROR(SUMIF(Table625[Sub-Accounts],Table826[[#This Row],[Update your chart of accounts here]],Table625[Credit]),"")</f>
        <v>0</v>
      </c>
      <c r="X119" s="34"/>
      <c r="Y119" s="34"/>
      <c r="Z119" s="34"/>
      <c r="AA119" s="34"/>
      <c r="AB119" s="34">
        <f>MAX(Table826[[#This Row],[Debit]]+Table826[[#This Row],[Debit -]]-Table826[[#This Row],[Credit]]-Table826[[#This Row],[Credit +]],0)</f>
        <v>0</v>
      </c>
      <c r="AC119" s="34">
        <f>MAX(Table826[[#This Row],[Credit]]-Table826[[#This Row],[Debit]]+Table826[[#This Row],[Credit +]]-Table826[[#This Row],[Debit -]],0)</f>
        <v>0</v>
      </c>
      <c r="AD119" s="34" t="str">
        <f>IFERROR(IF(AND(OR(Table826[[#This Row],[Classification]]="Expense",Table826[[#This Row],[Classification]]="Cost of Goods Sold"),Table826[[#This Row],[Debit\]]&gt;Table826[[#This Row],[Credit.]]),Table826[[#This Row],[Debit\]]-Table826[[#This Row],[Credit.]],""),"")</f>
        <v/>
      </c>
      <c r="AE119" s="34" t="str">
        <f>IFERROR(IF(AND(OR(Table826[[#This Row],[Classification]]="Income",Table826[[#This Row],[Classification]]="Cost of Goods Sold"),Table826[[#This Row],[Credit.]]&gt;Table826[[#This Row],[Debit\]]),Table826[[#This Row],[Credit.]]-Table826[[#This Row],[Debit\]],""),"")</f>
        <v/>
      </c>
      <c r="AF119" s="34"/>
      <c r="AG119" s="34" t="str">
        <f>IFERROR(IF(AND(Table826[[#This Row],[Classification]]="Assets",Table826[[#This Row],[Debit\]]-Table826[[#This Row],[Credit.]]),Table826[[#This Row],[Debit\]]-Table826[[#This Row],[Credit.]],""),"")</f>
        <v/>
      </c>
      <c r="AH119" s="34" t="str">
        <f>IFERROR(IF(AND(OR(Table826[[#This Row],[Classification]]="Liabilities",Table826[[#This Row],[Classification]]="Owner´s Equity"),Table826[[#This Row],[Credit.]]&gt;Table826[[#This Row],[Debit\]]),Table826[[#This Row],[Credit.]]-Table826[[#This Row],[Debit\]],""),"")</f>
        <v/>
      </c>
    </row>
    <row r="120" spans="2:34" hidden="1" x14ac:dyDescent="0.25">
      <c r="B120" s="34"/>
      <c r="C120" s="45"/>
      <c r="D120" s="34"/>
      <c r="E120" s="34"/>
      <c r="G120" s="39"/>
      <c r="H120" s="40"/>
      <c r="I120" s="41"/>
      <c r="J120" s="41"/>
      <c r="L120" s="34">
        <v>113</v>
      </c>
      <c r="M120" s="35"/>
      <c r="N120" s="35"/>
      <c r="O120" s="34">
        <f>IFERROR(SUMIF(Table423[,],Table625[[#This Row],[Accounts Name]],Table423[,3]),"")</f>
        <v>0</v>
      </c>
      <c r="P120" s="34">
        <f>IFERROR(SUMIF(Table423[,],Table625[[#This Row],[Accounts Name]],Table423[,2]),"")</f>
        <v>0</v>
      </c>
      <c r="S120" s="36">
        <f t="shared" si="1"/>
        <v>113</v>
      </c>
      <c r="T120" s="34"/>
      <c r="U120" s="37"/>
      <c r="V120" s="34">
        <f>IFERROR(SUMIF(Table625[Sub-Accounts],Table826[[#This Row],[Update your chart of accounts here]],Table625[Debit]),"")</f>
        <v>0</v>
      </c>
      <c r="W120" s="34">
        <f>IFERROR(SUMIF(Table625[Sub-Accounts],Table826[[#This Row],[Update your chart of accounts here]],Table625[Credit]),"")</f>
        <v>0</v>
      </c>
      <c r="X120" s="34"/>
      <c r="Y120" s="34"/>
      <c r="Z120" s="34"/>
      <c r="AA120" s="34"/>
      <c r="AB120" s="34">
        <f>MAX(Table826[[#This Row],[Debit]]+Table826[[#This Row],[Debit -]]-Table826[[#This Row],[Credit]]-Table826[[#This Row],[Credit +]],0)</f>
        <v>0</v>
      </c>
      <c r="AC120" s="34">
        <f>MAX(Table826[[#This Row],[Credit]]-Table826[[#This Row],[Debit]]+Table826[[#This Row],[Credit +]]-Table826[[#This Row],[Debit -]],0)</f>
        <v>0</v>
      </c>
      <c r="AD120" s="34" t="str">
        <f>IFERROR(IF(AND(OR(Table826[[#This Row],[Classification]]="Expense",Table826[[#This Row],[Classification]]="Cost of Goods Sold"),Table826[[#This Row],[Debit\]]&gt;Table826[[#This Row],[Credit.]]),Table826[[#This Row],[Debit\]]-Table826[[#This Row],[Credit.]],""),"")</f>
        <v/>
      </c>
      <c r="AE120" s="34" t="str">
        <f>IFERROR(IF(AND(OR(Table826[[#This Row],[Classification]]="Income",Table826[[#This Row],[Classification]]="Cost of Goods Sold"),Table826[[#This Row],[Credit.]]&gt;Table826[[#This Row],[Debit\]]),Table826[[#This Row],[Credit.]]-Table826[[#This Row],[Debit\]],""),"")</f>
        <v/>
      </c>
      <c r="AF120" s="34"/>
      <c r="AG120" s="34" t="str">
        <f>IFERROR(IF(AND(Table826[[#This Row],[Classification]]="Assets",Table826[[#This Row],[Debit\]]-Table826[[#This Row],[Credit.]]),Table826[[#This Row],[Debit\]]-Table826[[#This Row],[Credit.]],""),"")</f>
        <v/>
      </c>
      <c r="AH120" s="34" t="str">
        <f>IFERROR(IF(AND(OR(Table826[[#This Row],[Classification]]="Liabilities",Table826[[#This Row],[Classification]]="Owner´s Equity"),Table826[[#This Row],[Credit.]]&gt;Table826[[#This Row],[Debit\]]),Table826[[#This Row],[Credit.]]-Table826[[#This Row],[Debit\]],""),"")</f>
        <v/>
      </c>
    </row>
    <row r="121" spans="2:34" hidden="1" x14ac:dyDescent="0.25">
      <c r="B121" s="34"/>
      <c r="C121" s="45"/>
      <c r="D121" s="34"/>
      <c r="E121" s="34"/>
      <c r="G121" s="39"/>
      <c r="H121" s="40"/>
      <c r="I121" s="41"/>
      <c r="J121" s="41"/>
      <c r="L121" s="34">
        <v>114</v>
      </c>
      <c r="M121" s="35"/>
      <c r="N121" s="35"/>
      <c r="O121" s="34">
        <f>IFERROR(SUMIF(Table423[,],Table625[[#This Row],[Accounts Name]],Table423[,3]),"")</f>
        <v>0</v>
      </c>
      <c r="P121" s="34">
        <f>IFERROR(SUMIF(Table423[,],Table625[[#This Row],[Accounts Name]],Table423[,2]),"")</f>
        <v>0</v>
      </c>
      <c r="S121" s="36">
        <f t="shared" si="1"/>
        <v>114</v>
      </c>
      <c r="T121" s="34"/>
      <c r="U121" s="37"/>
      <c r="V121" s="34">
        <f>IFERROR(SUMIF(Table625[Sub-Accounts],Table826[[#This Row],[Update your chart of accounts here]],Table625[Debit]),"")</f>
        <v>0</v>
      </c>
      <c r="W121" s="34">
        <f>IFERROR(SUMIF(Table625[Sub-Accounts],Table826[[#This Row],[Update your chart of accounts here]],Table625[Credit]),"")</f>
        <v>0</v>
      </c>
      <c r="X121" s="34"/>
      <c r="Y121" s="34"/>
      <c r="Z121" s="34"/>
      <c r="AA121" s="34"/>
      <c r="AB121" s="34">
        <f>MAX(Table826[[#This Row],[Debit]]+Table826[[#This Row],[Debit -]]-Table826[[#This Row],[Credit]]-Table826[[#This Row],[Credit +]],0)</f>
        <v>0</v>
      </c>
      <c r="AC121" s="34">
        <f>MAX(Table826[[#This Row],[Credit]]-Table826[[#This Row],[Debit]]+Table826[[#This Row],[Credit +]]-Table826[[#This Row],[Debit -]],0)</f>
        <v>0</v>
      </c>
      <c r="AD121" s="34" t="str">
        <f>IFERROR(IF(AND(OR(Table826[[#This Row],[Classification]]="Expense",Table826[[#This Row],[Classification]]="Cost of Goods Sold"),Table826[[#This Row],[Debit\]]&gt;Table826[[#This Row],[Credit.]]),Table826[[#This Row],[Debit\]]-Table826[[#This Row],[Credit.]],""),"")</f>
        <v/>
      </c>
      <c r="AE121" s="34" t="str">
        <f>IFERROR(IF(AND(OR(Table826[[#This Row],[Classification]]="Income",Table826[[#This Row],[Classification]]="Cost of Goods Sold"),Table826[[#This Row],[Credit.]]&gt;Table826[[#This Row],[Debit\]]),Table826[[#This Row],[Credit.]]-Table826[[#This Row],[Debit\]],""),"")</f>
        <v/>
      </c>
      <c r="AF121" s="34"/>
      <c r="AG121" s="34" t="str">
        <f>IFERROR(IF(AND(Table826[[#This Row],[Classification]]="Assets",Table826[[#This Row],[Debit\]]-Table826[[#This Row],[Credit.]]),Table826[[#This Row],[Debit\]]-Table826[[#This Row],[Credit.]],""),"")</f>
        <v/>
      </c>
      <c r="AH121" s="34" t="str">
        <f>IFERROR(IF(AND(OR(Table826[[#This Row],[Classification]]="Liabilities",Table826[[#This Row],[Classification]]="Owner´s Equity"),Table826[[#This Row],[Credit.]]&gt;Table826[[#This Row],[Debit\]]),Table826[[#This Row],[Credit.]]-Table826[[#This Row],[Debit\]],""),"")</f>
        <v/>
      </c>
    </row>
    <row r="122" spans="2:34" hidden="1" x14ac:dyDescent="0.25">
      <c r="B122" s="34"/>
      <c r="C122" s="45"/>
      <c r="D122" s="34"/>
      <c r="E122" s="34"/>
      <c r="G122" s="39"/>
      <c r="H122" s="43"/>
      <c r="I122" s="41"/>
      <c r="J122" s="41"/>
      <c r="L122" s="34">
        <v>115</v>
      </c>
      <c r="M122" s="35"/>
      <c r="N122" s="35"/>
      <c r="O122" s="34">
        <f>IFERROR(SUMIF(Table423[,],Table625[[#This Row],[Accounts Name]],Table423[,3]),"")</f>
        <v>0</v>
      </c>
      <c r="P122" s="34">
        <f>IFERROR(SUMIF(Table423[,],Table625[[#This Row],[Accounts Name]],Table423[,2]),"")</f>
        <v>0</v>
      </c>
      <c r="S122" s="36">
        <f t="shared" si="1"/>
        <v>115</v>
      </c>
      <c r="T122" s="34"/>
      <c r="U122" s="37"/>
      <c r="V122" s="34">
        <f>IFERROR(SUMIF(Table625[Sub-Accounts],Table826[[#This Row],[Update your chart of accounts here]],Table625[Debit]),"")</f>
        <v>0</v>
      </c>
      <c r="W122" s="34">
        <f>IFERROR(SUMIF(Table625[Sub-Accounts],Table826[[#This Row],[Update your chart of accounts here]],Table625[Credit]),"")</f>
        <v>0</v>
      </c>
      <c r="X122" s="34"/>
      <c r="Y122" s="34"/>
      <c r="Z122" s="34"/>
      <c r="AA122" s="34"/>
      <c r="AB122" s="34">
        <f>MAX(Table826[[#This Row],[Debit]]+Table826[[#This Row],[Debit -]]-Table826[[#This Row],[Credit]]-Table826[[#This Row],[Credit +]],0)</f>
        <v>0</v>
      </c>
      <c r="AC122" s="34">
        <f>MAX(Table826[[#This Row],[Credit]]-Table826[[#This Row],[Debit]]+Table826[[#This Row],[Credit +]]-Table826[[#This Row],[Debit -]],0)</f>
        <v>0</v>
      </c>
      <c r="AD122" s="34" t="str">
        <f>IFERROR(IF(AND(OR(Table826[[#This Row],[Classification]]="Expense",Table826[[#This Row],[Classification]]="Cost of Goods Sold"),Table826[[#This Row],[Debit\]]&gt;Table826[[#This Row],[Credit.]]),Table826[[#This Row],[Debit\]]-Table826[[#This Row],[Credit.]],""),"")</f>
        <v/>
      </c>
      <c r="AE122" s="34" t="str">
        <f>IFERROR(IF(AND(OR(Table826[[#This Row],[Classification]]="Income",Table826[[#This Row],[Classification]]="Cost of Goods Sold"),Table826[[#This Row],[Credit.]]&gt;Table826[[#This Row],[Debit\]]),Table826[[#This Row],[Credit.]]-Table826[[#This Row],[Debit\]],""),"")</f>
        <v/>
      </c>
      <c r="AF122" s="34"/>
      <c r="AG122" s="34" t="str">
        <f>IFERROR(IF(AND(Table826[[#This Row],[Classification]]="Assets",Table826[[#This Row],[Debit\]]-Table826[[#This Row],[Credit.]]),Table826[[#This Row],[Debit\]]-Table826[[#This Row],[Credit.]],""),"")</f>
        <v/>
      </c>
      <c r="AH122" s="34" t="str">
        <f>IFERROR(IF(AND(OR(Table826[[#This Row],[Classification]]="Liabilities",Table826[[#This Row],[Classification]]="Owner´s Equity"),Table826[[#This Row],[Credit.]]&gt;Table826[[#This Row],[Debit\]]),Table826[[#This Row],[Credit.]]-Table826[[#This Row],[Debit\]],""),"")</f>
        <v/>
      </c>
    </row>
    <row r="123" spans="2:34" hidden="1" x14ac:dyDescent="0.25">
      <c r="B123" s="34"/>
      <c r="C123" s="45"/>
      <c r="D123" s="34"/>
      <c r="E123" s="34"/>
      <c r="G123" s="39"/>
      <c r="H123" s="40"/>
      <c r="I123" s="41"/>
      <c r="J123" s="41"/>
      <c r="L123" s="34">
        <v>116</v>
      </c>
      <c r="M123" s="35"/>
      <c r="N123" s="35"/>
      <c r="O123" s="34">
        <f>IFERROR(SUMIF(Table423[,],Table625[[#This Row],[Accounts Name]],Table423[,3]),"")</f>
        <v>0</v>
      </c>
      <c r="P123" s="34">
        <f>IFERROR(SUMIF(Table423[,],Table625[[#This Row],[Accounts Name]],Table423[,2]),"")</f>
        <v>0</v>
      </c>
      <c r="S123" s="36">
        <f t="shared" si="1"/>
        <v>116</v>
      </c>
      <c r="T123" s="34"/>
      <c r="U123" s="37"/>
      <c r="V123" s="34">
        <f>IFERROR(SUMIF(Table625[Sub-Accounts],Table826[[#This Row],[Update your chart of accounts here]],Table625[Debit]),"")</f>
        <v>0</v>
      </c>
      <c r="W123" s="34">
        <f>IFERROR(SUMIF(Table625[Sub-Accounts],Table826[[#This Row],[Update your chart of accounts here]],Table625[Credit]),"")</f>
        <v>0</v>
      </c>
      <c r="X123" s="34"/>
      <c r="Y123" s="34"/>
      <c r="Z123" s="34"/>
      <c r="AA123" s="34"/>
      <c r="AB123" s="34">
        <f>MAX(Table826[[#This Row],[Debit]]+Table826[[#This Row],[Debit -]]-Table826[[#This Row],[Credit]]-Table826[[#This Row],[Credit +]],0)</f>
        <v>0</v>
      </c>
      <c r="AC123" s="34">
        <f>MAX(Table826[[#This Row],[Credit]]-Table826[[#This Row],[Debit]]+Table826[[#This Row],[Credit +]]-Table826[[#This Row],[Debit -]],0)</f>
        <v>0</v>
      </c>
      <c r="AD123" s="34" t="str">
        <f>IFERROR(IF(AND(OR(Table826[[#This Row],[Classification]]="Expense",Table826[[#This Row],[Classification]]="Cost of Goods Sold"),Table826[[#This Row],[Debit\]]&gt;Table826[[#This Row],[Credit.]]),Table826[[#This Row],[Debit\]]-Table826[[#This Row],[Credit.]],""),"")</f>
        <v/>
      </c>
      <c r="AE123" s="34" t="str">
        <f>IFERROR(IF(AND(OR(Table826[[#This Row],[Classification]]="Income",Table826[[#This Row],[Classification]]="Cost of Goods Sold"),Table826[[#This Row],[Credit.]]&gt;Table826[[#This Row],[Debit\]]),Table826[[#This Row],[Credit.]]-Table826[[#This Row],[Debit\]],""),"")</f>
        <v/>
      </c>
      <c r="AF123" s="34"/>
      <c r="AG123" s="34" t="str">
        <f>IFERROR(IF(AND(Table826[[#This Row],[Classification]]="Assets",Table826[[#This Row],[Debit\]]-Table826[[#This Row],[Credit.]]),Table826[[#This Row],[Debit\]]-Table826[[#This Row],[Credit.]],""),"")</f>
        <v/>
      </c>
      <c r="AH123" s="34" t="str">
        <f>IFERROR(IF(AND(OR(Table826[[#This Row],[Classification]]="Liabilities",Table826[[#This Row],[Classification]]="Owner´s Equity"),Table826[[#This Row],[Credit.]]&gt;Table826[[#This Row],[Debit\]]),Table826[[#This Row],[Credit.]]-Table826[[#This Row],[Debit\]],""),"")</f>
        <v/>
      </c>
    </row>
    <row r="124" spans="2:34" hidden="1" x14ac:dyDescent="0.25">
      <c r="B124" s="34"/>
      <c r="C124" s="45"/>
      <c r="D124" s="34"/>
      <c r="E124" s="34"/>
      <c r="G124" s="39"/>
      <c r="H124" s="40"/>
      <c r="I124" s="41"/>
      <c r="J124" s="41"/>
      <c r="L124" s="34">
        <v>117</v>
      </c>
      <c r="M124" s="35"/>
      <c r="N124" s="35"/>
      <c r="O124" s="34">
        <f>IFERROR(SUMIF(Table423[,],Table625[[#This Row],[Accounts Name]],Table423[,3]),"")</f>
        <v>0</v>
      </c>
      <c r="P124" s="34">
        <f>IFERROR(SUMIF(Table423[,],Table625[[#This Row],[Accounts Name]],Table423[,2]),"")</f>
        <v>0</v>
      </c>
      <c r="S124" s="36">
        <f t="shared" si="1"/>
        <v>117</v>
      </c>
      <c r="T124" s="34"/>
      <c r="U124" s="37"/>
      <c r="V124" s="34">
        <f>IFERROR(SUMIF(Table625[Sub-Accounts],Table826[[#This Row],[Update your chart of accounts here]],Table625[Debit]),"")</f>
        <v>0</v>
      </c>
      <c r="W124" s="34">
        <f>IFERROR(SUMIF(Table625[Sub-Accounts],Table826[[#This Row],[Update your chart of accounts here]],Table625[Credit]),"")</f>
        <v>0</v>
      </c>
      <c r="X124" s="34"/>
      <c r="Y124" s="34"/>
      <c r="Z124" s="34"/>
      <c r="AA124" s="34"/>
      <c r="AB124" s="34">
        <f>MAX(Table826[[#This Row],[Debit]]+Table826[[#This Row],[Debit -]]-Table826[[#This Row],[Credit]]-Table826[[#This Row],[Credit +]],0)</f>
        <v>0</v>
      </c>
      <c r="AC124" s="34">
        <f>MAX(Table826[[#This Row],[Credit]]-Table826[[#This Row],[Debit]]+Table826[[#This Row],[Credit +]]-Table826[[#This Row],[Debit -]],0)</f>
        <v>0</v>
      </c>
      <c r="AD124" s="34" t="str">
        <f>IFERROR(IF(AND(OR(Table826[[#This Row],[Classification]]="Expense",Table826[[#This Row],[Classification]]="Cost of Goods Sold"),Table826[[#This Row],[Debit\]]&gt;Table826[[#This Row],[Credit.]]),Table826[[#This Row],[Debit\]]-Table826[[#This Row],[Credit.]],""),"")</f>
        <v/>
      </c>
      <c r="AE124" s="34" t="str">
        <f>IFERROR(IF(AND(OR(Table826[[#This Row],[Classification]]="Income",Table826[[#This Row],[Classification]]="Cost of Goods Sold"),Table826[[#This Row],[Credit.]]&gt;Table826[[#This Row],[Debit\]]),Table826[[#This Row],[Credit.]]-Table826[[#This Row],[Debit\]],""),"")</f>
        <v/>
      </c>
      <c r="AF124" s="34"/>
      <c r="AG124" s="34" t="str">
        <f>IFERROR(IF(AND(Table826[[#This Row],[Classification]]="Assets",Table826[[#This Row],[Debit\]]-Table826[[#This Row],[Credit.]]),Table826[[#This Row],[Debit\]]-Table826[[#This Row],[Credit.]],""),"")</f>
        <v/>
      </c>
      <c r="AH124" s="34" t="str">
        <f>IFERROR(IF(AND(OR(Table826[[#This Row],[Classification]]="Liabilities",Table826[[#This Row],[Classification]]="Owner´s Equity"),Table826[[#This Row],[Credit.]]&gt;Table826[[#This Row],[Debit\]]),Table826[[#This Row],[Credit.]]-Table826[[#This Row],[Debit\]],""),"")</f>
        <v/>
      </c>
    </row>
    <row r="125" spans="2:34" hidden="1" x14ac:dyDescent="0.25">
      <c r="B125" s="34"/>
      <c r="C125" s="45"/>
      <c r="D125" s="34"/>
      <c r="E125" s="34"/>
      <c r="G125" s="39"/>
      <c r="H125" s="43"/>
      <c r="I125" s="41"/>
      <c r="J125" s="41"/>
      <c r="L125" s="34">
        <v>118</v>
      </c>
      <c r="M125" s="35"/>
      <c r="N125" s="35"/>
      <c r="O125" s="34">
        <f>IFERROR(SUMIF(Table423[,],Table625[[#This Row],[Accounts Name]],Table423[,3]),"")</f>
        <v>0</v>
      </c>
      <c r="P125" s="34">
        <f>IFERROR(SUMIF(Table423[,],Table625[[#This Row],[Accounts Name]],Table423[,2]),"")</f>
        <v>0</v>
      </c>
      <c r="S125" s="36">
        <f t="shared" si="1"/>
        <v>118</v>
      </c>
      <c r="T125" s="34"/>
      <c r="U125" s="37"/>
      <c r="V125" s="34">
        <f>IFERROR(SUMIF(Table625[Sub-Accounts],Table826[[#This Row],[Update your chart of accounts here]],Table625[Debit]),"")</f>
        <v>0</v>
      </c>
      <c r="W125" s="34">
        <f>IFERROR(SUMIF(Table625[Sub-Accounts],Table826[[#This Row],[Update your chart of accounts here]],Table625[Credit]),"")</f>
        <v>0</v>
      </c>
      <c r="X125" s="34"/>
      <c r="Y125" s="34"/>
      <c r="Z125" s="34"/>
      <c r="AA125" s="34"/>
      <c r="AB125" s="34">
        <f>MAX(Table826[[#This Row],[Debit]]+Table826[[#This Row],[Debit -]]-Table826[[#This Row],[Credit]]-Table826[[#This Row],[Credit +]],0)</f>
        <v>0</v>
      </c>
      <c r="AC125" s="34">
        <f>MAX(Table826[[#This Row],[Credit]]-Table826[[#This Row],[Debit]]+Table826[[#This Row],[Credit +]]-Table826[[#This Row],[Debit -]],0)</f>
        <v>0</v>
      </c>
      <c r="AD125" s="34" t="str">
        <f>IFERROR(IF(AND(OR(Table826[[#This Row],[Classification]]="Expense",Table826[[#This Row],[Classification]]="Cost of Goods Sold"),Table826[[#This Row],[Debit\]]&gt;Table826[[#This Row],[Credit.]]),Table826[[#This Row],[Debit\]]-Table826[[#This Row],[Credit.]],""),"")</f>
        <v/>
      </c>
      <c r="AE125" s="34" t="str">
        <f>IFERROR(IF(AND(OR(Table826[[#This Row],[Classification]]="Income",Table826[[#This Row],[Classification]]="Cost of Goods Sold"),Table826[[#This Row],[Credit.]]&gt;Table826[[#This Row],[Debit\]]),Table826[[#This Row],[Credit.]]-Table826[[#This Row],[Debit\]],""),"")</f>
        <v/>
      </c>
      <c r="AF125" s="34"/>
      <c r="AG125" s="34" t="str">
        <f>IFERROR(IF(AND(Table826[[#This Row],[Classification]]="Assets",Table826[[#This Row],[Debit\]]-Table826[[#This Row],[Credit.]]),Table826[[#This Row],[Debit\]]-Table826[[#This Row],[Credit.]],""),"")</f>
        <v/>
      </c>
      <c r="AH125" s="34" t="str">
        <f>IFERROR(IF(AND(OR(Table826[[#This Row],[Classification]]="Liabilities",Table826[[#This Row],[Classification]]="Owner´s Equity"),Table826[[#This Row],[Credit.]]&gt;Table826[[#This Row],[Debit\]]),Table826[[#This Row],[Credit.]]-Table826[[#This Row],[Debit\]],""),"")</f>
        <v/>
      </c>
    </row>
    <row r="126" spans="2:34" hidden="1" x14ac:dyDescent="0.25">
      <c r="B126" s="34"/>
      <c r="C126" s="45"/>
      <c r="D126" s="34"/>
      <c r="E126" s="34"/>
      <c r="G126" s="39"/>
      <c r="H126" s="40"/>
      <c r="I126" s="41"/>
      <c r="J126" s="41"/>
      <c r="L126" s="34">
        <v>119</v>
      </c>
      <c r="M126" s="35"/>
      <c r="N126" s="35"/>
      <c r="O126" s="34">
        <f>IFERROR(SUMIF(Table423[,],Table625[[#This Row],[Accounts Name]],Table423[,3]),"")</f>
        <v>0</v>
      </c>
      <c r="P126" s="34">
        <f>IFERROR(SUMIF(Table423[,],Table625[[#This Row],[Accounts Name]],Table423[,2]),"")</f>
        <v>0</v>
      </c>
      <c r="S126" s="36">
        <f t="shared" si="1"/>
        <v>119</v>
      </c>
      <c r="T126" s="34"/>
      <c r="U126" s="37"/>
      <c r="V126" s="34">
        <f>IFERROR(SUMIF(Table625[Sub-Accounts],Table826[[#This Row],[Update your chart of accounts here]],Table625[Debit]),"")</f>
        <v>0</v>
      </c>
      <c r="W126" s="34">
        <f>IFERROR(SUMIF(Table625[Sub-Accounts],Table826[[#This Row],[Update your chart of accounts here]],Table625[Credit]),"")</f>
        <v>0</v>
      </c>
      <c r="X126" s="34"/>
      <c r="Y126" s="34"/>
      <c r="Z126" s="34"/>
      <c r="AA126" s="34"/>
      <c r="AB126" s="34">
        <f>MAX(Table826[[#This Row],[Debit]]+Table826[[#This Row],[Debit -]]-Table826[[#This Row],[Credit]]-Table826[[#This Row],[Credit +]],0)</f>
        <v>0</v>
      </c>
      <c r="AC126" s="34">
        <f>MAX(Table826[[#This Row],[Credit]]-Table826[[#This Row],[Debit]]+Table826[[#This Row],[Credit +]]-Table826[[#This Row],[Debit -]],0)</f>
        <v>0</v>
      </c>
      <c r="AD126" s="34" t="str">
        <f>IFERROR(IF(AND(OR(Table826[[#This Row],[Classification]]="Expense",Table826[[#This Row],[Classification]]="Cost of Goods Sold"),Table826[[#This Row],[Debit\]]&gt;Table826[[#This Row],[Credit.]]),Table826[[#This Row],[Debit\]]-Table826[[#This Row],[Credit.]],""),"")</f>
        <v/>
      </c>
      <c r="AE126" s="34" t="str">
        <f>IFERROR(IF(AND(OR(Table826[[#This Row],[Classification]]="Income",Table826[[#This Row],[Classification]]="Cost of Goods Sold"),Table826[[#This Row],[Credit.]]&gt;Table826[[#This Row],[Debit\]]),Table826[[#This Row],[Credit.]]-Table826[[#This Row],[Debit\]],""),"")</f>
        <v/>
      </c>
      <c r="AF126" s="34"/>
      <c r="AG126" s="34" t="str">
        <f>IFERROR(IF(AND(Table826[[#This Row],[Classification]]="Assets",Table826[[#This Row],[Debit\]]-Table826[[#This Row],[Credit.]]),Table826[[#This Row],[Debit\]]-Table826[[#This Row],[Credit.]],""),"")</f>
        <v/>
      </c>
      <c r="AH126" s="34" t="str">
        <f>IFERROR(IF(AND(OR(Table826[[#This Row],[Classification]]="Liabilities",Table826[[#This Row],[Classification]]="Owner´s Equity"),Table826[[#This Row],[Credit.]]&gt;Table826[[#This Row],[Debit\]]),Table826[[#This Row],[Credit.]]-Table826[[#This Row],[Debit\]],""),"")</f>
        <v/>
      </c>
    </row>
    <row r="127" spans="2:34" hidden="1" x14ac:dyDescent="0.25">
      <c r="B127" s="34"/>
      <c r="C127" s="45"/>
      <c r="D127" s="34"/>
      <c r="E127" s="34"/>
      <c r="G127" s="39"/>
      <c r="H127" s="40"/>
      <c r="I127" s="41"/>
      <c r="J127" s="41"/>
      <c r="L127" s="34">
        <v>120</v>
      </c>
      <c r="M127" s="35"/>
      <c r="N127" s="35"/>
      <c r="O127" s="34">
        <f>IFERROR(SUMIF(Table423[,],Table625[[#This Row],[Accounts Name]],Table423[,3]),"")</f>
        <v>0</v>
      </c>
      <c r="P127" s="34">
        <f>IFERROR(SUMIF(Table423[,],Table625[[#This Row],[Accounts Name]],Table423[,2]),"")</f>
        <v>0</v>
      </c>
      <c r="S127" s="36">
        <f t="shared" si="1"/>
        <v>120</v>
      </c>
      <c r="T127" s="34"/>
      <c r="U127" s="37"/>
      <c r="V127" s="34">
        <f>IFERROR(SUMIF(Table625[Sub-Accounts],Table826[[#This Row],[Update your chart of accounts here]],Table625[Debit]),"")</f>
        <v>0</v>
      </c>
      <c r="W127" s="34">
        <f>IFERROR(SUMIF(Table625[Sub-Accounts],Table826[[#This Row],[Update your chart of accounts here]],Table625[Credit]),"")</f>
        <v>0</v>
      </c>
      <c r="X127" s="34"/>
      <c r="Y127" s="34"/>
      <c r="Z127" s="34"/>
      <c r="AA127" s="34"/>
      <c r="AB127" s="34">
        <f>MAX(Table826[[#This Row],[Debit]]+Table826[[#This Row],[Debit -]]-Table826[[#This Row],[Credit]]-Table826[[#This Row],[Credit +]],0)</f>
        <v>0</v>
      </c>
      <c r="AC127" s="34">
        <f>MAX(Table826[[#This Row],[Credit]]-Table826[[#This Row],[Debit]]+Table826[[#This Row],[Credit +]]-Table826[[#This Row],[Debit -]],0)</f>
        <v>0</v>
      </c>
      <c r="AD127" s="34" t="str">
        <f>IFERROR(IF(AND(OR(Table826[[#This Row],[Classification]]="Expense",Table826[[#This Row],[Classification]]="Cost of Goods Sold"),Table826[[#This Row],[Debit\]]&gt;Table826[[#This Row],[Credit.]]),Table826[[#This Row],[Debit\]]-Table826[[#This Row],[Credit.]],""),"")</f>
        <v/>
      </c>
      <c r="AE127" s="34" t="str">
        <f>IFERROR(IF(AND(OR(Table826[[#This Row],[Classification]]="Income",Table826[[#This Row],[Classification]]="Cost of Goods Sold"),Table826[[#This Row],[Credit.]]&gt;Table826[[#This Row],[Debit\]]),Table826[[#This Row],[Credit.]]-Table826[[#This Row],[Debit\]],""),"")</f>
        <v/>
      </c>
      <c r="AF127" s="34"/>
      <c r="AG127" s="34" t="str">
        <f>IFERROR(IF(AND(Table826[[#This Row],[Classification]]="Assets",Table826[[#This Row],[Debit\]]-Table826[[#This Row],[Credit.]]),Table826[[#This Row],[Debit\]]-Table826[[#This Row],[Credit.]],""),"")</f>
        <v/>
      </c>
      <c r="AH127" s="34" t="str">
        <f>IFERROR(IF(AND(OR(Table826[[#This Row],[Classification]]="Liabilities",Table826[[#This Row],[Classification]]="Owner´s Equity"),Table826[[#This Row],[Credit.]]&gt;Table826[[#This Row],[Debit\]]),Table826[[#This Row],[Credit.]]-Table826[[#This Row],[Debit\]],""),"")</f>
        <v/>
      </c>
    </row>
    <row r="128" spans="2:34" hidden="1" x14ac:dyDescent="0.25">
      <c r="B128" s="34"/>
      <c r="C128" s="45"/>
      <c r="D128" s="34"/>
      <c r="E128" s="34"/>
      <c r="G128" s="39"/>
      <c r="H128" s="43"/>
      <c r="I128" s="41"/>
      <c r="J128" s="41"/>
      <c r="L128" s="34">
        <v>121</v>
      </c>
      <c r="M128" s="35"/>
      <c r="N128" s="35"/>
      <c r="O128" s="34">
        <f>IFERROR(SUMIF(Table423[,],Table625[[#This Row],[Accounts Name]],Table423[,3]),"")</f>
        <v>0</v>
      </c>
      <c r="P128" s="34">
        <f>IFERROR(SUMIF(Table423[,],Table625[[#This Row],[Accounts Name]],Table423[,2]),"")</f>
        <v>0</v>
      </c>
      <c r="S128" s="36">
        <f t="shared" si="1"/>
        <v>121</v>
      </c>
      <c r="T128" s="34"/>
      <c r="U128" s="37"/>
      <c r="V128" s="34">
        <f>IFERROR(SUMIF(Table625[Sub-Accounts],Table826[[#This Row],[Update your chart of accounts here]],Table625[Debit]),"")</f>
        <v>0</v>
      </c>
      <c r="W128" s="34">
        <f>IFERROR(SUMIF(Table625[Sub-Accounts],Table826[[#This Row],[Update your chart of accounts here]],Table625[Credit]),"")</f>
        <v>0</v>
      </c>
      <c r="X128" s="34"/>
      <c r="Y128" s="34"/>
      <c r="Z128" s="34"/>
      <c r="AA128" s="34"/>
      <c r="AB128" s="34">
        <f>MAX(Table826[[#This Row],[Debit]]+Table826[[#This Row],[Debit -]]-Table826[[#This Row],[Credit]]-Table826[[#This Row],[Credit +]],0)</f>
        <v>0</v>
      </c>
      <c r="AC128" s="34">
        <f>MAX(Table826[[#This Row],[Credit]]-Table826[[#This Row],[Debit]]+Table826[[#This Row],[Credit +]]-Table826[[#This Row],[Debit -]],0)</f>
        <v>0</v>
      </c>
      <c r="AD128" s="34" t="str">
        <f>IFERROR(IF(AND(OR(Table826[[#This Row],[Classification]]="Expense",Table826[[#This Row],[Classification]]="Cost of Goods Sold"),Table826[[#This Row],[Debit\]]&gt;Table826[[#This Row],[Credit.]]),Table826[[#This Row],[Debit\]]-Table826[[#This Row],[Credit.]],""),"")</f>
        <v/>
      </c>
      <c r="AE128" s="34" t="str">
        <f>IFERROR(IF(AND(OR(Table826[[#This Row],[Classification]]="Income",Table826[[#This Row],[Classification]]="Cost of Goods Sold"),Table826[[#This Row],[Credit.]]&gt;Table826[[#This Row],[Debit\]]),Table826[[#This Row],[Credit.]]-Table826[[#This Row],[Debit\]],""),"")</f>
        <v/>
      </c>
      <c r="AF128" s="34"/>
      <c r="AG128" s="34" t="str">
        <f>IFERROR(IF(AND(Table826[[#This Row],[Classification]]="Assets",Table826[[#This Row],[Debit\]]-Table826[[#This Row],[Credit.]]),Table826[[#This Row],[Debit\]]-Table826[[#This Row],[Credit.]],""),"")</f>
        <v/>
      </c>
      <c r="AH128" s="34" t="str">
        <f>IFERROR(IF(AND(OR(Table826[[#This Row],[Classification]]="Liabilities",Table826[[#This Row],[Classification]]="Owner´s Equity"),Table826[[#This Row],[Credit.]]&gt;Table826[[#This Row],[Debit\]]),Table826[[#This Row],[Credit.]]-Table826[[#This Row],[Debit\]],""),"")</f>
        <v/>
      </c>
    </row>
    <row r="129" spans="2:34" hidden="1" x14ac:dyDescent="0.25">
      <c r="B129" s="34"/>
      <c r="C129" s="45"/>
      <c r="D129" s="34"/>
      <c r="E129" s="34"/>
      <c r="G129" s="39"/>
      <c r="H129" s="40"/>
      <c r="I129" s="41"/>
      <c r="J129" s="41"/>
      <c r="L129" s="34">
        <v>122</v>
      </c>
      <c r="M129" s="35"/>
      <c r="N129" s="35"/>
      <c r="O129" s="34">
        <f>IFERROR(SUMIF(Table423[,],Table625[[#This Row],[Accounts Name]],Table423[,3]),"")</f>
        <v>0</v>
      </c>
      <c r="P129" s="34">
        <f>IFERROR(SUMIF(Table423[,],Table625[[#This Row],[Accounts Name]],Table423[,2]),"")</f>
        <v>0</v>
      </c>
      <c r="S129" s="36">
        <f t="shared" si="1"/>
        <v>122</v>
      </c>
      <c r="T129" s="34"/>
      <c r="U129" s="37"/>
      <c r="V129" s="34">
        <f>IFERROR(SUMIF(Table625[Sub-Accounts],Table826[[#This Row],[Update your chart of accounts here]],Table625[Debit]),"")</f>
        <v>0</v>
      </c>
      <c r="W129" s="34">
        <f>IFERROR(SUMIF(Table625[Sub-Accounts],Table826[[#This Row],[Update your chart of accounts here]],Table625[Credit]),"")</f>
        <v>0</v>
      </c>
      <c r="X129" s="34"/>
      <c r="Y129" s="34"/>
      <c r="Z129" s="34"/>
      <c r="AA129" s="34"/>
      <c r="AB129" s="34">
        <f>MAX(Table826[[#This Row],[Debit]]+Table826[[#This Row],[Debit -]]-Table826[[#This Row],[Credit]]-Table826[[#This Row],[Credit +]],0)</f>
        <v>0</v>
      </c>
      <c r="AC129" s="34">
        <f>MAX(Table826[[#This Row],[Credit]]-Table826[[#This Row],[Debit]]+Table826[[#This Row],[Credit +]]-Table826[[#This Row],[Debit -]],0)</f>
        <v>0</v>
      </c>
      <c r="AD129" s="34" t="str">
        <f>IFERROR(IF(AND(OR(Table826[[#This Row],[Classification]]="Expense",Table826[[#This Row],[Classification]]="Cost of Goods Sold"),Table826[[#This Row],[Debit\]]&gt;Table826[[#This Row],[Credit.]]),Table826[[#This Row],[Debit\]]-Table826[[#This Row],[Credit.]],""),"")</f>
        <v/>
      </c>
      <c r="AE129" s="34" t="str">
        <f>IFERROR(IF(AND(OR(Table826[[#This Row],[Classification]]="Income",Table826[[#This Row],[Classification]]="Cost of Goods Sold"),Table826[[#This Row],[Credit.]]&gt;Table826[[#This Row],[Debit\]]),Table826[[#This Row],[Credit.]]-Table826[[#This Row],[Debit\]],""),"")</f>
        <v/>
      </c>
      <c r="AF129" s="34"/>
      <c r="AG129" s="34" t="str">
        <f>IFERROR(IF(AND(Table826[[#This Row],[Classification]]="Assets",Table826[[#This Row],[Debit\]]-Table826[[#This Row],[Credit.]]),Table826[[#This Row],[Debit\]]-Table826[[#This Row],[Credit.]],""),"")</f>
        <v/>
      </c>
      <c r="AH129" s="34" t="str">
        <f>IFERROR(IF(AND(OR(Table826[[#This Row],[Classification]]="Liabilities",Table826[[#This Row],[Classification]]="Owner´s Equity"),Table826[[#This Row],[Credit.]]&gt;Table826[[#This Row],[Debit\]]),Table826[[#This Row],[Credit.]]-Table826[[#This Row],[Debit\]],""),"")</f>
        <v/>
      </c>
    </row>
    <row r="130" spans="2:34" hidden="1" x14ac:dyDescent="0.25">
      <c r="B130" s="34"/>
      <c r="C130" s="45"/>
      <c r="D130" s="34"/>
      <c r="E130" s="34"/>
      <c r="G130" s="39"/>
      <c r="H130" s="40"/>
      <c r="I130" s="41"/>
      <c r="J130" s="41"/>
      <c r="L130" s="34">
        <v>123</v>
      </c>
      <c r="M130" s="35"/>
      <c r="N130" s="35"/>
      <c r="O130" s="34">
        <f>IFERROR(SUMIF(Table423[,],Table625[[#This Row],[Accounts Name]],Table423[,3]),"")</f>
        <v>0</v>
      </c>
      <c r="P130" s="34">
        <f>IFERROR(SUMIF(Table423[,],Table625[[#This Row],[Accounts Name]],Table423[,2]),"")</f>
        <v>0</v>
      </c>
      <c r="S130" s="36">
        <f t="shared" si="1"/>
        <v>123</v>
      </c>
      <c r="T130" s="34"/>
      <c r="U130" s="37"/>
      <c r="V130" s="34">
        <f>IFERROR(SUMIF(Table625[Sub-Accounts],Table826[[#This Row],[Update your chart of accounts here]],Table625[Debit]),"")</f>
        <v>0</v>
      </c>
      <c r="W130" s="34">
        <f>IFERROR(SUMIF(Table625[Sub-Accounts],Table826[[#This Row],[Update your chart of accounts here]],Table625[Credit]),"")</f>
        <v>0</v>
      </c>
      <c r="X130" s="34"/>
      <c r="Y130" s="34"/>
      <c r="Z130" s="34"/>
      <c r="AA130" s="34"/>
      <c r="AB130" s="34">
        <f>MAX(Table826[[#This Row],[Debit]]+Table826[[#This Row],[Debit -]]-Table826[[#This Row],[Credit]]-Table826[[#This Row],[Credit +]],0)</f>
        <v>0</v>
      </c>
      <c r="AC130" s="34">
        <f>MAX(Table826[[#This Row],[Credit]]-Table826[[#This Row],[Debit]]+Table826[[#This Row],[Credit +]]-Table826[[#This Row],[Debit -]],0)</f>
        <v>0</v>
      </c>
      <c r="AD130" s="34" t="str">
        <f>IFERROR(IF(AND(OR(Table826[[#This Row],[Classification]]="Expense",Table826[[#This Row],[Classification]]="Cost of Goods Sold"),Table826[[#This Row],[Debit\]]&gt;Table826[[#This Row],[Credit.]]),Table826[[#This Row],[Debit\]]-Table826[[#This Row],[Credit.]],""),"")</f>
        <v/>
      </c>
      <c r="AE130" s="34" t="str">
        <f>IFERROR(IF(AND(OR(Table826[[#This Row],[Classification]]="Income",Table826[[#This Row],[Classification]]="Cost of Goods Sold"),Table826[[#This Row],[Credit.]]&gt;Table826[[#This Row],[Debit\]]),Table826[[#This Row],[Credit.]]-Table826[[#This Row],[Debit\]],""),"")</f>
        <v/>
      </c>
      <c r="AF130" s="34"/>
      <c r="AG130" s="34" t="str">
        <f>IFERROR(IF(AND(Table826[[#This Row],[Classification]]="Assets",Table826[[#This Row],[Debit\]]-Table826[[#This Row],[Credit.]]),Table826[[#This Row],[Debit\]]-Table826[[#This Row],[Credit.]],""),"")</f>
        <v/>
      </c>
      <c r="AH130" s="34" t="str">
        <f>IFERROR(IF(AND(OR(Table826[[#This Row],[Classification]]="Liabilities",Table826[[#This Row],[Classification]]="Owner´s Equity"),Table826[[#This Row],[Credit.]]&gt;Table826[[#This Row],[Debit\]]),Table826[[#This Row],[Credit.]]-Table826[[#This Row],[Debit\]],""),"")</f>
        <v/>
      </c>
    </row>
    <row r="131" spans="2:34" hidden="1" x14ac:dyDescent="0.25">
      <c r="B131" s="34"/>
      <c r="C131" s="45"/>
      <c r="D131" s="34"/>
      <c r="E131" s="34"/>
      <c r="G131" s="39"/>
      <c r="H131" s="43"/>
      <c r="I131" s="41"/>
      <c r="J131" s="41"/>
      <c r="L131" s="34">
        <v>124</v>
      </c>
      <c r="M131" s="35"/>
      <c r="N131" s="35"/>
      <c r="O131" s="34">
        <f>IFERROR(SUMIF(Table423[,],Table625[[#This Row],[Accounts Name]],Table423[,3]),"")</f>
        <v>0</v>
      </c>
      <c r="P131" s="34">
        <f>IFERROR(SUMIF(Table423[,],Table625[[#This Row],[Accounts Name]],Table423[,2]),"")</f>
        <v>0</v>
      </c>
      <c r="S131" s="36">
        <f t="shared" si="1"/>
        <v>124</v>
      </c>
      <c r="T131" s="34"/>
      <c r="U131" s="37"/>
      <c r="V131" s="34">
        <f>IFERROR(SUMIF(Table625[Sub-Accounts],Table826[[#This Row],[Update your chart of accounts here]],Table625[Debit]),"")</f>
        <v>0</v>
      </c>
      <c r="W131" s="34">
        <f>IFERROR(SUMIF(Table625[Sub-Accounts],Table826[[#This Row],[Update your chart of accounts here]],Table625[Credit]),"")</f>
        <v>0</v>
      </c>
      <c r="X131" s="34"/>
      <c r="Y131" s="34"/>
      <c r="Z131" s="34"/>
      <c r="AA131" s="34"/>
      <c r="AB131" s="34">
        <f>MAX(Table826[[#This Row],[Debit]]+Table826[[#This Row],[Debit -]]-Table826[[#This Row],[Credit]]-Table826[[#This Row],[Credit +]],0)</f>
        <v>0</v>
      </c>
      <c r="AC131" s="34">
        <f>MAX(Table826[[#This Row],[Credit]]-Table826[[#This Row],[Debit]]+Table826[[#This Row],[Credit +]]-Table826[[#This Row],[Debit -]],0)</f>
        <v>0</v>
      </c>
      <c r="AD131" s="34" t="str">
        <f>IFERROR(IF(AND(OR(Table826[[#This Row],[Classification]]="Expense",Table826[[#This Row],[Classification]]="Cost of Goods Sold"),Table826[[#This Row],[Debit\]]&gt;Table826[[#This Row],[Credit.]]),Table826[[#This Row],[Debit\]]-Table826[[#This Row],[Credit.]],""),"")</f>
        <v/>
      </c>
      <c r="AE131" s="34" t="str">
        <f>IFERROR(IF(AND(OR(Table826[[#This Row],[Classification]]="Income",Table826[[#This Row],[Classification]]="Cost of Goods Sold"),Table826[[#This Row],[Credit.]]&gt;Table826[[#This Row],[Debit\]]),Table826[[#This Row],[Credit.]]-Table826[[#This Row],[Debit\]],""),"")</f>
        <v/>
      </c>
      <c r="AF131" s="34"/>
      <c r="AG131" s="34" t="str">
        <f>IFERROR(IF(AND(Table826[[#This Row],[Classification]]="Assets",Table826[[#This Row],[Debit\]]-Table826[[#This Row],[Credit.]]),Table826[[#This Row],[Debit\]]-Table826[[#This Row],[Credit.]],""),"")</f>
        <v/>
      </c>
      <c r="AH131" s="34" t="str">
        <f>IFERROR(IF(AND(OR(Table826[[#This Row],[Classification]]="Liabilities",Table826[[#This Row],[Classification]]="Owner´s Equity"),Table826[[#This Row],[Credit.]]&gt;Table826[[#This Row],[Debit\]]),Table826[[#This Row],[Credit.]]-Table826[[#This Row],[Debit\]],""),"")</f>
        <v/>
      </c>
    </row>
    <row r="132" spans="2:34" hidden="1" x14ac:dyDescent="0.25">
      <c r="B132" s="34"/>
      <c r="C132" s="45"/>
      <c r="D132" s="34"/>
      <c r="E132" s="34"/>
      <c r="G132" s="39"/>
      <c r="H132" s="40"/>
      <c r="I132" s="41"/>
      <c r="J132" s="41"/>
      <c r="L132" s="34">
        <v>125</v>
      </c>
      <c r="M132" s="35"/>
      <c r="N132" s="35"/>
      <c r="O132" s="34">
        <f>IFERROR(SUMIF(Table423[,],Table625[[#This Row],[Accounts Name]],Table423[,3]),"")</f>
        <v>0</v>
      </c>
      <c r="P132" s="34">
        <f>IFERROR(SUMIF(Table423[,],Table625[[#This Row],[Accounts Name]],Table423[,2]),"")</f>
        <v>0</v>
      </c>
      <c r="S132" s="36">
        <f t="shared" si="1"/>
        <v>125</v>
      </c>
      <c r="T132" s="34"/>
      <c r="U132" s="37"/>
      <c r="V132" s="34">
        <f>IFERROR(SUMIF(Table625[Sub-Accounts],Table826[[#This Row],[Update your chart of accounts here]],Table625[Debit]),"")</f>
        <v>0</v>
      </c>
      <c r="W132" s="34">
        <f>IFERROR(SUMIF(Table625[Sub-Accounts],Table826[[#This Row],[Update your chart of accounts here]],Table625[Credit]),"")</f>
        <v>0</v>
      </c>
      <c r="X132" s="34"/>
      <c r="Y132" s="34"/>
      <c r="Z132" s="34"/>
      <c r="AA132" s="34"/>
      <c r="AB132" s="34">
        <f>MAX(Table826[[#This Row],[Debit]]+Table826[[#This Row],[Debit -]]-Table826[[#This Row],[Credit]]-Table826[[#This Row],[Credit +]],0)</f>
        <v>0</v>
      </c>
      <c r="AC132" s="34">
        <f>MAX(Table826[[#This Row],[Credit]]-Table826[[#This Row],[Debit]]+Table826[[#This Row],[Credit +]]-Table826[[#This Row],[Debit -]],0)</f>
        <v>0</v>
      </c>
      <c r="AD132" s="34" t="str">
        <f>IFERROR(IF(AND(OR(Table826[[#This Row],[Classification]]="Expense",Table826[[#This Row],[Classification]]="Cost of Goods Sold"),Table826[[#This Row],[Debit\]]&gt;Table826[[#This Row],[Credit.]]),Table826[[#This Row],[Debit\]]-Table826[[#This Row],[Credit.]],""),"")</f>
        <v/>
      </c>
      <c r="AE132" s="34" t="str">
        <f>IFERROR(IF(AND(OR(Table826[[#This Row],[Classification]]="Income",Table826[[#This Row],[Classification]]="Cost of Goods Sold"),Table826[[#This Row],[Credit.]]&gt;Table826[[#This Row],[Debit\]]),Table826[[#This Row],[Credit.]]-Table826[[#This Row],[Debit\]],""),"")</f>
        <v/>
      </c>
      <c r="AF132" s="34"/>
      <c r="AG132" s="34" t="str">
        <f>IFERROR(IF(AND(Table826[[#This Row],[Classification]]="Assets",Table826[[#This Row],[Debit\]]-Table826[[#This Row],[Credit.]]),Table826[[#This Row],[Debit\]]-Table826[[#This Row],[Credit.]],""),"")</f>
        <v/>
      </c>
      <c r="AH132" s="34" t="str">
        <f>IFERROR(IF(AND(OR(Table826[[#This Row],[Classification]]="Liabilities",Table826[[#This Row],[Classification]]="Owner´s Equity"),Table826[[#This Row],[Credit.]]&gt;Table826[[#This Row],[Debit\]]),Table826[[#This Row],[Credit.]]-Table826[[#This Row],[Debit\]],""),"")</f>
        <v/>
      </c>
    </row>
    <row r="133" spans="2:34" hidden="1" x14ac:dyDescent="0.25">
      <c r="B133" s="34"/>
      <c r="C133" s="45"/>
      <c r="D133" s="34"/>
      <c r="E133" s="34"/>
      <c r="G133" s="39"/>
      <c r="H133" s="40"/>
      <c r="I133" s="41"/>
      <c r="J133" s="41"/>
      <c r="L133" s="34">
        <v>126</v>
      </c>
      <c r="M133" s="35"/>
      <c r="N133" s="35"/>
      <c r="O133" s="34">
        <f>IFERROR(SUMIF(Table423[,],Table625[[#This Row],[Accounts Name]],Table423[,3]),"")</f>
        <v>0</v>
      </c>
      <c r="P133" s="34">
        <f>IFERROR(SUMIF(Table423[,],Table625[[#This Row],[Accounts Name]],Table423[,2]),"")</f>
        <v>0</v>
      </c>
      <c r="S133" s="36">
        <f t="shared" si="1"/>
        <v>126</v>
      </c>
      <c r="T133" s="34"/>
      <c r="U133" s="37"/>
      <c r="V133" s="34">
        <f>IFERROR(SUMIF(Table625[Sub-Accounts],Table826[[#This Row],[Update your chart of accounts here]],Table625[Debit]),"")</f>
        <v>0</v>
      </c>
      <c r="W133" s="34">
        <f>IFERROR(SUMIF(Table625[Sub-Accounts],Table826[[#This Row],[Update your chart of accounts here]],Table625[Credit]),"")</f>
        <v>0</v>
      </c>
      <c r="X133" s="34"/>
      <c r="Y133" s="34"/>
      <c r="Z133" s="34"/>
      <c r="AA133" s="34"/>
      <c r="AB133" s="34">
        <f>MAX(Table826[[#This Row],[Debit]]+Table826[[#This Row],[Debit -]]-Table826[[#This Row],[Credit]]-Table826[[#This Row],[Credit +]],0)</f>
        <v>0</v>
      </c>
      <c r="AC133" s="34">
        <f>MAX(Table826[[#This Row],[Credit]]-Table826[[#This Row],[Debit]]+Table826[[#This Row],[Credit +]]-Table826[[#This Row],[Debit -]],0)</f>
        <v>0</v>
      </c>
      <c r="AD133" s="34" t="str">
        <f>IFERROR(IF(AND(OR(Table826[[#This Row],[Classification]]="Expense",Table826[[#This Row],[Classification]]="Cost of Goods Sold"),Table826[[#This Row],[Debit\]]&gt;Table826[[#This Row],[Credit.]]),Table826[[#This Row],[Debit\]]-Table826[[#This Row],[Credit.]],""),"")</f>
        <v/>
      </c>
      <c r="AE133" s="34" t="str">
        <f>IFERROR(IF(AND(OR(Table826[[#This Row],[Classification]]="Income",Table826[[#This Row],[Classification]]="Cost of Goods Sold"),Table826[[#This Row],[Credit.]]&gt;Table826[[#This Row],[Debit\]]),Table826[[#This Row],[Credit.]]-Table826[[#This Row],[Debit\]],""),"")</f>
        <v/>
      </c>
      <c r="AF133" s="34"/>
      <c r="AG133" s="34" t="str">
        <f>IFERROR(IF(AND(Table826[[#This Row],[Classification]]="Assets",Table826[[#This Row],[Debit\]]-Table826[[#This Row],[Credit.]]),Table826[[#This Row],[Debit\]]-Table826[[#This Row],[Credit.]],""),"")</f>
        <v/>
      </c>
      <c r="AH133" s="34" t="str">
        <f>IFERROR(IF(AND(OR(Table826[[#This Row],[Classification]]="Liabilities",Table826[[#This Row],[Classification]]="Owner´s Equity"),Table826[[#This Row],[Credit.]]&gt;Table826[[#This Row],[Debit\]]),Table826[[#This Row],[Credit.]]-Table826[[#This Row],[Debit\]],""),"")</f>
        <v/>
      </c>
    </row>
    <row r="134" spans="2:34" hidden="1" x14ac:dyDescent="0.25">
      <c r="B134" s="34"/>
      <c r="C134" s="45"/>
      <c r="D134" s="34"/>
      <c r="E134" s="34"/>
      <c r="G134" s="39"/>
      <c r="H134" s="43"/>
      <c r="I134" s="41"/>
      <c r="J134" s="41"/>
      <c r="L134" s="34">
        <v>127</v>
      </c>
      <c r="M134" s="35"/>
      <c r="N134" s="35"/>
      <c r="O134" s="34">
        <f>IFERROR(SUMIF(Table423[,],Table625[[#This Row],[Accounts Name]],Table423[,3]),"")</f>
        <v>0</v>
      </c>
      <c r="P134" s="34">
        <f>IFERROR(SUMIF(Table423[,],Table625[[#This Row],[Accounts Name]],Table423[,2]),"")</f>
        <v>0</v>
      </c>
      <c r="S134" s="36">
        <f t="shared" si="1"/>
        <v>127</v>
      </c>
      <c r="T134" s="34"/>
      <c r="U134" s="37"/>
      <c r="V134" s="34">
        <f>IFERROR(SUMIF(Table625[Sub-Accounts],Table826[[#This Row],[Update your chart of accounts here]],Table625[Debit]),"")</f>
        <v>0</v>
      </c>
      <c r="W134" s="34">
        <f>IFERROR(SUMIF(Table625[Sub-Accounts],Table826[[#This Row],[Update your chart of accounts here]],Table625[Credit]),"")</f>
        <v>0</v>
      </c>
      <c r="X134" s="34"/>
      <c r="Y134" s="34"/>
      <c r="Z134" s="34"/>
      <c r="AA134" s="34"/>
      <c r="AB134" s="34">
        <f>MAX(Table826[[#This Row],[Debit]]+Table826[[#This Row],[Debit -]]-Table826[[#This Row],[Credit]]-Table826[[#This Row],[Credit +]],0)</f>
        <v>0</v>
      </c>
      <c r="AC134" s="34">
        <f>MAX(Table826[[#This Row],[Credit]]-Table826[[#This Row],[Debit]]+Table826[[#This Row],[Credit +]]-Table826[[#This Row],[Debit -]],0)</f>
        <v>0</v>
      </c>
      <c r="AD134" s="34" t="str">
        <f>IFERROR(IF(AND(OR(Table826[[#This Row],[Classification]]="Expense",Table826[[#This Row],[Classification]]="Cost of Goods Sold"),Table826[[#This Row],[Debit\]]&gt;Table826[[#This Row],[Credit.]]),Table826[[#This Row],[Debit\]]-Table826[[#This Row],[Credit.]],""),"")</f>
        <v/>
      </c>
      <c r="AE134" s="34" t="str">
        <f>IFERROR(IF(AND(OR(Table826[[#This Row],[Classification]]="Income",Table826[[#This Row],[Classification]]="Cost of Goods Sold"),Table826[[#This Row],[Credit.]]&gt;Table826[[#This Row],[Debit\]]),Table826[[#This Row],[Credit.]]-Table826[[#This Row],[Debit\]],""),"")</f>
        <v/>
      </c>
      <c r="AF134" s="34"/>
      <c r="AG134" s="34" t="str">
        <f>IFERROR(IF(AND(Table826[[#This Row],[Classification]]="Assets",Table826[[#This Row],[Debit\]]-Table826[[#This Row],[Credit.]]),Table826[[#This Row],[Debit\]]-Table826[[#This Row],[Credit.]],""),"")</f>
        <v/>
      </c>
      <c r="AH134" s="34" t="str">
        <f>IFERROR(IF(AND(OR(Table826[[#This Row],[Classification]]="Liabilities",Table826[[#This Row],[Classification]]="Owner´s Equity"),Table826[[#This Row],[Credit.]]&gt;Table826[[#This Row],[Debit\]]),Table826[[#This Row],[Credit.]]-Table826[[#This Row],[Debit\]],""),"")</f>
        <v/>
      </c>
    </row>
    <row r="135" spans="2:34" hidden="1" x14ac:dyDescent="0.25">
      <c r="B135" s="34"/>
      <c r="C135" s="45"/>
      <c r="D135" s="34"/>
      <c r="E135" s="34"/>
      <c r="G135" s="39"/>
      <c r="H135" s="40"/>
      <c r="I135" s="41"/>
      <c r="J135" s="41"/>
      <c r="L135" s="34">
        <v>128</v>
      </c>
      <c r="M135" s="35"/>
      <c r="N135" s="35"/>
      <c r="O135" s="34">
        <f>IFERROR(SUMIF(Table423[,],Table625[[#This Row],[Accounts Name]],Table423[,3]),"")</f>
        <v>0</v>
      </c>
      <c r="P135" s="34">
        <f>IFERROR(SUMIF(Table423[,],Table625[[#This Row],[Accounts Name]],Table423[,2]),"")</f>
        <v>0</v>
      </c>
      <c r="S135" s="36">
        <f t="shared" si="1"/>
        <v>128</v>
      </c>
      <c r="T135" s="34"/>
      <c r="U135" s="37"/>
      <c r="V135" s="34">
        <f>IFERROR(SUMIF(Table625[Sub-Accounts],Table826[[#This Row],[Update your chart of accounts here]],Table625[Debit]),"")</f>
        <v>0</v>
      </c>
      <c r="W135" s="34">
        <f>IFERROR(SUMIF(Table625[Sub-Accounts],Table826[[#This Row],[Update your chart of accounts here]],Table625[Credit]),"")</f>
        <v>0</v>
      </c>
      <c r="X135" s="34"/>
      <c r="Y135" s="34"/>
      <c r="Z135" s="34"/>
      <c r="AA135" s="34"/>
      <c r="AB135" s="34">
        <f>MAX(Table826[[#This Row],[Debit]]+Table826[[#This Row],[Debit -]]-Table826[[#This Row],[Credit]]-Table826[[#This Row],[Credit +]],0)</f>
        <v>0</v>
      </c>
      <c r="AC135" s="34">
        <f>MAX(Table826[[#This Row],[Credit]]-Table826[[#This Row],[Debit]]+Table826[[#This Row],[Credit +]]-Table826[[#This Row],[Debit -]],0)</f>
        <v>0</v>
      </c>
      <c r="AD135" s="34" t="str">
        <f>IFERROR(IF(AND(OR(Table826[[#This Row],[Classification]]="Expense",Table826[[#This Row],[Classification]]="Cost of Goods Sold"),Table826[[#This Row],[Debit\]]&gt;Table826[[#This Row],[Credit.]]),Table826[[#This Row],[Debit\]]-Table826[[#This Row],[Credit.]],""),"")</f>
        <v/>
      </c>
      <c r="AE135" s="34" t="str">
        <f>IFERROR(IF(AND(OR(Table826[[#This Row],[Classification]]="Income",Table826[[#This Row],[Classification]]="Cost of Goods Sold"),Table826[[#This Row],[Credit.]]&gt;Table826[[#This Row],[Debit\]]),Table826[[#This Row],[Credit.]]-Table826[[#This Row],[Debit\]],""),"")</f>
        <v/>
      </c>
      <c r="AF135" s="34"/>
      <c r="AG135" s="34" t="str">
        <f>IFERROR(IF(AND(Table826[[#This Row],[Classification]]="Assets",Table826[[#This Row],[Debit\]]-Table826[[#This Row],[Credit.]]),Table826[[#This Row],[Debit\]]-Table826[[#This Row],[Credit.]],""),"")</f>
        <v/>
      </c>
      <c r="AH135" s="34" t="str">
        <f>IFERROR(IF(AND(OR(Table826[[#This Row],[Classification]]="Liabilities",Table826[[#This Row],[Classification]]="Owner´s Equity"),Table826[[#This Row],[Credit.]]&gt;Table826[[#This Row],[Debit\]]),Table826[[#This Row],[Credit.]]-Table826[[#This Row],[Debit\]],""),"")</f>
        <v/>
      </c>
    </row>
    <row r="136" spans="2:34" hidden="1" x14ac:dyDescent="0.25">
      <c r="B136" s="34"/>
      <c r="C136" s="45"/>
      <c r="D136" s="34"/>
      <c r="E136" s="34"/>
      <c r="G136" s="39"/>
      <c r="H136" s="40"/>
      <c r="I136" s="41"/>
      <c r="J136" s="41"/>
      <c r="L136" s="34">
        <v>129</v>
      </c>
      <c r="M136" s="35"/>
      <c r="N136" s="35"/>
      <c r="O136" s="34">
        <f>IFERROR(SUMIF(Table423[,],Table625[[#This Row],[Accounts Name]],Table423[,3]),"")</f>
        <v>0</v>
      </c>
      <c r="P136" s="34">
        <f>IFERROR(SUMIF(Table423[,],Table625[[#This Row],[Accounts Name]],Table423[,2]),"")</f>
        <v>0</v>
      </c>
      <c r="S136" s="36">
        <f t="shared" si="1"/>
        <v>129</v>
      </c>
      <c r="T136" s="34"/>
      <c r="U136" s="37"/>
      <c r="V136" s="34">
        <f>IFERROR(SUMIF(Table625[Sub-Accounts],Table826[[#This Row],[Update your chart of accounts here]],Table625[Debit]),"")</f>
        <v>0</v>
      </c>
      <c r="W136" s="34">
        <f>IFERROR(SUMIF(Table625[Sub-Accounts],Table826[[#This Row],[Update your chart of accounts here]],Table625[Credit]),"")</f>
        <v>0</v>
      </c>
      <c r="X136" s="34"/>
      <c r="Y136" s="34"/>
      <c r="Z136" s="34"/>
      <c r="AA136" s="34"/>
      <c r="AB136" s="34">
        <f>MAX(Table826[[#This Row],[Debit]]+Table826[[#This Row],[Debit -]]-Table826[[#This Row],[Credit]]-Table826[[#This Row],[Credit +]],0)</f>
        <v>0</v>
      </c>
      <c r="AC136" s="34">
        <f>MAX(Table826[[#This Row],[Credit]]-Table826[[#This Row],[Debit]]+Table826[[#This Row],[Credit +]]-Table826[[#This Row],[Debit -]],0)</f>
        <v>0</v>
      </c>
      <c r="AD136" s="34" t="str">
        <f>IFERROR(IF(AND(OR(Table826[[#This Row],[Classification]]="Expense",Table826[[#This Row],[Classification]]="Cost of Goods Sold"),Table826[[#This Row],[Debit\]]&gt;Table826[[#This Row],[Credit.]]),Table826[[#This Row],[Debit\]]-Table826[[#This Row],[Credit.]],""),"")</f>
        <v/>
      </c>
      <c r="AE136" s="34" t="str">
        <f>IFERROR(IF(AND(OR(Table826[[#This Row],[Classification]]="Income",Table826[[#This Row],[Classification]]="Cost of Goods Sold"),Table826[[#This Row],[Credit.]]&gt;Table826[[#This Row],[Debit\]]),Table826[[#This Row],[Credit.]]-Table826[[#This Row],[Debit\]],""),"")</f>
        <v/>
      </c>
      <c r="AF136" s="34"/>
      <c r="AG136" s="34" t="str">
        <f>IFERROR(IF(AND(Table826[[#This Row],[Classification]]="Assets",Table826[[#This Row],[Debit\]]-Table826[[#This Row],[Credit.]]),Table826[[#This Row],[Debit\]]-Table826[[#This Row],[Credit.]],""),"")</f>
        <v/>
      </c>
      <c r="AH136" s="34" t="str">
        <f>IFERROR(IF(AND(OR(Table826[[#This Row],[Classification]]="Liabilities",Table826[[#This Row],[Classification]]="Owner´s Equity"),Table826[[#This Row],[Credit.]]&gt;Table826[[#This Row],[Debit\]]),Table826[[#This Row],[Credit.]]-Table826[[#This Row],[Debit\]],""),"")</f>
        <v/>
      </c>
    </row>
    <row r="137" spans="2:34" hidden="1" x14ac:dyDescent="0.25">
      <c r="B137" s="34"/>
      <c r="C137" s="45"/>
      <c r="D137" s="34"/>
      <c r="E137" s="34"/>
      <c r="G137" s="39"/>
      <c r="H137" s="43"/>
      <c r="I137" s="41"/>
      <c r="J137" s="41"/>
      <c r="L137" s="34">
        <v>130</v>
      </c>
      <c r="M137" s="35"/>
      <c r="N137" s="35"/>
      <c r="O137" s="34">
        <f>IFERROR(SUMIF(Table423[,],Table625[[#This Row],[Accounts Name]],Table423[,3]),"")</f>
        <v>0</v>
      </c>
      <c r="P137" s="34">
        <f>IFERROR(SUMIF(Table423[,],Table625[[#This Row],[Accounts Name]],Table423[,2]),"")</f>
        <v>0</v>
      </c>
      <c r="S137" s="36">
        <f t="shared" si="1"/>
        <v>130</v>
      </c>
      <c r="T137" s="34"/>
      <c r="U137" s="37"/>
      <c r="V137" s="34">
        <f>IFERROR(SUMIF(Table625[Sub-Accounts],Table826[[#This Row],[Update your chart of accounts here]],Table625[Debit]),"")</f>
        <v>0</v>
      </c>
      <c r="W137" s="34">
        <f>IFERROR(SUMIF(Table625[Sub-Accounts],Table826[[#This Row],[Update your chart of accounts here]],Table625[Credit]),"")</f>
        <v>0</v>
      </c>
      <c r="X137" s="34"/>
      <c r="Y137" s="34"/>
      <c r="Z137" s="34"/>
      <c r="AA137" s="34"/>
      <c r="AB137" s="34">
        <f>MAX(Table826[[#This Row],[Debit]]+Table826[[#This Row],[Debit -]]-Table826[[#This Row],[Credit]]-Table826[[#This Row],[Credit +]],0)</f>
        <v>0</v>
      </c>
      <c r="AC137" s="34">
        <f>MAX(Table826[[#This Row],[Credit]]-Table826[[#This Row],[Debit]]+Table826[[#This Row],[Credit +]]-Table826[[#This Row],[Debit -]],0)</f>
        <v>0</v>
      </c>
      <c r="AD137" s="34" t="str">
        <f>IFERROR(IF(AND(OR(Table826[[#This Row],[Classification]]="Expense",Table826[[#This Row],[Classification]]="Cost of Goods Sold"),Table826[[#This Row],[Debit\]]&gt;Table826[[#This Row],[Credit.]]),Table826[[#This Row],[Debit\]]-Table826[[#This Row],[Credit.]],""),"")</f>
        <v/>
      </c>
      <c r="AE137" s="34" t="str">
        <f>IFERROR(IF(AND(OR(Table826[[#This Row],[Classification]]="Income",Table826[[#This Row],[Classification]]="Cost of Goods Sold"),Table826[[#This Row],[Credit.]]&gt;Table826[[#This Row],[Debit\]]),Table826[[#This Row],[Credit.]]-Table826[[#This Row],[Debit\]],""),"")</f>
        <v/>
      </c>
      <c r="AF137" s="34"/>
      <c r="AG137" s="34" t="str">
        <f>IFERROR(IF(AND(Table826[[#This Row],[Classification]]="Assets",Table826[[#This Row],[Debit\]]-Table826[[#This Row],[Credit.]]),Table826[[#This Row],[Debit\]]-Table826[[#This Row],[Credit.]],""),"")</f>
        <v/>
      </c>
      <c r="AH137" s="34" t="str">
        <f>IFERROR(IF(AND(OR(Table826[[#This Row],[Classification]]="Liabilities",Table826[[#This Row],[Classification]]="Owner´s Equity"),Table826[[#This Row],[Credit.]]&gt;Table826[[#This Row],[Debit\]]),Table826[[#This Row],[Credit.]]-Table826[[#This Row],[Debit\]],""),"")</f>
        <v/>
      </c>
    </row>
    <row r="138" spans="2:34" hidden="1" x14ac:dyDescent="0.25">
      <c r="B138" s="34"/>
      <c r="C138" s="45"/>
      <c r="D138" s="34"/>
      <c r="E138" s="34"/>
      <c r="G138" s="39"/>
      <c r="H138" s="40"/>
      <c r="I138" s="41"/>
      <c r="J138" s="41"/>
      <c r="L138" s="34">
        <v>131</v>
      </c>
      <c r="M138" s="35"/>
      <c r="N138" s="35"/>
      <c r="O138" s="34">
        <f>IFERROR(SUMIF(Table423[,],Table625[[#This Row],[Accounts Name]],Table423[,3]),"")</f>
        <v>0</v>
      </c>
      <c r="P138" s="34">
        <f>IFERROR(SUMIF(Table423[,],Table625[[#This Row],[Accounts Name]],Table423[,2]),"")</f>
        <v>0</v>
      </c>
      <c r="S138" s="36">
        <f t="shared" ref="S138:S200" si="2">S137+1</f>
        <v>131</v>
      </c>
      <c r="T138" s="34"/>
      <c r="U138" s="37"/>
      <c r="V138" s="34">
        <f>IFERROR(SUMIF(Table625[Sub-Accounts],Table826[[#This Row],[Update your chart of accounts here]],Table625[Debit]),"")</f>
        <v>0</v>
      </c>
      <c r="W138" s="34">
        <f>IFERROR(SUMIF(Table625[Sub-Accounts],Table826[[#This Row],[Update your chart of accounts here]],Table625[Credit]),"")</f>
        <v>0</v>
      </c>
      <c r="X138" s="34"/>
      <c r="Y138" s="34"/>
      <c r="Z138" s="34"/>
      <c r="AA138" s="34"/>
      <c r="AB138" s="34">
        <f>MAX(Table826[[#This Row],[Debit]]+Table826[[#This Row],[Debit -]]-Table826[[#This Row],[Credit]]-Table826[[#This Row],[Credit +]],0)</f>
        <v>0</v>
      </c>
      <c r="AC138" s="34">
        <f>MAX(Table826[[#This Row],[Credit]]-Table826[[#This Row],[Debit]]+Table826[[#This Row],[Credit +]]-Table826[[#This Row],[Debit -]],0)</f>
        <v>0</v>
      </c>
      <c r="AD138" s="34" t="str">
        <f>IFERROR(IF(AND(OR(Table826[[#This Row],[Classification]]="Expense",Table826[[#This Row],[Classification]]="Cost of Goods Sold"),Table826[[#This Row],[Debit\]]&gt;Table826[[#This Row],[Credit.]]),Table826[[#This Row],[Debit\]]-Table826[[#This Row],[Credit.]],""),"")</f>
        <v/>
      </c>
      <c r="AE138" s="34" t="str">
        <f>IFERROR(IF(AND(OR(Table826[[#This Row],[Classification]]="Income",Table826[[#This Row],[Classification]]="Cost of Goods Sold"),Table826[[#This Row],[Credit.]]&gt;Table826[[#This Row],[Debit\]]),Table826[[#This Row],[Credit.]]-Table826[[#This Row],[Debit\]],""),"")</f>
        <v/>
      </c>
      <c r="AF138" s="34"/>
      <c r="AG138" s="34" t="str">
        <f>IFERROR(IF(AND(Table826[[#This Row],[Classification]]="Assets",Table826[[#This Row],[Debit\]]-Table826[[#This Row],[Credit.]]),Table826[[#This Row],[Debit\]]-Table826[[#This Row],[Credit.]],""),"")</f>
        <v/>
      </c>
      <c r="AH138" s="34" t="str">
        <f>IFERROR(IF(AND(OR(Table826[[#This Row],[Classification]]="Liabilities",Table826[[#This Row],[Classification]]="Owner´s Equity"),Table826[[#This Row],[Credit.]]&gt;Table826[[#This Row],[Debit\]]),Table826[[#This Row],[Credit.]]-Table826[[#This Row],[Debit\]],""),"")</f>
        <v/>
      </c>
    </row>
    <row r="139" spans="2:34" hidden="1" x14ac:dyDescent="0.25">
      <c r="B139" s="34"/>
      <c r="C139" s="45"/>
      <c r="D139" s="34"/>
      <c r="E139" s="34"/>
      <c r="G139" s="39"/>
      <c r="H139" s="40"/>
      <c r="I139" s="41"/>
      <c r="J139" s="41"/>
      <c r="L139" s="34">
        <v>132</v>
      </c>
      <c r="M139" s="35"/>
      <c r="N139" s="35"/>
      <c r="O139" s="34">
        <f>IFERROR(SUMIF(Table423[,],Table625[[#This Row],[Accounts Name]],Table423[,3]),"")</f>
        <v>0</v>
      </c>
      <c r="P139" s="34">
        <f>IFERROR(SUMIF(Table423[,],Table625[[#This Row],[Accounts Name]],Table423[,2]),"")</f>
        <v>0</v>
      </c>
      <c r="S139" s="36">
        <f t="shared" si="2"/>
        <v>132</v>
      </c>
      <c r="T139" s="34"/>
      <c r="U139" s="37"/>
      <c r="V139" s="34">
        <f>IFERROR(SUMIF(Table625[Sub-Accounts],Table826[[#This Row],[Update your chart of accounts here]],Table625[Debit]),"")</f>
        <v>0</v>
      </c>
      <c r="W139" s="34">
        <f>IFERROR(SUMIF(Table625[Sub-Accounts],Table826[[#This Row],[Update your chart of accounts here]],Table625[Credit]),"")</f>
        <v>0</v>
      </c>
      <c r="X139" s="34"/>
      <c r="Y139" s="34"/>
      <c r="Z139" s="34"/>
      <c r="AA139" s="34"/>
      <c r="AB139" s="34">
        <f>MAX(Table826[[#This Row],[Debit]]+Table826[[#This Row],[Debit -]]-Table826[[#This Row],[Credit]]-Table826[[#This Row],[Credit +]],0)</f>
        <v>0</v>
      </c>
      <c r="AC139" s="34">
        <f>MAX(Table826[[#This Row],[Credit]]-Table826[[#This Row],[Debit]]+Table826[[#This Row],[Credit +]]-Table826[[#This Row],[Debit -]],0)</f>
        <v>0</v>
      </c>
      <c r="AD139" s="34" t="str">
        <f>IFERROR(IF(AND(OR(Table826[[#This Row],[Classification]]="Expense",Table826[[#This Row],[Classification]]="Cost of Goods Sold"),Table826[[#This Row],[Debit\]]&gt;Table826[[#This Row],[Credit.]]),Table826[[#This Row],[Debit\]]-Table826[[#This Row],[Credit.]],""),"")</f>
        <v/>
      </c>
      <c r="AE139" s="34" t="str">
        <f>IFERROR(IF(AND(OR(Table826[[#This Row],[Classification]]="Income",Table826[[#This Row],[Classification]]="Cost of Goods Sold"),Table826[[#This Row],[Credit.]]&gt;Table826[[#This Row],[Debit\]]),Table826[[#This Row],[Credit.]]-Table826[[#This Row],[Debit\]],""),"")</f>
        <v/>
      </c>
      <c r="AF139" s="34"/>
      <c r="AG139" s="34" t="str">
        <f>IFERROR(IF(AND(Table826[[#This Row],[Classification]]="Assets",Table826[[#This Row],[Debit\]]-Table826[[#This Row],[Credit.]]),Table826[[#This Row],[Debit\]]-Table826[[#This Row],[Credit.]],""),"")</f>
        <v/>
      </c>
      <c r="AH139" s="34" t="str">
        <f>IFERROR(IF(AND(OR(Table826[[#This Row],[Classification]]="Liabilities",Table826[[#This Row],[Classification]]="Owner´s Equity"),Table826[[#This Row],[Credit.]]&gt;Table826[[#This Row],[Debit\]]),Table826[[#This Row],[Credit.]]-Table826[[#This Row],[Debit\]],""),"")</f>
        <v/>
      </c>
    </row>
    <row r="140" spans="2:34" hidden="1" x14ac:dyDescent="0.25">
      <c r="B140" s="34"/>
      <c r="C140" s="45"/>
      <c r="D140" s="34"/>
      <c r="E140" s="34"/>
      <c r="G140" s="39"/>
      <c r="H140" s="43"/>
      <c r="I140" s="41"/>
      <c r="J140" s="41"/>
      <c r="L140" s="34">
        <v>133</v>
      </c>
      <c r="M140" s="35"/>
      <c r="N140" s="35"/>
      <c r="O140" s="34">
        <f>IFERROR(SUMIF(Table423[,],Table625[[#This Row],[Accounts Name]],Table423[,3]),"")</f>
        <v>0</v>
      </c>
      <c r="P140" s="34">
        <f>IFERROR(SUMIF(Table423[,],Table625[[#This Row],[Accounts Name]],Table423[,2]),"")</f>
        <v>0</v>
      </c>
      <c r="S140" s="36">
        <f t="shared" si="2"/>
        <v>133</v>
      </c>
      <c r="T140" s="34"/>
      <c r="U140" s="37"/>
      <c r="V140" s="34">
        <f>IFERROR(SUMIF(Table625[Sub-Accounts],Table826[[#This Row],[Update your chart of accounts here]],Table625[Debit]),"")</f>
        <v>0</v>
      </c>
      <c r="W140" s="34">
        <f>IFERROR(SUMIF(Table625[Sub-Accounts],Table826[[#This Row],[Update your chart of accounts here]],Table625[Credit]),"")</f>
        <v>0</v>
      </c>
      <c r="X140" s="34"/>
      <c r="Y140" s="34"/>
      <c r="Z140" s="34"/>
      <c r="AA140" s="34"/>
      <c r="AB140" s="34">
        <f>MAX(Table826[[#This Row],[Debit]]+Table826[[#This Row],[Debit -]]-Table826[[#This Row],[Credit]]-Table826[[#This Row],[Credit +]],0)</f>
        <v>0</v>
      </c>
      <c r="AC140" s="34">
        <f>MAX(Table826[[#This Row],[Credit]]-Table826[[#This Row],[Debit]]+Table826[[#This Row],[Credit +]]-Table826[[#This Row],[Debit -]],0)</f>
        <v>0</v>
      </c>
      <c r="AD140" s="34" t="str">
        <f>IFERROR(IF(AND(OR(Table826[[#This Row],[Classification]]="Expense",Table826[[#This Row],[Classification]]="Cost of Goods Sold"),Table826[[#This Row],[Debit\]]&gt;Table826[[#This Row],[Credit.]]),Table826[[#This Row],[Debit\]]-Table826[[#This Row],[Credit.]],""),"")</f>
        <v/>
      </c>
      <c r="AE140" s="34" t="str">
        <f>IFERROR(IF(AND(OR(Table826[[#This Row],[Classification]]="Income",Table826[[#This Row],[Classification]]="Cost of Goods Sold"),Table826[[#This Row],[Credit.]]&gt;Table826[[#This Row],[Debit\]]),Table826[[#This Row],[Credit.]]-Table826[[#This Row],[Debit\]],""),"")</f>
        <v/>
      </c>
      <c r="AF140" s="34"/>
      <c r="AG140" s="34" t="str">
        <f>IFERROR(IF(AND(Table826[[#This Row],[Classification]]="Assets",Table826[[#This Row],[Debit\]]-Table826[[#This Row],[Credit.]]),Table826[[#This Row],[Debit\]]-Table826[[#This Row],[Credit.]],""),"")</f>
        <v/>
      </c>
      <c r="AH140" s="34" t="str">
        <f>IFERROR(IF(AND(OR(Table826[[#This Row],[Classification]]="Liabilities",Table826[[#This Row],[Classification]]="Owner´s Equity"),Table826[[#This Row],[Credit.]]&gt;Table826[[#This Row],[Debit\]]),Table826[[#This Row],[Credit.]]-Table826[[#This Row],[Debit\]],""),"")</f>
        <v/>
      </c>
    </row>
    <row r="141" spans="2:34" hidden="1" x14ac:dyDescent="0.25">
      <c r="B141" s="34"/>
      <c r="C141" s="45"/>
      <c r="D141" s="34"/>
      <c r="E141" s="34"/>
      <c r="G141" s="39"/>
      <c r="H141" s="40"/>
      <c r="I141" s="41"/>
      <c r="J141" s="41"/>
      <c r="L141" s="34">
        <v>134</v>
      </c>
      <c r="M141" s="35"/>
      <c r="N141" s="35"/>
      <c r="O141" s="34">
        <f>IFERROR(SUMIF(Table423[,],Table625[[#This Row],[Accounts Name]],Table423[,3]),"")</f>
        <v>0</v>
      </c>
      <c r="P141" s="34">
        <f>IFERROR(SUMIF(Table423[,],Table625[[#This Row],[Accounts Name]],Table423[,2]),"")</f>
        <v>0</v>
      </c>
      <c r="S141" s="36">
        <f t="shared" si="2"/>
        <v>134</v>
      </c>
      <c r="T141" s="34"/>
      <c r="U141" s="37"/>
      <c r="V141" s="34">
        <f>IFERROR(SUMIF(Table625[Sub-Accounts],Table826[[#This Row],[Update your chart of accounts here]],Table625[Debit]),"")</f>
        <v>0</v>
      </c>
      <c r="W141" s="34">
        <f>IFERROR(SUMIF(Table625[Sub-Accounts],Table826[[#This Row],[Update your chart of accounts here]],Table625[Credit]),"")</f>
        <v>0</v>
      </c>
      <c r="X141" s="34"/>
      <c r="Y141" s="34"/>
      <c r="Z141" s="34"/>
      <c r="AA141" s="34"/>
      <c r="AB141" s="34">
        <f>MAX(Table826[[#This Row],[Debit]]+Table826[[#This Row],[Debit -]]-Table826[[#This Row],[Credit]]-Table826[[#This Row],[Credit +]],0)</f>
        <v>0</v>
      </c>
      <c r="AC141" s="34">
        <f>MAX(Table826[[#This Row],[Credit]]-Table826[[#This Row],[Debit]]+Table826[[#This Row],[Credit +]]-Table826[[#This Row],[Debit -]],0)</f>
        <v>0</v>
      </c>
      <c r="AD141" s="34" t="str">
        <f>IFERROR(IF(AND(OR(Table826[[#This Row],[Classification]]="Expense",Table826[[#This Row],[Classification]]="Cost of Goods Sold"),Table826[[#This Row],[Debit\]]&gt;Table826[[#This Row],[Credit.]]),Table826[[#This Row],[Debit\]]-Table826[[#This Row],[Credit.]],""),"")</f>
        <v/>
      </c>
      <c r="AE141" s="34" t="str">
        <f>IFERROR(IF(AND(OR(Table826[[#This Row],[Classification]]="Income",Table826[[#This Row],[Classification]]="Cost of Goods Sold"),Table826[[#This Row],[Credit.]]&gt;Table826[[#This Row],[Debit\]]),Table826[[#This Row],[Credit.]]-Table826[[#This Row],[Debit\]],""),"")</f>
        <v/>
      </c>
      <c r="AF141" s="34"/>
      <c r="AG141" s="34" t="str">
        <f>IFERROR(IF(AND(Table826[[#This Row],[Classification]]="Assets",Table826[[#This Row],[Debit\]]-Table826[[#This Row],[Credit.]]),Table826[[#This Row],[Debit\]]-Table826[[#This Row],[Credit.]],""),"")</f>
        <v/>
      </c>
      <c r="AH141" s="34" t="str">
        <f>IFERROR(IF(AND(OR(Table826[[#This Row],[Classification]]="Liabilities",Table826[[#This Row],[Classification]]="Owner´s Equity"),Table826[[#This Row],[Credit.]]&gt;Table826[[#This Row],[Debit\]]),Table826[[#This Row],[Credit.]]-Table826[[#This Row],[Debit\]],""),"")</f>
        <v/>
      </c>
    </row>
    <row r="142" spans="2:34" hidden="1" x14ac:dyDescent="0.25">
      <c r="B142" s="34"/>
      <c r="C142" s="45"/>
      <c r="D142" s="34"/>
      <c r="E142" s="34"/>
      <c r="G142" s="39"/>
      <c r="H142" s="40"/>
      <c r="I142" s="41"/>
      <c r="J142" s="41"/>
      <c r="L142" s="34">
        <v>135</v>
      </c>
      <c r="M142" s="35"/>
      <c r="N142" s="35"/>
      <c r="O142" s="34">
        <f>IFERROR(SUMIF(Table423[,],Table625[[#This Row],[Accounts Name]],Table423[,3]),"")</f>
        <v>0</v>
      </c>
      <c r="P142" s="34">
        <f>IFERROR(SUMIF(Table423[,],Table625[[#This Row],[Accounts Name]],Table423[,2]),"")</f>
        <v>0</v>
      </c>
      <c r="S142" s="36">
        <f t="shared" si="2"/>
        <v>135</v>
      </c>
      <c r="T142" s="34"/>
      <c r="U142" s="37"/>
      <c r="V142" s="34">
        <f>IFERROR(SUMIF(Table625[Sub-Accounts],Table826[[#This Row],[Update your chart of accounts here]],Table625[Debit]),"")</f>
        <v>0</v>
      </c>
      <c r="W142" s="34">
        <f>IFERROR(SUMIF(Table625[Sub-Accounts],Table826[[#This Row],[Update your chart of accounts here]],Table625[Credit]),"")</f>
        <v>0</v>
      </c>
      <c r="X142" s="34"/>
      <c r="Y142" s="34"/>
      <c r="Z142" s="34"/>
      <c r="AA142" s="34"/>
      <c r="AB142" s="34">
        <f>MAX(Table826[[#This Row],[Debit]]+Table826[[#This Row],[Debit -]]-Table826[[#This Row],[Credit]]-Table826[[#This Row],[Credit +]],0)</f>
        <v>0</v>
      </c>
      <c r="AC142" s="34">
        <f>MAX(Table826[[#This Row],[Credit]]-Table826[[#This Row],[Debit]]+Table826[[#This Row],[Credit +]]-Table826[[#This Row],[Debit -]],0)</f>
        <v>0</v>
      </c>
      <c r="AD142" s="34" t="str">
        <f>IFERROR(IF(AND(OR(Table826[[#This Row],[Classification]]="Expense",Table826[[#This Row],[Classification]]="Cost of Goods Sold"),Table826[[#This Row],[Debit\]]&gt;Table826[[#This Row],[Credit.]]),Table826[[#This Row],[Debit\]]-Table826[[#This Row],[Credit.]],""),"")</f>
        <v/>
      </c>
      <c r="AE142" s="34" t="str">
        <f>IFERROR(IF(AND(OR(Table826[[#This Row],[Classification]]="Income",Table826[[#This Row],[Classification]]="Cost of Goods Sold"),Table826[[#This Row],[Credit.]]&gt;Table826[[#This Row],[Debit\]]),Table826[[#This Row],[Credit.]]-Table826[[#This Row],[Debit\]],""),"")</f>
        <v/>
      </c>
      <c r="AF142" s="34"/>
      <c r="AG142" s="34" t="str">
        <f>IFERROR(IF(AND(Table826[[#This Row],[Classification]]="Assets",Table826[[#This Row],[Debit\]]-Table826[[#This Row],[Credit.]]),Table826[[#This Row],[Debit\]]-Table826[[#This Row],[Credit.]],""),"")</f>
        <v/>
      </c>
      <c r="AH142" s="34" t="str">
        <f>IFERROR(IF(AND(OR(Table826[[#This Row],[Classification]]="Liabilities",Table826[[#This Row],[Classification]]="Owner´s Equity"),Table826[[#This Row],[Credit.]]&gt;Table826[[#This Row],[Debit\]]),Table826[[#This Row],[Credit.]]-Table826[[#This Row],[Debit\]],""),"")</f>
        <v/>
      </c>
    </row>
    <row r="143" spans="2:34" hidden="1" x14ac:dyDescent="0.25">
      <c r="B143" s="34"/>
      <c r="C143" s="45"/>
      <c r="D143" s="34"/>
      <c r="E143" s="34"/>
      <c r="G143" s="39"/>
      <c r="H143" s="43"/>
      <c r="I143" s="41"/>
      <c r="J143" s="41"/>
      <c r="L143" s="34">
        <v>136</v>
      </c>
      <c r="M143" s="35"/>
      <c r="N143" s="35"/>
      <c r="O143" s="34">
        <f>IFERROR(SUMIF(Table423[,],Table625[[#This Row],[Accounts Name]],Table423[,3]),"")</f>
        <v>0</v>
      </c>
      <c r="P143" s="34">
        <f>IFERROR(SUMIF(Table423[,],Table625[[#This Row],[Accounts Name]],Table423[,2]),"")</f>
        <v>0</v>
      </c>
      <c r="S143" s="36">
        <f t="shared" si="2"/>
        <v>136</v>
      </c>
      <c r="T143" s="34"/>
      <c r="U143" s="37"/>
      <c r="V143" s="34">
        <f>IFERROR(SUMIF(Table625[Sub-Accounts],Table826[[#This Row],[Update your chart of accounts here]],Table625[Debit]),"")</f>
        <v>0</v>
      </c>
      <c r="W143" s="34">
        <f>IFERROR(SUMIF(Table625[Sub-Accounts],Table826[[#This Row],[Update your chart of accounts here]],Table625[Credit]),"")</f>
        <v>0</v>
      </c>
      <c r="X143" s="34"/>
      <c r="Y143" s="34"/>
      <c r="Z143" s="34"/>
      <c r="AA143" s="34"/>
      <c r="AB143" s="34">
        <f>MAX(Table826[[#This Row],[Debit]]+Table826[[#This Row],[Debit -]]-Table826[[#This Row],[Credit]]-Table826[[#This Row],[Credit +]],0)</f>
        <v>0</v>
      </c>
      <c r="AC143" s="34">
        <f>MAX(Table826[[#This Row],[Credit]]-Table826[[#This Row],[Debit]]+Table826[[#This Row],[Credit +]]-Table826[[#This Row],[Debit -]],0)</f>
        <v>0</v>
      </c>
      <c r="AD143" s="34" t="str">
        <f>IFERROR(IF(AND(OR(Table826[[#This Row],[Classification]]="Expense",Table826[[#This Row],[Classification]]="Cost of Goods Sold"),Table826[[#This Row],[Debit\]]&gt;Table826[[#This Row],[Credit.]]),Table826[[#This Row],[Debit\]]-Table826[[#This Row],[Credit.]],""),"")</f>
        <v/>
      </c>
      <c r="AE143" s="34" t="str">
        <f>IFERROR(IF(AND(OR(Table826[[#This Row],[Classification]]="Income",Table826[[#This Row],[Classification]]="Cost of Goods Sold"),Table826[[#This Row],[Credit.]]&gt;Table826[[#This Row],[Debit\]]),Table826[[#This Row],[Credit.]]-Table826[[#This Row],[Debit\]],""),"")</f>
        <v/>
      </c>
      <c r="AF143" s="34"/>
      <c r="AG143" s="34" t="str">
        <f>IFERROR(IF(AND(Table826[[#This Row],[Classification]]="Assets",Table826[[#This Row],[Debit\]]-Table826[[#This Row],[Credit.]]),Table826[[#This Row],[Debit\]]-Table826[[#This Row],[Credit.]],""),"")</f>
        <v/>
      </c>
      <c r="AH143" s="34" t="str">
        <f>IFERROR(IF(AND(OR(Table826[[#This Row],[Classification]]="Liabilities",Table826[[#This Row],[Classification]]="Owner´s Equity"),Table826[[#This Row],[Credit.]]&gt;Table826[[#This Row],[Debit\]]),Table826[[#This Row],[Credit.]]-Table826[[#This Row],[Debit\]],""),"")</f>
        <v/>
      </c>
    </row>
    <row r="144" spans="2:34" hidden="1" x14ac:dyDescent="0.25">
      <c r="B144" s="34"/>
      <c r="C144" s="45"/>
      <c r="D144" s="34"/>
      <c r="E144" s="34"/>
      <c r="G144" s="39"/>
      <c r="H144" s="40"/>
      <c r="I144" s="41"/>
      <c r="J144" s="41"/>
      <c r="L144" s="34">
        <v>137</v>
      </c>
      <c r="M144" s="35"/>
      <c r="N144" s="35"/>
      <c r="O144" s="34">
        <f>IFERROR(SUMIF(Table423[,],Table625[[#This Row],[Accounts Name]],Table423[,3]),"")</f>
        <v>0</v>
      </c>
      <c r="P144" s="34">
        <f>IFERROR(SUMIF(Table423[,],Table625[[#This Row],[Accounts Name]],Table423[,2]),"")</f>
        <v>0</v>
      </c>
      <c r="S144" s="36">
        <f t="shared" si="2"/>
        <v>137</v>
      </c>
      <c r="T144" s="34"/>
      <c r="U144" s="37"/>
      <c r="V144" s="34">
        <f>IFERROR(SUMIF(Table625[Sub-Accounts],Table826[[#This Row],[Update your chart of accounts here]],Table625[Debit]),"")</f>
        <v>0</v>
      </c>
      <c r="W144" s="34">
        <f>IFERROR(SUMIF(Table625[Sub-Accounts],Table826[[#This Row],[Update your chart of accounts here]],Table625[Credit]),"")</f>
        <v>0</v>
      </c>
      <c r="X144" s="34"/>
      <c r="Y144" s="34"/>
      <c r="Z144" s="34"/>
      <c r="AA144" s="34"/>
      <c r="AB144" s="34">
        <f>MAX(Table826[[#This Row],[Debit]]+Table826[[#This Row],[Debit -]]-Table826[[#This Row],[Credit]]-Table826[[#This Row],[Credit +]],0)</f>
        <v>0</v>
      </c>
      <c r="AC144" s="34">
        <f>MAX(Table826[[#This Row],[Credit]]-Table826[[#This Row],[Debit]]+Table826[[#This Row],[Credit +]]-Table826[[#This Row],[Debit -]],0)</f>
        <v>0</v>
      </c>
      <c r="AD144" s="34" t="str">
        <f>IFERROR(IF(AND(OR(Table826[[#This Row],[Classification]]="Expense",Table826[[#This Row],[Classification]]="Cost of Goods Sold"),Table826[[#This Row],[Debit\]]&gt;Table826[[#This Row],[Credit.]]),Table826[[#This Row],[Debit\]]-Table826[[#This Row],[Credit.]],""),"")</f>
        <v/>
      </c>
      <c r="AE144" s="34" t="str">
        <f>IFERROR(IF(AND(OR(Table826[[#This Row],[Classification]]="Income",Table826[[#This Row],[Classification]]="Cost of Goods Sold"),Table826[[#This Row],[Credit.]]&gt;Table826[[#This Row],[Debit\]]),Table826[[#This Row],[Credit.]]-Table826[[#This Row],[Debit\]],""),"")</f>
        <v/>
      </c>
      <c r="AF144" s="34"/>
      <c r="AG144" s="34" t="str">
        <f>IFERROR(IF(AND(Table826[[#This Row],[Classification]]="Assets",Table826[[#This Row],[Debit\]]-Table826[[#This Row],[Credit.]]),Table826[[#This Row],[Debit\]]-Table826[[#This Row],[Credit.]],""),"")</f>
        <v/>
      </c>
      <c r="AH144" s="34" t="str">
        <f>IFERROR(IF(AND(OR(Table826[[#This Row],[Classification]]="Liabilities",Table826[[#This Row],[Classification]]="Owner´s Equity"),Table826[[#This Row],[Credit.]]&gt;Table826[[#This Row],[Debit\]]),Table826[[#This Row],[Credit.]]-Table826[[#This Row],[Debit\]],""),"")</f>
        <v/>
      </c>
    </row>
    <row r="145" spans="2:34" hidden="1" x14ac:dyDescent="0.25">
      <c r="B145" s="34"/>
      <c r="C145" s="45"/>
      <c r="D145" s="34"/>
      <c r="E145" s="34"/>
      <c r="G145" s="39"/>
      <c r="H145" s="40"/>
      <c r="I145" s="41"/>
      <c r="J145" s="41"/>
      <c r="L145" s="34">
        <v>138</v>
      </c>
      <c r="M145" s="35"/>
      <c r="N145" s="35"/>
      <c r="O145" s="34">
        <f>IFERROR(SUMIF(Table423[,],Table625[[#This Row],[Accounts Name]],Table423[,3]),"")</f>
        <v>0</v>
      </c>
      <c r="P145" s="34">
        <f>IFERROR(SUMIF(Table423[,],Table625[[#This Row],[Accounts Name]],Table423[,2]),"")</f>
        <v>0</v>
      </c>
      <c r="S145" s="36">
        <f t="shared" si="2"/>
        <v>138</v>
      </c>
      <c r="T145" s="34"/>
      <c r="U145" s="37"/>
      <c r="V145" s="34">
        <f>IFERROR(SUMIF(Table625[Sub-Accounts],Table826[[#This Row],[Update your chart of accounts here]],Table625[Debit]),"")</f>
        <v>0</v>
      </c>
      <c r="W145" s="34">
        <f>IFERROR(SUMIF(Table625[Sub-Accounts],Table826[[#This Row],[Update your chart of accounts here]],Table625[Credit]),"")</f>
        <v>0</v>
      </c>
      <c r="X145" s="34"/>
      <c r="Y145" s="34"/>
      <c r="Z145" s="34"/>
      <c r="AA145" s="34"/>
      <c r="AB145" s="34">
        <f>MAX(Table826[[#This Row],[Debit]]+Table826[[#This Row],[Debit -]]-Table826[[#This Row],[Credit]]-Table826[[#This Row],[Credit +]],0)</f>
        <v>0</v>
      </c>
      <c r="AC145" s="34">
        <f>MAX(Table826[[#This Row],[Credit]]-Table826[[#This Row],[Debit]]+Table826[[#This Row],[Credit +]]-Table826[[#This Row],[Debit -]],0)</f>
        <v>0</v>
      </c>
      <c r="AD145" s="34" t="str">
        <f>IFERROR(IF(AND(OR(Table826[[#This Row],[Classification]]="Expense",Table826[[#This Row],[Classification]]="Cost of Goods Sold"),Table826[[#This Row],[Debit\]]&gt;Table826[[#This Row],[Credit.]]),Table826[[#This Row],[Debit\]]-Table826[[#This Row],[Credit.]],""),"")</f>
        <v/>
      </c>
      <c r="AE145" s="34" t="str">
        <f>IFERROR(IF(AND(OR(Table826[[#This Row],[Classification]]="Income",Table826[[#This Row],[Classification]]="Cost of Goods Sold"),Table826[[#This Row],[Credit.]]&gt;Table826[[#This Row],[Debit\]]),Table826[[#This Row],[Credit.]]-Table826[[#This Row],[Debit\]],""),"")</f>
        <v/>
      </c>
      <c r="AF145" s="34"/>
      <c r="AG145" s="34" t="str">
        <f>IFERROR(IF(AND(Table826[[#This Row],[Classification]]="Assets",Table826[[#This Row],[Debit\]]-Table826[[#This Row],[Credit.]]),Table826[[#This Row],[Debit\]]-Table826[[#This Row],[Credit.]],""),"")</f>
        <v/>
      </c>
      <c r="AH145" s="34" t="str">
        <f>IFERROR(IF(AND(OR(Table826[[#This Row],[Classification]]="Liabilities",Table826[[#This Row],[Classification]]="Owner´s Equity"),Table826[[#This Row],[Credit.]]&gt;Table826[[#This Row],[Debit\]]),Table826[[#This Row],[Credit.]]-Table826[[#This Row],[Debit\]],""),"")</f>
        <v/>
      </c>
    </row>
    <row r="146" spans="2:34" hidden="1" x14ac:dyDescent="0.25">
      <c r="B146" s="34"/>
      <c r="C146" s="45"/>
      <c r="D146" s="34"/>
      <c r="E146" s="34"/>
      <c r="G146" s="39"/>
      <c r="H146" s="43"/>
      <c r="I146" s="41"/>
      <c r="J146" s="41"/>
      <c r="L146" s="34">
        <v>139</v>
      </c>
      <c r="M146" s="35"/>
      <c r="N146" s="35"/>
      <c r="O146" s="34">
        <f>IFERROR(SUMIF(Table423[,],Table625[[#This Row],[Accounts Name]],Table423[,3]),"")</f>
        <v>0</v>
      </c>
      <c r="P146" s="34">
        <f>IFERROR(SUMIF(Table423[,],Table625[[#This Row],[Accounts Name]],Table423[,2]),"")</f>
        <v>0</v>
      </c>
      <c r="S146" s="36">
        <f t="shared" si="2"/>
        <v>139</v>
      </c>
      <c r="T146" s="34"/>
      <c r="U146" s="37"/>
      <c r="V146" s="34">
        <f>IFERROR(SUMIF(Table625[Sub-Accounts],Table826[[#This Row],[Update your chart of accounts here]],Table625[Debit]),"")</f>
        <v>0</v>
      </c>
      <c r="W146" s="34">
        <f>IFERROR(SUMIF(Table625[Sub-Accounts],Table826[[#This Row],[Update your chart of accounts here]],Table625[Credit]),"")</f>
        <v>0</v>
      </c>
      <c r="X146" s="34"/>
      <c r="Y146" s="34"/>
      <c r="Z146" s="34"/>
      <c r="AA146" s="34"/>
      <c r="AB146" s="34">
        <f>MAX(Table826[[#This Row],[Debit]]+Table826[[#This Row],[Debit -]]-Table826[[#This Row],[Credit]]-Table826[[#This Row],[Credit +]],0)</f>
        <v>0</v>
      </c>
      <c r="AC146" s="34">
        <f>MAX(Table826[[#This Row],[Credit]]-Table826[[#This Row],[Debit]]+Table826[[#This Row],[Credit +]]-Table826[[#This Row],[Debit -]],0)</f>
        <v>0</v>
      </c>
      <c r="AD146" s="34" t="str">
        <f>IFERROR(IF(AND(OR(Table826[[#This Row],[Classification]]="Expense",Table826[[#This Row],[Classification]]="Cost of Goods Sold"),Table826[[#This Row],[Debit\]]&gt;Table826[[#This Row],[Credit.]]),Table826[[#This Row],[Debit\]]-Table826[[#This Row],[Credit.]],""),"")</f>
        <v/>
      </c>
      <c r="AE146" s="34" t="str">
        <f>IFERROR(IF(AND(OR(Table826[[#This Row],[Classification]]="Income",Table826[[#This Row],[Classification]]="Cost of Goods Sold"),Table826[[#This Row],[Credit.]]&gt;Table826[[#This Row],[Debit\]]),Table826[[#This Row],[Credit.]]-Table826[[#This Row],[Debit\]],""),"")</f>
        <v/>
      </c>
      <c r="AF146" s="34"/>
      <c r="AG146" s="34" t="str">
        <f>IFERROR(IF(AND(Table826[[#This Row],[Classification]]="Assets",Table826[[#This Row],[Debit\]]-Table826[[#This Row],[Credit.]]),Table826[[#This Row],[Debit\]]-Table826[[#This Row],[Credit.]],""),"")</f>
        <v/>
      </c>
      <c r="AH146" s="34" t="str">
        <f>IFERROR(IF(AND(OR(Table826[[#This Row],[Classification]]="Liabilities",Table826[[#This Row],[Classification]]="Owner´s Equity"),Table826[[#This Row],[Credit.]]&gt;Table826[[#This Row],[Debit\]]),Table826[[#This Row],[Credit.]]-Table826[[#This Row],[Debit\]],""),"")</f>
        <v/>
      </c>
    </row>
    <row r="147" spans="2:34" hidden="1" x14ac:dyDescent="0.25">
      <c r="B147" s="34"/>
      <c r="C147" s="45"/>
      <c r="D147" s="34"/>
      <c r="E147" s="34"/>
      <c r="G147" s="39"/>
      <c r="H147" s="40"/>
      <c r="I147" s="41"/>
      <c r="J147" s="41"/>
      <c r="L147" s="34">
        <v>140</v>
      </c>
      <c r="M147" s="35"/>
      <c r="N147" s="35"/>
      <c r="O147" s="34">
        <f>IFERROR(SUMIF(Table423[,],Table625[[#This Row],[Accounts Name]],Table423[,3]),"")</f>
        <v>0</v>
      </c>
      <c r="P147" s="34">
        <f>IFERROR(SUMIF(Table423[,],Table625[[#This Row],[Accounts Name]],Table423[,2]),"")</f>
        <v>0</v>
      </c>
      <c r="S147" s="36">
        <f t="shared" si="2"/>
        <v>140</v>
      </c>
      <c r="T147" s="34"/>
      <c r="U147" s="37"/>
      <c r="V147" s="34">
        <f>IFERROR(SUMIF(Table625[Sub-Accounts],Table826[[#This Row],[Update your chart of accounts here]],Table625[Debit]),"")</f>
        <v>0</v>
      </c>
      <c r="W147" s="34">
        <f>IFERROR(SUMIF(Table625[Sub-Accounts],Table826[[#This Row],[Update your chart of accounts here]],Table625[Credit]),"")</f>
        <v>0</v>
      </c>
      <c r="X147" s="34"/>
      <c r="Y147" s="34"/>
      <c r="Z147" s="34"/>
      <c r="AA147" s="34"/>
      <c r="AB147" s="34">
        <f>MAX(Table826[[#This Row],[Debit]]+Table826[[#This Row],[Debit -]]-Table826[[#This Row],[Credit]]-Table826[[#This Row],[Credit +]],0)</f>
        <v>0</v>
      </c>
      <c r="AC147" s="34">
        <f>MAX(Table826[[#This Row],[Credit]]-Table826[[#This Row],[Debit]]+Table826[[#This Row],[Credit +]]-Table826[[#This Row],[Debit -]],0)</f>
        <v>0</v>
      </c>
      <c r="AD147" s="34" t="str">
        <f>IFERROR(IF(AND(OR(Table826[[#This Row],[Classification]]="Expense",Table826[[#This Row],[Classification]]="Cost of Goods Sold"),Table826[[#This Row],[Debit\]]&gt;Table826[[#This Row],[Credit.]]),Table826[[#This Row],[Debit\]]-Table826[[#This Row],[Credit.]],""),"")</f>
        <v/>
      </c>
      <c r="AE147" s="34" t="str">
        <f>IFERROR(IF(AND(OR(Table826[[#This Row],[Classification]]="Income",Table826[[#This Row],[Classification]]="Cost of Goods Sold"),Table826[[#This Row],[Credit.]]&gt;Table826[[#This Row],[Debit\]]),Table826[[#This Row],[Credit.]]-Table826[[#This Row],[Debit\]],""),"")</f>
        <v/>
      </c>
      <c r="AF147" s="34"/>
      <c r="AG147" s="34" t="str">
        <f>IFERROR(IF(AND(Table826[[#This Row],[Classification]]="Assets",Table826[[#This Row],[Debit\]]-Table826[[#This Row],[Credit.]]),Table826[[#This Row],[Debit\]]-Table826[[#This Row],[Credit.]],""),"")</f>
        <v/>
      </c>
      <c r="AH147" s="34" t="str">
        <f>IFERROR(IF(AND(OR(Table826[[#This Row],[Classification]]="Liabilities",Table826[[#This Row],[Classification]]="Owner´s Equity"),Table826[[#This Row],[Credit.]]&gt;Table826[[#This Row],[Debit\]]),Table826[[#This Row],[Credit.]]-Table826[[#This Row],[Debit\]],""),"")</f>
        <v/>
      </c>
    </row>
    <row r="148" spans="2:34" hidden="1" x14ac:dyDescent="0.25">
      <c r="B148" s="34"/>
      <c r="C148" s="45"/>
      <c r="D148" s="34"/>
      <c r="E148" s="34"/>
      <c r="G148" s="39"/>
      <c r="H148" s="40"/>
      <c r="I148" s="41"/>
      <c r="J148" s="41"/>
      <c r="L148" s="34">
        <v>141</v>
      </c>
      <c r="M148" s="35"/>
      <c r="N148" s="35"/>
      <c r="O148" s="34">
        <f>IFERROR(SUMIF(Table423[,],Table625[[#This Row],[Accounts Name]],Table423[,3]),"")</f>
        <v>0</v>
      </c>
      <c r="P148" s="34">
        <f>IFERROR(SUMIF(Table423[,],Table625[[#This Row],[Accounts Name]],Table423[,2]),"")</f>
        <v>0</v>
      </c>
      <c r="S148" s="36">
        <f t="shared" si="2"/>
        <v>141</v>
      </c>
      <c r="T148" s="34"/>
      <c r="U148" s="37"/>
      <c r="V148" s="34">
        <f>IFERROR(SUMIF(Table625[Sub-Accounts],Table826[[#This Row],[Update your chart of accounts here]],Table625[Debit]),"")</f>
        <v>0</v>
      </c>
      <c r="W148" s="34">
        <f>IFERROR(SUMIF(Table625[Sub-Accounts],Table826[[#This Row],[Update your chart of accounts here]],Table625[Credit]),"")</f>
        <v>0</v>
      </c>
      <c r="X148" s="34"/>
      <c r="Y148" s="34"/>
      <c r="Z148" s="34"/>
      <c r="AA148" s="34"/>
      <c r="AB148" s="34">
        <f>MAX(Table826[[#This Row],[Debit]]+Table826[[#This Row],[Debit -]]-Table826[[#This Row],[Credit]]-Table826[[#This Row],[Credit +]],0)</f>
        <v>0</v>
      </c>
      <c r="AC148" s="34">
        <f>MAX(Table826[[#This Row],[Credit]]-Table826[[#This Row],[Debit]]+Table826[[#This Row],[Credit +]]-Table826[[#This Row],[Debit -]],0)</f>
        <v>0</v>
      </c>
      <c r="AD148" s="34" t="str">
        <f>IFERROR(IF(AND(OR(Table826[[#This Row],[Classification]]="Expense",Table826[[#This Row],[Classification]]="Cost of Goods Sold"),Table826[[#This Row],[Debit\]]&gt;Table826[[#This Row],[Credit.]]),Table826[[#This Row],[Debit\]]-Table826[[#This Row],[Credit.]],""),"")</f>
        <v/>
      </c>
      <c r="AE148" s="34" t="str">
        <f>IFERROR(IF(AND(OR(Table826[[#This Row],[Classification]]="Income",Table826[[#This Row],[Classification]]="Cost of Goods Sold"),Table826[[#This Row],[Credit.]]&gt;Table826[[#This Row],[Debit\]]),Table826[[#This Row],[Credit.]]-Table826[[#This Row],[Debit\]],""),"")</f>
        <v/>
      </c>
      <c r="AF148" s="34"/>
      <c r="AG148" s="34" t="str">
        <f>IFERROR(IF(AND(Table826[[#This Row],[Classification]]="Assets",Table826[[#This Row],[Debit\]]-Table826[[#This Row],[Credit.]]),Table826[[#This Row],[Debit\]]-Table826[[#This Row],[Credit.]],""),"")</f>
        <v/>
      </c>
      <c r="AH148" s="34" t="str">
        <f>IFERROR(IF(AND(OR(Table826[[#This Row],[Classification]]="Liabilities",Table826[[#This Row],[Classification]]="Owner´s Equity"),Table826[[#This Row],[Credit.]]&gt;Table826[[#This Row],[Debit\]]),Table826[[#This Row],[Credit.]]-Table826[[#This Row],[Debit\]],""),"")</f>
        <v/>
      </c>
    </row>
    <row r="149" spans="2:34" hidden="1" x14ac:dyDescent="0.25">
      <c r="B149" s="34"/>
      <c r="C149" s="45"/>
      <c r="D149" s="34"/>
      <c r="E149" s="34"/>
      <c r="G149" s="39"/>
      <c r="H149" s="43"/>
      <c r="I149" s="41"/>
      <c r="J149" s="41"/>
      <c r="L149" s="34">
        <v>142</v>
      </c>
      <c r="M149" s="35"/>
      <c r="N149" s="35"/>
      <c r="O149" s="34">
        <f>IFERROR(SUMIF(Table423[,],Table625[[#This Row],[Accounts Name]],Table423[,3]),"")</f>
        <v>0</v>
      </c>
      <c r="P149" s="34">
        <f>IFERROR(SUMIF(Table423[,],Table625[[#This Row],[Accounts Name]],Table423[,2]),"")</f>
        <v>0</v>
      </c>
      <c r="S149" s="36">
        <f t="shared" si="2"/>
        <v>142</v>
      </c>
      <c r="T149" s="34"/>
      <c r="U149" s="37"/>
      <c r="V149" s="34">
        <f>IFERROR(SUMIF(Table625[Sub-Accounts],Table826[[#This Row],[Update your chart of accounts here]],Table625[Debit]),"")</f>
        <v>0</v>
      </c>
      <c r="W149" s="34">
        <f>IFERROR(SUMIF(Table625[Sub-Accounts],Table826[[#This Row],[Update your chart of accounts here]],Table625[Credit]),"")</f>
        <v>0</v>
      </c>
      <c r="X149" s="34"/>
      <c r="Y149" s="34"/>
      <c r="Z149" s="34"/>
      <c r="AA149" s="34"/>
      <c r="AB149" s="34">
        <f>MAX(Table826[[#This Row],[Debit]]+Table826[[#This Row],[Debit -]]-Table826[[#This Row],[Credit]]-Table826[[#This Row],[Credit +]],0)</f>
        <v>0</v>
      </c>
      <c r="AC149" s="34">
        <f>MAX(Table826[[#This Row],[Credit]]-Table826[[#This Row],[Debit]]+Table826[[#This Row],[Credit +]]-Table826[[#This Row],[Debit -]],0)</f>
        <v>0</v>
      </c>
      <c r="AD149" s="34" t="str">
        <f>IFERROR(IF(AND(OR(Table826[[#This Row],[Classification]]="Expense",Table826[[#This Row],[Classification]]="Cost of Goods Sold"),Table826[[#This Row],[Debit\]]&gt;Table826[[#This Row],[Credit.]]),Table826[[#This Row],[Debit\]]-Table826[[#This Row],[Credit.]],""),"")</f>
        <v/>
      </c>
      <c r="AE149" s="34" t="str">
        <f>IFERROR(IF(AND(OR(Table826[[#This Row],[Classification]]="Income",Table826[[#This Row],[Classification]]="Cost of Goods Sold"),Table826[[#This Row],[Credit.]]&gt;Table826[[#This Row],[Debit\]]),Table826[[#This Row],[Credit.]]-Table826[[#This Row],[Debit\]],""),"")</f>
        <v/>
      </c>
      <c r="AF149" s="34"/>
      <c r="AG149" s="34" t="str">
        <f>IFERROR(IF(AND(Table826[[#This Row],[Classification]]="Assets",Table826[[#This Row],[Debit\]]-Table826[[#This Row],[Credit.]]),Table826[[#This Row],[Debit\]]-Table826[[#This Row],[Credit.]],""),"")</f>
        <v/>
      </c>
      <c r="AH149" s="34" t="str">
        <f>IFERROR(IF(AND(OR(Table826[[#This Row],[Classification]]="Liabilities",Table826[[#This Row],[Classification]]="Owner´s Equity"),Table826[[#This Row],[Credit.]]&gt;Table826[[#This Row],[Debit\]]),Table826[[#This Row],[Credit.]]-Table826[[#This Row],[Debit\]],""),"")</f>
        <v/>
      </c>
    </row>
    <row r="150" spans="2:34" hidden="1" x14ac:dyDescent="0.25">
      <c r="B150" s="34"/>
      <c r="C150" s="45"/>
      <c r="D150" s="34"/>
      <c r="E150" s="34"/>
      <c r="G150" s="39"/>
      <c r="H150" s="40"/>
      <c r="I150" s="41"/>
      <c r="J150" s="41"/>
      <c r="L150" s="34">
        <v>143</v>
      </c>
      <c r="M150" s="35"/>
      <c r="N150" s="35"/>
      <c r="O150" s="34">
        <f>IFERROR(SUMIF(Table423[,],Table625[[#This Row],[Accounts Name]],Table423[,3]),"")</f>
        <v>0</v>
      </c>
      <c r="P150" s="34">
        <f>IFERROR(SUMIF(Table423[,],Table625[[#This Row],[Accounts Name]],Table423[,2]),"")</f>
        <v>0</v>
      </c>
      <c r="S150" s="36">
        <f t="shared" si="2"/>
        <v>143</v>
      </c>
      <c r="T150" s="34"/>
      <c r="U150" s="37"/>
      <c r="V150" s="34">
        <f>IFERROR(SUMIF(Table625[Sub-Accounts],Table826[[#This Row],[Update your chart of accounts here]],Table625[Debit]),"")</f>
        <v>0</v>
      </c>
      <c r="W150" s="34">
        <f>IFERROR(SUMIF(Table625[Sub-Accounts],Table826[[#This Row],[Update your chart of accounts here]],Table625[Credit]),"")</f>
        <v>0</v>
      </c>
      <c r="X150" s="34"/>
      <c r="Y150" s="34"/>
      <c r="Z150" s="34"/>
      <c r="AA150" s="34"/>
      <c r="AB150" s="34">
        <f>MAX(Table826[[#This Row],[Debit]]+Table826[[#This Row],[Debit -]]-Table826[[#This Row],[Credit]]-Table826[[#This Row],[Credit +]],0)</f>
        <v>0</v>
      </c>
      <c r="AC150" s="34">
        <f>MAX(Table826[[#This Row],[Credit]]-Table826[[#This Row],[Debit]]+Table826[[#This Row],[Credit +]]-Table826[[#This Row],[Debit -]],0)</f>
        <v>0</v>
      </c>
      <c r="AD150" s="34" t="str">
        <f>IFERROR(IF(AND(OR(Table826[[#This Row],[Classification]]="Expense",Table826[[#This Row],[Classification]]="Cost of Goods Sold"),Table826[[#This Row],[Debit\]]&gt;Table826[[#This Row],[Credit.]]),Table826[[#This Row],[Debit\]]-Table826[[#This Row],[Credit.]],""),"")</f>
        <v/>
      </c>
      <c r="AE150" s="34" t="str">
        <f>IFERROR(IF(AND(OR(Table826[[#This Row],[Classification]]="Income",Table826[[#This Row],[Classification]]="Cost of Goods Sold"),Table826[[#This Row],[Credit.]]&gt;Table826[[#This Row],[Debit\]]),Table826[[#This Row],[Credit.]]-Table826[[#This Row],[Debit\]],""),"")</f>
        <v/>
      </c>
      <c r="AF150" s="34"/>
      <c r="AG150" s="34" t="str">
        <f>IFERROR(IF(AND(Table826[[#This Row],[Classification]]="Assets",Table826[[#This Row],[Debit\]]-Table826[[#This Row],[Credit.]]),Table826[[#This Row],[Debit\]]-Table826[[#This Row],[Credit.]],""),"")</f>
        <v/>
      </c>
      <c r="AH150" s="34" t="str">
        <f>IFERROR(IF(AND(OR(Table826[[#This Row],[Classification]]="Liabilities",Table826[[#This Row],[Classification]]="Owner´s Equity"),Table826[[#This Row],[Credit.]]&gt;Table826[[#This Row],[Debit\]]),Table826[[#This Row],[Credit.]]-Table826[[#This Row],[Debit\]],""),"")</f>
        <v/>
      </c>
    </row>
    <row r="151" spans="2:34" hidden="1" x14ac:dyDescent="0.25">
      <c r="B151" s="34"/>
      <c r="C151" s="45"/>
      <c r="D151" s="34"/>
      <c r="E151" s="34"/>
      <c r="G151" s="39"/>
      <c r="H151" s="40"/>
      <c r="I151" s="41"/>
      <c r="J151" s="41"/>
      <c r="L151" s="34">
        <v>144</v>
      </c>
      <c r="M151" s="35"/>
      <c r="N151" s="35"/>
      <c r="O151" s="34">
        <f>IFERROR(SUMIF(Table423[,],Table625[[#This Row],[Accounts Name]],Table423[,3]),"")</f>
        <v>0</v>
      </c>
      <c r="P151" s="34">
        <f>IFERROR(SUMIF(Table423[,],Table625[[#This Row],[Accounts Name]],Table423[,2]),"")</f>
        <v>0</v>
      </c>
      <c r="S151" s="36">
        <f t="shared" si="2"/>
        <v>144</v>
      </c>
      <c r="T151" s="34"/>
      <c r="U151" s="37"/>
      <c r="V151" s="34">
        <f>IFERROR(SUMIF(Table625[Sub-Accounts],Table826[[#This Row],[Update your chart of accounts here]],Table625[Debit]),"")</f>
        <v>0</v>
      </c>
      <c r="W151" s="34">
        <f>IFERROR(SUMIF(Table625[Sub-Accounts],Table826[[#This Row],[Update your chart of accounts here]],Table625[Credit]),"")</f>
        <v>0</v>
      </c>
      <c r="X151" s="34"/>
      <c r="Y151" s="34"/>
      <c r="Z151" s="34"/>
      <c r="AA151" s="34"/>
      <c r="AB151" s="34">
        <f>MAX(Table826[[#This Row],[Debit]]+Table826[[#This Row],[Debit -]]-Table826[[#This Row],[Credit]]-Table826[[#This Row],[Credit +]],0)</f>
        <v>0</v>
      </c>
      <c r="AC151" s="34">
        <f>MAX(Table826[[#This Row],[Credit]]-Table826[[#This Row],[Debit]]+Table826[[#This Row],[Credit +]]-Table826[[#This Row],[Debit -]],0)</f>
        <v>0</v>
      </c>
      <c r="AD151" s="34" t="str">
        <f>IFERROR(IF(AND(OR(Table826[[#This Row],[Classification]]="Expense",Table826[[#This Row],[Classification]]="Cost of Goods Sold"),Table826[[#This Row],[Debit\]]&gt;Table826[[#This Row],[Credit.]]),Table826[[#This Row],[Debit\]]-Table826[[#This Row],[Credit.]],""),"")</f>
        <v/>
      </c>
      <c r="AE151" s="34" t="str">
        <f>IFERROR(IF(AND(OR(Table826[[#This Row],[Classification]]="Income",Table826[[#This Row],[Classification]]="Cost of Goods Sold"),Table826[[#This Row],[Credit.]]&gt;Table826[[#This Row],[Debit\]]),Table826[[#This Row],[Credit.]]-Table826[[#This Row],[Debit\]],""),"")</f>
        <v/>
      </c>
      <c r="AF151" s="34"/>
      <c r="AG151" s="34" t="str">
        <f>IFERROR(IF(AND(Table826[[#This Row],[Classification]]="Assets",Table826[[#This Row],[Debit\]]-Table826[[#This Row],[Credit.]]),Table826[[#This Row],[Debit\]]-Table826[[#This Row],[Credit.]],""),"")</f>
        <v/>
      </c>
      <c r="AH151" s="34" t="str">
        <f>IFERROR(IF(AND(OR(Table826[[#This Row],[Classification]]="Liabilities",Table826[[#This Row],[Classification]]="Owner´s Equity"),Table826[[#This Row],[Credit.]]&gt;Table826[[#This Row],[Debit\]]),Table826[[#This Row],[Credit.]]-Table826[[#This Row],[Debit\]],""),"")</f>
        <v/>
      </c>
    </row>
    <row r="152" spans="2:34" hidden="1" x14ac:dyDescent="0.25">
      <c r="B152" s="34"/>
      <c r="C152" s="45"/>
      <c r="D152" s="34"/>
      <c r="E152" s="34"/>
      <c r="G152" s="39"/>
      <c r="H152" s="43"/>
      <c r="I152" s="41"/>
      <c r="J152" s="41"/>
      <c r="L152" s="34">
        <v>145</v>
      </c>
      <c r="M152" s="35"/>
      <c r="N152" s="35"/>
      <c r="O152" s="34">
        <f>IFERROR(SUMIF(Table423[,],Table625[[#This Row],[Accounts Name]],Table423[,3]),"")</f>
        <v>0</v>
      </c>
      <c r="P152" s="34">
        <f>IFERROR(SUMIF(Table423[,],Table625[[#This Row],[Accounts Name]],Table423[,2]),"")</f>
        <v>0</v>
      </c>
      <c r="S152" s="36">
        <f t="shared" si="2"/>
        <v>145</v>
      </c>
      <c r="T152" s="34"/>
      <c r="U152" s="37"/>
      <c r="V152" s="34">
        <f>IFERROR(SUMIF(Table625[Sub-Accounts],Table826[[#This Row],[Update your chart of accounts here]],Table625[Debit]),"")</f>
        <v>0</v>
      </c>
      <c r="W152" s="34">
        <f>IFERROR(SUMIF(Table625[Sub-Accounts],Table826[[#This Row],[Update your chart of accounts here]],Table625[Credit]),"")</f>
        <v>0</v>
      </c>
      <c r="X152" s="34"/>
      <c r="Y152" s="34"/>
      <c r="Z152" s="34"/>
      <c r="AA152" s="34"/>
      <c r="AB152" s="34">
        <f>MAX(Table826[[#This Row],[Debit]]+Table826[[#This Row],[Debit -]]-Table826[[#This Row],[Credit]]-Table826[[#This Row],[Credit +]],0)</f>
        <v>0</v>
      </c>
      <c r="AC152" s="34">
        <f>MAX(Table826[[#This Row],[Credit]]-Table826[[#This Row],[Debit]]+Table826[[#This Row],[Credit +]]-Table826[[#This Row],[Debit -]],0)</f>
        <v>0</v>
      </c>
      <c r="AD152" s="34" t="str">
        <f>IFERROR(IF(AND(OR(Table826[[#This Row],[Classification]]="Expense",Table826[[#This Row],[Classification]]="Cost of Goods Sold"),Table826[[#This Row],[Debit\]]&gt;Table826[[#This Row],[Credit.]]),Table826[[#This Row],[Debit\]]-Table826[[#This Row],[Credit.]],""),"")</f>
        <v/>
      </c>
      <c r="AE152" s="34" t="str">
        <f>IFERROR(IF(AND(OR(Table826[[#This Row],[Classification]]="Income",Table826[[#This Row],[Classification]]="Cost of Goods Sold"),Table826[[#This Row],[Credit.]]&gt;Table826[[#This Row],[Debit\]]),Table826[[#This Row],[Credit.]]-Table826[[#This Row],[Debit\]],""),"")</f>
        <v/>
      </c>
      <c r="AF152" s="34"/>
      <c r="AG152" s="34" t="str">
        <f>IFERROR(IF(AND(Table826[[#This Row],[Classification]]="Assets",Table826[[#This Row],[Debit\]]-Table826[[#This Row],[Credit.]]),Table826[[#This Row],[Debit\]]-Table826[[#This Row],[Credit.]],""),"")</f>
        <v/>
      </c>
      <c r="AH152" s="34" t="str">
        <f>IFERROR(IF(AND(OR(Table826[[#This Row],[Classification]]="Liabilities",Table826[[#This Row],[Classification]]="Owner´s Equity"),Table826[[#This Row],[Credit.]]&gt;Table826[[#This Row],[Debit\]]),Table826[[#This Row],[Credit.]]-Table826[[#This Row],[Debit\]],""),"")</f>
        <v/>
      </c>
    </row>
    <row r="153" spans="2:34" hidden="1" x14ac:dyDescent="0.25">
      <c r="B153" s="34"/>
      <c r="C153" s="45"/>
      <c r="D153" s="34"/>
      <c r="E153" s="34"/>
      <c r="G153" s="39"/>
      <c r="H153" s="40"/>
      <c r="I153" s="41"/>
      <c r="J153" s="41"/>
      <c r="L153" s="34">
        <v>146</v>
      </c>
      <c r="M153" s="35"/>
      <c r="N153" s="35"/>
      <c r="O153" s="34">
        <f>IFERROR(SUMIF(Table423[,],Table625[[#This Row],[Accounts Name]],Table423[,3]),"")</f>
        <v>0</v>
      </c>
      <c r="P153" s="34">
        <f>IFERROR(SUMIF(Table423[,],Table625[[#This Row],[Accounts Name]],Table423[,2]),"")</f>
        <v>0</v>
      </c>
      <c r="S153" s="36">
        <f t="shared" si="2"/>
        <v>146</v>
      </c>
      <c r="T153" s="34"/>
      <c r="U153" s="37"/>
      <c r="V153" s="34">
        <f>IFERROR(SUMIF(Table625[Sub-Accounts],Table826[[#This Row],[Update your chart of accounts here]],Table625[Debit]),"")</f>
        <v>0</v>
      </c>
      <c r="W153" s="34">
        <f>IFERROR(SUMIF(Table625[Sub-Accounts],Table826[[#This Row],[Update your chart of accounts here]],Table625[Credit]),"")</f>
        <v>0</v>
      </c>
      <c r="X153" s="34"/>
      <c r="Y153" s="34"/>
      <c r="Z153" s="34"/>
      <c r="AA153" s="34"/>
      <c r="AB153" s="34">
        <f>MAX(Table826[[#This Row],[Debit]]+Table826[[#This Row],[Debit -]]-Table826[[#This Row],[Credit]]-Table826[[#This Row],[Credit +]],0)</f>
        <v>0</v>
      </c>
      <c r="AC153" s="34">
        <f>MAX(Table826[[#This Row],[Credit]]-Table826[[#This Row],[Debit]]+Table826[[#This Row],[Credit +]]-Table826[[#This Row],[Debit -]],0)</f>
        <v>0</v>
      </c>
      <c r="AD153" s="34" t="str">
        <f>IFERROR(IF(AND(OR(Table826[[#This Row],[Classification]]="Expense",Table826[[#This Row],[Classification]]="Cost of Goods Sold"),Table826[[#This Row],[Debit\]]&gt;Table826[[#This Row],[Credit.]]),Table826[[#This Row],[Debit\]]-Table826[[#This Row],[Credit.]],""),"")</f>
        <v/>
      </c>
      <c r="AE153" s="34" t="str">
        <f>IFERROR(IF(AND(OR(Table826[[#This Row],[Classification]]="Income",Table826[[#This Row],[Classification]]="Cost of Goods Sold"),Table826[[#This Row],[Credit.]]&gt;Table826[[#This Row],[Debit\]]),Table826[[#This Row],[Credit.]]-Table826[[#This Row],[Debit\]],""),"")</f>
        <v/>
      </c>
      <c r="AF153" s="34"/>
      <c r="AG153" s="34" t="str">
        <f>IFERROR(IF(AND(Table826[[#This Row],[Classification]]="Assets",Table826[[#This Row],[Debit\]]-Table826[[#This Row],[Credit.]]),Table826[[#This Row],[Debit\]]-Table826[[#This Row],[Credit.]],""),"")</f>
        <v/>
      </c>
      <c r="AH153" s="34" t="str">
        <f>IFERROR(IF(AND(OR(Table826[[#This Row],[Classification]]="Liabilities",Table826[[#This Row],[Classification]]="Owner´s Equity"),Table826[[#This Row],[Credit.]]&gt;Table826[[#This Row],[Debit\]]),Table826[[#This Row],[Credit.]]-Table826[[#This Row],[Debit\]],""),"")</f>
        <v/>
      </c>
    </row>
    <row r="154" spans="2:34" hidden="1" x14ac:dyDescent="0.25">
      <c r="B154" s="34"/>
      <c r="C154" s="45"/>
      <c r="D154" s="34"/>
      <c r="E154" s="34"/>
      <c r="G154" s="39"/>
      <c r="H154" s="40"/>
      <c r="I154" s="41"/>
      <c r="J154" s="41"/>
      <c r="L154" s="34">
        <v>147</v>
      </c>
      <c r="M154" s="35"/>
      <c r="N154" s="35"/>
      <c r="O154" s="34">
        <f>IFERROR(SUMIF(Table423[,],Table625[[#This Row],[Accounts Name]],Table423[,3]),"")</f>
        <v>0</v>
      </c>
      <c r="P154" s="34">
        <f>IFERROR(SUMIF(Table423[,],Table625[[#This Row],[Accounts Name]],Table423[,2]),"")</f>
        <v>0</v>
      </c>
      <c r="S154" s="36">
        <f t="shared" si="2"/>
        <v>147</v>
      </c>
      <c r="T154" s="34"/>
      <c r="U154" s="37"/>
      <c r="V154" s="34">
        <f>IFERROR(SUMIF(Table625[Sub-Accounts],Table826[[#This Row],[Update your chart of accounts here]],Table625[Debit]),"")</f>
        <v>0</v>
      </c>
      <c r="W154" s="34">
        <f>IFERROR(SUMIF(Table625[Sub-Accounts],Table826[[#This Row],[Update your chart of accounts here]],Table625[Credit]),"")</f>
        <v>0</v>
      </c>
      <c r="X154" s="34"/>
      <c r="Y154" s="34"/>
      <c r="Z154" s="34"/>
      <c r="AA154" s="34"/>
      <c r="AB154" s="34">
        <f>MAX(Table826[[#This Row],[Debit]]+Table826[[#This Row],[Debit -]]-Table826[[#This Row],[Credit]]-Table826[[#This Row],[Credit +]],0)</f>
        <v>0</v>
      </c>
      <c r="AC154" s="34">
        <f>MAX(Table826[[#This Row],[Credit]]-Table826[[#This Row],[Debit]]+Table826[[#This Row],[Credit +]]-Table826[[#This Row],[Debit -]],0)</f>
        <v>0</v>
      </c>
      <c r="AD154" s="34" t="str">
        <f>IFERROR(IF(AND(OR(Table826[[#This Row],[Classification]]="Expense",Table826[[#This Row],[Classification]]="Cost of Goods Sold"),Table826[[#This Row],[Debit\]]&gt;Table826[[#This Row],[Credit.]]),Table826[[#This Row],[Debit\]]-Table826[[#This Row],[Credit.]],""),"")</f>
        <v/>
      </c>
      <c r="AE154" s="34" t="str">
        <f>IFERROR(IF(AND(OR(Table826[[#This Row],[Classification]]="Income",Table826[[#This Row],[Classification]]="Cost of Goods Sold"),Table826[[#This Row],[Credit.]]&gt;Table826[[#This Row],[Debit\]]),Table826[[#This Row],[Credit.]]-Table826[[#This Row],[Debit\]],""),"")</f>
        <v/>
      </c>
      <c r="AF154" s="34"/>
      <c r="AG154" s="34" t="str">
        <f>IFERROR(IF(AND(Table826[[#This Row],[Classification]]="Assets",Table826[[#This Row],[Debit\]]-Table826[[#This Row],[Credit.]]),Table826[[#This Row],[Debit\]]-Table826[[#This Row],[Credit.]],""),"")</f>
        <v/>
      </c>
      <c r="AH154" s="34" t="str">
        <f>IFERROR(IF(AND(OR(Table826[[#This Row],[Classification]]="Liabilities",Table826[[#This Row],[Classification]]="Owner´s Equity"),Table826[[#This Row],[Credit.]]&gt;Table826[[#This Row],[Debit\]]),Table826[[#This Row],[Credit.]]-Table826[[#This Row],[Debit\]],""),"")</f>
        <v/>
      </c>
    </row>
    <row r="155" spans="2:34" hidden="1" x14ac:dyDescent="0.25">
      <c r="B155" s="34"/>
      <c r="C155" s="45"/>
      <c r="D155" s="34"/>
      <c r="E155" s="34"/>
      <c r="G155" s="39"/>
      <c r="H155" s="43"/>
      <c r="I155" s="41"/>
      <c r="J155" s="41"/>
      <c r="L155" s="34">
        <v>148</v>
      </c>
      <c r="M155" s="35"/>
      <c r="N155" s="35"/>
      <c r="O155" s="34">
        <f>IFERROR(SUMIF(Table423[,],Table625[[#This Row],[Accounts Name]],Table423[,3]),"")</f>
        <v>0</v>
      </c>
      <c r="P155" s="34">
        <f>IFERROR(SUMIF(Table423[,],Table625[[#This Row],[Accounts Name]],Table423[,2]),"")</f>
        <v>0</v>
      </c>
      <c r="S155" s="36">
        <f t="shared" si="2"/>
        <v>148</v>
      </c>
      <c r="T155" s="34"/>
      <c r="U155" s="37"/>
      <c r="V155" s="34">
        <f>IFERROR(SUMIF(Table625[Sub-Accounts],Table826[[#This Row],[Update your chart of accounts here]],Table625[Debit]),"")</f>
        <v>0</v>
      </c>
      <c r="W155" s="34">
        <f>IFERROR(SUMIF(Table625[Sub-Accounts],Table826[[#This Row],[Update your chart of accounts here]],Table625[Credit]),"")</f>
        <v>0</v>
      </c>
      <c r="X155" s="34"/>
      <c r="Y155" s="34"/>
      <c r="Z155" s="34"/>
      <c r="AA155" s="34"/>
      <c r="AB155" s="34">
        <f>MAX(Table826[[#This Row],[Debit]]+Table826[[#This Row],[Debit -]]-Table826[[#This Row],[Credit]]-Table826[[#This Row],[Credit +]],0)</f>
        <v>0</v>
      </c>
      <c r="AC155" s="34">
        <f>MAX(Table826[[#This Row],[Credit]]-Table826[[#This Row],[Debit]]+Table826[[#This Row],[Credit +]]-Table826[[#This Row],[Debit -]],0)</f>
        <v>0</v>
      </c>
      <c r="AD155" s="34" t="str">
        <f>IFERROR(IF(AND(OR(Table826[[#This Row],[Classification]]="Expense",Table826[[#This Row],[Classification]]="Cost of Goods Sold"),Table826[[#This Row],[Debit\]]&gt;Table826[[#This Row],[Credit.]]),Table826[[#This Row],[Debit\]]-Table826[[#This Row],[Credit.]],""),"")</f>
        <v/>
      </c>
      <c r="AE155" s="34" t="str">
        <f>IFERROR(IF(AND(OR(Table826[[#This Row],[Classification]]="Income",Table826[[#This Row],[Classification]]="Cost of Goods Sold"),Table826[[#This Row],[Credit.]]&gt;Table826[[#This Row],[Debit\]]),Table826[[#This Row],[Credit.]]-Table826[[#This Row],[Debit\]],""),"")</f>
        <v/>
      </c>
      <c r="AF155" s="34"/>
      <c r="AG155" s="34" t="str">
        <f>IFERROR(IF(AND(Table826[[#This Row],[Classification]]="Assets",Table826[[#This Row],[Debit\]]-Table826[[#This Row],[Credit.]]),Table826[[#This Row],[Debit\]]-Table826[[#This Row],[Credit.]],""),"")</f>
        <v/>
      </c>
      <c r="AH155" s="34" t="str">
        <f>IFERROR(IF(AND(OR(Table826[[#This Row],[Classification]]="Liabilities",Table826[[#This Row],[Classification]]="Owner´s Equity"),Table826[[#This Row],[Credit.]]&gt;Table826[[#This Row],[Debit\]]),Table826[[#This Row],[Credit.]]-Table826[[#This Row],[Debit\]],""),"")</f>
        <v/>
      </c>
    </row>
    <row r="156" spans="2:34" hidden="1" x14ac:dyDescent="0.25">
      <c r="B156" s="34"/>
      <c r="C156" s="45"/>
      <c r="D156" s="34"/>
      <c r="E156" s="34"/>
      <c r="G156" s="39"/>
      <c r="H156" s="40"/>
      <c r="I156" s="41"/>
      <c r="J156" s="41"/>
      <c r="L156" s="34">
        <v>149</v>
      </c>
      <c r="M156" s="35"/>
      <c r="N156" s="35"/>
      <c r="O156" s="34">
        <f>IFERROR(SUMIF(Table423[,],Table625[[#This Row],[Accounts Name]],Table423[,3]),"")</f>
        <v>0</v>
      </c>
      <c r="P156" s="34">
        <f>IFERROR(SUMIF(Table423[,],Table625[[#This Row],[Accounts Name]],Table423[,2]),"")</f>
        <v>0</v>
      </c>
      <c r="S156" s="36">
        <f t="shared" si="2"/>
        <v>149</v>
      </c>
      <c r="T156" s="34"/>
      <c r="U156" s="37"/>
      <c r="V156" s="34">
        <f>IFERROR(SUMIF(Table625[Sub-Accounts],Table826[[#This Row],[Update your chart of accounts here]],Table625[Debit]),"")</f>
        <v>0</v>
      </c>
      <c r="W156" s="34">
        <f>IFERROR(SUMIF(Table625[Sub-Accounts],Table826[[#This Row],[Update your chart of accounts here]],Table625[Credit]),"")</f>
        <v>0</v>
      </c>
      <c r="X156" s="34"/>
      <c r="Y156" s="34"/>
      <c r="Z156" s="34"/>
      <c r="AA156" s="34"/>
      <c r="AB156" s="34">
        <f>MAX(Table826[[#This Row],[Debit]]+Table826[[#This Row],[Debit -]]-Table826[[#This Row],[Credit]]-Table826[[#This Row],[Credit +]],0)</f>
        <v>0</v>
      </c>
      <c r="AC156" s="34">
        <f>MAX(Table826[[#This Row],[Credit]]-Table826[[#This Row],[Debit]]+Table826[[#This Row],[Credit +]]-Table826[[#This Row],[Debit -]],0)</f>
        <v>0</v>
      </c>
      <c r="AD156" s="34" t="str">
        <f>IFERROR(IF(AND(OR(Table826[[#This Row],[Classification]]="Expense",Table826[[#This Row],[Classification]]="Cost of Goods Sold"),Table826[[#This Row],[Debit\]]&gt;Table826[[#This Row],[Credit.]]),Table826[[#This Row],[Debit\]]-Table826[[#This Row],[Credit.]],""),"")</f>
        <v/>
      </c>
      <c r="AE156" s="34" t="str">
        <f>IFERROR(IF(AND(OR(Table826[[#This Row],[Classification]]="Income",Table826[[#This Row],[Classification]]="Cost of Goods Sold"),Table826[[#This Row],[Credit.]]&gt;Table826[[#This Row],[Debit\]]),Table826[[#This Row],[Credit.]]-Table826[[#This Row],[Debit\]],""),"")</f>
        <v/>
      </c>
      <c r="AF156" s="34"/>
      <c r="AG156" s="34" t="str">
        <f>IFERROR(IF(AND(Table826[[#This Row],[Classification]]="Assets",Table826[[#This Row],[Debit\]]-Table826[[#This Row],[Credit.]]),Table826[[#This Row],[Debit\]]-Table826[[#This Row],[Credit.]],""),"")</f>
        <v/>
      </c>
      <c r="AH156" s="34" t="str">
        <f>IFERROR(IF(AND(OR(Table826[[#This Row],[Classification]]="Liabilities",Table826[[#This Row],[Classification]]="Owner´s Equity"),Table826[[#This Row],[Credit.]]&gt;Table826[[#This Row],[Debit\]]),Table826[[#This Row],[Credit.]]-Table826[[#This Row],[Debit\]],""),"")</f>
        <v/>
      </c>
    </row>
    <row r="157" spans="2:34" hidden="1" x14ac:dyDescent="0.25">
      <c r="B157" s="34"/>
      <c r="C157" s="45"/>
      <c r="D157" s="34"/>
      <c r="E157" s="34"/>
      <c r="G157" s="39"/>
      <c r="H157" s="40"/>
      <c r="I157" s="41"/>
      <c r="J157" s="41"/>
      <c r="L157" s="34">
        <v>150</v>
      </c>
      <c r="M157" s="35"/>
      <c r="N157" s="35"/>
      <c r="O157" s="34">
        <f>IFERROR(SUMIF(Table423[,],Table625[[#This Row],[Accounts Name]],Table423[,3]),"")</f>
        <v>0</v>
      </c>
      <c r="P157" s="34">
        <f>IFERROR(SUMIF(Table423[,],Table625[[#This Row],[Accounts Name]],Table423[,2]),"")</f>
        <v>0</v>
      </c>
      <c r="S157" s="36">
        <f t="shared" si="2"/>
        <v>150</v>
      </c>
      <c r="T157" s="34"/>
      <c r="U157" s="37"/>
      <c r="V157" s="34">
        <f>IFERROR(SUMIF(Table625[Sub-Accounts],Table826[[#This Row],[Update your chart of accounts here]],Table625[Debit]),"")</f>
        <v>0</v>
      </c>
      <c r="W157" s="34">
        <f>IFERROR(SUMIF(Table625[Sub-Accounts],Table826[[#This Row],[Update your chart of accounts here]],Table625[Credit]),"")</f>
        <v>0</v>
      </c>
      <c r="X157" s="34"/>
      <c r="Y157" s="34"/>
      <c r="Z157" s="34"/>
      <c r="AA157" s="34"/>
      <c r="AB157" s="34">
        <f>MAX(Table826[[#This Row],[Debit]]+Table826[[#This Row],[Debit -]]-Table826[[#This Row],[Credit]]-Table826[[#This Row],[Credit +]],0)</f>
        <v>0</v>
      </c>
      <c r="AC157" s="34">
        <f>MAX(Table826[[#This Row],[Credit]]-Table826[[#This Row],[Debit]]+Table826[[#This Row],[Credit +]]-Table826[[#This Row],[Debit -]],0)</f>
        <v>0</v>
      </c>
      <c r="AD157" s="34" t="str">
        <f>IFERROR(IF(AND(OR(Table826[[#This Row],[Classification]]="Expense",Table826[[#This Row],[Classification]]="Cost of Goods Sold"),Table826[[#This Row],[Debit\]]&gt;Table826[[#This Row],[Credit.]]),Table826[[#This Row],[Debit\]]-Table826[[#This Row],[Credit.]],""),"")</f>
        <v/>
      </c>
      <c r="AE157" s="34" t="str">
        <f>IFERROR(IF(AND(OR(Table826[[#This Row],[Classification]]="Income",Table826[[#This Row],[Classification]]="Cost of Goods Sold"),Table826[[#This Row],[Credit.]]&gt;Table826[[#This Row],[Debit\]]),Table826[[#This Row],[Credit.]]-Table826[[#This Row],[Debit\]],""),"")</f>
        <v/>
      </c>
      <c r="AF157" s="34"/>
      <c r="AG157" s="34" t="str">
        <f>IFERROR(IF(AND(Table826[[#This Row],[Classification]]="Assets",Table826[[#This Row],[Debit\]]-Table826[[#This Row],[Credit.]]),Table826[[#This Row],[Debit\]]-Table826[[#This Row],[Credit.]],""),"")</f>
        <v/>
      </c>
      <c r="AH157" s="34" t="str">
        <f>IFERROR(IF(AND(OR(Table826[[#This Row],[Classification]]="Liabilities",Table826[[#This Row],[Classification]]="Owner´s Equity"),Table826[[#This Row],[Credit.]]&gt;Table826[[#This Row],[Debit\]]),Table826[[#This Row],[Credit.]]-Table826[[#This Row],[Debit\]],""),"")</f>
        <v/>
      </c>
    </row>
    <row r="158" spans="2:34" hidden="1" x14ac:dyDescent="0.25">
      <c r="B158" s="34"/>
      <c r="C158" s="45"/>
      <c r="D158" s="34"/>
      <c r="E158" s="34"/>
      <c r="G158" s="39"/>
      <c r="H158" s="43"/>
      <c r="I158" s="41"/>
      <c r="J158" s="41"/>
      <c r="L158" s="34">
        <v>151</v>
      </c>
      <c r="M158" s="35"/>
      <c r="N158" s="35"/>
      <c r="O158" s="34">
        <f>IFERROR(SUMIF(Table423[,],Table625[[#This Row],[Accounts Name]],Table423[,3]),"")</f>
        <v>0</v>
      </c>
      <c r="P158" s="34">
        <f>IFERROR(SUMIF(Table423[,],Table625[[#This Row],[Accounts Name]],Table423[,2]),"")</f>
        <v>0</v>
      </c>
      <c r="S158" s="36">
        <f t="shared" si="2"/>
        <v>151</v>
      </c>
      <c r="T158" s="34"/>
      <c r="U158" s="37"/>
      <c r="V158" s="34">
        <f>IFERROR(SUMIF(Table625[Sub-Accounts],Table826[[#This Row],[Update your chart of accounts here]],Table625[Debit]),"")</f>
        <v>0</v>
      </c>
      <c r="W158" s="34">
        <f>IFERROR(SUMIF(Table625[Sub-Accounts],Table826[[#This Row],[Update your chart of accounts here]],Table625[Credit]),"")</f>
        <v>0</v>
      </c>
      <c r="X158" s="34"/>
      <c r="Y158" s="34"/>
      <c r="Z158" s="34"/>
      <c r="AA158" s="34"/>
      <c r="AB158" s="34">
        <f>MAX(Table826[[#This Row],[Debit]]+Table826[[#This Row],[Debit -]]-Table826[[#This Row],[Credit]]-Table826[[#This Row],[Credit +]],0)</f>
        <v>0</v>
      </c>
      <c r="AC158" s="34">
        <f>MAX(Table826[[#This Row],[Credit]]-Table826[[#This Row],[Debit]]+Table826[[#This Row],[Credit +]]-Table826[[#This Row],[Debit -]],0)</f>
        <v>0</v>
      </c>
      <c r="AD158" s="34" t="str">
        <f>IFERROR(IF(AND(OR(Table826[[#This Row],[Classification]]="Expense",Table826[[#This Row],[Classification]]="Cost of Goods Sold"),Table826[[#This Row],[Debit\]]&gt;Table826[[#This Row],[Credit.]]),Table826[[#This Row],[Debit\]]-Table826[[#This Row],[Credit.]],""),"")</f>
        <v/>
      </c>
      <c r="AE158" s="34" t="str">
        <f>IFERROR(IF(AND(OR(Table826[[#This Row],[Classification]]="Income",Table826[[#This Row],[Classification]]="Cost of Goods Sold"),Table826[[#This Row],[Credit.]]&gt;Table826[[#This Row],[Debit\]]),Table826[[#This Row],[Credit.]]-Table826[[#This Row],[Debit\]],""),"")</f>
        <v/>
      </c>
      <c r="AF158" s="34"/>
      <c r="AG158" s="34" t="str">
        <f>IFERROR(IF(AND(Table826[[#This Row],[Classification]]="Assets",Table826[[#This Row],[Debit\]]-Table826[[#This Row],[Credit.]]),Table826[[#This Row],[Debit\]]-Table826[[#This Row],[Credit.]],""),"")</f>
        <v/>
      </c>
      <c r="AH158" s="34" t="str">
        <f>IFERROR(IF(AND(OR(Table826[[#This Row],[Classification]]="Liabilities",Table826[[#This Row],[Classification]]="Owner´s Equity"),Table826[[#This Row],[Credit.]]&gt;Table826[[#This Row],[Debit\]]),Table826[[#This Row],[Credit.]]-Table826[[#This Row],[Debit\]],""),"")</f>
        <v/>
      </c>
    </row>
    <row r="159" spans="2:34" hidden="1" x14ac:dyDescent="0.25">
      <c r="B159" s="34"/>
      <c r="C159" s="45"/>
      <c r="D159" s="34"/>
      <c r="E159" s="34"/>
      <c r="G159" s="39"/>
      <c r="H159" s="40"/>
      <c r="I159" s="41"/>
      <c r="J159" s="41"/>
      <c r="L159" s="34">
        <v>152</v>
      </c>
      <c r="M159" s="35"/>
      <c r="N159" s="35"/>
      <c r="O159" s="34">
        <f>IFERROR(SUMIF(Table423[,],Table625[[#This Row],[Accounts Name]],Table423[,3]),"")</f>
        <v>0</v>
      </c>
      <c r="P159" s="34">
        <f>IFERROR(SUMIF(Table423[,],Table625[[#This Row],[Accounts Name]],Table423[,2]),"")</f>
        <v>0</v>
      </c>
      <c r="S159" s="36">
        <f t="shared" si="2"/>
        <v>152</v>
      </c>
      <c r="T159" s="34"/>
      <c r="U159" s="37"/>
      <c r="V159" s="34">
        <f>IFERROR(SUMIF(Table625[Sub-Accounts],Table826[[#This Row],[Update your chart of accounts here]],Table625[Debit]),"")</f>
        <v>0</v>
      </c>
      <c r="W159" s="34">
        <f>IFERROR(SUMIF(Table625[Sub-Accounts],Table826[[#This Row],[Update your chart of accounts here]],Table625[Credit]),"")</f>
        <v>0</v>
      </c>
      <c r="X159" s="34"/>
      <c r="Y159" s="34"/>
      <c r="Z159" s="34"/>
      <c r="AA159" s="34"/>
      <c r="AB159" s="34">
        <f>MAX(Table826[[#This Row],[Debit]]+Table826[[#This Row],[Debit -]]-Table826[[#This Row],[Credit]]-Table826[[#This Row],[Credit +]],0)</f>
        <v>0</v>
      </c>
      <c r="AC159" s="34">
        <f>MAX(Table826[[#This Row],[Credit]]-Table826[[#This Row],[Debit]]+Table826[[#This Row],[Credit +]]-Table826[[#This Row],[Debit -]],0)</f>
        <v>0</v>
      </c>
      <c r="AD159" s="34" t="str">
        <f>IFERROR(IF(AND(OR(Table826[[#This Row],[Classification]]="Expense",Table826[[#This Row],[Classification]]="Cost of Goods Sold"),Table826[[#This Row],[Debit\]]&gt;Table826[[#This Row],[Credit.]]),Table826[[#This Row],[Debit\]]-Table826[[#This Row],[Credit.]],""),"")</f>
        <v/>
      </c>
      <c r="AE159" s="34" t="str">
        <f>IFERROR(IF(AND(OR(Table826[[#This Row],[Classification]]="Income",Table826[[#This Row],[Classification]]="Cost of Goods Sold"),Table826[[#This Row],[Credit.]]&gt;Table826[[#This Row],[Debit\]]),Table826[[#This Row],[Credit.]]-Table826[[#This Row],[Debit\]],""),"")</f>
        <v/>
      </c>
      <c r="AF159" s="34"/>
      <c r="AG159" s="34" t="str">
        <f>IFERROR(IF(AND(Table826[[#This Row],[Classification]]="Assets",Table826[[#This Row],[Debit\]]-Table826[[#This Row],[Credit.]]),Table826[[#This Row],[Debit\]]-Table826[[#This Row],[Credit.]],""),"")</f>
        <v/>
      </c>
      <c r="AH159" s="34" t="str">
        <f>IFERROR(IF(AND(OR(Table826[[#This Row],[Classification]]="Liabilities",Table826[[#This Row],[Classification]]="Owner´s Equity"),Table826[[#This Row],[Credit.]]&gt;Table826[[#This Row],[Debit\]]),Table826[[#This Row],[Credit.]]-Table826[[#This Row],[Debit\]],""),"")</f>
        <v/>
      </c>
    </row>
    <row r="160" spans="2:34" hidden="1" x14ac:dyDescent="0.25">
      <c r="B160" s="34"/>
      <c r="C160" s="45"/>
      <c r="D160" s="34"/>
      <c r="E160" s="34"/>
      <c r="G160" s="39"/>
      <c r="H160" s="40"/>
      <c r="I160" s="41"/>
      <c r="J160" s="41"/>
      <c r="L160" s="34">
        <v>153</v>
      </c>
      <c r="M160" s="35"/>
      <c r="N160" s="35"/>
      <c r="O160" s="34">
        <f>IFERROR(SUMIF(Table423[,],Table625[[#This Row],[Accounts Name]],Table423[,3]),"")</f>
        <v>0</v>
      </c>
      <c r="P160" s="34">
        <f>IFERROR(SUMIF(Table423[,],Table625[[#This Row],[Accounts Name]],Table423[,2]),"")</f>
        <v>0</v>
      </c>
      <c r="S160" s="36">
        <f t="shared" si="2"/>
        <v>153</v>
      </c>
      <c r="T160" s="34"/>
      <c r="U160" s="37"/>
      <c r="V160" s="34">
        <f>IFERROR(SUMIF(Table625[Sub-Accounts],Table826[[#This Row],[Update your chart of accounts here]],Table625[Debit]),"")</f>
        <v>0</v>
      </c>
      <c r="W160" s="34">
        <f>IFERROR(SUMIF(Table625[Sub-Accounts],Table826[[#This Row],[Update your chart of accounts here]],Table625[Credit]),"")</f>
        <v>0</v>
      </c>
      <c r="X160" s="34"/>
      <c r="Y160" s="34"/>
      <c r="Z160" s="34"/>
      <c r="AA160" s="34"/>
      <c r="AB160" s="34">
        <f>MAX(Table826[[#This Row],[Debit]]+Table826[[#This Row],[Debit -]]-Table826[[#This Row],[Credit]]-Table826[[#This Row],[Credit +]],0)</f>
        <v>0</v>
      </c>
      <c r="AC160" s="34">
        <f>MAX(Table826[[#This Row],[Credit]]-Table826[[#This Row],[Debit]]+Table826[[#This Row],[Credit +]]-Table826[[#This Row],[Debit -]],0)</f>
        <v>0</v>
      </c>
      <c r="AD160" s="34" t="str">
        <f>IFERROR(IF(AND(OR(Table826[[#This Row],[Classification]]="Expense",Table826[[#This Row],[Classification]]="Cost of Goods Sold"),Table826[[#This Row],[Debit\]]&gt;Table826[[#This Row],[Credit.]]),Table826[[#This Row],[Debit\]]-Table826[[#This Row],[Credit.]],""),"")</f>
        <v/>
      </c>
      <c r="AE160" s="34" t="str">
        <f>IFERROR(IF(AND(OR(Table826[[#This Row],[Classification]]="Income",Table826[[#This Row],[Classification]]="Cost of Goods Sold"),Table826[[#This Row],[Credit.]]&gt;Table826[[#This Row],[Debit\]]),Table826[[#This Row],[Credit.]]-Table826[[#This Row],[Debit\]],""),"")</f>
        <v/>
      </c>
      <c r="AF160" s="34"/>
      <c r="AG160" s="34" t="str">
        <f>IFERROR(IF(AND(Table826[[#This Row],[Classification]]="Assets",Table826[[#This Row],[Debit\]]-Table826[[#This Row],[Credit.]]),Table826[[#This Row],[Debit\]]-Table826[[#This Row],[Credit.]],""),"")</f>
        <v/>
      </c>
      <c r="AH160" s="34" t="str">
        <f>IFERROR(IF(AND(OR(Table826[[#This Row],[Classification]]="Liabilities",Table826[[#This Row],[Classification]]="Owner´s Equity"),Table826[[#This Row],[Credit.]]&gt;Table826[[#This Row],[Debit\]]),Table826[[#This Row],[Credit.]]-Table826[[#This Row],[Debit\]],""),"")</f>
        <v/>
      </c>
    </row>
    <row r="161" spans="2:34" hidden="1" x14ac:dyDescent="0.25">
      <c r="B161" s="34"/>
      <c r="C161" s="45"/>
      <c r="D161" s="34"/>
      <c r="E161" s="34"/>
      <c r="G161" s="39"/>
      <c r="H161" s="43"/>
      <c r="I161" s="41"/>
      <c r="J161" s="41"/>
      <c r="L161" s="34">
        <v>154</v>
      </c>
      <c r="M161" s="35"/>
      <c r="N161" s="35"/>
      <c r="O161" s="34">
        <f>IFERROR(SUMIF(Table423[,],Table625[[#This Row],[Accounts Name]],Table423[,3]),"")</f>
        <v>0</v>
      </c>
      <c r="P161" s="34">
        <f>IFERROR(SUMIF(Table423[,],Table625[[#This Row],[Accounts Name]],Table423[,2]),"")</f>
        <v>0</v>
      </c>
      <c r="S161" s="36">
        <f t="shared" si="2"/>
        <v>154</v>
      </c>
      <c r="T161" s="34"/>
      <c r="U161" s="37"/>
      <c r="V161" s="34">
        <f>IFERROR(SUMIF(Table625[Sub-Accounts],Table826[[#This Row],[Update your chart of accounts here]],Table625[Debit]),"")</f>
        <v>0</v>
      </c>
      <c r="W161" s="34">
        <f>IFERROR(SUMIF(Table625[Sub-Accounts],Table826[[#This Row],[Update your chart of accounts here]],Table625[Credit]),"")</f>
        <v>0</v>
      </c>
      <c r="X161" s="34"/>
      <c r="Y161" s="34"/>
      <c r="Z161" s="34"/>
      <c r="AA161" s="34"/>
      <c r="AB161" s="34">
        <f>MAX(Table826[[#This Row],[Debit]]+Table826[[#This Row],[Debit -]]-Table826[[#This Row],[Credit]]-Table826[[#This Row],[Credit +]],0)</f>
        <v>0</v>
      </c>
      <c r="AC161" s="34">
        <f>MAX(Table826[[#This Row],[Credit]]-Table826[[#This Row],[Debit]]+Table826[[#This Row],[Credit +]]-Table826[[#This Row],[Debit -]],0)</f>
        <v>0</v>
      </c>
      <c r="AD161" s="34" t="str">
        <f>IFERROR(IF(AND(OR(Table826[[#This Row],[Classification]]="Expense",Table826[[#This Row],[Classification]]="Cost of Goods Sold"),Table826[[#This Row],[Debit\]]&gt;Table826[[#This Row],[Credit.]]),Table826[[#This Row],[Debit\]]-Table826[[#This Row],[Credit.]],""),"")</f>
        <v/>
      </c>
      <c r="AE161" s="34" t="str">
        <f>IFERROR(IF(AND(OR(Table826[[#This Row],[Classification]]="Income",Table826[[#This Row],[Classification]]="Cost of Goods Sold"),Table826[[#This Row],[Credit.]]&gt;Table826[[#This Row],[Debit\]]),Table826[[#This Row],[Credit.]]-Table826[[#This Row],[Debit\]],""),"")</f>
        <v/>
      </c>
      <c r="AF161" s="34"/>
      <c r="AG161" s="34" t="str">
        <f>IFERROR(IF(AND(Table826[[#This Row],[Classification]]="Assets",Table826[[#This Row],[Debit\]]-Table826[[#This Row],[Credit.]]),Table826[[#This Row],[Debit\]]-Table826[[#This Row],[Credit.]],""),"")</f>
        <v/>
      </c>
      <c r="AH161" s="34" t="str">
        <f>IFERROR(IF(AND(OR(Table826[[#This Row],[Classification]]="Liabilities",Table826[[#This Row],[Classification]]="Owner´s Equity"),Table826[[#This Row],[Credit.]]&gt;Table826[[#This Row],[Debit\]]),Table826[[#This Row],[Credit.]]-Table826[[#This Row],[Debit\]],""),"")</f>
        <v/>
      </c>
    </row>
    <row r="162" spans="2:34" hidden="1" x14ac:dyDescent="0.25">
      <c r="B162" s="34"/>
      <c r="C162" s="45"/>
      <c r="D162" s="34"/>
      <c r="E162" s="34"/>
      <c r="G162" s="39"/>
      <c r="H162" s="40"/>
      <c r="I162" s="41"/>
      <c r="J162" s="41"/>
      <c r="L162" s="34">
        <v>155</v>
      </c>
      <c r="M162" s="35"/>
      <c r="N162" s="35"/>
      <c r="O162" s="34">
        <f>IFERROR(SUMIF(Table423[,],Table625[[#This Row],[Accounts Name]],Table423[,3]),"")</f>
        <v>0</v>
      </c>
      <c r="P162" s="34">
        <f>IFERROR(SUMIF(Table423[,],Table625[[#This Row],[Accounts Name]],Table423[,2]),"")</f>
        <v>0</v>
      </c>
      <c r="S162" s="36">
        <f t="shared" si="2"/>
        <v>155</v>
      </c>
      <c r="T162" s="34"/>
      <c r="U162" s="37"/>
      <c r="V162" s="34">
        <f>IFERROR(SUMIF(Table625[Sub-Accounts],Table826[[#This Row],[Update your chart of accounts here]],Table625[Debit]),"")</f>
        <v>0</v>
      </c>
      <c r="W162" s="34">
        <f>IFERROR(SUMIF(Table625[Sub-Accounts],Table826[[#This Row],[Update your chart of accounts here]],Table625[Credit]),"")</f>
        <v>0</v>
      </c>
      <c r="X162" s="34"/>
      <c r="Y162" s="34"/>
      <c r="Z162" s="34"/>
      <c r="AA162" s="34"/>
      <c r="AB162" s="34">
        <f>MAX(Table826[[#This Row],[Debit]]+Table826[[#This Row],[Debit -]]-Table826[[#This Row],[Credit]]-Table826[[#This Row],[Credit +]],0)</f>
        <v>0</v>
      </c>
      <c r="AC162" s="34">
        <f>MAX(Table826[[#This Row],[Credit]]-Table826[[#This Row],[Debit]]+Table826[[#This Row],[Credit +]]-Table826[[#This Row],[Debit -]],0)</f>
        <v>0</v>
      </c>
      <c r="AD162" s="34" t="str">
        <f>IFERROR(IF(AND(OR(Table826[[#This Row],[Classification]]="Expense",Table826[[#This Row],[Classification]]="Cost of Goods Sold"),Table826[[#This Row],[Debit\]]&gt;Table826[[#This Row],[Credit.]]),Table826[[#This Row],[Debit\]]-Table826[[#This Row],[Credit.]],""),"")</f>
        <v/>
      </c>
      <c r="AE162" s="34" t="str">
        <f>IFERROR(IF(AND(OR(Table826[[#This Row],[Classification]]="Income",Table826[[#This Row],[Classification]]="Cost of Goods Sold"),Table826[[#This Row],[Credit.]]&gt;Table826[[#This Row],[Debit\]]),Table826[[#This Row],[Credit.]]-Table826[[#This Row],[Debit\]],""),"")</f>
        <v/>
      </c>
      <c r="AF162" s="34"/>
      <c r="AG162" s="34" t="str">
        <f>IFERROR(IF(AND(Table826[[#This Row],[Classification]]="Assets",Table826[[#This Row],[Debit\]]-Table826[[#This Row],[Credit.]]),Table826[[#This Row],[Debit\]]-Table826[[#This Row],[Credit.]],""),"")</f>
        <v/>
      </c>
      <c r="AH162" s="34" t="str">
        <f>IFERROR(IF(AND(OR(Table826[[#This Row],[Classification]]="Liabilities",Table826[[#This Row],[Classification]]="Owner´s Equity"),Table826[[#This Row],[Credit.]]&gt;Table826[[#This Row],[Debit\]]),Table826[[#This Row],[Credit.]]-Table826[[#This Row],[Debit\]],""),"")</f>
        <v/>
      </c>
    </row>
    <row r="163" spans="2:34" hidden="1" x14ac:dyDescent="0.25">
      <c r="B163" s="34"/>
      <c r="C163" s="45"/>
      <c r="D163" s="34"/>
      <c r="E163" s="34"/>
      <c r="G163" s="39"/>
      <c r="H163" s="40"/>
      <c r="I163" s="41"/>
      <c r="J163" s="41"/>
      <c r="L163" s="34">
        <v>156</v>
      </c>
      <c r="M163" s="35"/>
      <c r="N163" s="35"/>
      <c r="O163" s="34">
        <f>IFERROR(SUMIF(Table423[,],Table625[[#This Row],[Accounts Name]],Table423[,3]),"")</f>
        <v>0</v>
      </c>
      <c r="P163" s="34">
        <f>IFERROR(SUMIF(Table423[,],Table625[[#This Row],[Accounts Name]],Table423[,2]),"")</f>
        <v>0</v>
      </c>
      <c r="S163" s="36">
        <f t="shared" si="2"/>
        <v>156</v>
      </c>
      <c r="T163" s="34"/>
      <c r="U163" s="37"/>
      <c r="V163" s="34">
        <f>IFERROR(SUMIF(Table625[Sub-Accounts],Table826[[#This Row],[Update your chart of accounts here]],Table625[Debit]),"")</f>
        <v>0</v>
      </c>
      <c r="W163" s="34">
        <f>IFERROR(SUMIF(Table625[Sub-Accounts],Table826[[#This Row],[Update your chart of accounts here]],Table625[Credit]),"")</f>
        <v>0</v>
      </c>
      <c r="X163" s="34"/>
      <c r="Y163" s="34"/>
      <c r="Z163" s="34"/>
      <c r="AA163" s="34"/>
      <c r="AB163" s="34">
        <f>MAX(Table826[[#This Row],[Debit]]+Table826[[#This Row],[Debit -]]-Table826[[#This Row],[Credit]]-Table826[[#This Row],[Credit +]],0)</f>
        <v>0</v>
      </c>
      <c r="AC163" s="34">
        <f>MAX(Table826[[#This Row],[Credit]]-Table826[[#This Row],[Debit]]+Table826[[#This Row],[Credit +]]-Table826[[#This Row],[Debit -]],0)</f>
        <v>0</v>
      </c>
      <c r="AD163" s="34" t="str">
        <f>IFERROR(IF(AND(OR(Table826[[#This Row],[Classification]]="Expense",Table826[[#This Row],[Classification]]="Cost of Goods Sold"),Table826[[#This Row],[Debit\]]&gt;Table826[[#This Row],[Credit.]]),Table826[[#This Row],[Debit\]]-Table826[[#This Row],[Credit.]],""),"")</f>
        <v/>
      </c>
      <c r="AE163" s="34" t="str">
        <f>IFERROR(IF(AND(OR(Table826[[#This Row],[Classification]]="Income",Table826[[#This Row],[Classification]]="Cost of Goods Sold"),Table826[[#This Row],[Credit.]]&gt;Table826[[#This Row],[Debit\]]),Table826[[#This Row],[Credit.]]-Table826[[#This Row],[Debit\]],""),"")</f>
        <v/>
      </c>
      <c r="AF163" s="34"/>
      <c r="AG163" s="34" t="str">
        <f>IFERROR(IF(AND(Table826[[#This Row],[Classification]]="Assets",Table826[[#This Row],[Debit\]]-Table826[[#This Row],[Credit.]]),Table826[[#This Row],[Debit\]]-Table826[[#This Row],[Credit.]],""),"")</f>
        <v/>
      </c>
      <c r="AH163" s="34" t="str">
        <f>IFERROR(IF(AND(OR(Table826[[#This Row],[Classification]]="Liabilities",Table826[[#This Row],[Classification]]="Owner´s Equity"),Table826[[#This Row],[Credit.]]&gt;Table826[[#This Row],[Debit\]]),Table826[[#This Row],[Credit.]]-Table826[[#This Row],[Debit\]],""),"")</f>
        <v/>
      </c>
    </row>
    <row r="164" spans="2:34" hidden="1" x14ac:dyDescent="0.25">
      <c r="B164" s="34"/>
      <c r="C164" s="45"/>
      <c r="D164" s="34"/>
      <c r="E164" s="34"/>
      <c r="G164" s="39"/>
      <c r="H164" s="43"/>
      <c r="I164" s="41"/>
      <c r="J164" s="41"/>
      <c r="L164" s="34">
        <v>157</v>
      </c>
      <c r="M164" s="35"/>
      <c r="N164" s="35"/>
      <c r="O164" s="34">
        <f>IFERROR(SUMIF(Table423[,],Table625[[#This Row],[Accounts Name]],Table423[,3]),"")</f>
        <v>0</v>
      </c>
      <c r="P164" s="34">
        <f>IFERROR(SUMIF(Table423[,],Table625[[#This Row],[Accounts Name]],Table423[,2]),"")</f>
        <v>0</v>
      </c>
      <c r="S164" s="36">
        <f t="shared" si="2"/>
        <v>157</v>
      </c>
      <c r="T164" s="34"/>
      <c r="U164" s="37"/>
      <c r="V164" s="34">
        <f>IFERROR(SUMIF(Table625[Sub-Accounts],Table826[[#This Row],[Update your chart of accounts here]],Table625[Debit]),"")</f>
        <v>0</v>
      </c>
      <c r="W164" s="34">
        <f>IFERROR(SUMIF(Table625[Sub-Accounts],Table826[[#This Row],[Update your chart of accounts here]],Table625[Credit]),"")</f>
        <v>0</v>
      </c>
      <c r="X164" s="34"/>
      <c r="Y164" s="34"/>
      <c r="Z164" s="34"/>
      <c r="AA164" s="34"/>
      <c r="AB164" s="34">
        <f>MAX(Table826[[#This Row],[Debit]]+Table826[[#This Row],[Debit -]]-Table826[[#This Row],[Credit]]-Table826[[#This Row],[Credit +]],0)</f>
        <v>0</v>
      </c>
      <c r="AC164" s="34">
        <f>MAX(Table826[[#This Row],[Credit]]-Table826[[#This Row],[Debit]]+Table826[[#This Row],[Credit +]]-Table826[[#This Row],[Debit -]],0)</f>
        <v>0</v>
      </c>
      <c r="AD164" s="34" t="str">
        <f>IFERROR(IF(AND(OR(Table826[[#This Row],[Classification]]="Expense",Table826[[#This Row],[Classification]]="Cost of Goods Sold"),Table826[[#This Row],[Debit\]]&gt;Table826[[#This Row],[Credit.]]),Table826[[#This Row],[Debit\]]-Table826[[#This Row],[Credit.]],""),"")</f>
        <v/>
      </c>
      <c r="AE164" s="34" t="str">
        <f>IFERROR(IF(AND(OR(Table826[[#This Row],[Classification]]="Income",Table826[[#This Row],[Classification]]="Cost of Goods Sold"),Table826[[#This Row],[Credit.]]&gt;Table826[[#This Row],[Debit\]]),Table826[[#This Row],[Credit.]]-Table826[[#This Row],[Debit\]],""),"")</f>
        <v/>
      </c>
      <c r="AF164" s="34"/>
      <c r="AG164" s="34" t="str">
        <f>IFERROR(IF(AND(Table826[[#This Row],[Classification]]="Assets",Table826[[#This Row],[Debit\]]-Table826[[#This Row],[Credit.]]),Table826[[#This Row],[Debit\]]-Table826[[#This Row],[Credit.]],""),"")</f>
        <v/>
      </c>
      <c r="AH164" s="34" t="str">
        <f>IFERROR(IF(AND(OR(Table826[[#This Row],[Classification]]="Liabilities",Table826[[#This Row],[Classification]]="Owner´s Equity"),Table826[[#This Row],[Credit.]]&gt;Table826[[#This Row],[Debit\]]),Table826[[#This Row],[Credit.]]-Table826[[#This Row],[Debit\]],""),"")</f>
        <v/>
      </c>
    </row>
    <row r="165" spans="2:34" hidden="1" x14ac:dyDescent="0.25">
      <c r="B165" s="34"/>
      <c r="C165" s="45"/>
      <c r="D165" s="34"/>
      <c r="E165" s="34"/>
      <c r="G165" s="39"/>
      <c r="H165" s="40"/>
      <c r="I165" s="41"/>
      <c r="J165" s="41"/>
      <c r="L165" s="34">
        <v>158</v>
      </c>
      <c r="M165" s="35"/>
      <c r="N165" s="35"/>
      <c r="O165" s="34">
        <f>IFERROR(SUMIF(Table423[,],Table625[[#This Row],[Accounts Name]],Table423[,3]),"")</f>
        <v>0</v>
      </c>
      <c r="P165" s="34">
        <f>IFERROR(SUMIF(Table423[,],Table625[[#This Row],[Accounts Name]],Table423[,2]),"")</f>
        <v>0</v>
      </c>
      <c r="S165" s="36">
        <f t="shared" si="2"/>
        <v>158</v>
      </c>
      <c r="T165" s="34"/>
      <c r="U165" s="37"/>
      <c r="V165" s="34">
        <f>IFERROR(SUMIF(Table625[Sub-Accounts],Table826[[#This Row],[Update your chart of accounts here]],Table625[Debit]),"")</f>
        <v>0</v>
      </c>
      <c r="W165" s="34">
        <f>IFERROR(SUMIF(Table625[Sub-Accounts],Table826[[#This Row],[Update your chart of accounts here]],Table625[Credit]),"")</f>
        <v>0</v>
      </c>
      <c r="X165" s="34"/>
      <c r="Y165" s="34"/>
      <c r="Z165" s="34"/>
      <c r="AA165" s="34"/>
      <c r="AB165" s="34">
        <f>MAX(Table826[[#This Row],[Debit]]+Table826[[#This Row],[Debit -]]-Table826[[#This Row],[Credit]]-Table826[[#This Row],[Credit +]],0)</f>
        <v>0</v>
      </c>
      <c r="AC165" s="34">
        <f>MAX(Table826[[#This Row],[Credit]]-Table826[[#This Row],[Debit]]+Table826[[#This Row],[Credit +]]-Table826[[#This Row],[Debit -]],0)</f>
        <v>0</v>
      </c>
      <c r="AD165" s="34" t="str">
        <f>IFERROR(IF(AND(OR(Table826[[#This Row],[Classification]]="Expense",Table826[[#This Row],[Classification]]="Cost of Goods Sold"),Table826[[#This Row],[Debit\]]&gt;Table826[[#This Row],[Credit.]]),Table826[[#This Row],[Debit\]]-Table826[[#This Row],[Credit.]],""),"")</f>
        <v/>
      </c>
      <c r="AE165" s="34" t="str">
        <f>IFERROR(IF(AND(OR(Table826[[#This Row],[Classification]]="Income",Table826[[#This Row],[Classification]]="Cost of Goods Sold"),Table826[[#This Row],[Credit.]]&gt;Table826[[#This Row],[Debit\]]),Table826[[#This Row],[Credit.]]-Table826[[#This Row],[Debit\]],""),"")</f>
        <v/>
      </c>
      <c r="AF165" s="34"/>
      <c r="AG165" s="34" t="str">
        <f>IFERROR(IF(AND(Table826[[#This Row],[Classification]]="Assets",Table826[[#This Row],[Debit\]]-Table826[[#This Row],[Credit.]]),Table826[[#This Row],[Debit\]]-Table826[[#This Row],[Credit.]],""),"")</f>
        <v/>
      </c>
      <c r="AH165" s="34" t="str">
        <f>IFERROR(IF(AND(OR(Table826[[#This Row],[Classification]]="Liabilities",Table826[[#This Row],[Classification]]="Owner´s Equity"),Table826[[#This Row],[Credit.]]&gt;Table826[[#This Row],[Debit\]]),Table826[[#This Row],[Credit.]]-Table826[[#This Row],[Debit\]],""),"")</f>
        <v/>
      </c>
    </row>
    <row r="166" spans="2:34" hidden="1" x14ac:dyDescent="0.25">
      <c r="B166" s="34"/>
      <c r="C166" s="45"/>
      <c r="D166" s="34"/>
      <c r="E166" s="34"/>
      <c r="G166" s="39"/>
      <c r="H166" s="40"/>
      <c r="I166" s="41"/>
      <c r="J166" s="41"/>
      <c r="L166" s="34">
        <v>159</v>
      </c>
      <c r="M166" s="35"/>
      <c r="N166" s="35"/>
      <c r="O166" s="34">
        <f>IFERROR(SUMIF(Table423[,],Table625[[#This Row],[Accounts Name]],Table423[,3]),"")</f>
        <v>0</v>
      </c>
      <c r="P166" s="34">
        <f>IFERROR(SUMIF(Table423[,],Table625[[#This Row],[Accounts Name]],Table423[,2]),"")</f>
        <v>0</v>
      </c>
      <c r="S166" s="36">
        <f t="shared" si="2"/>
        <v>159</v>
      </c>
      <c r="T166" s="34"/>
      <c r="U166" s="37"/>
      <c r="V166" s="34">
        <f>IFERROR(SUMIF(Table625[Sub-Accounts],Table826[[#This Row],[Update your chart of accounts here]],Table625[Debit]),"")</f>
        <v>0</v>
      </c>
      <c r="W166" s="34">
        <f>IFERROR(SUMIF(Table625[Sub-Accounts],Table826[[#This Row],[Update your chart of accounts here]],Table625[Credit]),"")</f>
        <v>0</v>
      </c>
      <c r="X166" s="34"/>
      <c r="Y166" s="34"/>
      <c r="Z166" s="34"/>
      <c r="AA166" s="34"/>
      <c r="AB166" s="34">
        <f>MAX(Table826[[#This Row],[Debit]]+Table826[[#This Row],[Debit -]]-Table826[[#This Row],[Credit]]-Table826[[#This Row],[Credit +]],0)</f>
        <v>0</v>
      </c>
      <c r="AC166" s="34">
        <f>MAX(Table826[[#This Row],[Credit]]-Table826[[#This Row],[Debit]]+Table826[[#This Row],[Credit +]]-Table826[[#This Row],[Debit -]],0)</f>
        <v>0</v>
      </c>
      <c r="AD166" s="34" t="str">
        <f>IFERROR(IF(AND(OR(Table826[[#This Row],[Classification]]="Expense",Table826[[#This Row],[Classification]]="Cost of Goods Sold"),Table826[[#This Row],[Debit\]]&gt;Table826[[#This Row],[Credit.]]),Table826[[#This Row],[Debit\]]-Table826[[#This Row],[Credit.]],""),"")</f>
        <v/>
      </c>
      <c r="AE166" s="34" t="str">
        <f>IFERROR(IF(AND(OR(Table826[[#This Row],[Classification]]="Income",Table826[[#This Row],[Classification]]="Cost of Goods Sold"),Table826[[#This Row],[Credit.]]&gt;Table826[[#This Row],[Debit\]]),Table826[[#This Row],[Credit.]]-Table826[[#This Row],[Debit\]],""),"")</f>
        <v/>
      </c>
      <c r="AF166" s="34"/>
      <c r="AG166" s="34" t="str">
        <f>IFERROR(IF(AND(Table826[[#This Row],[Classification]]="Assets",Table826[[#This Row],[Debit\]]-Table826[[#This Row],[Credit.]]),Table826[[#This Row],[Debit\]]-Table826[[#This Row],[Credit.]],""),"")</f>
        <v/>
      </c>
      <c r="AH166" s="34" t="str">
        <f>IFERROR(IF(AND(OR(Table826[[#This Row],[Classification]]="Liabilities",Table826[[#This Row],[Classification]]="Owner´s Equity"),Table826[[#This Row],[Credit.]]&gt;Table826[[#This Row],[Debit\]]),Table826[[#This Row],[Credit.]]-Table826[[#This Row],[Debit\]],""),"")</f>
        <v/>
      </c>
    </row>
    <row r="167" spans="2:34" hidden="1" x14ac:dyDescent="0.25">
      <c r="B167" s="34"/>
      <c r="C167" s="45"/>
      <c r="D167" s="34"/>
      <c r="E167" s="34"/>
      <c r="G167" s="39"/>
      <c r="H167" s="43"/>
      <c r="I167" s="41"/>
      <c r="J167" s="41"/>
      <c r="L167" s="34">
        <v>160</v>
      </c>
      <c r="M167" s="35"/>
      <c r="N167" s="35"/>
      <c r="O167" s="34">
        <f>IFERROR(SUMIF(Table423[,],Table625[[#This Row],[Accounts Name]],Table423[,3]),"")</f>
        <v>0</v>
      </c>
      <c r="P167" s="34">
        <f>IFERROR(SUMIF(Table423[,],Table625[[#This Row],[Accounts Name]],Table423[,2]),"")</f>
        <v>0</v>
      </c>
      <c r="S167" s="36">
        <f t="shared" si="2"/>
        <v>160</v>
      </c>
      <c r="T167" s="34"/>
      <c r="U167" s="37"/>
      <c r="V167" s="34">
        <f>IFERROR(SUMIF(Table625[Sub-Accounts],Table826[[#This Row],[Update your chart of accounts here]],Table625[Debit]),"")</f>
        <v>0</v>
      </c>
      <c r="W167" s="34">
        <f>IFERROR(SUMIF(Table625[Sub-Accounts],Table826[[#This Row],[Update your chart of accounts here]],Table625[Credit]),"")</f>
        <v>0</v>
      </c>
      <c r="X167" s="34"/>
      <c r="Y167" s="34"/>
      <c r="Z167" s="34"/>
      <c r="AA167" s="34"/>
      <c r="AB167" s="34">
        <f>MAX(Table826[[#This Row],[Debit]]+Table826[[#This Row],[Debit -]]-Table826[[#This Row],[Credit]]-Table826[[#This Row],[Credit +]],0)</f>
        <v>0</v>
      </c>
      <c r="AC167" s="34">
        <f>MAX(Table826[[#This Row],[Credit]]-Table826[[#This Row],[Debit]]+Table826[[#This Row],[Credit +]]-Table826[[#This Row],[Debit -]],0)</f>
        <v>0</v>
      </c>
      <c r="AD167" s="34" t="str">
        <f>IFERROR(IF(AND(OR(Table826[[#This Row],[Classification]]="Expense",Table826[[#This Row],[Classification]]="Cost of Goods Sold"),Table826[[#This Row],[Debit\]]&gt;Table826[[#This Row],[Credit.]]),Table826[[#This Row],[Debit\]]-Table826[[#This Row],[Credit.]],""),"")</f>
        <v/>
      </c>
      <c r="AE167" s="34" t="str">
        <f>IFERROR(IF(AND(OR(Table826[[#This Row],[Classification]]="Income",Table826[[#This Row],[Classification]]="Cost of Goods Sold"),Table826[[#This Row],[Credit.]]&gt;Table826[[#This Row],[Debit\]]),Table826[[#This Row],[Credit.]]-Table826[[#This Row],[Debit\]],""),"")</f>
        <v/>
      </c>
      <c r="AF167" s="34"/>
      <c r="AG167" s="34" t="str">
        <f>IFERROR(IF(AND(Table826[[#This Row],[Classification]]="Assets",Table826[[#This Row],[Debit\]]-Table826[[#This Row],[Credit.]]),Table826[[#This Row],[Debit\]]-Table826[[#This Row],[Credit.]],""),"")</f>
        <v/>
      </c>
      <c r="AH167" s="34" t="str">
        <f>IFERROR(IF(AND(OR(Table826[[#This Row],[Classification]]="Liabilities",Table826[[#This Row],[Classification]]="Owner´s Equity"),Table826[[#This Row],[Credit.]]&gt;Table826[[#This Row],[Debit\]]),Table826[[#This Row],[Credit.]]-Table826[[#This Row],[Debit\]],""),"")</f>
        <v/>
      </c>
    </row>
    <row r="168" spans="2:34" hidden="1" x14ac:dyDescent="0.25">
      <c r="B168" s="34"/>
      <c r="C168" s="45"/>
      <c r="D168" s="34"/>
      <c r="E168" s="34"/>
      <c r="G168" s="39"/>
      <c r="H168" s="40"/>
      <c r="I168" s="41"/>
      <c r="J168" s="41"/>
      <c r="L168" s="34">
        <v>161</v>
      </c>
      <c r="M168" s="35"/>
      <c r="N168" s="35"/>
      <c r="O168" s="34">
        <f>IFERROR(SUMIF(Table423[,],Table625[[#This Row],[Accounts Name]],Table423[,3]),"")</f>
        <v>0</v>
      </c>
      <c r="P168" s="34">
        <f>IFERROR(SUMIF(Table423[,],Table625[[#This Row],[Accounts Name]],Table423[,2]),"")</f>
        <v>0</v>
      </c>
      <c r="S168" s="36">
        <f t="shared" si="2"/>
        <v>161</v>
      </c>
      <c r="T168" s="34"/>
      <c r="U168" s="37"/>
      <c r="V168" s="34">
        <f>IFERROR(SUMIF(Table625[Sub-Accounts],Table826[[#This Row],[Update your chart of accounts here]],Table625[Debit]),"")</f>
        <v>0</v>
      </c>
      <c r="W168" s="34">
        <f>IFERROR(SUMIF(Table625[Sub-Accounts],Table826[[#This Row],[Update your chart of accounts here]],Table625[Credit]),"")</f>
        <v>0</v>
      </c>
      <c r="X168" s="34"/>
      <c r="Y168" s="34"/>
      <c r="Z168" s="34"/>
      <c r="AA168" s="34"/>
      <c r="AB168" s="34">
        <f>MAX(Table826[[#This Row],[Debit]]+Table826[[#This Row],[Debit -]]-Table826[[#This Row],[Credit]]-Table826[[#This Row],[Credit +]],0)</f>
        <v>0</v>
      </c>
      <c r="AC168" s="34">
        <f>MAX(Table826[[#This Row],[Credit]]-Table826[[#This Row],[Debit]]+Table826[[#This Row],[Credit +]]-Table826[[#This Row],[Debit -]],0)</f>
        <v>0</v>
      </c>
      <c r="AD168" s="34" t="str">
        <f>IFERROR(IF(AND(OR(Table826[[#This Row],[Classification]]="Expense",Table826[[#This Row],[Classification]]="Cost of Goods Sold"),Table826[[#This Row],[Debit\]]&gt;Table826[[#This Row],[Credit.]]),Table826[[#This Row],[Debit\]]-Table826[[#This Row],[Credit.]],""),"")</f>
        <v/>
      </c>
      <c r="AE168" s="34" t="str">
        <f>IFERROR(IF(AND(OR(Table826[[#This Row],[Classification]]="Income",Table826[[#This Row],[Classification]]="Cost of Goods Sold"),Table826[[#This Row],[Credit.]]&gt;Table826[[#This Row],[Debit\]]),Table826[[#This Row],[Credit.]]-Table826[[#This Row],[Debit\]],""),"")</f>
        <v/>
      </c>
      <c r="AF168" s="34"/>
      <c r="AG168" s="34" t="str">
        <f>IFERROR(IF(AND(Table826[[#This Row],[Classification]]="Assets",Table826[[#This Row],[Debit\]]-Table826[[#This Row],[Credit.]]),Table826[[#This Row],[Debit\]]-Table826[[#This Row],[Credit.]],""),"")</f>
        <v/>
      </c>
      <c r="AH168" s="34" t="str">
        <f>IFERROR(IF(AND(OR(Table826[[#This Row],[Classification]]="Liabilities",Table826[[#This Row],[Classification]]="Owner´s Equity"),Table826[[#This Row],[Credit.]]&gt;Table826[[#This Row],[Debit\]]),Table826[[#This Row],[Credit.]]-Table826[[#This Row],[Debit\]],""),"")</f>
        <v/>
      </c>
    </row>
    <row r="169" spans="2:34" hidden="1" x14ac:dyDescent="0.25">
      <c r="B169" s="34"/>
      <c r="C169" s="45"/>
      <c r="D169" s="34"/>
      <c r="E169" s="34"/>
      <c r="G169" s="39"/>
      <c r="H169" s="40"/>
      <c r="I169" s="41"/>
      <c r="J169" s="41"/>
      <c r="L169" s="34">
        <v>162</v>
      </c>
      <c r="M169" s="35"/>
      <c r="N169" s="35"/>
      <c r="O169" s="34">
        <f>IFERROR(SUMIF(Table423[,],Table625[[#This Row],[Accounts Name]],Table423[,3]),"")</f>
        <v>0</v>
      </c>
      <c r="P169" s="34">
        <f>IFERROR(SUMIF(Table423[,],Table625[[#This Row],[Accounts Name]],Table423[,2]),"")</f>
        <v>0</v>
      </c>
      <c r="S169" s="36">
        <f t="shared" si="2"/>
        <v>162</v>
      </c>
      <c r="T169" s="34"/>
      <c r="U169" s="37"/>
      <c r="V169" s="34">
        <f>IFERROR(SUMIF(Table625[Sub-Accounts],Table826[[#This Row],[Update your chart of accounts here]],Table625[Debit]),"")</f>
        <v>0</v>
      </c>
      <c r="W169" s="34">
        <f>IFERROR(SUMIF(Table625[Sub-Accounts],Table826[[#This Row],[Update your chart of accounts here]],Table625[Credit]),"")</f>
        <v>0</v>
      </c>
      <c r="X169" s="34"/>
      <c r="Y169" s="34"/>
      <c r="Z169" s="34"/>
      <c r="AA169" s="34"/>
      <c r="AB169" s="34">
        <f>MAX(Table826[[#This Row],[Debit]]+Table826[[#This Row],[Debit -]]-Table826[[#This Row],[Credit]]-Table826[[#This Row],[Credit +]],0)</f>
        <v>0</v>
      </c>
      <c r="AC169" s="34">
        <f>MAX(Table826[[#This Row],[Credit]]-Table826[[#This Row],[Debit]]+Table826[[#This Row],[Credit +]]-Table826[[#This Row],[Debit -]],0)</f>
        <v>0</v>
      </c>
      <c r="AD169" s="34" t="str">
        <f>IFERROR(IF(AND(OR(Table826[[#This Row],[Classification]]="Expense",Table826[[#This Row],[Classification]]="Cost of Goods Sold"),Table826[[#This Row],[Debit\]]&gt;Table826[[#This Row],[Credit.]]),Table826[[#This Row],[Debit\]]-Table826[[#This Row],[Credit.]],""),"")</f>
        <v/>
      </c>
      <c r="AE169" s="34" t="str">
        <f>IFERROR(IF(AND(OR(Table826[[#This Row],[Classification]]="Income",Table826[[#This Row],[Classification]]="Cost of Goods Sold"),Table826[[#This Row],[Credit.]]&gt;Table826[[#This Row],[Debit\]]),Table826[[#This Row],[Credit.]]-Table826[[#This Row],[Debit\]],""),"")</f>
        <v/>
      </c>
      <c r="AF169" s="34"/>
      <c r="AG169" s="34" t="str">
        <f>IFERROR(IF(AND(Table826[[#This Row],[Classification]]="Assets",Table826[[#This Row],[Debit\]]-Table826[[#This Row],[Credit.]]),Table826[[#This Row],[Debit\]]-Table826[[#This Row],[Credit.]],""),"")</f>
        <v/>
      </c>
      <c r="AH169" s="34" t="str">
        <f>IFERROR(IF(AND(OR(Table826[[#This Row],[Classification]]="Liabilities",Table826[[#This Row],[Classification]]="Owner´s Equity"),Table826[[#This Row],[Credit.]]&gt;Table826[[#This Row],[Debit\]]),Table826[[#This Row],[Credit.]]-Table826[[#This Row],[Debit\]],""),"")</f>
        <v/>
      </c>
    </row>
    <row r="170" spans="2:34" hidden="1" x14ac:dyDescent="0.25">
      <c r="B170" s="34"/>
      <c r="C170" s="45"/>
      <c r="D170" s="34"/>
      <c r="E170" s="34"/>
      <c r="G170" s="39"/>
      <c r="H170" s="43"/>
      <c r="I170" s="41"/>
      <c r="J170" s="41"/>
      <c r="L170" s="34">
        <v>163</v>
      </c>
      <c r="M170" s="35"/>
      <c r="N170" s="35"/>
      <c r="O170" s="34">
        <f>IFERROR(SUMIF(Table423[,],Table625[[#This Row],[Accounts Name]],Table423[,3]),"")</f>
        <v>0</v>
      </c>
      <c r="P170" s="34">
        <f>IFERROR(SUMIF(Table423[,],Table625[[#This Row],[Accounts Name]],Table423[,2]),"")</f>
        <v>0</v>
      </c>
      <c r="S170" s="36">
        <f t="shared" si="2"/>
        <v>163</v>
      </c>
      <c r="T170" s="34"/>
      <c r="U170" s="37"/>
      <c r="V170" s="34">
        <f>IFERROR(SUMIF(Table625[Sub-Accounts],Table826[[#This Row],[Update your chart of accounts here]],Table625[Debit]),"")</f>
        <v>0</v>
      </c>
      <c r="W170" s="34">
        <f>IFERROR(SUMIF(Table625[Sub-Accounts],Table826[[#This Row],[Update your chart of accounts here]],Table625[Credit]),"")</f>
        <v>0</v>
      </c>
      <c r="X170" s="34"/>
      <c r="Y170" s="34"/>
      <c r="Z170" s="34"/>
      <c r="AA170" s="34"/>
      <c r="AB170" s="34">
        <f>MAX(Table826[[#This Row],[Debit]]+Table826[[#This Row],[Debit -]]-Table826[[#This Row],[Credit]]-Table826[[#This Row],[Credit +]],0)</f>
        <v>0</v>
      </c>
      <c r="AC170" s="34">
        <f>MAX(Table826[[#This Row],[Credit]]-Table826[[#This Row],[Debit]]+Table826[[#This Row],[Credit +]]-Table826[[#This Row],[Debit -]],0)</f>
        <v>0</v>
      </c>
      <c r="AD170" s="34" t="str">
        <f>IFERROR(IF(AND(OR(Table826[[#This Row],[Classification]]="Expense",Table826[[#This Row],[Classification]]="Cost of Goods Sold"),Table826[[#This Row],[Debit\]]&gt;Table826[[#This Row],[Credit.]]),Table826[[#This Row],[Debit\]]-Table826[[#This Row],[Credit.]],""),"")</f>
        <v/>
      </c>
      <c r="AE170" s="34" t="str">
        <f>IFERROR(IF(AND(OR(Table826[[#This Row],[Classification]]="Income",Table826[[#This Row],[Classification]]="Cost of Goods Sold"),Table826[[#This Row],[Credit.]]&gt;Table826[[#This Row],[Debit\]]),Table826[[#This Row],[Credit.]]-Table826[[#This Row],[Debit\]],""),"")</f>
        <v/>
      </c>
      <c r="AF170" s="34"/>
      <c r="AG170" s="34" t="str">
        <f>IFERROR(IF(AND(Table826[[#This Row],[Classification]]="Assets",Table826[[#This Row],[Debit\]]-Table826[[#This Row],[Credit.]]),Table826[[#This Row],[Debit\]]-Table826[[#This Row],[Credit.]],""),"")</f>
        <v/>
      </c>
      <c r="AH170" s="34" t="str">
        <f>IFERROR(IF(AND(OR(Table826[[#This Row],[Classification]]="Liabilities",Table826[[#This Row],[Classification]]="Owner´s Equity"),Table826[[#This Row],[Credit.]]&gt;Table826[[#This Row],[Debit\]]),Table826[[#This Row],[Credit.]]-Table826[[#This Row],[Debit\]],""),"")</f>
        <v/>
      </c>
    </row>
    <row r="171" spans="2:34" hidden="1" x14ac:dyDescent="0.25">
      <c r="B171" s="34"/>
      <c r="C171" s="45"/>
      <c r="D171" s="34"/>
      <c r="E171" s="34"/>
      <c r="G171" s="39"/>
      <c r="H171" s="40"/>
      <c r="I171" s="41"/>
      <c r="J171" s="41"/>
      <c r="L171" s="34">
        <v>164</v>
      </c>
      <c r="M171" s="35"/>
      <c r="N171" s="35"/>
      <c r="O171" s="34">
        <f>IFERROR(SUMIF(Table423[,],Table625[[#This Row],[Accounts Name]],Table423[,3]),"")</f>
        <v>0</v>
      </c>
      <c r="P171" s="34">
        <f>IFERROR(SUMIF(Table423[,],Table625[[#This Row],[Accounts Name]],Table423[,2]),"")</f>
        <v>0</v>
      </c>
      <c r="S171" s="36">
        <f t="shared" si="2"/>
        <v>164</v>
      </c>
      <c r="T171" s="34"/>
      <c r="U171" s="37"/>
      <c r="V171" s="34">
        <f>IFERROR(SUMIF(Table625[Sub-Accounts],Table826[[#This Row],[Update your chart of accounts here]],Table625[Debit]),"")</f>
        <v>0</v>
      </c>
      <c r="W171" s="34">
        <f>IFERROR(SUMIF(Table625[Sub-Accounts],Table826[[#This Row],[Update your chart of accounts here]],Table625[Credit]),"")</f>
        <v>0</v>
      </c>
      <c r="X171" s="34"/>
      <c r="Y171" s="34"/>
      <c r="Z171" s="34"/>
      <c r="AA171" s="34"/>
      <c r="AB171" s="34">
        <f>MAX(Table826[[#This Row],[Debit]]+Table826[[#This Row],[Debit -]]-Table826[[#This Row],[Credit]]-Table826[[#This Row],[Credit +]],0)</f>
        <v>0</v>
      </c>
      <c r="AC171" s="34">
        <f>MAX(Table826[[#This Row],[Credit]]-Table826[[#This Row],[Debit]]+Table826[[#This Row],[Credit +]]-Table826[[#This Row],[Debit -]],0)</f>
        <v>0</v>
      </c>
      <c r="AD171" s="34" t="str">
        <f>IFERROR(IF(AND(OR(Table826[[#This Row],[Classification]]="Expense",Table826[[#This Row],[Classification]]="Cost of Goods Sold"),Table826[[#This Row],[Debit\]]&gt;Table826[[#This Row],[Credit.]]),Table826[[#This Row],[Debit\]]-Table826[[#This Row],[Credit.]],""),"")</f>
        <v/>
      </c>
      <c r="AE171" s="34" t="str">
        <f>IFERROR(IF(AND(OR(Table826[[#This Row],[Classification]]="Income",Table826[[#This Row],[Classification]]="Cost of Goods Sold"),Table826[[#This Row],[Credit.]]&gt;Table826[[#This Row],[Debit\]]),Table826[[#This Row],[Credit.]]-Table826[[#This Row],[Debit\]],""),"")</f>
        <v/>
      </c>
      <c r="AF171" s="34"/>
      <c r="AG171" s="34" t="str">
        <f>IFERROR(IF(AND(Table826[[#This Row],[Classification]]="Assets",Table826[[#This Row],[Debit\]]-Table826[[#This Row],[Credit.]]),Table826[[#This Row],[Debit\]]-Table826[[#This Row],[Credit.]],""),"")</f>
        <v/>
      </c>
      <c r="AH171" s="34" t="str">
        <f>IFERROR(IF(AND(OR(Table826[[#This Row],[Classification]]="Liabilities",Table826[[#This Row],[Classification]]="Owner´s Equity"),Table826[[#This Row],[Credit.]]&gt;Table826[[#This Row],[Debit\]]),Table826[[#This Row],[Credit.]]-Table826[[#This Row],[Debit\]],""),"")</f>
        <v/>
      </c>
    </row>
    <row r="172" spans="2:34" hidden="1" x14ac:dyDescent="0.25">
      <c r="B172" s="34"/>
      <c r="C172" s="45"/>
      <c r="D172" s="34"/>
      <c r="E172" s="34"/>
      <c r="G172" s="39"/>
      <c r="H172" s="40"/>
      <c r="I172" s="41"/>
      <c r="J172" s="41"/>
      <c r="L172" s="34">
        <v>165</v>
      </c>
      <c r="M172" s="35"/>
      <c r="N172" s="35"/>
      <c r="O172" s="34">
        <f>IFERROR(SUMIF(Table423[,],Table625[[#This Row],[Accounts Name]],Table423[,3]),"")</f>
        <v>0</v>
      </c>
      <c r="P172" s="34">
        <f>IFERROR(SUMIF(Table423[,],Table625[[#This Row],[Accounts Name]],Table423[,2]),"")</f>
        <v>0</v>
      </c>
      <c r="S172" s="36">
        <f t="shared" si="2"/>
        <v>165</v>
      </c>
      <c r="T172" s="34"/>
      <c r="U172" s="37"/>
      <c r="V172" s="34">
        <f>IFERROR(SUMIF(Table625[Sub-Accounts],Table826[[#This Row],[Update your chart of accounts here]],Table625[Debit]),"")</f>
        <v>0</v>
      </c>
      <c r="W172" s="34">
        <f>IFERROR(SUMIF(Table625[Sub-Accounts],Table826[[#This Row],[Update your chart of accounts here]],Table625[Credit]),"")</f>
        <v>0</v>
      </c>
      <c r="X172" s="34"/>
      <c r="Y172" s="34"/>
      <c r="Z172" s="34"/>
      <c r="AA172" s="34"/>
      <c r="AB172" s="34">
        <f>MAX(Table826[[#This Row],[Debit]]+Table826[[#This Row],[Debit -]]-Table826[[#This Row],[Credit]]-Table826[[#This Row],[Credit +]],0)</f>
        <v>0</v>
      </c>
      <c r="AC172" s="34">
        <f>MAX(Table826[[#This Row],[Credit]]-Table826[[#This Row],[Debit]]+Table826[[#This Row],[Credit +]]-Table826[[#This Row],[Debit -]],0)</f>
        <v>0</v>
      </c>
      <c r="AD172" s="34" t="str">
        <f>IFERROR(IF(AND(OR(Table826[[#This Row],[Classification]]="Expense",Table826[[#This Row],[Classification]]="Cost of Goods Sold"),Table826[[#This Row],[Debit\]]&gt;Table826[[#This Row],[Credit.]]),Table826[[#This Row],[Debit\]]-Table826[[#This Row],[Credit.]],""),"")</f>
        <v/>
      </c>
      <c r="AE172" s="34" t="str">
        <f>IFERROR(IF(AND(OR(Table826[[#This Row],[Classification]]="Income",Table826[[#This Row],[Classification]]="Cost of Goods Sold"),Table826[[#This Row],[Credit.]]&gt;Table826[[#This Row],[Debit\]]),Table826[[#This Row],[Credit.]]-Table826[[#This Row],[Debit\]],""),"")</f>
        <v/>
      </c>
      <c r="AF172" s="34"/>
      <c r="AG172" s="34" t="str">
        <f>IFERROR(IF(AND(Table826[[#This Row],[Classification]]="Assets",Table826[[#This Row],[Debit\]]-Table826[[#This Row],[Credit.]]),Table826[[#This Row],[Debit\]]-Table826[[#This Row],[Credit.]],""),"")</f>
        <v/>
      </c>
      <c r="AH172" s="34" t="str">
        <f>IFERROR(IF(AND(OR(Table826[[#This Row],[Classification]]="Liabilities",Table826[[#This Row],[Classification]]="Owner´s Equity"),Table826[[#This Row],[Credit.]]&gt;Table826[[#This Row],[Debit\]]),Table826[[#This Row],[Credit.]]-Table826[[#This Row],[Debit\]],""),"")</f>
        <v/>
      </c>
    </row>
    <row r="173" spans="2:34" hidden="1" x14ac:dyDescent="0.25">
      <c r="B173" s="34"/>
      <c r="C173" s="45"/>
      <c r="D173" s="34"/>
      <c r="E173" s="34"/>
      <c r="G173" s="39"/>
      <c r="H173" s="43"/>
      <c r="I173" s="41"/>
      <c r="J173" s="41"/>
      <c r="L173" s="34">
        <v>166</v>
      </c>
      <c r="M173" s="35"/>
      <c r="N173" s="35"/>
      <c r="O173" s="34">
        <f>IFERROR(SUMIF(Table423[,],Table625[[#This Row],[Accounts Name]],Table423[,3]),"")</f>
        <v>0</v>
      </c>
      <c r="P173" s="34">
        <f>IFERROR(SUMIF(Table423[,],Table625[[#This Row],[Accounts Name]],Table423[,2]),"")</f>
        <v>0</v>
      </c>
      <c r="S173" s="36">
        <f t="shared" si="2"/>
        <v>166</v>
      </c>
      <c r="T173" s="34"/>
      <c r="U173" s="37"/>
      <c r="V173" s="34">
        <f>IFERROR(SUMIF(Table625[Sub-Accounts],Table826[[#This Row],[Update your chart of accounts here]],Table625[Debit]),"")</f>
        <v>0</v>
      </c>
      <c r="W173" s="34">
        <f>IFERROR(SUMIF(Table625[Sub-Accounts],Table826[[#This Row],[Update your chart of accounts here]],Table625[Credit]),"")</f>
        <v>0</v>
      </c>
      <c r="X173" s="34"/>
      <c r="Y173" s="34"/>
      <c r="Z173" s="34"/>
      <c r="AA173" s="34"/>
      <c r="AB173" s="34">
        <f>MAX(Table826[[#This Row],[Debit]]+Table826[[#This Row],[Debit -]]-Table826[[#This Row],[Credit]]-Table826[[#This Row],[Credit +]],0)</f>
        <v>0</v>
      </c>
      <c r="AC173" s="34">
        <f>MAX(Table826[[#This Row],[Credit]]-Table826[[#This Row],[Debit]]+Table826[[#This Row],[Credit +]]-Table826[[#This Row],[Debit -]],0)</f>
        <v>0</v>
      </c>
      <c r="AD173" s="34" t="str">
        <f>IFERROR(IF(AND(OR(Table826[[#This Row],[Classification]]="Expense",Table826[[#This Row],[Classification]]="Cost of Goods Sold"),Table826[[#This Row],[Debit\]]&gt;Table826[[#This Row],[Credit.]]),Table826[[#This Row],[Debit\]]-Table826[[#This Row],[Credit.]],""),"")</f>
        <v/>
      </c>
      <c r="AE173" s="34" t="str">
        <f>IFERROR(IF(AND(OR(Table826[[#This Row],[Classification]]="Income",Table826[[#This Row],[Classification]]="Cost of Goods Sold"),Table826[[#This Row],[Credit.]]&gt;Table826[[#This Row],[Debit\]]),Table826[[#This Row],[Credit.]]-Table826[[#This Row],[Debit\]],""),"")</f>
        <v/>
      </c>
      <c r="AF173" s="34"/>
      <c r="AG173" s="34" t="str">
        <f>IFERROR(IF(AND(Table826[[#This Row],[Classification]]="Assets",Table826[[#This Row],[Debit\]]-Table826[[#This Row],[Credit.]]),Table826[[#This Row],[Debit\]]-Table826[[#This Row],[Credit.]],""),"")</f>
        <v/>
      </c>
      <c r="AH173" s="34" t="str">
        <f>IFERROR(IF(AND(OR(Table826[[#This Row],[Classification]]="Liabilities",Table826[[#This Row],[Classification]]="Owner´s Equity"),Table826[[#This Row],[Credit.]]&gt;Table826[[#This Row],[Debit\]]),Table826[[#This Row],[Credit.]]-Table826[[#This Row],[Debit\]],""),"")</f>
        <v/>
      </c>
    </row>
    <row r="174" spans="2:34" hidden="1" x14ac:dyDescent="0.25">
      <c r="B174" s="34"/>
      <c r="C174" s="45"/>
      <c r="D174" s="34"/>
      <c r="E174" s="34"/>
      <c r="G174" s="39"/>
      <c r="H174" s="40"/>
      <c r="I174" s="41"/>
      <c r="J174" s="41"/>
      <c r="L174" s="34">
        <v>167</v>
      </c>
      <c r="M174" s="35"/>
      <c r="N174" s="35"/>
      <c r="O174" s="34">
        <f>IFERROR(SUMIF(Table423[,],Table625[[#This Row],[Accounts Name]],Table423[,3]),"")</f>
        <v>0</v>
      </c>
      <c r="P174" s="34">
        <f>IFERROR(SUMIF(Table423[,],Table625[[#This Row],[Accounts Name]],Table423[,2]),"")</f>
        <v>0</v>
      </c>
      <c r="S174" s="36">
        <f t="shared" si="2"/>
        <v>167</v>
      </c>
      <c r="T174" s="34"/>
      <c r="U174" s="37"/>
      <c r="V174" s="34">
        <f>IFERROR(SUMIF(Table625[Sub-Accounts],Table826[[#This Row],[Update your chart of accounts here]],Table625[Debit]),"")</f>
        <v>0</v>
      </c>
      <c r="W174" s="34">
        <f>IFERROR(SUMIF(Table625[Sub-Accounts],Table826[[#This Row],[Update your chart of accounts here]],Table625[Credit]),"")</f>
        <v>0</v>
      </c>
      <c r="X174" s="34"/>
      <c r="Y174" s="34"/>
      <c r="Z174" s="34"/>
      <c r="AA174" s="34"/>
      <c r="AB174" s="34">
        <f>MAX(Table826[[#This Row],[Debit]]+Table826[[#This Row],[Debit -]]-Table826[[#This Row],[Credit]]-Table826[[#This Row],[Credit +]],0)</f>
        <v>0</v>
      </c>
      <c r="AC174" s="34">
        <f>MAX(Table826[[#This Row],[Credit]]-Table826[[#This Row],[Debit]]+Table826[[#This Row],[Credit +]]-Table826[[#This Row],[Debit -]],0)</f>
        <v>0</v>
      </c>
      <c r="AD174" s="34" t="str">
        <f>IFERROR(IF(AND(OR(Table826[[#This Row],[Classification]]="Expense",Table826[[#This Row],[Classification]]="Cost of Goods Sold"),Table826[[#This Row],[Debit\]]&gt;Table826[[#This Row],[Credit.]]),Table826[[#This Row],[Debit\]]-Table826[[#This Row],[Credit.]],""),"")</f>
        <v/>
      </c>
      <c r="AE174" s="34" t="str">
        <f>IFERROR(IF(AND(OR(Table826[[#This Row],[Classification]]="Income",Table826[[#This Row],[Classification]]="Cost of Goods Sold"),Table826[[#This Row],[Credit.]]&gt;Table826[[#This Row],[Debit\]]),Table826[[#This Row],[Credit.]]-Table826[[#This Row],[Debit\]],""),"")</f>
        <v/>
      </c>
      <c r="AF174" s="34"/>
      <c r="AG174" s="34" t="str">
        <f>IFERROR(IF(AND(Table826[[#This Row],[Classification]]="Assets",Table826[[#This Row],[Debit\]]-Table826[[#This Row],[Credit.]]),Table826[[#This Row],[Debit\]]-Table826[[#This Row],[Credit.]],""),"")</f>
        <v/>
      </c>
      <c r="AH174" s="34" t="str">
        <f>IFERROR(IF(AND(OR(Table826[[#This Row],[Classification]]="Liabilities",Table826[[#This Row],[Classification]]="Owner´s Equity"),Table826[[#This Row],[Credit.]]&gt;Table826[[#This Row],[Debit\]]),Table826[[#This Row],[Credit.]]-Table826[[#This Row],[Debit\]],""),"")</f>
        <v/>
      </c>
    </row>
    <row r="175" spans="2:34" hidden="1" x14ac:dyDescent="0.25">
      <c r="B175" s="34"/>
      <c r="C175" s="45"/>
      <c r="D175" s="34"/>
      <c r="E175" s="34"/>
      <c r="G175" s="39"/>
      <c r="H175" s="40"/>
      <c r="I175" s="41"/>
      <c r="J175" s="41"/>
      <c r="L175" s="34">
        <v>168</v>
      </c>
      <c r="M175" s="35"/>
      <c r="N175" s="35"/>
      <c r="O175" s="34">
        <f>IFERROR(SUMIF(Table423[,],Table625[[#This Row],[Accounts Name]],Table423[,3]),"")</f>
        <v>0</v>
      </c>
      <c r="P175" s="34">
        <f>IFERROR(SUMIF(Table423[,],Table625[[#This Row],[Accounts Name]],Table423[,2]),"")</f>
        <v>0</v>
      </c>
      <c r="S175" s="36">
        <f t="shared" si="2"/>
        <v>168</v>
      </c>
      <c r="T175" s="34"/>
      <c r="U175" s="37"/>
      <c r="V175" s="34">
        <f>IFERROR(SUMIF(Table625[Sub-Accounts],Table826[[#This Row],[Update your chart of accounts here]],Table625[Debit]),"")</f>
        <v>0</v>
      </c>
      <c r="W175" s="34">
        <f>IFERROR(SUMIF(Table625[Sub-Accounts],Table826[[#This Row],[Update your chart of accounts here]],Table625[Credit]),"")</f>
        <v>0</v>
      </c>
      <c r="X175" s="34"/>
      <c r="Y175" s="34"/>
      <c r="Z175" s="34"/>
      <c r="AA175" s="34"/>
      <c r="AB175" s="34">
        <f>MAX(Table826[[#This Row],[Debit]]+Table826[[#This Row],[Debit -]]-Table826[[#This Row],[Credit]]-Table826[[#This Row],[Credit +]],0)</f>
        <v>0</v>
      </c>
      <c r="AC175" s="34">
        <f>MAX(Table826[[#This Row],[Credit]]-Table826[[#This Row],[Debit]]+Table826[[#This Row],[Credit +]]-Table826[[#This Row],[Debit -]],0)</f>
        <v>0</v>
      </c>
      <c r="AD175" s="34" t="str">
        <f>IFERROR(IF(AND(OR(Table826[[#This Row],[Classification]]="Expense",Table826[[#This Row],[Classification]]="Cost of Goods Sold"),Table826[[#This Row],[Debit\]]&gt;Table826[[#This Row],[Credit.]]),Table826[[#This Row],[Debit\]]-Table826[[#This Row],[Credit.]],""),"")</f>
        <v/>
      </c>
      <c r="AE175" s="34" t="str">
        <f>IFERROR(IF(AND(OR(Table826[[#This Row],[Classification]]="Income",Table826[[#This Row],[Classification]]="Cost of Goods Sold"),Table826[[#This Row],[Credit.]]&gt;Table826[[#This Row],[Debit\]]),Table826[[#This Row],[Credit.]]-Table826[[#This Row],[Debit\]],""),"")</f>
        <v/>
      </c>
      <c r="AF175" s="34"/>
      <c r="AG175" s="34" t="str">
        <f>IFERROR(IF(AND(Table826[[#This Row],[Classification]]="Assets",Table826[[#This Row],[Debit\]]-Table826[[#This Row],[Credit.]]),Table826[[#This Row],[Debit\]]-Table826[[#This Row],[Credit.]],""),"")</f>
        <v/>
      </c>
      <c r="AH175" s="34" t="str">
        <f>IFERROR(IF(AND(OR(Table826[[#This Row],[Classification]]="Liabilities",Table826[[#This Row],[Classification]]="Owner´s Equity"),Table826[[#This Row],[Credit.]]&gt;Table826[[#This Row],[Debit\]]),Table826[[#This Row],[Credit.]]-Table826[[#This Row],[Debit\]],""),"")</f>
        <v/>
      </c>
    </row>
    <row r="176" spans="2:34" hidden="1" x14ac:dyDescent="0.25">
      <c r="B176" s="34"/>
      <c r="C176" s="45"/>
      <c r="D176" s="34"/>
      <c r="E176" s="34"/>
      <c r="G176" s="39"/>
      <c r="H176" s="43"/>
      <c r="I176" s="41"/>
      <c r="J176" s="41"/>
      <c r="L176" s="34">
        <v>169</v>
      </c>
      <c r="M176" s="35"/>
      <c r="N176" s="35"/>
      <c r="O176" s="34">
        <f>IFERROR(SUMIF(Table423[,],Table625[[#This Row],[Accounts Name]],Table423[,3]),"")</f>
        <v>0</v>
      </c>
      <c r="P176" s="34">
        <f>IFERROR(SUMIF(Table423[,],Table625[[#This Row],[Accounts Name]],Table423[,2]),"")</f>
        <v>0</v>
      </c>
      <c r="S176" s="36">
        <f t="shared" si="2"/>
        <v>169</v>
      </c>
      <c r="T176" s="34"/>
      <c r="U176" s="37"/>
      <c r="V176" s="34">
        <f>IFERROR(SUMIF(Table625[Sub-Accounts],Table826[[#This Row],[Update your chart of accounts here]],Table625[Debit]),"")</f>
        <v>0</v>
      </c>
      <c r="W176" s="34">
        <f>IFERROR(SUMIF(Table625[Sub-Accounts],Table826[[#This Row],[Update your chart of accounts here]],Table625[Credit]),"")</f>
        <v>0</v>
      </c>
      <c r="X176" s="34"/>
      <c r="Y176" s="34"/>
      <c r="Z176" s="34"/>
      <c r="AA176" s="34"/>
      <c r="AB176" s="34">
        <f>MAX(Table826[[#This Row],[Debit]]+Table826[[#This Row],[Debit -]]-Table826[[#This Row],[Credit]]-Table826[[#This Row],[Credit +]],0)</f>
        <v>0</v>
      </c>
      <c r="AC176" s="34">
        <f>MAX(Table826[[#This Row],[Credit]]-Table826[[#This Row],[Debit]]+Table826[[#This Row],[Credit +]]-Table826[[#This Row],[Debit -]],0)</f>
        <v>0</v>
      </c>
      <c r="AD176" s="34" t="str">
        <f>IFERROR(IF(AND(OR(Table826[[#This Row],[Classification]]="Expense",Table826[[#This Row],[Classification]]="Cost of Goods Sold"),Table826[[#This Row],[Debit\]]&gt;Table826[[#This Row],[Credit.]]),Table826[[#This Row],[Debit\]]-Table826[[#This Row],[Credit.]],""),"")</f>
        <v/>
      </c>
      <c r="AE176" s="34" t="str">
        <f>IFERROR(IF(AND(OR(Table826[[#This Row],[Classification]]="Income",Table826[[#This Row],[Classification]]="Cost of Goods Sold"),Table826[[#This Row],[Credit.]]&gt;Table826[[#This Row],[Debit\]]),Table826[[#This Row],[Credit.]]-Table826[[#This Row],[Debit\]],""),"")</f>
        <v/>
      </c>
      <c r="AF176" s="34"/>
      <c r="AG176" s="34" t="str">
        <f>IFERROR(IF(AND(Table826[[#This Row],[Classification]]="Assets",Table826[[#This Row],[Debit\]]-Table826[[#This Row],[Credit.]]),Table826[[#This Row],[Debit\]]-Table826[[#This Row],[Credit.]],""),"")</f>
        <v/>
      </c>
      <c r="AH176" s="34" t="str">
        <f>IFERROR(IF(AND(OR(Table826[[#This Row],[Classification]]="Liabilities",Table826[[#This Row],[Classification]]="Owner´s Equity"),Table826[[#This Row],[Credit.]]&gt;Table826[[#This Row],[Debit\]]),Table826[[#This Row],[Credit.]]-Table826[[#This Row],[Debit\]],""),"")</f>
        <v/>
      </c>
    </row>
    <row r="177" spans="2:34" hidden="1" x14ac:dyDescent="0.25">
      <c r="B177" s="34"/>
      <c r="C177" s="45"/>
      <c r="D177" s="34"/>
      <c r="E177" s="34"/>
      <c r="G177" s="39"/>
      <c r="H177" s="40"/>
      <c r="I177" s="41"/>
      <c r="J177" s="41"/>
      <c r="L177" s="34">
        <v>170</v>
      </c>
      <c r="M177" s="35"/>
      <c r="N177" s="35"/>
      <c r="O177" s="34">
        <f>IFERROR(SUMIF(Table423[,],Table625[[#This Row],[Accounts Name]],Table423[,3]),"")</f>
        <v>0</v>
      </c>
      <c r="P177" s="34">
        <f>IFERROR(SUMIF(Table423[,],Table625[[#This Row],[Accounts Name]],Table423[,2]),"")</f>
        <v>0</v>
      </c>
      <c r="S177" s="36">
        <f t="shared" si="2"/>
        <v>170</v>
      </c>
      <c r="T177" s="34"/>
      <c r="U177" s="37"/>
      <c r="V177" s="34">
        <f>IFERROR(SUMIF(Table625[Sub-Accounts],Table826[[#This Row],[Update your chart of accounts here]],Table625[Debit]),"")</f>
        <v>0</v>
      </c>
      <c r="W177" s="34">
        <f>IFERROR(SUMIF(Table625[Sub-Accounts],Table826[[#This Row],[Update your chart of accounts here]],Table625[Credit]),"")</f>
        <v>0</v>
      </c>
      <c r="X177" s="34"/>
      <c r="Y177" s="34"/>
      <c r="Z177" s="34"/>
      <c r="AA177" s="34"/>
      <c r="AB177" s="34">
        <f>MAX(Table826[[#This Row],[Debit]]+Table826[[#This Row],[Debit -]]-Table826[[#This Row],[Credit]]-Table826[[#This Row],[Credit +]],0)</f>
        <v>0</v>
      </c>
      <c r="AC177" s="34">
        <f>MAX(Table826[[#This Row],[Credit]]-Table826[[#This Row],[Debit]]+Table826[[#This Row],[Credit +]]-Table826[[#This Row],[Debit -]],0)</f>
        <v>0</v>
      </c>
      <c r="AD177" s="34" t="str">
        <f>IFERROR(IF(AND(OR(Table826[[#This Row],[Classification]]="Expense",Table826[[#This Row],[Classification]]="Cost of Goods Sold"),Table826[[#This Row],[Debit\]]&gt;Table826[[#This Row],[Credit.]]),Table826[[#This Row],[Debit\]]-Table826[[#This Row],[Credit.]],""),"")</f>
        <v/>
      </c>
      <c r="AE177" s="34" t="str">
        <f>IFERROR(IF(AND(OR(Table826[[#This Row],[Classification]]="Income",Table826[[#This Row],[Classification]]="Cost of Goods Sold"),Table826[[#This Row],[Credit.]]&gt;Table826[[#This Row],[Debit\]]),Table826[[#This Row],[Credit.]]-Table826[[#This Row],[Debit\]],""),"")</f>
        <v/>
      </c>
      <c r="AF177" s="34"/>
      <c r="AG177" s="34" t="str">
        <f>IFERROR(IF(AND(Table826[[#This Row],[Classification]]="Assets",Table826[[#This Row],[Debit\]]-Table826[[#This Row],[Credit.]]),Table826[[#This Row],[Debit\]]-Table826[[#This Row],[Credit.]],""),"")</f>
        <v/>
      </c>
      <c r="AH177" s="34" t="str">
        <f>IFERROR(IF(AND(OR(Table826[[#This Row],[Classification]]="Liabilities",Table826[[#This Row],[Classification]]="Owner´s Equity"),Table826[[#This Row],[Credit.]]&gt;Table826[[#This Row],[Debit\]]),Table826[[#This Row],[Credit.]]-Table826[[#This Row],[Debit\]],""),"")</f>
        <v/>
      </c>
    </row>
    <row r="178" spans="2:34" hidden="1" x14ac:dyDescent="0.25">
      <c r="B178" s="34"/>
      <c r="C178" s="45"/>
      <c r="D178" s="34"/>
      <c r="E178" s="34"/>
      <c r="G178" s="39"/>
      <c r="H178" s="40"/>
      <c r="I178" s="41"/>
      <c r="J178" s="41"/>
      <c r="L178" s="34">
        <v>171</v>
      </c>
      <c r="M178" s="35"/>
      <c r="N178" s="35"/>
      <c r="O178" s="34">
        <f>IFERROR(SUMIF(Table423[,],Table625[[#This Row],[Accounts Name]],Table423[,3]),"")</f>
        <v>0</v>
      </c>
      <c r="P178" s="34">
        <f>IFERROR(SUMIF(Table423[,],Table625[[#This Row],[Accounts Name]],Table423[,2]),"")</f>
        <v>0</v>
      </c>
      <c r="S178" s="36">
        <f t="shared" si="2"/>
        <v>171</v>
      </c>
      <c r="T178" s="34"/>
      <c r="U178" s="37"/>
      <c r="V178" s="34">
        <f>IFERROR(SUMIF(Table625[Sub-Accounts],Table826[[#This Row],[Update your chart of accounts here]],Table625[Debit]),"")</f>
        <v>0</v>
      </c>
      <c r="W178" s="34">
        <f>IFERROR(SUMIF(Table625[Sub-Accounts],Table826[[#This Row],[Update your chart of accounts here]],Table625[Credit]),"")</f>
        <v>0</v>
      </c>
      <c r="X178" s="34"/>
      <c r="Y178" s="34"/>
      <c r="Z178" s="34"/>
      <c r="AA178" s="34"/>
      <c r="AB178" s="34">
        <f>MAX(Table826[[#This Row],[Debit]]+Table826[[#This Row],[Debit -]]-Table826[[#This Row],[Credit]]-Table826[[#This Row],[Credit +]],0)</f>
        <v>0</v>
      </c>
      <c r="AC178" s="34">
        <f>MAX(Table826[[#This Row],[Credit]]-Table826[[#This Row],[Debit]]+Table826[[#This Row],[Credit +]]-Table826[[#This Row],[Debit -]],0)</f>
        <v>0</v>
      </c>
      <c r="AD178" s="34" t="str">
        <f>IFERROR(IF(AND(OR(Table826[[#This Row],[Classification]]="Expense",Table826[[#This Row],[Classification]]="Cost of Goods Sold"),Table826[[#This Row],[Debit\]]&gt;Table826[[#This Row],[Credit.]]),Table826[[#This Row],[Debit\]]-Table826[[#This Row],[Credit.]],""),"")</f>
        <v/>
      </c>
      <c r="AE178" s="34" t="str">
        <f>IFERROR(IF(AND(OR(Table826[[#This Row],[Classification]]="Income",Table826[[#This Row],[Classification]]="Cost of Goods Sold"),Table826[[#This Row],[Credit.]]&gt;Table826[[#This Row],[Debit\]]),Table826[[#This Row],[Credit.]]-Table826[[#This Row],[Debit\]],""),"")</f>
        <v/>
      </c>
      <c r="AF178" s="34"/>
      <c r="AG178" s="34" t="str">
        <f>IFERROR(IF(AND(Table826[[#This Row],[Classification]]="Assets",Table826[[#This Row],[Debit\]]-Table826[[#This Row],[Credit.]]),Table826[[#This Row],[Debit\]]-Table826[[#This Row],[Credit.]],""),"")</f>
        <v/>
      </c>
      <c r="AH178" s="34" t="str">
        <f>IFERROR(IF(AND(OR(Table826[[#This Row],[Classification]]="Liabilities",Table826[[#This Row],[Classification]]="Owner´s Equity"),Table826[[#This Row],[Credit.]]&gt;Table826[[#This Row],[Debit\]]),Table826[[#This Row],[Credit.]]-Table826[[#This Row],[Debit\]],""),"")</f>
        <v/>
      </c>
    </row>
    <row r="179" spans="2:34" hidden="1" x14ac:dyDescent="0.25">
      <c r="B179" s="34"/>
      <c r="C179" s="45"/>
      <c r="D179" s="34"/>
      <c r="E179" s="34"/>
      <c r="G179" s="39"/>
      <c r="H179" s="43"/>
      <c r="I179" s="41"/>
      <c r="J179" s="41"/>
      <c r="L179" s="34">
        <v>172</v>
      </c>
      <c r="M179" s="35"/>
      <c r="N179" s="35"/>
      <c r="O179" s="34">
        <f>IFERROR(SUMIF(Table423[,],Table625[[#This Row],[Accounts Name]],Table423[,3]),"")</f>
        <v>0</v>
      </c>
      <c r="P179" s="34">
        <f>IFERROR(SUMIF(Table423[,],Table625[[#This Row],[Accounts Name]],Table423[,2]),"")</f>
        <v>0</v>
      </c>
      <c r="S179" s="36">
        <f t="shared" si="2"/>
        <v>172</v>
      </c>
      <c r="T179" s="34"/>
      <c r="U179" s="37"/>
      <c r="V179" s="34">
        <f>IFERROR(SUMIF(Table625[Sub-Accounts],Table826[[#This Row],[Update your chart of accounts here]],Table625[Debit]),"")</f>
        <v>0</v>
      </c>
      <c r="W179" s="34">
        <f>IFERROR(SUMIF(Table625[Sub-Accounts],Table826[[#This Row],[Update your chart of accounts here]],Table625[Credit]),"")</f>
        <v>0</v>
      </c>
      <c r="X179" s="34"/>
      <c r="Y179" s="34"/>
      <c r="Z179" s="34"/>
      <c r="AA179" s="34"/>
      <c r="AB179" s="34">
        <f>MAX(Table826[[#This Row],[Debit]]+Table826[[#This Row],[Debit -]]-Table826[[#This Row],[Credit]]-Table826[[#This Row],[Credit +]],0)</f>
        <v>0</v>
      </c>
      <c r="AC179" s="34">
        <f>MAX(Table826[[#This Row],[Credit]]-Table826[[#This Row],[Debit]]+Table826[[#This Row],[Credit +]]-Table826[[#This Row],[Debit -]],0)</f>
        <v>0</v>
      </c>
      <c r="AD179" s="34" t="str">
        <f>IFERROR(IF(AND(OR(Table826[[#This Row],[Classification]]="Expense",Table826[[#This Row],[Classification]]="Cost of Goods Sold"),Table826[[#This Row],[Debit\]]&gt;Table826[[#This Row],[Credit.]]),Table826[[#This Row],[Debit\]]-Table826[[#This Row],[Credit.]],""),"")</f>
        <v/>
      </c>
      <c r="AE179" s="34" t="str">
        <f>IFERROR(IF(AND(OR(Table826[[#This Row],[Classification]]="Income",Table826[[#This Row],[Classification]]="Cost of Goods Sold"),Table826[[#This Row],[Credit.]]&gt;Table826[[#This Row],[Debit\]]),Table826[[#This Row],[Credit.]]-Table826[[#This Row],[Debit\]],""),"")</f>
        <v/>
      </c>
      <c r="AF179" s="34"/>
      <c r="AG179" s="34" t="str">
        <f>IFERROR(IF(AND(Table826[[#This Row],[Classification]]="Assets",Table826[[#This Row],[Debit\]]-Table826[[#This Row],[Credit.]]),Table826[[#This Row],[Debit\]]-Table826[[#This Row],[Credit.]],""),"")</f>
        <v/>
      </c>
      <c r="AH179" s="34" t="str">
        <f>IFERROR(IF(AND(OR(Table826[[#This Row],[Classification]]="Liabilities",Table826[[#This Row],[Classification]]="Owner´s Equity"),Table826[[#This Row],[Credit.]]&gt;Table826[[#This Row],[Debit\]]),Table826[[#This Row],[Credit.]]-Table826[[#This Row],[Debit\]],""),"")</f>
        <v/>
      </c>
    </row>
    <row r="180" spans="2:34" hidden="1" x14ac:dyDescent="0.25">
      <c r="B180" s="34"/>
      <c r="C180" s="45"/>
      <c r="D180" s="34"/>
      <c r="E180" s="34"/>
      <c r="G180" s="39"/>
      <c r="H180" s="40"/>
      <c r="I180" s="41"/>
      <c r="J180" s="41"/>
      <c r="L180" s="34">
        <v>173</v>
      </c>
      <c r="M180" s="35"/>
      <c r="N180" s="35"/>
      <c r="O180" s="34">
        <f>IFERROR(SUMIF(Table423[,],Table625[[#This Row],[Accounts Name]],Table423[,3]),"")</f>
        <v>0</v>
      </c>
      <c r="P180" s="34">
        <f>IFERROR(SUMIF(Table423[,],Table625[[#This Row],[Accounts Name]],Table423[,2]),"")</f>
        <v>0</v>
      </c>
      <c r="S180" s="36">
        <f t="shared" si="2"/>
        <v>173</v>
      </c>
      <c r="T180" s="34"/>
      <c r="U180" s="37"/>
      <c r="V180" s="34">
        <f>IFERROR(SUMIF(Table625[Sub-Accounts],Table826[[#This Row],[Update your chart of accounts here]],Table625[Debit]),"")</f>
        <v>0</v>
      </c>
      <c r="W180" s="34">
        <f>IFERROR(SUMIF(Table625[Sub-Accounts],Table826[[#This Row],[Update your chart of accounts here]],Table625[Credit]),"")</f>
        <v>0</v>
      </c>
      <c r="X180" s="34"/>
      <c r="Y180" s="34"/>
      <c r="Z180" s="34"/>
      <c r="AA180" s="34"/>
      <c r="AB180" s="34">
        <f>MAX(Table826[[#This Row],[Debit]]+Table826[[#This Row],[Debit -]]-Table826[[#This Row],[Credit]]-Table826[[#This Row],[Credit +]],0)</f>
        <v>0</v>
      </c>
      <c r="AC180" s="34">
        <f>MAX(Table826[[#This Row],[Credit]]-Table826[[#This Row],[Debit]]+Table826[[#This Row],[Credit +]]-Table826[[#This Row],[Debit -]],0)</f>
        <v>0</v>
      </c>
      <c r="AD180" s="34" t="str">
        <f>IFERROR(IF(AND(OR(Table826[[#This Row],[Classification]]="Expense",Table826[[#This Row],[Classification]]="Cost of Goods Sold"),Table826[[#This Row],[Debit\]]&gt;Table826[[#This Row],[Credit.]]),Table826[[#This Row],[Debit\]]-Table826[[#This Row],[Credit.]],""),"")</f>
        <v/>
      </c>
      <c r="AE180" s="34" t="str">
        <f>IFERROR(IF(AND(OR(Table826[[#This Row],[Classification]]="Income",Table826[[#This Row],[Classification]]="Cost of Goods Sold"),Table826[[#This Row],[Credit.]]&gt;Table826[[#This Row],[Debit\]]),Table826[[#This Row],[Credit.]]-Table826[[#This Row],[Debit\]],""),"")</f>
        <v/>
      </c>
      <c r="AF180" s="34"/>
      <c r="AG180" s="34" t="str">
        <f>IFERROR(IF(AND(Table826[[#This Row],[Classification]]="Assets",Table826[[#This Row],[Debit\]]-Table826[[#This Row],[Credit.]]),Table826[[#This Row],[Debit\]]-Table826[[#This Row],[Credit.]],""),"")</f>
        <v/>
      </c>
      <c r="AH180" s="34" t="str">
        <f>IFERROR(IF(AND(OR(Table826[[#This Row],[Classification]]="Liabilities",Table826[[#This Row],[Classification]]="Owner´s Equity"),Table826[[#This Row],[Credit.]]&gt;Table826[[#This Row],[Debit\]]),Table826[[#This Row],[Credit.]]-Table826[[#This Row],[Debit\]],""),"")</f>
        <v/>
      </c>
    </row>
    <row r="181" spans="2:34" hidden="1" x14ac:dyDescent="0.25">
      <c r="B181" s="34"/>
      <c r="C181" s="45"/>
      <c r="D181" s="34"/>
      <c r="E181" s="34"/>
      <c r="G181" s="39"/>
      <c r="H181" s="40"/>
      <c r="I181" s="41"/>
      <c r="J181" s="41"/>
      <c r="L181" s="34">
        <v>174</v>
      </c>
      <c r="M181" s="35"/>
      <c r="N181" s="35"/>
      <c r="O181" s="34">
        <f>IFERROR(SUMIF(Table423[,],Table625[[#This Row],[Accounts Name]],Table423[,3]),"")</f>
        <v>0</v>
      </c>
      <c r="P181" s="34">
        <f>IFERROR(SUMIF(Table423[,],Table625[[#This Row],[Accounts Name]],Table423[,2]),"")</f>
        <v>0</v>
      </c>
      <c r="S181" s="36">
        <f t="shared" si="2"/>
        <v>174</v>
      </c>
      <c r="T181" s="34"/>
      <c r="U181" s="37"/>
      <c r="V181" s="34">
        <f>IFERROR(SUMIF(Table625[Sub-Accounts],Table826[[#This Row],[Update your chart of accounts here]],Table625[Debit]),"")</f>
        <v>0</v>
      </c>
      <c r="W181" s="34">
        <f>IFERROR(SUMIF(Table625[Sub-Accounts],Table826[[#This Row],[Update your chart of accounts here]],Table625[Credit]),"")</f>
        <v>0</v>
      </c>
      <c r="X181" s="34"/>
      <c r="Y181" s="34"/>
      <c r="Z181" s="34"/>
      <c r="AA181" s="34"/>
      <c r="AB181" s="34">
        <f>MAX(Table826[[#This Row],[Debit]]+Table826[[#This Row],[Debit -]]-Table826[[#This Row],[Credit]]-Table826[[#This Row],[Credit +]],0)</f>
        <v>0</v>
      </c>
      <c r="AC181" s="34">
        <f>MAX(Table826[[#This Row],[Credit]]-Table826[[#This Row],[Debit]]+Table826[[#This Row],[Credit +]]-Table826[[#This Row],[Debit -]],0)</f>
        <v>0</v>
      </c>
      <c r="AD181" s="34" t="str">
        <f>IFERROR(IF(AND(OR(Table826[[#This Row],[Classification]]="Expense",Table826[[#This Row],[Classification]]="Cost of Goods Sold"),Table826[[#This Row],[Debit\]]&gt;Table826[[#This Row],[Credit.]]),Table826[[#This Row],[Debit\]]-Table826[[#This Row],[Credit.]],""),"")</f>
        <v/>
      </c>
      <c r="AE181" s="34" t="str">
        <f>IFERROR(IF(AND(OR(Table826[[#This Row],[Classification]]="Income",Table826[[#This Row],[Classification]]="Cost of Goods Sold"),Table826[[#This Row],[Credit.]]&gt;Table826[[#This Row],[Debit\]]),Table826[[#This Row],[Credit.]]-Table826[[#This Row],[Debit\]],""),"")</f>
        <v/>
      </c>
      <c r="AF181" s="34"/>
      <c r="AG181" s="34" t="str">
        <f>IFERROR(IF(AND(Table826[[#This Row],[Classification]]="Assets",Table826[[#This Row],[Debit\]]-Table826[[#This Row],[Credit.]]),Table826[[#This Row],[Debit\]]-Table826[[#This Row],[Credit.]],""),"")</f>
        <v/>
      </c>
      <c r="AH181" s="34" t="str">
        <f>IFERROR(IF(AND(OR(Table826[[#This Row],[Classification]]="Liabilities",Table826[[#This Row],[Classification]]="Owner´s Equity"),Table826[[#This Row],[Credit.]]&gt;Table826[[#This Row],[Debit\]]),Table826[[#This Row],[Credit.]]-Table826[[#This Row],[Debit\]],""),"")</f>
        <v/>
      </c>
    </row>
    <row r="182" spans="2:34" hidden="1" x14ac:dyDescent="0.25">
      <c r="B182" s="34"/>
      <c r="C182" s="45"/>
      <c r="D182" s="34"/>
      <c r="E182" s="34"/>
      <c r="G182" s="39"/>
      <c r="H182" s="43"/>
      <c r="I182" s="41"/>
      <c r="J182" s="41"/>
      <c r="L182" s="34">
        <v>175</v>
      </c>
      <c r="M182" s="35"/>
      <c r="N182" s="35"/>
      <c r="O182" s="34">
        <f>IFERROR(SUMIF(Table423[,],Table625[[#This Row],[Accounts Name]],Table423[,3]),"")</f>
        <v>0</v>
      </c>
      <c r="P182" s="34">
        <f>IFERROR(SUMIF(Table423[,],Table625[[#This Row],[Accounts Name]],Table423[,2]),"")</f>
        <v>0</v>
      </c>
      <c r="S182" s="36">
        <f t="shared" si="2"/>
        <v>175</v>
      </c>
      <c r="T182" s="34"/>
      <c r="U182" s="37"/>
      <c r="V182" s="34">
        <f>IFERROR(SUMIF(Table625[Sub-Accounts],Table826[[#This Row],[Update your chart of accounts here]],Table625[Debit]),"")</f>
        <v>0</v>
      </c>
      <c r="W182" s="34">
        <f>IFERROR(SUMIF(Table625[Sub-Accounts],Table826[[#This Row],[Update your chart of accounts here]],Table625[Credit]),"")</f>
        <v>0</v>
      </c>
      <c r="X182" s="34"/>
      <c r="Y182" s="34"/>
      <c r="Z182" s="34"/>
      <c r="AA182" s="34"/>
      <c r="AB182" s="34">
        <f>MAX(Table826[[#This Row],[Debit]]+Table826[[#This Row],[Debit -]]-Table826[[#This Row],[Credit]]-Table826[[#This Row],[Credit +]],0)</f>
        <v>0</v>
      </c>
      <c r="AC182" s="34">
        <f>MAX(Table826[[#This Row],[Credit]]-Table826[[#This Row],[Debit]]+Table826[[#This Row],[Credit +]]-Table826[[#This Row],[Debit -]],0)</f>
        <v>0</v>
      </c>
      <c r="AD182" s="34" t="str">
        <f>IFERROR(IF(AND(OR(Table826[[#This Row],[Classification]]="Expense",Table826[[#This Row],[Classification]]="Cost of Goods Sold"),Table826[[#This Row],[Debit\]]&gt;Table826[[#This Row],[Credit.]]),Table826[[#This Row],[Debit\]]-Table826[[#This Row],[Credit.]],""),"")</f>
        <v/>
      </c>
      <c r="AE182" s="34" t="str">
        <f>IFERROR(IF(AND(OR(Table826[[#This Row],[Classification]]="Income",Table826[[#This Row],[Classification]]="Cost of Goods Sold"),Table826[[#This Row],[Credit.]]&gt;Table826[[#This Row],[Debit\]]),Table826[[#This Row],[Credit.]]-Table826[[#This Row],[Debit\]],""),"")</f>
        <v/>
      </c>
      <c r="AF182" s="34"/>
      <c r="AG182" s="34" t="str">
        <f>IFERROR(IF(AND(Table826[[#This Row],[Classification]]="Assets",Table826[[#This Row],[Debit\]]-Table826[[#This Row],[Credit.]]),Table826[[#This Row],[Debit\]]-Table826[[#This Row],[Credit.]],""),"")</f>
        <v/>
      </c>
      <c r="AH182" s="34" t="str">
        <f>IFERROR(IF(AND(OR(Table826[[#This Row],[Classification]]="Liabilities",Table826[[#This Row],[Classification]]="Owner´s Equity"),Table826[[#This Row],[Credit.]]&gt;Table826[[#This Row],[Debit\]]),Table826[[#This Row],[Credit.]]-Table826[[#This Row],[Debit\]],""),"")</f>
        <v/>
      </c>
    </row>
    <row r="183" spans="2:34" hidden="1" x14ac:dyDescent="0.25">
      <c r="B183" s="34"/>
      <c r="C183" s="45"/>
      <c r="D183" s="34"/>
      <c r="E183" s="34"/>
      <c r="G183" s="39"/>
      <c r="H183" s="40"/>
      <c r="I183" s="41"/>
      <c r="J183" s="41"/>
      <c r="L183" s="34">
        <v>176</v>
      </c>
      <c r="M183" s="35"/>
      <c r="N183" s="35"/>
      <c r="O183" s="34">
        <f>IFERROR(SUMIF(Table423[,],Table625[[#This Row],[Accounts Name]],Table423[,3]),"")</f>
        <v>0</v>
      </c>
      <c r="P183" s="34">
        <f>IFERROR(SUMIF(Table423[,],Table625[[#This Row],[Accounts Name]],Table423[,2]),"")</f>
        <v>0</v>
      </c>
      <c r="S183" s="36">
        <f t="shared" si="2"/>
        <v>176</v>
      </c>
      <c r="T183" s="34"/>
      <c r="U183" s="37"/>
      <c r="V183" s="34">
        <f>IFERROR(SUMIF(Table625[Sub-Accounts],Table826[[#This Row],[Update your chart of accounts here]],Table625[Debit]),"")</f>
        <v>0</v>
      </c>
      <c r="W183" s="34">
        <f>IFERROR(SUMIF(Table625[Sub-Accounts],Table826[[#This Row],[Update your chart of accounts here]],Table625[Credit]),"")</f>
        <v>0</v>
      </c>
      <c r="X183" s="34"/>
      <c r="Y183" s="34"/>
      <c r="Z183" s="34"/>
      <c r="AA183" s="34"/>
      <c r="AB183" s="34">
        <f>MAX(Table826[[#This Row],[Debit]]+Table826[[#This Row],[Debit -]]-Table826[[#This Row],[Credit]]-Table826[[#This Row],[Credit +]],0)</f>
        <v>0</v>
      </c>
      <c r="AC183" s="34">
        <f>MAX(Table826[[#This Row],[Credit]]-Table826[[#This Row],[Debit]]+Table826[[#This Row],[Credit +]]-Table826[[#This Row],[Debit -]],0)</f>
        <v>0</v>
      </c>
      <c r="AD183" s="34" t="str">
        <f>IFERROR(IF(AND(OR(Table826[[#This Row],[Classification]]="Expense",Table826[[#This Row],[Classification]]="Cost of Goods Sold"),Table826[[#This Row],[Debit\]]&gt;Table826[[#This Row],[Credit.]]),Table826[[#This Row],[Debit\]]-Table826[[#This Row],[Credit.]],""),"")</f>
        <v/>
      </c>
      <c r="AE183" s="34" t="str">
        <f>IFERROR(IF(AND(OR(Table826[[#This Row],[Classification]]="Income",Table826[[#This Row],[Classification]]="Cost of Goods Sold"),Table826[[#This Row],[Credit.]]&gt;Table826[[#This Row],[Debit\]]),Table826[[#This Row],[Credit.]]-Table826[[#This Row],[Debit\]],""),"")</f>
        <v/>
      </c>
      <c r="AF183" s="34"/>
      <c r="AG183" s="34" t="str">
        <f>IFERROR(IF(AND(Table826[[#This Row],[Classification]]="Assets",Table826[[#This Row],[Debit\]]-Table826[[#This Row],[Credit.]]),Table826[[#This Row],[Debit\]]-Table826[[#This Row],[Credit.]],""),"")</f>
        <v/>
      </c>
      <c r="AH183" s="34" t="str">
        <f>IFERROR(IF(AND(OR(Table826[[#This Row],[Classification]]="Liabilities",Table826[[#This Row],[Classification]]="Owner´s Equity"),Table826[[#This Row],[Credit.]]&gt;Table826[[#This Row],[Debit\]]),Table826[[#This Row],[Credit.]]-Table826[[#This Row],[Debit\]],""),"")</f>
        <v/>
      </c>
    </row>
    <row r="184" spans="2:34" hidden="1" x14ac:dyDescent="0.25">
      <c r="B184" s="34"/>
      <c r="C184" s="45"/>
      <c r="D184" s="34"/>
      <c r="E184" s="34"/>
      <c r="G184" s="39"/>
      <c r="H184" s="40"/>
      <c r="I184" s="41"/>
      <c r="J184" s="41"/>
      <c r="L184" s="34">
        <v>177</v>
      </c>
      <c r="M184" s="35"/>
      <c r="N184" s="35"/>
      <c r="O184" s="34">
        <f>IFERROR(SUMIF(Table423[,],Table625[[#This Row],[Accounts Name]],Table423[,3]),"")</f>
        <v>0</v>
      </c>
      <c r="P184" s="34">
        <f>IFERROR(SUMIF(Table423[,],Table625[[#This Row],[Accounts Name]],Table423[,2]),"")</f>
        <v>0</v>
      </c>
      <c r="S184" s="36">
        <f t="shared" si="2"/>
        <v>177</v>
      </c>
      <c r="T184" s="34"/>
      <c r="U184" s="37"/>
      <c r="V184" s="34">
        <f>IFERROR(SUMIF(Table625[Sub-Accounts],Table826[[#This Row],[Update your chart of accounts here]],Table625[Debit]),"")</f>
        <v>0</v>
      </c>
      <c r="W184" s="34">
        <f>IFERROR(SUMIF(Table625[Sub-Accounts],Table826[[#This Row],[Update your chart of accounts here]],Table625[Credit]),"")</f>
        <v>0</v>
      </c>
      <c r="X184" s="34"/>
      <c r="Y184" s="34"/>
      <c r="Z184" s="34"/>
      <c r="AA184" s="34"/>
      <c r="AB184" s="34">
        <f>MAX(Table826[[#This Row],[Debit]]+Table826[[#This Row],[Debit -]]-Table826[[#This Row],[Credit]]-Table826[[#This Row],[Credit +]],0)</f>
        <v>0</v>
      </c>
      <c r="AC184" s="34">
        <f>MAX(Table826[[#This Row],[Credit]]-Table826[[#This Row],[Debit]]+Table826[[#This Row],[Credit +]]-Table826[[#This Row],[Debit -]],0)</f>
        <v>0</v>
      </c>
      <c r="AD184" s="34" t="str">
        <f>IFERROR(IF(AND(OR(Table826[[#This Row],[Classification]]="Expense",Table826[[#This Row],[Classification]]="Cost of Goods Sold"),Table826[[#This Row],[Debit\]]&gt;Table826[[#This Row],[Credit.]]),Table826[[#This Row],[Debit\]]-Table826[[#This Row],[Credit.]],""),"")</f>
        <v/>
      </c>
      <c r="AE184" s="34" t="str">
        <f>IFERROR(IF(AND(OR(Table826[[#This Row],[Classification]]="Income",Table826[[#This Row],[Classification]]="Cost of Goods Sold"),Table826[[#This Row],[Credit.]]&gt;Table826[[#This Row],[Debit\]]),Table826[[#This Row],[Credit.]]-Table826[[#This Row],[Debit\]],""),"")</f>
        <v/>
      </c>
      <c r="AF184" s="34"/>
      <c r="AG184" s="34" t="str">
        <f>IFERROR(IF(AND(Table826[[#This Row],[Classification]]="Assets",Table826[[#This Row],[Debit\]]-Table826[[#This Row],[Credit.]]),Table826[[#This Row],[Debit\]]-Table826[[#This Row],[Credit.]],""),"")</f>
        <v/>
      </c>
      <c r="AH184" s="34" t="str">
        <f>IFERROR(IF(AND(OR(Table826[[#This Row],[Classification]]="Liabilities",Table826[[#This Row],[Classification]]="Owner´s Equity"),Table826[[#This Row],[Credit.]]&gt;Table826[[#This Row],[Debit\]]),Table826[[#This Row],[Credit.]]-Table826[[#This Row],[Debit\]],""),"")</f>
        <v/>
      </c>
    </row>
    <row r="185" spans="2:34" hidden="1" x14ac:dyDescent="0.25">
      <c r="B185" s="34"/>
      <c r="C185" s="45"/>
      <c r="D185" s="34"/>
      <c r="E185" s="34"/>
      <c r="G185" s="39"/>
      <c r="H185" s="43"/>
      <c r="I185" s="41"/>
      <c r="J185" s="41"/>
      <c r="L185" s="34">
        <v>178</v>
      </c>
      <c r="M185" s="35"/>
      <c r="N185" s="35"/>
      <c r="O185" s="34">
        <f>IFERROR(SUMIF(Table423[,],Table625[[#This Row],[Accounts Name]],Table423[,3]),"")</f>
        <v>0</v>
      </c>
      <c r="P185" s="34">
        <f>IFERROR(SUMIF(Table423[,],Table625[[#This Row],[Accounts Name]],Table423[,2]),"")</f>
        <v>0</v>
      </c>
      <c r="S185" s="36">
        <f t="shared" si="2"/>
        <v>178</v>
      </c>
      <c r="T185" s="34"/>
      <c r="U185" s="37"/>
      <c r="V185" s="34">
        <f>IFERROR(SUMIF(Table625[Sub-Accounts],Table826[[#This Row],[Update your chart of accounts here]],Table625[Debit]),"")</f>
        <v>0</v>
      </c>
      <c r="W185" s="34">
        <f>IFERROR(SUMIF(Table625[Sub-Accounts],Table826[[#This Row],[Update your chart of accounts here]],Table625[Credit]),"")</f>
        <v>0</v>
      </c>
      <c r="X185" s="34"/>
      <c r="Y185" s="34"/>
      <c r="Z185" s="34"/>
      <c r="AA185" s="34"/>
      <c r="AB185" s="34">
        <f>MAX(Table826[[#This Row],[Debit]]+Table826[[#This Row],[Debit -]]-Table826[[#This Row],[Credit]]-Table826[[#This Row],[Credit +]],0)</f>
        <v>0</v>
      </c>
      <c r="AC185" s="34">
        <f>MAX(Table826[[#This Row],[Credit]]-Table826[[#This Row],[Debit]]+Table826[[#This Row],[Credit +]]-Table826[[#This Row],[Debit -]],0)</f>
        <v>0</v>
      </c>
      <c r="AD185" s="34" t="str">
        <f>IFERROR(IF(AND(OR(Table826[[#This Row],[Classification]]="Expense",Table826[[#This Row],[Classification]]="Cost of Goods Sold"),Table826[[#This Row],[Debit\]]&gt;Table826[[#This Row],[Credit.]]),Table826[[#This Row],[Debit\]]-Table826[[#This Row],[Credit.]],""),"")</f>
        <v/>
      </c>
      <c r="AE185" s="34" t="str">
        <f>IFERROR(IF(AND(OR(Table826[[#This Row],[Classification]]="Income",Table826[[#This Row],[Classification]]="Cost of Goods Sold"),Table826[[#This Row],[Credit.]]&gt;Table826[[#This Row],[Debit\]]),Table826[[#This Row],[Credit.]]-Table826[[#This Row],[Debit\]],""),"")</f>
        <v/>
      </c>
      <c r="AF185" s="34"/>
      <c r="AG185" s="34" t="str">
        <f>IFERROR(IF(AND(Table826[[#This Row],[Classification]]="Assets",Table826[[#This Row],[Debit\]]-Table826[[#This Row],[Credit.]]),Table826[[#This Row],[Debit\]]-Table826[[#This Row],[Credit.]],""),"")</f>
        <v/>
      </c>
      <c r="AH185" s="34" t="str">
        <f>IFERROR(IF(AND(OR(Table826[[#This Row],[Classification]]="Liabilities",Table826[[#This Row],[Classification]]="Owner´s Equity"),Table826[[#This Row],[Credit.]]&gt;Table826[[#This Row],[Debit\]]),Table826[[#This Row],[Credit.]]-Table826[[#This Row],[Debit\]],""),"")</f>
        <v/>
      </c>
    </row>
    <row r="186" spans="2:34" hidden="1" x14ac:dyDescent="0.25">
      <c r="B186" s="34"/>
      <c r="C186" s="45"/>
      <c r="D186" s="34"/>
      <c r="E186" s="34"/>
      <c r="G186" s="39"/>
      <c r="H186" s="40"/>
      <c r="I186" s="41"/>
      <c r="J186" s="41"/>
      <c r="L186" s="34">
        <v>179</v>
      </c>
      <c r="M186" s="35"/>
      <c r="N186" s="35"/>
      <c r="O186" s="34">
        <f>IFERROR(SUMIF(Table423[,],Table625[[#This Row],[Accounts Name]],Table423[,3]),"")</f>
        <v>0</v>
      </c>
      <c r="P186" s="34">
        <f>IFERROR(SUMIF(Table423[,],Table625[[#This Row],[Accounts Name]],Table423[,2]),"")</f>
        <v>0</v>
      </c>
      <c r="S186" s="36">
        <f t="shared" si="2"/>
        <v>179</v>
      </c>
      <c r="T186" s="34"/>
      <c r="U186" s="37"/>
      <c r="V186" s="34">
        <f>IFERROR(SUMIF(Table625[Sub-Accounts],Table826[[#This Row],[Update your chart of accounts here]],Table625[Debit]),"")</f>
        <v>0</v>
      </c>
      <c r="W186" s="34">
        <f>IFERROR(SUMIF(Table625[Sub-Accounts],Table826[[#This Row],[Update your chart of accounts here]],Table625[Credit]),"")</f>
        <v>0</v>
      </c>
      <c r="X186" s="34"/>
      <c r="Y186" s="34"/>
      <c r="Z186" s="34"/>
      <c r="AA186" s="34"/>
      <c r="AB186" s="34">
        <f>MAX(Table826[[#This Row],[Debit]]+Table826[[#This Row],[Debit -]]-Table826[[#This Row],[Credit]]-Table826[[#This Row],[Credit +]],0)</f>
        <v>0</v>
      </c>
      <c r="AC186" s="34">
        <f>MAX(Table826[[#This Row],[Credit]]-Table826[[#This Row],[Debit]]+Table826[[#This Row],[Credit +]]-Table826[[#This Row],[Debit -]],0)</f>
        <v>0</v>
      </c>
      <c r="AD186" s="34" t="str">
        <f>IFERROR(IF(AND(OR(Table826[[#This Row],[Classification]]="Expense",Table826[[#This Row],[Classification]]="Cost of Goods Sold"),Table826[[#This Row],[Debit\]]&gt;Table826[[#This Row],[Credit.]]),Table826[[#This Row],[Debit\]]-Table826[[#This Row],[Credit.]],""),"")</f>
        <v/>
      </c>
      <c r="AE186" s="34" t="str">
        <f>IFERROR(IF(AND(OR(Table826[[#This Row],[Classification]]="Income",Table826[[#This Row],[Classification]]="Cost of Goods Sold"),Table826[[#This Row],[Credit.]]&gt;Table826[[#This Row],[Debit\]]),Table826[[#This Row],[Credit.]]-Table826[[#This Row],[Debit\]],""),"")</f>
        <v/>
      </c>
      <c r="AF186" s="34"/>
      <c r="AG186" s="34" t="str">
        <f>IFERROR(IF(AND(Table826[[#This Row],[Classification]]="Assets",Table826[[#This Row],[Debit\]]-Table826[[#This Row],[Credit.]]),Table826[[#This Row],[Debit\]]-Table826[[#This Row],[Credit.]],""),"")</f>
        <v/>
      </c>
      <c r="AH186" s="34" t="str">
        <f>IFERROR(IF(AND(OR(Table826[[#This Row],[Classification]]="Liabilities",Table826[[#This Row],[Classification]]="Owner´s Equity"),Table826[[#This Row],[Credit.]]&gt;Table826[[#This Row],[Debit\]]),Table826[[#This Row],[Credit.]]-Table826[[#This Row],[Debit\]],""),"")</f>
        <v/>
      </c>
    </row>
    <row r="187" spans="2:34" hidden="1" x14ac:dyDescent="0.25">
      <c r="B187" s="34"/>
      <c r="C187" s="45"/>
      <c r="D187" s="34"/>
      <c r="E187" s="34"/>
      <c r="G187" s="39"/>
      <c r="H187" s="40"/>
      <c r="I187" s="41"/>
      <c r="J187" s="41"/>
      <c r="L187" s="34">
        <v>180</v>
      </c>
      <c r="M187" s="35"/>
      <c r="N187" s="35"/>
      <c r="O187" s="34">
        <f>IFERROR(SUMIF(Table423[,],Table625[[#This Row],[Accounts Name]],Table423[,3]),"")</f>
        <v>0</v>
      </c>
      <c r="P187" s="34">
        <f>IFERROR(SUMIF(Table423[,],Table625[[#This Row],[Accounts Name]],Table423[,2]),"")</f>
        <v>0</v>
      </c>
      <c r="S187" s="36">
        <f t="shared" si="2"/>
        <v>180</v>
      </c>
      <c r="T187" s="34"/>
      <c r="U187" s="37"/>
      <c r="V187" s="34">
        <f>IFERROR(SUMIF(Table625[Sub-Accounts],Table826[[#This Row],[Update your chart of accounts here]],Table625[Debit]),"")</f>
        <v>0</v>
      </c>
      <c r="W187" s="34">
        <f>IFERROR(SUMIF(Table625[Sub-Accounts],Table826[[#This Row],[Update your chart of accounts here]],Table625[Credit]),"")</f>
        <v>0</v>
      </c>
      <c r="X187" s="34"/>
      <c r="Y187" s="34"/>
      <c r="Z187" s="34"/>
      <c r="AA187" s="34"/>
      <c r="AB187" s="34">
        <f>MAX(Table826[[#This Row],[Debit]]+Table826[[#This Row],[Debit -]]-Table826[[#This Row],[Credit]]-Table826[[#This Row],[Credit +]],0)</f>
        <v>0</v>
      </c>
      <c r="AC187" s="34">
        <f>MAX(Table826[[#This Row],[Credit]]-Table826[[#This Row],[Debit]]+Table826[[#This Row],[Credit +]]-Table826[[#This Row],[Debit -]],0)</f>
        <v>0</v>
      </c>
      <c r="AD187" s="34" t="str">
        <f>IFERROR(IF(AND(OR(Table826[[#This Row],[Classification]]="Expense",Table826[[#This Row],[Classification]]="Cost of Goods Sold"),Table826[[#This Row],[Debit\]]&gt;Table826[[#This Row],[Credit.]]),Table826[[#This Row],[Debit\]]-Table826[[#This Row],[Credit.]],""),"")</f>
        <v/>
      </c>
      <c r="AE187" s="34" t="str">
        <f>IFERROR(IF(AND(OR(Table826[[#This Row],[Classification]]="Income",Table826[[#This Row],[Classification]]="Cost of Goods Sold"),Table826[[#This Row],[Credit.]]&gt;Table826[[#This Row],[Debit\]]),Table826[[#This Row],[Credit.]]-Table826[[#This Row],[Debit\]],""),"")</f>
        <v/>
      </c>
      <c r="AF187" s="34"/>
      <c r="AG187" s="34" t="str">
        <f>IFERROR(IF(AND(Table826[[#This Row],[Classification]]="Assets",Table826[[#This Row],[Debit\]]-Table826[[#This Row],[Credit.]]),Table826[[#This Row],[Debit\]]-Table826[[#This Row],[Credit.]],""),"")</f>
        <v/>
      </c>
      <c r="AH187" s="34" t="str">
        <f>IFERROR(IF(AND(OR(Table826[[#This Row],[Classification]]="Liabilities",Table826[[#This Row],[Classification]]="Owner´s Equity"),Table826[[#This Row],[Credit.]]&gt;Table826[[#This Row],[Debit\]]),Table826[[#This Row],[Credit.]]-Table826[[#This Row],[Debit\]],""),"")</f>
        <v/>
      </c>
    </row>
    <row r="188" spans="2:34" hidden="1" x14ac:dyDescent="0.25">
      <c r="B188" s="34"/>
      <c r="C188" s="45"/>
      <c r="D188" s="34"/>
      <c r="E188" s="34"/>
      <c r="G188" s="39"/>
      <c r="H188" s="43"/>
      <c r="I188" s="41"/>
      <c r="J188" s="41"/>
      <c r="L188" s="34">
        <v>181</v>
      </c>
      <c r="M188" s="35"/>
      <c r="N188" s="35"/>
      <c r="O188" s="34">
        <f>IFERROR(SUMIF(Table423[,],Table625[[#This Row],[Accounts Name]],Table423[,3]),"")</f>
        <v>0</v>
      </c>
      <c r="P188" s="34">
        <f>IFERROR(SUMIF(Table423[,],Table625[[#This Row],[Accounts Name]],Table423[,2]),"")</f>
        <v>0</v>
      </c>
      <c r="S188" s="36">
        <f t="shared" si="2"/>
        <v>181</v>
      </c>
      <c r="T188" s="34"/>
      <c r="U188" s="37"/>
      <c r="V188" s="34">
        <f>IFERROR(SUMIF(Table625[Sub-Accounts],Table826[[#This Row],[Update your chart of accounts here]],Table625[Debit]),"")</f>
        <v>0</v>
      </c>
      <c r="W188" s="34">
        <f>IFERROR(SUMIF(Table625[Sub-Accounts],Table826[[#This Row],[Update your chart of accounts here]],Table625[Credit]),"")</f>
        <v>0</v>
      </c>
      <c r="X188" s="34"/>
      <c r="Y188" s="34"/>
      <c r="Z188" s="34"/>
      <c r="AA188" s="34"/>
      <c r="AB188" s="34">
        <f>MAX(Table826[[#This Row],[Debit]]+Table826[[#This Row],[Debit -]]-Table826[[#This Row],[Credit]]-Table826[[#This Row],[Credit +]],0)</f>
        <v>0</v>
      </c>
      <c r="AC188" s="34">
        <f>MAX(Table826[[#This Row],[Credit]]-Table826[[#This Row],[Debit]]+Table826[[#This Row],[Credit +]]-Table826[[#This Row],[Debit -]],0)</f>
        <v>0</v>
      </c>
      <c r="AD188" s="34" t="str">
        <f>IFERROR(IF(AND(OR(Table826[[#This Row],[Classification]]="Expense",Table826[[#This Row],[Classification]]="Cost of Goods Sold"),Table826[[#This Row],[Debit\]]&gt;Table826[[#This Row],[Credit.]]),Table826[[#This Row],[Debit\]]-Table826[[#This Row],[Credit.]],""),"")</f>
        <v/>
      </c>
      <c r="AE188" s="34" t="str">
        <f>IFERROR(IF(AND(OR(Table826[[#This Row],[Classification]]="Income",Table826[[#This Row],[Classification]]="Cost of Goods Sold"),Table826[[#This Row],[Credit.]]&gt;Table826[[#This Row],[Debit\]]),Table826[[#This Row],[Credit.]]-Table826[[#This Row],[Debit\]],""),"")</f>
        <v/>
      </c>
      <c r="AF188" s="34"/>
      <c r="AG188" s="34" t="str">
        <f>IFERROR(IF(AND(Table826[[#This Row],[Classification]]="Assets",Table826[[#This Row],[Debit\]]-Table826[[#This Row],[Credit.]]),Table826[[#This Row],[Debit\]]-Table826[[#This Row],[Credit.]],""),"")</f>
        <v/>
      </c>
      <c r="AH188" s="34" t="str">
        <f>IFERROR(IF(AND(OR(Table826[[#This Row],[Classification]]="Liabilities",Table826[[#This Row],[Classification]]="Owner´s Equity"),Table826[[#This Row],[Credit.]]&gt;Table826[[#This Row],[Debit\]]),Table826[[#This Row],[Credit.]]-Table826[[#This Row],[Debit\]],""),"")</f>
        <v/>
      </c>
    </row>
    <row r="189" spans="2:34" hidden="1" x14ac:dyDescent="0.25">
      <c r="B189" s="34"/>
      <c r="C189" s="45"/>
      <c r="D189" s="34"/>
      <c r="E189" s="34"/>
      <c r="G189" s="39"/>
      <c r="H189" s="40"/>
      <c r="I189" s="41"/>
      <c r="J189" s="41"/>
      <c r="L189" s="34">
        <v>182</v>
      </c>
      <c r="M189" s="35"/>
      <c r="N189" s="35"/>
      <c r="O189" s="34">
        <f>IFERROR(SUMIF(Table423[,],Table625[[#This Row],[Accounts Name]],Table423[,3]),"")</f>
        <v>0</v>
      </c>
      <c r="P189" s="34">
        <f>IFERROR(SUMIF(Table423[,],Table625[[#This Row],[Accounts Name]],Table423[,2]),"")</f>
        <v>0</v>
      </c>
      <c r="S189" s="36">
        <f t="shared" si="2"/>
        <v>182</v>
      </c>
      <c r="T189" s="34"/>
      <c r="U189" s="37"/>
      <c r="V189" s="34">
        <f>IFERROR(SUMIF(Table625[Sub-Accounts],Table826[[#This Row],[Update your chart of accounts here]],Table625[Debit]),"")</f>
        <v>0</v>
      </c>
      <c r="W189" s="34">
        <f>IFERROR(SUMIF(Table625[Sub-Accounts],Table826[[#This Row],[Update your chart of accounts here]],Table625[Credit]),"")</f>
        <v>0</v>
      </c>
      <c r="X189" s="34"/>
      <c r="Y189" s="34"/>
      <c r="Z189" s="34"/>
      <c r="AA189" s="34"/>
      <c r="AB189" s="34">
        <f>MAX(Table826[[#This Row],[Debit]]+Table826[[#This Row],[Debit -]]-Table826[[#This Row],[Credit]]-Table826[[#This Row],[Credit +]],0)</f>
        <v>0</v>
      </c>
      <c r="AC189" s="34">
        <f>MAX(Table826[[#This Row],[Credit]]-Table826[[#This Row],[Debit]]+Table826[[#This Row],[Credit +]]-Table826[[#This Row],[Debit -]],0)</f>
        <v>0</v>
      </c>
      <c r="AD189" s="34" t="str">
        <f>IFERROR(IF(AND(OR(Table826[[#This Row],[Classification]]="Expense",Table826[[#This Row],[Classification]]="Cost of Goods Sold"),Table826[[#This Row],[Debit\]]&gt;Table826[[#This Row],[Credit.]]),Table826[[#This Row],[Debit\]]-Table826[[#This Row],[Credit.]],""),"")</f>
        <v/>
      </c>
      <c r="AE189" s="34" t="str">
        <f>IFERROR(IF(AND(OR(Table826[[#This Row],[Classification]]="Income",Table826[[#This Row],[Classification]]="Cost of Goods Sold"),Table826[[#This Row],[Credit.]]&gt;Table826[[#This Row],[Debit\]]),Table826[[#This Row],[Credit.]]-Table826[[#This Row],[Debit\]],""),"")</f>
        <v/>
      </c>
      <c r="AF189" s="34"/>
      <c r="AG189" s="34" t="str">
        <f>IFERROR(IF(AND(Table826[[#This Row],[Classification]]="Assets",Table826[[#This Row],[Debit\]]-Table826[[#This Row],[Credit.]]),Table826[[#This Row],[Debit\]]-Table826[[#This Row],[Credit.]],""),"")</f>
        <v/>
      </c>
      <c r="AH189" s="34" t="str">
        <f>IFERROR(IF(AND(OR(Table826[[#This Row],[Classification]]="Liabilities",Table826[[#This Row],[Classification]]="Owner´s Equity"),Table826[[#This Row],[Credit.]]&gt;Table826[[#This Row],[Debit\]]),Table826[[#This Row],[Credit.]]-Table826[[#This Row],[Debit\]],""),"")</f>
        <v/>
      </c>
    </row>
    <row r="190" spans="2:34" hidden="1" x14ac:dyDescent="0.25">
      <c r="B190" s="34"/>
      <c r="C190" s="45"/>
      <c r="D190" s="34"/>
      <c r="E190" s="34"/>
      <c r="G190" s="39"/>
      <c r="H190" s="40"/>
      <c r="I190" s="41"/>
      <c r="J190" s="41"/>
      <c r="L190" s="34">
        <v>183</v>
      </c>
      <c r="M190" s="35"/>
      <c r="N190" s="35"/>
      <c r="O190" s="34">
        <f>IFERROR(SUMIF(Table423[,],Table625[[#This Row],[Accounts Name]],Table423[,3]),"")</f>
        <v>0</v>
      </c>
      <c r="P190" s="34">
        <f>IFERROR(SUMIF(Table423[,],Table625[[#This Row],[Accounts Name]],Table423[,2]),"")</f>
        <v>0</v>
      </c>
      <c r="S190" s="36">
        <f t="shared" si="2"/>
        <v>183</v>
      </c>
      <c r="T190" s="34"/>
      <c r="U190" s="37"/>
      <c r="V190" s="34">
        <f>IFERROR(SUMIF(Table625[Sub-Accounts],Table826[[#This Row],[Update your chart of accounts here]],Table625[Debit]),"")</f>
        <v>0</v>
      </c>
      <c r="W190" s="34">
        <f>IFERROR(SUMIF(Table625[Sub-Accounts],Table826[[#This Row],[Update your chart of accounts here]],Table625[Credit]),"")</f>
        <v>0</v>
      </c>
      <c r="X190" s="34"/>
      <c r="Y190" s="34"/>
      <c r="Z190" s="34"/>
      <c r="AA190" s="34"/>
      <c r="AB190" s="34">
        <f>MAX(Table826[[#This Row],[Debit]]+Table826[[#This Row],[Debit -]]-Table826[[#This Row],[Credit]]-Table826[[#This Row],[Credit +]],0)</f>
        <v>0</v>
      </c>
      <c r="AC190" s="34">
        <f>MAX(Table826[[#This Row],[Credit]]-Table826[[#This Row],[Debit]]+Table826[[#This Row],[Credit +]]-Table826[[#This Row],[Debit -]],0)</f>
        <v>0</v>
      </c>
      <c r="AD190" s="34" t="str">
        <f>IFERROR(IF(AND(OR(Table826[[#This Row],[Classification]]="Expense",Table826[[#This Row],[Classification]]="Cost of Goods Sold"),Table826[[#This Row],[Debit\]]&gt;Table826[[#This Row],[Credit.]]),Table826[[#This Row],[Debit\]]-Table826[[#This Row],[Credit.]],""),"")</f>
        <v/>
      </c>
      <c r="AE190" s="34" t="str">
        <f>IFERROR(IF(AND(OR(Table826[[#This Row],[Classification]]="Income",Table826[[#This Row],[Classification]]="Cost of Goods Sold"),Table826[[#This Row],[Credit.]]&gt;Table826[[#This Row],[Debit\]]),Table826[[#This Row],[Credit.]]-Table826[[#This Row],[Debit\]],""),"")</f>
        <v/>
      </c>
      <c r="AF190" s="34"/>
      <c r="AG190" s="34" t="str">
        <f>IFERROR(IF(AND(Table826[[#This Row],[Classification]]="Assets",Table826[[#This Row],[Debit\]]-Table826[[#This Row],[Credit.]]),Table826[[#This Row],[Debit\]]-Table826[[#This Row],[Credit.]],""),"")</f>
        <v/>
      </c>
      <c r="AH190" s="34" t="str">
        <f>IFERROR(IF(AND(OR(Table826[[#This Row],[Classification]]="Liabilities",Table826[[#This Row],[Classification]]="Owner´s Equity"),Table826[[#This Row],[Credit.]]&gt;Table826[[#This Row],[Debit\]]),Table826[[#This Row],[Credit.]]-Table826[[#This Row],[Debit\]],""),"")</f>
        <v/>
      </c>
    </row>
    <row r="191" spans="2:34" hidden="1" x14ac:dyDescent="0.25">
      <c r="B191" s="34"/>
      <c r="C191" s="45"/>
      <c r="D191" s="34"/>
      <c r="E191" s="34"/>
      <c r="G191" s="39"/>
      <c r="H191" s="43"/>
      <c r="I191" s="41"/>
      <c r="J191" s="41"/>
      <c r="L191" s="34">
        <v>184</v>
      </c>
      <c r="M191" s="35"/>
      <c r="N191" s="35"/>
      <c r="O191" s="34">
        <f>IFERROR(SUMIF(Table423[,],Table625[[#This Row],[Accounts Name]],Table423[,3]),"")</f>
        <v>0</v>
      </c>
      <c r="P191" s="34">
        <f>IFERROR(SUMIF(Table423[,],Table625[[#This Row],[Accounts Name]],Table423[,2]),"")</f>
        <v>0</v>
      </c>
      <c r="S191" s="36">
        <f t="shared" si="2"/>
        <v>184</v>
      </c>
      <c r="T191" s="34"/>
      <c r="U191" s="37"/>
      <c r="V191" s="34">
        <f>IFERROR(SUMIF(Table625[Sub-Accounts],Table826[[#This Row],[Update your chart of accounts here]],Table625[Debit]),"")</f>
        <v>0</v>
      </c>
      <c r="W191" s="34">
        <f>IFERROR(SUMIF(Table625[Sub-Accounts],Table826[[#This Row],[Update your chart of accounts here]],Table625[Credit]),"")</f>
        <v>0</v>
      </c>
      <c r="X191" s="34"/>
      <c r="Y191" s="34"/>
      <c r="Z191" s="34"/>
      <c r="AA191" s="34"/>
      <c r="AB191" s="34">
        <f>MAX(Table826[[#This Row],[Debit]]+Table826[[#This Row],[Debit -]]-Table826[[#This Row],[Credit]]-Table826[[#This Row],[Credit +]],0)</f>
        <v>0</v>
      </c>
      <c r="AC191" s="34">
        <f>MAX(Table826[[#This Row],[Credit]]-Table826[[#This Row],[Debit]]+Table826[[#This Row],[Credit +]]-Table826[[#This Row],[Debit -]],0)</f>
        <v>0</v>
      </c>
      <c r="AD191" s="34" t="str">
        <f>IFERROR(IF(AND(OR(Table826[[#This Row],[Classification]]="Expense",Table826[[#This Row],[Classification]]="Cost of Goods Sold"),Table826[[#This Row],[Debit\]]&gt;Table826[[#This Row],[Credit.]]),Table826[[#This Row],[Debit\]]-Table826[[#This Row],[Credit.]],""),"")</f>
        <v/>
      </c>
      <c r="AE191" s="34" t="str">
        <f>IFERROR(IF(AND(OR(Table826[[#This Row],[Classification]]="Income",Table826[[#This Row],[Classification]]="Cost of Goods Sold"),Table826[[#This Row],[Credit.]]&gt;Table826[[#This Row],[Debit\]]),Table826[[#This Row],[Credit.]]-Table826[[#This Row],[Debit\]],""),"")</f>
        <v/>
      </c>
      <c r="AF191" s="34"/>
      <c r="AG191" s="34" t="str">
        <f>IFERROR(IF(AND(Table826[[#This Row],[Classification]]="Assets",Table826[[#This Row],[Debit\]]-Table826[[#This Row],[Credit.]]),Table826[[#This Row],[Debit\]]-Table826[[#This Row],[Credit.]],""),"")</f>
        <v/>
      </c>
      <c r="AH191" s="34" t="str">
        <f>IFERROR(IF(AND(OR(Table826[[#This Row],[Classification]]="Liabilities",Table826[[#This Row],[Classification]]="Owner´s Equity"),Table826[[#This Row],[Credit.]]&gt;Table826[[#This Row],[Debit\]]),Table826[[#This Row],[Credit.]]-Table826[[#This Row],[Debit\]],""),"")</f>
        <v/>
      </c>
    </row>
    <row r="192" spans="2:34" hidden="1" x14ac:dyDescent="0.25">
      <c r="B192" s="34"/>
      <c r="C192" s="45"/>
      <c r="D192" s="34"/>
      <c r="E192" s="34"/>
      <c r="G192" s="39"/>
      <c r="H192" s="40"/>
      <c r="I192" s="41"/>
      <c r="J192" s="41"/>
      <c r="L192" s="34">
        <v>185</v>
      </c>
      <c r="M192" s="35"/>
      <c r="N192" s="35"/>
      <c r="O192" s="34">
        <f>IFERROR(SUMIF(Table423[,],Table625[[#This Row],[Accounts Name]],Table423[,3]),"")</f>
        <v>0</v>
      </c>
      <c r="P192" s="34">
        <f>IFERROR(SUMIF(Table423[,],Table625[[#This Row],[Accounts Name]],Table423[,2]),"")</f>
        <v>0</v>
      </c>
      <c r="S192" s="36">
        <f t="shared" si="2"/>
        <v>185</v>
      </c>
      <c r="T192" s="34"/>
      <c r="U192" s="37"/>
      <c r="V192" s="34">
        <f>IFERROR(SUMIF(Table625[Sub-Accounts],Table826[[#This Row],[Update your chart of accounts here]],Table625[Debit]),"")</f>
        <v>0</v>
      </c>
      <c r="W192" s="34">
        <f>IFERROR(SUMIF(Table625[Sub-Accounts],Table826[[#This Row],[Update your chart of accounts here]],Table625[Credit]),"")</f>
        <v>0</v>
      </c>
      <c r="X192" s="34"/>
      <c r="Y192" s="34"/>
      <c r="Z192" s="34"/>
      <c r="AA192" s="34"/>
      <c r="AB192" s="34">
        <f>MAX(Table826[[#This Row],[Debit]]+Table826[[#This Row],[Debit -]]-Table826[[#This Row],[Credit]]-Table826[[#This Row],[Credit +]],0)</f>
        <v>0</v>
      </c>
      <c r="AC192" s="34">
        <f>MAX(Table826[[#This Row],[Credit]]-Table826[[#This Row],[Debit]]+Table826[[#This Row],[Credit +]]-Table826[[#This Row],[Debit -]],0)</f>
        <v>0</v>
      </c>
      <c r="AD192" s="34" t="str">
        <f>IFERROR(IF(AND(OR(Table826[[#This Row],[Classification]]="Expense",Table826[[#This Row],[Classification]]="Cost of Goods Sold"),Table826[[#This Row],[Debit\]]&gt;Table826[[#This Row],[Credit.]]),Table826[[#This Row],[Debit\]]-Table826[[#This Row],[Credit.]],""),"")</f>
        <v/>
      </c>
      <c r="AE192" s="34" t="str">
        <f>IFERROR(IF(AND(OR(Table826[[#This Row],[Classification]]="Income",Table826[[#This Row],[Classification]]="Cost of Goods Sold"),Table826[[#This Row],[Credit.]]&gt;Table826[[#This Row],[Debit\]]),Table826[[#This Row],[Credit.]]-Table826[[#This Row],[Debit\]],""),"")</f>
        <v/>
      </c>
      <c r="AF192" s="34"/>
      <c r="AG192" s="34" t="str">
        <f>IFERROR(IF(AND(Table826[[#This Row],[Classification]]="Assets",Table826[[#This Row],[Debit\]]-Table826[[#This Row],[Credit.]]),Table826[[#This Row],[Debit\]]-Table826[[#This Row],[Credit.]],""),"")</f>
        <v/>
      </c>
      <c r="AH192" s="34" t="str">
        <f>IFERROR(IF(AND(OR(Table826[[#This Row],[Classification]]="Liabilities",Table826[[#This Row],[Classification]]="Owner´s Equity"),Table826[[#This Row],[Credit.]]&gt;Table826[[#This Row],[Debit\]]),Table826[[#This Row],[Credit.]]-Table826[[#This Row],[Debit\]],""),"")</f>
        <v/>
      </c>
    </row>
    <row r="193" spans="2:38" hidden="1" x14ac:dyDescent="0.25">
      <c r="B193" s="34"/>
      <c r="C193" s="45"/>
      <c r="D193" s="34"/>
      <c r="E193" s="34"/>
      <c r="G193" s="39"/>
      <c r="H193" s="40"/>
      <c r="I193" s="41"/>
      <c r="J193" s="41"/>
      <c r="L193" s="34">
        <v>186</v>
      </c>
      <c r="M193" s="35"/>
      <c r="N193" s="35"/>
      <c r="O193" s="34">
        <f>IFERROR(SUMIF(Table423[,],Table625[[#This Row],[Accounts Name]],Table423[,3]),"")</f>
        <v>0</v>
      </c>
      <c r="P193" s="34">
        <f>IFERROR(SUMIF(Table423[,],Table625[[#This Row],[Accounts Name]],Table423[,2]),"")</f>
        <v>0</v>
      </c>
      <c r="S193" s="36">
        <f t="shared" si="2"/>
        <v>186</v>
      </c>
      <c r="T193" s="34"/>
      <c r="U193" s="37"/>
      <c r="V193" s="34">
        <f>IFERROR(SUMIF(Table625[Sub-Accounts],Table826[[#This Row],[Update your chart of accounts here]],Table625[Debit]),"")</f>
        <v>0</v>
      </c>
      <c r="W193" s="34">
        <f>IFERROR(SUMIF(Table625[Sub-Accounts],Table826[[#This Row],[Update your chart of accounts here]],Table625[Credit]),"")</f>
        <v>0</v>
      </c>
      <c r="X193" s="34"/>
      <c r="Y193" s="34"/>
      <c r="Z193" s="34"/>
      <c r="AA193" s="34"/>
      <c r="AB193" s="34">
        <f>MAX(Table826[[#This Row],[Debit]]+Table826[[#This Row],[Debit -]]-Table826[[#This Row],[Credit]]-Table826[[#This Row],[Credit +]],0)</f>
        <v>0</v>
      </c>
      <c r="AC193" s="34">
        <f>MAX(Table826[[#This Row],[Credit]]-Table826[[#This Row],[Debit]]+Table826[[#This Row],[Credit +]]-Table826[[#This Row],[Debit -]],0)</f>
        <v>0</v>
      </c>
      <c r="AD193" s="34" t="str">
        <f>IFERROR(IF(AND(OR(Table826[[#This Row],[Classification]]="Expense",Table826[[#This Row],[Classification]]="Cost of Goods Sold"),Table826[[#This Row],[Debit\]]&gt;Table826[[#This Row],[Credit.]]),Table826[[#This Row],[Debit\]]-Table826[[#This Row],[Credit.]],""),"")</f>
        <v/>
      </c>
      <c r="AE193" s="34" t="str">
        <f>IFERROR(IF(AND(OR(Table826[[#This Row],[Classification]]="Income",Table826[[#This Row],[Classification]]="Cost of Goods Sold"),Table826[[#This Row],[Credit.]]&gt;Table826[[#This Row],[Debit\]]),Table826[[#This Row],[Credit.]]-Table826[[#This Row],[Debit\]],""),"")</f>
        <v/>
      </c>
      <c r="AF193" s="34"/>
      <c r="AG193" s="34" t="str">
        <f>IFERROR(IF(AND(Table826[[#This Row],[Classification]]="Assets",Table826[[#This Row],[Debit\]]-Table826[[#This Row],[Credit.]]),Table826[[#This Row],[Debit\]]-Table826[[#This Row],[Credit.]],""),"")</f>
        <v/>
      </c>
      <c r="AH193" s="34" t="str">
        <f>IFERROR(IF(AND(OR(Table826[[#This Row],[Classification]]="Liabilities",Table826[[#This Row],[Classification]]="Owner´s Equity"),Table826[[#This Row],[Credit.]]&gt;Table826[[#This Row],[Debit\]]),Table826[[#This Row],[Credit.]]-Table826[[#This Row],[Debit\]],""),"")</f>
        <v/>
      </c>
    </row>
    <row r="194" spans="2:38" hidden="1" x14ac:dyDescent="0.25">
      <c r="B194" s="34"/>
      <c r="C194" s="45"/>
      <c r="D194" s="34"/>
      <c r="E194" s="34"/>
      <c r="G194" s="39"/>
      <c r="H194" s="43"/>
      <c r="I194" s="41"/>
      <c r="J194" s="41"/>
      <c r="L194" s="34">
        <v>187</v>
      </c>
      <c r="M194" s="35"/>
      <c r="N194" s="35"/>
      <c r="O194" s="34">
        <f>IFERROR(SUMIF(Table423[,],Table625[[#This Row],[Accounts Name]],Table423[,3]),"")</f>
        <v>0</v>
      </c>
      <c r="P194" s="34">
        <f>IFERROR(SUMIF(Table423[,],Table625[[#This Row],[Accounts Name]],Table423[,2]),"")</f>
        <v>0</v>
      </c>
      <c r="S194" s="36">
        <f t="shared" si="2"/>
        <v>187</v>
      </c>
      <c r="T194" s="34"/>
      <c r="U194" s="37"/>
      <c r="V194" s="34">
        <f>IFERROR(SUMIF(Table625[Sub-Accounts],Table826[[#This Row],[Update your chart of accounts here]],Table625[Debit]),"")</f>
        <v>0</v>
      </c>
      <c r="W194" s="34">
        <f>IFERROR(SUMIF(Table625[Sub-Accounts],Table826[[#This Row],[Update your chart of accounts here]],Table625[Credit]),"")</f>
        <v>0</v>
      </c>
      <c r="X194" s="34"/>
      <c r="Y194" s="34"/>
      <c r="Z194" s="34"/>
      <c r="AA194" s="34"/>
      <c r="AB194" s="34">
        <f>MAX(Table826[[#This Row],[Debit]]+Table826[[#This Row],[Debit -]]-Table826[[#This Row],[Credit]]-Table826[[#This Row],[Credit +]],0)</f>
        <v>0</v>
      </c>
      <c r="AC194" s="34">
        <f>MAX(Table826[[#This Row],[Credit]]-Table826[[#This Row],[Debit]]+Table826[[#This Row],[Credit +]]-Table826[[#This Row],[Debit -]],0)</f>
        <v>0</v>
      </c>
      <c r="AD194" s="34" t="str">
        <f>IFERROR(IF(AND(OR(Table826[[#This Row],[Classification]]="Expense",Table826[[#This Row],[Classification]]="Cost of Goods Sold"),Table826[[#This Row],[Debit\]]&gt;Table826[[#This Row],[Credit.]]),Table826[[#This Row],[Debit\]]-Table826[[#This Row],[Credit.]],""),"")</f>
        <v/>
      </c>
      <c r="AE194" s="34" t="str">
        <f>IFERROR(IF(AND(OR(Table826[[#This Row],[Classification]]="Income",Table826[[#This Row],[Classification]]="Cost of Goods Sold"),Table826[[#This Row],[Credit.]]&gt;Table826[[#This Row],[Debit\]]),Table826[[#This Row],[Credit.]]-Table826[[#This Row],[Debit\]],""),"")</f>
        <v/>
      </c>
      <c r="AF194" s="34"/>
      <c r="AG194" s="34" t="str">
        <f>IFERROR(IF(AND(Table826[[#This Row],[Classification]]="Assets",Table826[[#This Row],[Debit\]]-Table826[[#This Row],[Credit.]]),Table826[[#This Row],[Debit\]]-Table826[[#This Row],[Credit.]],""),"")</f>
        <v/>
      </c>
      <c r="AH194" s="34" t="str">
        <f>IFERROR(IF(AND(OR(Table826[[#This Row],[Classification]]="Liabilities",Table826[[#This Row],[Classification]]="Owner´s Equity"),Table826[[#This Row],[Credit.]]&gt;Table826[[#This Row],[Debit\]]),Table826[[#This Row],[Credit.]]-Table826[[#This Row],[Debit\]],""),"")</f>
        <v/>
      </c>
    </row>
    <row r="195" spans="2:38" hidden="1" x14ac:dyDescent="0.25">
      <c r="B195" s="34"/>
      <c r="C195" s="45"/>
      <c r="D195" s="34"/>
      <c r="E195" s="34"/>
      <c r="G195" s="39"/>
      <c r="H195" s="40"/>
      <c r="I195" s="41"/>
      <c r="J195" s="41"/>
      <c r="L195" s="34">
        <v>188</v>
      </c>
      <c r="M195" s="35"/>
      <c r="N195" s="35"/>
      <c r="O195" s="34">
        <f>IFERROR(SUMIF(Table423[,],Table625[[#This Row],[Accounts Name]],Table423[,3]),"")</f>
        <v>0</v>
      </c>
      <c r="P195" s="34">
        <f>IFERROR(SUMIF(Table423[,],Table625[[#This Row],[Accounts Name]],Table423[,2]),"")</f>
        <v>0</v>
      </c>
      <c r="S195" s="36">
        <f t="shared" si="2"/>
        <v>188</v>
      </c>
      <c r="T195" s="34"/>
      <c r="U195" s="37"/>
      <c r="V195" s="34">
        <f>IFERROR(SUMIF(Table625[Sub-Accounts],Table826[[#This Row],[Update your chart of accounts here]],Table625[Debit]),"")</f>
        <v>0</v>
      </c>
      <c r="W195" s="34">
        <f>IFERROR(SUMIF(Table625[Sub-Accounts],Table826[[#This Row],[Update your chart of accounts here]],Table625[Credit]),"")</f>
        <v>0</v>
      </c>
      <c r="X195" s="34"/>
      <c r="Y195" s="34"/>
      <c r="Z195" s="34"/>
      <c r="AA195" s="34"/>
      <c r="AB195" s="34">
        <f>MAX(Table826[[#This Row],[Debit]]+Table826[[#This Row],[Debit -]]-Table826[[#This Row],[Credit]]-Table826[[#This Row],[Credit +]],0)</f>
        <v>0</v>
      </c>
      <c r="AC195" s="34">
        <f>MAX(Table826[[#This Row],[Credit]]-Table826[[#This Row],[Debit]]+Table826[[#This Row],[Credit +]]-Table826[[#This Row],[Debit -]],0)</f>
        <v>0</v>
      </c>
      <c r="AD195" s="34" t="str">
        <f>IFERROR(IF(AND(OR(Table826[[#This Row],[Classification]]="Expense",Table826[[#This Row],[Classification]]="Cost of Goods Sold"),Table826[[#This Row],[Debit\]]&gt;Table826[[#This Row],[Credit.]]),Table826[[#This Row],[Debit\]]-Table826[[#This Row],[Credit.]],""),"")</f>
        <v/>
      </c>
      <c r="AE195" s="34" t="str">
        <f>IFERROR(IF(AND(OR(Table826[[#This Row],[Classification]]="Income",Table826[[#This Row],[Classification]]="Cost of Goods Sold"),Table826[[#This Row],[Credit.]]&gt;Table826[[#This Row],[Debit\]]),Table826[[#This Row],[Credit.]]-Table826[[#This Row],[Debit\]],""),"")</f>
        <v/>
      </c>
      <c r="AF195" s="34"/>
      <c r="AG195" s="34" t="str">
        <f>IFERROR(IF(AND(Table826[[#This Row],[Classification]]="Assets",Table826[[#This Row],[Debit\]]-Table826[[#This Row],[Credit.]]),Table826[[#This Row],[Debit\]]-Table826[[#This Row],[Credit.]],""),"")</f>
        <v/>
      </c>
      <c r="AH195" s="34" t="str">
        <f>IFERROR(IF(AND(OR(Table826[[#This Row],[Classification]]="Liabilities",Table826[[#This Row],[Classification]]="Owner´s Equity"),Table826[[#This Row],[Credit.]]&gt;Table826[[#This Row],[Debit\]]),Table826[[#This Row],[Credit.]]-Table826[[#This Row],[Debit\]],""),"")</f>
        <v/>
      </c>
    </row>
    <row r="196" spans="2:38" hidden="1" x14ac:dyDescent="0.25">
      <c r="B196" s="34"/>
      <c r="C196" s="45"/>
      <c r="D196" s="34"/>
      <c r="E196" s="34"/>
      <c r="G196" s="39"/>
      <c r="H196" s="40"/>
      <c r="I196" s="41"/>
      <c r="J196" s="41"/>
      <c r="L196" s="34">
        <v>189</v>
      </c>
      <c r="M196" s="35"/>
      <c r="N196" s="35"/>
      <c r="O196" s="34">
        <f>IFERROR(SUMIF(Table423[,],Table625[[#This Row],[Accounts Name]],Table423[,3]),"")</f>
        <v>0</v>
      </c>
      <c r="P196" s="34">
        <f>IFERROR(SUMIF(Table423[,],Table625[[#This Row],[Accounts Name]],Table423[,2]),"")</f>
        <v>0</v>
      </c>
      <c r="S196" s="36">
        <f t="shared" si="2"/>
        <v>189</v>
      </c>
      <c r="T196" s="34"/>
      <c r="U196" s="37"/>
      <c r="V196" s="34">
        <f>IFERROR(SUMIF(Table625[Sub-Accounts],Table826[[#This Row],[Update your chart of accounts here]],Table625[Debit]),"")</f>
        <v>0</v>
      </c>
      <c r="W196" s="34">
        <f>IFERROR(SUMIF(Table625[Sub-Accounts],Table826[[#This Row],[Update your chart of accounts here]],Table625[Credit]),"")</f>
        <v>0</v>
      </c>
      <c r="X196" s="34"/>
      <c r="Y196" s="34"/>
      <c r="Z196" s="34"/>
      <c r="AA196" s="34"/>
      <c r="AB196" s="34">
        <f>MAX(Table826[[#This Row],[Debit]]+Table826[[#This Row],[Debit -]]-Table826[[#This Row],[Credit]]-Table826[[#This Row],[Credit +]],0)</f>
        <v>0</v>
      </c>
      <c r="AC196" s="34">
        <f>MAX(Table826[[#This Row],[Credit]]-Table826[[#This Row],[Debit]]+Table826[[#This Row],[Credit +]]-Table826[[#This Row],[Debit -]],0)</f>
        <v>0</v>
      </c>
      <c r="AD196" s="34" t="str">
        <f>IFERROR(IF(AND(OR(Table826[[#This Row],[Classification]]="Expense",Table826[[#This Row],[Classification]]="Cost of Goods Sold"),Table826[[#This Row],[Debit\]]&gt;Table826[[#This Row],[Credit.]]),Table826[[#This Row],[Debit\]]-Table826[[#This Row],[Credit.]],""),"")</f>
        <v/>
      </c>
      <c r="AE196" s="34" t="str">
        <f>IFERROR(IF(AND(OR(Table826[[#This Row],[Classification]]="Income",Table826[[#This Row],[Classification]]="Cost of Goods Sold"),Table826[[#This Row],[Credit.]]&gt;Table826[[#This Row],[Debit\]]),Table826[[#This Row],[Credit.]]-Table826[[#This Row],[Debit\]],""),"")</f>
        <v/>
      </c>
      <c r="AF196" s="34"/>
      <c r="AG196" s="34" t="str">
        <f>IFERROR(IF(AND(Table826[[#This Row],[Classification]]="Assets",Table826[[#This Row],[Debit\]]-Table826[[#This Row],[Credit.]]),Table826[[#This Row],[Debit\]]-Table826[[#This Row],[Credit.]],""),"")</f>
        <v/>
      </c>
      <c r="AH196" s="34" t="str">
        <f>IFERROR(IF(AND(OR(Table826[[#This Row],[Classification]]="Liabilities",Table826[[#This Row],[Classification]]="Owner´s Equity"),Table826[[#This Row],[Credit.]]&gt;Table826[[#This Row],[Debit\]]),Table826[[#This Row],[Credit.]]-Table826[[#This Row],[Debit\]],""),"")</f>
        <v/>
      </c>
    </row>
    <row r="197" spans="2:38" hidden="1" x14ac:dyDescent="0.25">
      <c r="B197" s="34"/>
      <c r="C197" s="45"/>
      <c r="D197" s="34"/>
      <c r="E197" s="34"/>
      <c r="G197" s="39"/>
      <c r="H197" s="43"/>
      <c r="I197" s="41"/>
      <c r="J197" s="41"/>
      <c r="L197" s="34">
        <v>190</v>
      </c>
      <c r="M197" s="35"/>
      <c r="N197" s="35"/>
      <c r="O197" s="34">
        <f>IFERROR(SUMIF(Table423[,],Table625[[#This Row],[Accounts Name]],Table423[,3]),"")</f>
        <v>0</v>
      </c>
      <c r="P197" s="34">
        <f>IFERROR(SUMIF(Table423[,],Table625[[#This Row],[Accounts Name]],Table423[,2]),"")</f>
        <v>0</v>
      </c>
      <c r="S197" s="36">
        <f t="shared" si="2"/>
        <v>190</v>
      </c>
      <c r="T197" s="34"/>
      <c r="U197" s="37"/>
      <c r="V197" s="34">
        <f>IFERROR(SUMIF(Table625[Sub-Accounts],Table826[[#This Row],[Update your chart of accounts here]],Table625[Debit]),"")</f>
        <v>0</v>
      </c>
      <c r="W197" s="34">
        <f>IFERROR(SUMIF(Table625[Sub-Accounts],Table826[[#This Row],[Update your chart of accounts here]],Table625[Credit]),"")</f>
        <v>0</v>
      </c>
      <c r="X197" s="34"/>
      <c r="Y197" s="34"/>
      <c r="Z197" s="34"/>
      <c r="AA197" s="34"/>
      <c r="AB197" s="34">
        <f>MAX(Table826[[#This Row],[Debit]]+Table826[[#This Row],[Debit -]]-Table826[[#This Row],[Credit]]-Table826[[#This Row],[Credit +]],0)</f>
        <v>0</v>
      </c>
      <c r="AC197" s="34">
        <f>MAX(Table826[[#This Row],[Credit]]-Table826[[#This Row],[Debit]]+Table826[[#This Row],[Credit +]]-Table826[[#This Row],[Debit -]],0)</f>
        <v>0</v>
      </c>
      <c r="AD197" s="34" t="str">
        <f>IFERROR(IF(AND(OR(Table826[[#This Row],[Classification]]="Expense",Table826[[#This Row],[Classification]]="Cost of Goods Sold"),Table826[[#This Row],[Debit\]]&gt;Table826[[#This Row],[Credit.]]),Table826[[#This Row],[Debit\]]-Table826[[#This Row],[Credit.]],""),"")</f>
        <v/>
      </c>
      <c r="AE197" s="34" t="str">
        <f>IFERROR(IF(AND(OR(Table826[[#This Row],[Classification]]="Income",Table826[[#This Row],[Classification]]="Cost of Goods Sold"),Table826[[#This Row],[Credit.]]&gt;Table826[[#This Row],[Debit\]]),Table826[[#This Row],[Credit.]]-Table826[[#This Row],[Debit\]],""),"")</f>
        <v/>
      </c>
      <c r="AF197" s="34"/>
      <c r="AG197" s="34" t="str">
        <f>IFERROR(IF(AND(Table826[[#This Row],[Classification]]="Assets",Table826[[#This Row],[Debit\]]-Table826[[#This Row],[Credit.]]),Table826[[#This Row],[Debit\]]-Table826[[#This Row],[Credit.]],""),"")</f>
        <v/>
      </c>
      <c r="AH197" s="34" t="str">
        <f>IFERROR(IF(AND(OR(Table826[[#This Row],[Classification]]="Liabilities",Table826[[#This Row],[Classification]]="Owner´s Equity"),Table826[[#This Row],[Credit.]]&gt;Table826[[#This Row],[Debit\]]),Table826[[#This Row],[Credit.]]-Table826[[#This Row],[Debit\]],""),"")</f>
        <v/>
      </c>
    </row>
    <row r="198" spans="2:38" hidden="1" x14ac:dyDescent="0.25">
      <c r="B198" s="34"/>
      <c r="C198" s="45"/>
      <c r="D198" s="34"/>
      <c r="E198" s="34"/>
      <c r="G198" s="39"/>
      <c r="H198" s="40"/>
      <c r="I198" s="41"/>
      <c r="J198" s="41"/>
      <c r="L198" s="34">
        <v>191</v>
      </c>
      <c r="M198" s="35"/>
      <c r="N198" s="35"/>
      <c r="O198" s="34">
        <f>IFERROR(SUMIF(Table423[,],Table625[[#This Row],[Accounts Name]],Table423[,3]),"")</f>
        <v>0</v>
      </c>
      <c r="P198" s="34">
        <f>IFERROR(SUMIF(Table423[,],Table625[[#This Row],[Accounts Name]],Table423[,2]),"")</f>
        <v>0</v>
      </c>
      <c r="S198" s="36">
        <f t="shared" si="2"/>
        <v>191</v>
      </c>
      <c r="T198" s="34"/>
      <c r="U198" s="37"/>
      <c r="V198" s="34">
        <f>IFERROR(SUMIF(Table625[Sub-Accounts],Table826[[#This Row],[Update your chart of accounts here]],Table625[Debit]),"")</f>
        <v>0</v>
      </c>
      <c r="W198" s="34">
        <f>IFERROR(SUMIF(Table625[Sub-Accounts],Table826[[#This Row],[Update your chart of accounts here]],Table625[Credit]),"")</f>
        <v>0</v>
      </c>
      <c r="X198" s="34"/>
      <c r="Y198" s="34"/>
      <c r="Z198" s="34"/>
      <c r="AA198" s="34"/>
      <c r="AB198" s="34">
        <f>MAX(Table826[[#This Row],[Debit]]+Table826[[#This Row],[Debit -]]-Table826[[#This Row],[Credit]]-Table826[[#This Row],[Credit +]],0)</f>
        <v>0</v>
      </c>
      <c r="AC198" s="34">
        <f>MAX(Table826[[#This Row],[Credit]]-Table826[[#This Row],[Debit]]+Table826[[#This Row],[Credit +]]-Table826[[#This Row],[Debit -]],0)</f>
        <v>0</v>
      </c>
      <c r="AD198" s="34" t="str">
        <f>IFERROR(IF(AND(OR(Table826[[#This Row],[Classification]]="Expense",Table826[[#This Row],[Classification]]="Cost of Goods Sold"),Table826[[#This Row],[Debit\]]&gt;Table826[[#This Row],[Credit.]]),Table826[[#This Row],[Debit\]]-Table826[[#This Row],[Credit.]],""),"")</f>
        <v/>
      </c>
      <c r="AE198" s="34" t="str">
        <f>IFERROR(IF(AND(OR(Table826[[#This Row],[Classification]]="Income",Table826[[#This Row],[Classification]]="Cost of Goods Sold"),Table826[[#This Row],[Credit.]]&gt;Table826[[#This Row],[Debit\]]),Table826[[#This Row],[Credit.]]-Table826[[#This Row],[Debit\]],""),"")</f>
        <v/>
      </c>
      <c r="AF198" s="34"/>
      <c r="AG198" s="34" t="str">
        <f>IFERROR(IF(AND(Table826[[#This Row],[Classification]]="Assets",Table826[[#This Row],[Debit\]]-Table826[[#This Row],[Credit.]]),Table826[[#This Row],[Debit\]]-Table826[[#This Row],[Credit.]],""),"")</f>
        <v/>
      </c>
      <c r="AH198" s="34" t="str">
        <f>IFERROR(IF(AND(OR(Table826[[#This Row],[Classification]]="Liabilities",Table826[[#This Row],[Classification]]="Owner´s Equity"),Table826[[#This Row],[Credit.]]&gt;Table826[[#This Row],[Debit\]]),Table826[[#This Row],[Credit.]]-Table826[[#This Row],[Debit\]],""),"")</f>
        <v/>
      </c>
    </row>
    <row r="199" spans="2:38" hidden="1" x14ac:dyDescent="0.25">
      <c r="B199" s="34"/>
      <c r="C199" s="45"/>
      <c r="D199" s="34"/>
      <c r="E199" s="34"/>
      <c r="G199" s="39"/>
      <c r="H199" s="40"/>
      <c r="I199" s="41"/>
      <c r="J199" s="41"/>
      <c r="L199" s="34">
        <v>192</v>
      </c>
      <c r="M199" s="35"/>
      <c r="N199" s="35"/>
      <c r="O199" s="34">
        <f>IFERROR(SUMIF(Table423[,],Table625[[#This Row],[Accounts Name]],Table423[,3]),"")</f>
        <v>0</v>
      </c>
      <c r="P199" s="34">
        <f>IFERROR(SUMIF(Table423[,],Table625[[#This Row],[Accounts Name]],Table423[,2]),"")</f>
        <v>0</v>
      </c>
      <c r="S199" s="36">
        <f t="shared" si="2"/>
        <v>192</v>
      </c>
      <c r="T199" s="34"/>
      <c r="U199" s="46"/>
      <c r="V199" s="34">
        <f>IFERROR(SUMIF(Table625[Sub-Accounts],Table826[[#This Row],[Update your chart of accounts here]],Table625[Debit]),"")</f>
        <v>0</v>
      </c>
      <c r="W199" s="34">
        <f>IFERROR(SUMIF(Table625[Sub-Accounts],Table826[[#This Row],[Update your chart of accounts here]],Table625[Credit]),"")</f>
        <v>0</v>
      </c>
      <c r="X199" s="34"/>
      <c r="Y199" s="34"/>
      <c r="Z199" s="34"/>
      <c r="AA199" s="34"/>
      <c r="AB199" s="34">
        <f>MAX(Table826[[#This Row],[Debit]]+Table826[[#This Row],[Debit -]]-Table826[[#This Row],[Credit]]-Table826[[#This Row],[Credit +]],0)</f>
        <v>0</v>
      </c>
      <c r="AC199" s="34">
        <f>MAX(Table826[[#This Row],[Credit]]-Table826[[#This Row],[Debit]]+Table826[[#This Row],[Credit +]]-Table826[[#This Row],[Debit -]],0)</f>
        <v>0</v>
      </c>
      <c r="AD199" s="34" t="str">
        <f>IFERROR(IF(AND(OR(Table826[[#This Row],[Classification]]="Expense",Table826[[#This Row],[Classification]]="Cost of Goods Sold"),Table826[[#This Row],[Debit\]]&gt;Table826[[#This Row],[Credit.]]),Table826[[#This Row],[Debit\]]-Table826[[#This Row],[Credit.]],""),"")</f>
        <v/>
      </c>
      <c r="AE199" s="34" t="str">
        <f>IFERROR(IF(AND(OR(Table826[[#This Row],[Classification]]="Income",Table826[[#This Row],[Classification]]="Cost of Goods Sold"),Table826[[#This Row],[Credit.]]&gt;Table826[[#This Row],[Debit\]]),Table826[[#This Row],[Credit.]]-Table826[[#This Row],[Debit\]],""),"")</f>
        <v/>
      </c>
      <c r="AF199" s="34"/>
      <c r="AG199" s="34" t="str">
        <f>IFERROR(IF(AND(Table826[[#This Row],[Classification]]="Assets",Table826[[#This Row],[Debit\]]-Table826[[#This Row],[Credit.]]),Table826[[#This Row],[Debit\]]-Table826[[#This Row],[Credit.]],""),"")</f>
        <v/>
      </c>
      <c r="AH199" s="34" t="str">
        <f>IFERROR(IF(AND(OR(Table826[[#This Row],[Classification]]="Liabilities",Table826[[#This Row],[Classification]]="Owner´s Equity"),Table826[[#This Row],[Credit.]]&gt;Table826[[#This Row],[Debit\]]),Table826[[#This Row],[Credit.]]-Table826[[#This Row],[Debit\]],""),"")</f>
        <v/>
      </c>
    </row>
    <row r="200" spans="2:38" hidden="1" x14ac:dyDescent="0.25">
      <c r="B200" s="34"/>
      <c r="C200" s="45"/>
      <c r="D200" s="34"/>
      <c r="E200" s="34"/>
      <c r="G200" s="39"/>
      <c r="H200" s="43"/>
      <c r="I200" s="41"/>
      <c r="J200" s="41"/>
      <c r="L200" s="34">
        <v>193</v>
      </c>
      <c r="M200" s="35"/>
      <c r="N200" s="35"/>
      <c r="O200" s="34">
        <f>IFERROR(SUMIF(Table423[,],Table625[[#This Row],[Accounts Name]],Table423[,3]),"")</f>
        <v>0</v>
      </c>
      <c r="P200" s="34">
        <f>IFERROR(SUMIF(Table423[,],Table625[[#This Row],[Accounts Name]],Table423[,2]),"")</f>
        <v>0</v>
      </c>
      <c r="S200" s="36">
        <f t="shared" si="2"/>
        <v>193</v>
      </c>
      <c r="T200" s="34"/>
      <c r="U200" s="47"/>
      <c r="V200" s="34">
        <f>IFERROR(SUMIF(Table625[Sub-Accounts],Table826[[#This Row],[Update your chart of accounts here]],Table625[Debit]),"")</f>
        <v>0</v>
      </c>
      <c r="W200" s="34">
        <f>IFERROR(SUMIF(Table625[Sub-Accounts],Table826[[#This Row],[Update your chart of accounts here]],Table625[Credit]),"")</f>
        <v>0</v>
      </c>
      <c r="X200" s="34"/>
      <c r="Y200" s="34"/>
      <c r="Z200" s="34"/>
      <c r="AA200" s="34"/>
      <c r="AB200" s="34">
        <f>MAX(Table826[[#This Row],[Debit]]+Table826[[#This Row],[Debit -]]-Table826[[#This Row],[Credit]]-Table826[[#This Row],[Credit +]],0)</f>
        <v>0</v>
      </c>
      <c r="AC200" s="34">
        <f>MAX(Table826[[#This Row],[Credit]]-Table826[[#This Row],[Debit]]+Table826[[#This Row],[Credit +]]-Table826[[#This Row],[Debit -]],0)</f>
        <v>0</v>
      </c>
      <c r="AD200" s="34" t="str">
        <f>IFERROR(IF(AND(OR(Table826[[#This Row],[Classification]]="Expense",Table826[[#This Row],[Classification]]="Cost of Goods Sold"),Table826[[#This Row],[Debit\]]&gt;Table826[[#This Row],[Credit.]]),Table826[[#This Row],[Debit\]]-Table826[[#This Row],[Credit.]],""),"")</f>
        <v/>
      </c>
      <c r="AE200" s="34" t="str">
        <f>IFERROR(IF(AND(OR(Table826[[#This Row],[Classification]]="Income",Table826[[#This Row],[Classification]]="Cost of Goods Sold"),Table826[[#This Row],[Credit.]]&gt;Table826[[#This Row],[Debit\]]),Table826[[#This Row],[Credit.]]-Table826[[#This Row],[Debit\]],""),"")</f>
        <v/>
      </c>
      <c r="AF200" s="34"/>
      <c r="AG200" s="34" t="str">
        <f>IFERROR(IF(AND(Table826[[#This Row],[Classification]]="Assets",Table826[[#This Row],[Debit\]]-Table826[[#This Row],[Credit.]]),Table826[[#This Row],[Debit\]]-Table826[[#This Row],[Credit.]],""),"")</f>
        <v/>
      </c>
      <c r="AH200" s="34" t="str">
        <f>IFERROR(IF(AND(OR(Table826[[#This Row],[Classification]]="Liabilities",Table826[[#This Row],[Classification]]="Owner´s Equity"),Table826[[#This Row],[Credit.]]&gt;Table826[[#This Row],[Debit\]]),Table826[[#This Row],[Credit.]]-Table826[[#This Row],[Debit\]],""),"")</f>
        <v/>
      </c>
      <c r="AI200" s="20" t="b">
        <f>Table826[[#Totals],[Debit .]]=Table826[[#Totals],[Credit'']]</f>
        <v>0</v>
      </c>
      <c r="AL200" s="20">
        <f>Table826[[#Totals],[Debit .]]-Table826[[#Totals],[Credit'']]</f>
        <v>0</v>
      </c>
    </row>
    <row r="201" spans="2:38" ht="15.75" thickBot="1" x14ac:dyDescent="0.3">
      <c r="B201" s="20" t="s">
        <v>60</v>
      </c>
      <c r="D201" s="57">
        <f>SUBTOTAL(109,Table423[,3])</f>
        <v>6373139.6100000003</v>
      </c>
      <c r="E201" s="57">
        <f>SUBTOTAL(109,Table423[,2])</f>
        <v>12625152.699999999</v>
      </c>
      <c r="G201" s="39"/>
      <c r="H201" s="40"/>
      <c r="I201" s="41"/>
      <c r="J201" s="41"/>
      <c r="L201" s="49" t="s">
        <v>60</v>
      </c>
      <c r="M201" s="35"/>
      <c r="N201" s="35"/>
      <c r="O201" s="48">
        <f>SUBTOTAL(109,Table625[Debit])</f>
        <v>8568388.6600000001</v>
      </c>
      <c r="P201" s="48">
        <f>SUBTOTAL(109,Table625[Credit])</f>
        <v>4047608.7</v>
      </c>
      <c r="S201" s="62" t="s">
        <v>60</v>
      </c>
      <c r="T201" s="63"/>
      <c r="U201" s="64"/>
      <c r="V201" s="63">
        <f>SUBTOTAL(109,Table826[Debit])</f>
        <v>33634688.240000002</v>
      </c>
      <c r="W201" s="63">
        <f>SUBTOTAL(109,Table826[Credit])</f>
        <v>33587719.600000001</v>
      </c>
      <c r="X201" s="63"/>
      <c r="Y201" s="63"/>
      <c r="Z201" s="63"/>
      <c r="AA201" s="63"/>
      <c r="AB201" s="63">
        <f>SUBTOTAL(109,Table826[Debit\])</f>
        <v>38476056.723225519</v>
      </c>
      <c r="AC201" s="63">
        <f>SUBTOTAL(109,Table826[Credit.])</f>
        <v>38476056.723225571</v>
      </c>
      <c r="AD201" s="63">
        <f>SUBTOTAL(109,Table826[[Debit ]])</f>
        <v>0</v>
      </c>
      <c r="AE201" s="63">
        <f>SUBTOTAL(109,Table826[Credit,])</f>
        <v>0</v>
      </c>
      <c r="AF201" s="63"/>
      <c r="AG201" s="63">
        <f>SUBTOTAL(109,Table826[Debit .])</f>
        <v>38476056.723225519</v>
      </c>
      <c r="AH201" s="63">
        <f>SUBTOTAL(109,Table826[Credit''])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77" priority="8">
      <formula>"Balanced"</formula>
    </cfRule>
  </conditionalFormatting>
  <dataValidations count="3">
    <dataValidation type="list" allowBlank="1" showInputMessage="1" showErrorMessage="1" sqref="T8:T200" xr:uid="{00000000-0002-0000-0A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A00-000001000000}">
      <formula1>P_LSub_Group</formula1>
    </dataValidation>
    <dataValidation type="list" allowBlank="1" showInputMessage="1" showErrorMessage="1" sqref="N8:N200" xr:uid="{00000000-0002-0000-0A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2E6A0F51-3A42-445F-B27F-0369E156BC45}">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17732B9E-20F1-4056-835E-8536EDAE847E}">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3BE0A726-F22F-4085-9ED4-4A927DBD8448}">
            <xm:f>NOT(ISERROR(SEARCH($T$407,T8)))</xm:f>
            <xm:f>$T$407</xm:f>
            <x14:dxf>
              <fill>
                <patternFill>
                  <bgColor rgb="FF7030A0"/>
                </patternFill>
              </fill>
            </x14:dxf>
          </x14:cfRule>
          <x14:cfRule type="containsText" priority="2" operator="containsText" id="{7914A079-A957-4CDB-9D1F-C22A4C80E484}">
            <xm:f>NOT(ISERROR(SEARCH($T$406,T8)))</xm:f>
            <xm:f>$T$406</xm:f>
            <x14:dxf>
              <fill>
                <patternFill>
                  <bgColor rgb="FFFFFF00"/>
                </patternFill>
              </fill>
            </x14:dxf>
          </x14:cfRule>
          <x14:cfRule type="containsText" priority="3" operator="containsText" id="{57B1CACB-1353-4A5A-AB9D-51EF05B669B9}">
            <xm:f>NOT(ISERROR(SEARCH($T$405,T8)))</xm:f>
            <xm:f>$T$405</xm:f>
            <x14:dxf>
              <fill>
                <patternFill>
                  <bgColor rgb="FF00B050"/>
                </patternFill>
              </fill>
            </x14:dxf>
          </x14:cfRule>
          <x14:cfRule type="containsText" priority="4" operator="containsText" id="{A4050FC0-F670-4669-BBEE-F92FC1A02BD6}">
            <xm:f>NOT(ISERROR(SEARCH($T$404,T8)))</xm:f>
            <xm:f>$T$404</xm:f>
            <x14:dxf>
              <fill>
                <patternFill>
                  <bgColor theme="0"/>
                </patternFill>
              </fill>
            </x14:dxf>
          </x14:cfRule>
          <x14:cfRule type="containsText" priority="5" operator="containsText" id="{7334BDAB-67BE-4844-86D1-7A1324634F47}">
            <xm:f>NOT(ISERROR(SEARCH($T$403,T8)))</xm:f>
            <xm:f>$T$403</xm:f>
            <x14:dxf>
              <fill>
                <patternFill>
                  <bgColor rgb="FFFF0000"/>
                </patternFill>
              </fill>
            </x14:dxf>
          </x14:cfRule>
          <x14:cfRule type="containsText" priority="6" operator="containsText" id="{389DCF0C-1D6E-4817-BDDE-4E6F14569F27}">
            <xm:f>NOT(ISERROR(SEARCH($T$402,T8)))</xm:f>
            <xm:f>$T$402</xm:f>
            <x14:dxf>
              <fill>
                <patternFill>
                  <bgColor theme="8" tint="-0.24994659260841701"/>
                </patternFill>
              </fill>
            </x14:dxf>
          </x14:cfRule>
          <xm:sqref>T8:T200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B1:AN407"/>
  <sheetViews>
    <sheetView showGridLines="0" workbookViewId="0">
      <selection activeCell="U17" sqref="U17"/>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IFERROR(SUMIF(Table427[,],Table629[[#This Row],[Accounts Name]],Table427[,3]),"")</f>
        <v>3977142.74</v>
      </c>
      <c r="P8" s="34">
        <f>IFERROR(SUMIF(Table427[,],Table629[[#This Row],[Accounts Name]],Table427[,2]),"")</f>
        <v>0</v>
      </c>
      <c r="S8" s="36">
        <v>1</v>
      </c>
      <c r="T8" s="34" t="s">
        <v>11</v>
      </c>
      <c r="U8" s="37" t="s">
        <v>138</v>
      </c>
      <c r="V8" s="34">
        <f>IFERROR(SUMIF(Table629[Sub-Accounts],Table830[[#This Row],[Update your chart of accounts here]],Table629[Debit]),"")</f>
        <v>5942202.0100000007</v>
      </c>
      <c r="W8" s="34">
        <f>IFERROR(SUMIF(Table629[Sub-Accounts],Table830[[#This Row],[Update your chart of accounts here]],Table629[Credit]),"")</f>
        <v>0</v>
      </c>
      <c r="X8" s="34"/>
      <c r="Y8" s="34" t="s">
        <v>228</v>
      </c>
      <c r="Z8" s="34"/>
      <c r="AA8" s="34">
        <f>J25</f>
        <v>21</v>
      </c>
      <c r="AB8" s="34">
        <f>MAX(Table830[[#This Row],[Debit]]+Table830[[#This Row],[Debit -]]-Table830[[#This Row],[Credit]]-Table830[[#This Row],[Credit +]],0)</f>
        <v>5942181.0100000007</v>
      </c>
      <c r="AC8" s="34">
        <f>MAX(Table830[[#This Row],[Credit]]-Table830[[#This Row],[Debit]]+Table830[[#This Row],[Credit +]]-Table830[[#This Row],[Debit -]],0)</f>
        <v>0</v>
      </c>
      <c r="AD8" s="34" t="str">
        <f>IFERROR(IF(AND(OR(Table830[[#This Row],[Classification]]="Expense",Table830[[#This Row],[Classification]]="Cost of Goods Sold"),Table830[[#This Row],[Debit\]]&gt;Table830[[#This Row],[Credit.]]),Table830[[#This Row],[Debit\]]-Table830[[#This Row],[Credit.]],""),"")</f>
        <v/>
      </c>
      <c r="AE8" s="34" t="str">
        <f>IFERROR(IF(AND(OR(Table830[[#This Row],[Classification]]="Income",Table830[[#This Row],[Classification]]="Cost of Goods Sold"),Table830[[#This Row],[Credit.]]&gt;Table830[[#This Row],[Debit\]]),Table830[[#This Row],[Credit.]]-Table830[[#This Row],[Debit\]],""),"")</f>
        <v/>
      </c>
      <c r="AF8" s="34"/>
      <c r="AG8" s="34">
        <f>IFERROR(IF(AND(Table830[[#This Row],[Classification]]="Assets",Table830[[#This Row],[Debit\]]-Table830[[#This Row],[Credit.]]),Table830[[#This Row],[Debit\]]-Table830[[#This Row],[Credit.]],""),"")</f>
        <v>5942181.0100000007</v>
      </c>
      <c r="AH8" s="34" t="str">
        <f>IFERROR(IF(AND(OR(Table830[[#This Row],[Classification]]="Liabilities",Table830[[#This Row],[Classification]]="Owner´s Equity"),Table830[[#This Row],[Credit.]]&gt;Table830[[#This Row],[Debit\]]),Table830[[#This Row],[Credit.]]-Table830[[#This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IFERROR(SUMIF(Table427[,],Table629[[#This Row],[Accounts Name]],Table427[,3]),"")</f>
        <v>0</v>
      </c>
      <c r="P9" s="34">
        <f>IFERROR(SUMIF(Table427[,],Table629[[#This Row],[Accounts Name]],Table427[,2]),"")</f>
        <v>1699952.7</v>
      </c>
      <c r="S9" s="36">
        <f>S8+1</f>
        <v>2</v>
      </c>
      <c r="T9" s="34" t="s">
        <v>12</v>
      </c>
      <c r="U9" s="37" t="s">
        <v>139</v>
      </c>
      <c r="V9" s="34">
        <f>IFERROR(SUMIF(Table629[Sub-Accounts],Table830[[#This Row],[Update your chart of accounts here]],Table629[Debit]),"")</f>
        <v>0</v>
      </c>
      <c r="W9" s="34">
        <f>IFERROR(SUMIF(Table629[Sub-Accounts],Table830[[#This Row],[Update your chart of accounts here]],Table629[Credit]),"")</f>
        <v>3699952.7</v>
      </c>
      <c r="X9" s="34"/>
      <c r="Y9" s="34"/>
      <c r="Z9" s="34"/>
      <c r="AA9" s="34"/>
      <c r="AB9" s="34">
        <f>MAX(Table830[[#This Row],[Debit]]+Table830[[#This Row],[Debit -]]-Table830[[#This Row],[Credit]]-Table830[[#This Row],[Credit +]],0)</f>
        <v>0</v>
      </c>
      <c r="AC9" s="34">
        <f>MAX(Table830[[#This Row],[Credit]]-Table830[[#This Row],[Debit]]+Table830[[#This Row],[Credit +]]-Table830[[#This Row],[Debit -]],0)</f>
        <v>3699952.7</v>
      </c>
      <c r="AD9" s="34" t="str">
        <f>IFERROR(IF(AND(OR(Table830[[#This Row],[Classification]]="Expense",Table830[[#This Row],[Classification]]="Cost of Goods Sold"),Table830[[#This Row],[Debit\]]&gt;Table830[[#This Row],[Credit.]]),Table830[[#This Row],[Debit\]]-Table830[[#This Row],[Credit.]],""),"")</f>
        <v/>
      </c>
      <c r="AE9" s="34" t="str">
        <f>IFERROR(IF(AND(OR(Table830[[#This Row],[Classification]]="Income",Table830[[#This Row],[Classification]]="Cost of Goods Sold"),Table830[[#This Row],[Credit.]]&gt;Table830[[#This Row],[Debit\]]),Table830[[#This Row],[Credit.]]-Table830[[#This Row],[Debit\]],""),"")</f>
        <v/>
      </c>
      <c r="AF9" s="34"/>
      <c r="AG9" s="34" t="str">
        <f>IFERROR(IF(AND(Table830[[#This Row],[Classification]]="Assets",Table830[[#This Row],[Debit\]]-Table830[[#This Row],[Credit.]]),Table830[[#This Row],[Debit\]]-Table830[[#This Row],[Credit.]],""),"")</f>
        <v/>
      </c>
      <c r="AH9" s="34">
        <f>IFERROR(IF(AND(OR(Table830[[#This Row],[Classification]]="Liabilities",Table830[[#This Row],[Classification]]="Owner´s Equity"),Table830[[#This Row],[Credit.]]&gt;Table830[[#This Row],[Debit\]]),Table830[[#This Row],[Credit.]]-Table830[[#This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IFERROR(SUMIF(Table427[,],Table629[[#This Row],[Accounts Name]],Table427[,3]),"")</f>
        <v>0</v>
      </c>
      <c r="P10" s="34">
        <f>IFERROR(SUMIF(Table427[,],Table629[[#This Row],[Accounts Name]],Table427[,2]),"")</f>
        <v>2000000</v>
      </c>
      <c r="S10" s="36">
        <f t="shared" ref="S10:S73" si="0">S9+1</f>
        <v>3</v>
      </c>
      <c r="T10" s="34" t="s">
        <v>11</v>
      </c>
      <c r="U10" s="37" t="s">
        <v>172</v>
      </c>
      <c r="V10" s="34">
        <f>IFERROR(SUMIF(Table629[Sub-Accounts],Table830[[#This Row],[Update your chart of accounts here]],Table629[Debit]),"")</f>
        <v>4355552.28</v>
      </c>
      <c r="W10" s="34">
        <f>IFERROR(SUMIF(Table629[Sub-Accounts],Table830[[#This Row],[Update your chart of accounts here]],Table629[Credit]),"")</f>
        <v>2517904</v>
      </c>
      <c r="X10" s="34"/>
      <c r="Y10" s="34" t="s">
        <v>224</v>
      </c>
      <c r="Z10" s="34">
        <f>I12</f>
        <v>251563</v>
      </c>
      <c r="AA10" s="34">
        <f>Table528[[#This Row],[,2]]</f>
        <v>409278.51677448238</v>
      </c>
      <c r="AB10" s="34">
        <f>MAX(Table830[[#This Row],[Debit]]+Table830[[#This Row],[Debit -]]-Table830[[#This Row],[Credit]]-Table830[[#This Row],[Credit +]],0)</f>
        <v>1679932.7632255179</v>
      </c>
      <c r="AC10" s="34">
        <f>MAX(Table830[[#This Row],[Credit]]-Table830[[#This Row],[Debit]]+Table830[[#This Row],[Credit +]]-Table830[[#This Row],[Debit -]],0)</f>
        <v>0</v>
      </c>
      <c r="AD10" s="34" t="str">
        <f>IFERROR(IF(AND(OR(Table830[[#This Row],[Classification]]="Expense",Table830[[#This Row],[Classification]]="Cost of Goods Sold"),Table830[[#This Row],[Debit\]]&gt;Table830[[#This Row],[Credit.]]),Table830[[#This Row],[Debit\]]-Table830[[#This Row],[Credit.]],""),"")</f>
        <v/>
      </c>
      <c r="AE10" s="34" t="str">
        <f>IFERROR(IF(AND(OR(Table830[[#This Row],[Classification]]="Income",Table830[[#This Row],[Classification]]="Cost of Goods Sold"),Table830[[#This Row],[Credit.]]&gt;Table830[[#This Row],[Debit\]]),Table830[[#This Row],[Credit.]]-Table830[[#This Row],[Debit\]],""),"")</f>
        <v/>
      </c>
      <c r="AF10" s="34"/>
      <c r="AG10" s="34">
        <f>IFERROR(IF(AND(Table830[[#This Row],[Classification]]="Assets",Table830[[#This Row],[Debit\]]-Table830[[#This Row],[Credit.]]),Table830[[#This Row],[Debit\]]-Table830[[#This Row],[Credit.]],""),"")</f>
        <v>1679932.7632255179</v>
      </c>
      <c r="AH10" s="34" t="str">
        <f>IFERROR(IF(AND(OR(Table830[[#This Row],[Classification]]="Liabilities",Table830[[#This Row],[Classification]]="Owner´s Equity"),Table830[[#This Row],[Credit.]]&gt;Table830[[#This Row],[Debit\]]),Table830[[#This Row],[Credit.]]-Table830[[#This Row],[Debit\]],""),"")</f>
        <v/>
      </c>
    </row>
    <row r="11" spans="2:40" x14ac:dyDescent="0.25">
      <c r="B11" s="34"/>
      <c r="C11" s="42" t="s">
        <v>65</v>
      </c>
      <c r="D11" s="34"/>
      <c r="E11" s="34">
        <v>2000000</v>
      </c>
      <c r="G11" s="39"/>
      <c r="H11" s="43" t="s">
        <v>180</v>
      </c>
      <c r="I11" s="41"/>
      <c r="J11" s="41"/>
      <c r="L11" s="34">
        <v>4</v>
      </c>
      <c r="M11" s="35" t="s">
        <v>138</v>
      </c>
      <c r="N11" s="35" t="s">
        <v>66</v>
      </c>
      <c r="O11" s="34">
        <f>IFERROR(SUMIF(Table427[,],Table629[[#This Row],[Accounts Name]],Table427[,3]),"")</f>
        <v>219779.97</v>
      </c>
      <c r="P11" s="34">
        <f>IFERROR(SUMIF(Table427[,],Table629[[#This Row],[Accounts Name]],Table427[,2]),"")</f>
        <v>0</v>
      </c>
      <c r="S11" s="36">
        <f t="shared" si="0"/>
        <v>4</v>
      </c>
      <c r="T11" s="34" t="s">
        <v>11</v>
      </c>
      <c r="U11" s="37" t="s">
        <v>140</v>
      </c>
      <c r="V11" s="34">
        <f>IFERROR(SUMIF(Table629[Sub-Accounts],Table830[[#This Row],[Update your chart of accounts here]],Table629[Debit]),"")</f>
        <v>21108825.949999999</v>
      </c>
      <c r="W11" s="34">
        <f>IFERROR(SUMIF(Table629[Sub-Accounts],Table830[[#This Row],[Update your chart of accounts here]],Table629[Credit]),"")</f>
        <v>0</v>
      </c>
      <c r="X11" s="34"/>
      <c r="Y11" s="34" t="s">
        <v>231</v>
      </c>
      <c r="Z11" s="34"/>
      <c r="AA11" s="34">
        <f>J31</f>
        <v>2551250</v>
      </c>
      <c r="AB11" s="34">
        <f>MAX(Table830[[#This Row],[Debit]]+Table830[[#This Row],[Debit -]]-Table830[[#This Row],[Credit]]-Table830[[#This Row],[Credit +]],0)</f>
        <v>18557575.949999999</v>
      </c>
      <c r="AC11" s="34">
        <f>MAX(Table830[[#This Row],[Credit]]-Table830[[#This Row],[Debit]]+Table830[[#This Row],[Credit +]]-Table830[[#This Row],[Debit -]],0)</f>
        <v>0</v>
      </c>
      <c r="AD11" s="34" t="str">
        <f>IFERROR(IF(AND(OR(Table830[[#This Row],[Classification]]="Expense",Table830[[#This Row],[Classification]]="Cost of Goods Sold"),Table830[[#This Row],[Debit\]]&gt;Table830[[#This Row],[Credit.]]),Table830[[#This Row],[Debit\]]-Table830[[#This Row],[Credit.]],""),"")</f>
        <v/>
      </c>
      <c r="AE11" s="34" t="str">
        <f>IFERROR(IF(AND(OR(Table830[[#This Row],[Classification]]="Income",Table830[[#This Row],[Classification]]="Cost of Goods Sold"),Table830[[#This Row],[Credit.]]&gt;Table830[[#This Row],[Debit\]]),Table830[[#This Row],[Credit.]]-Table830[[#This Row],[Debit\]],""),"")</f>
        <v/>
      </c>
      <c r="AF11" s="34"/>
      <c r="AG11" s="34">
        <f>IFERROR(IF(AND(Table830[[#This Row],[Classification]]="Assets",Table830[[#This Row],[Debit\]]-Table830[[#This Row],[Credit.]]),Table830[[#This Row],[Debit\]]-Table830[[#This Row],[Credit.]],""),"")</f>
        <v>18557575.949999999</v>
      </c>
      <c r="AH11" s="34" t="str">
        <f>IFERROR(IF(AND(OR(Table830[[#This Row],[Classification]]="Liabilities",Table830[[#This Row],[Classification]]="Owner´s Equity"),Table830[[#This Row],[Credit.]]&gt;Table830[[#This Row],[Debit\]]),Table830[[#This Row],[Credit.]]-Table830[[#This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IFERROR(SUMIF(Table427[,],Table629[[#This Row],[Accounts Name]],Table427[,3]),"")</f>
        <v>1054457.3500000001</v>
      </c>
      <c r="P12" s="34">
        <f>IFERROR(SUMIF(Table427[,],Table629[[#This Row],[Accounts Name]],Table427[,2]),"")</f>
        <v>0</v>
      </c>
      <c r="S12" s="36">
        <f t="shared" si="0"/>
        <v>5</v>
      </c>
      <c r="T12" s="34" t="s">
        <v>61</v>
      </c>
      <c r="U12" s="37" t="s">
        <v>207</v>
      </c>
      <c r="V12" s="34">
        <f>IFERROR(SUMIF(Table629[Sub-Accounts],Table830[[#This Row],[Update your chart of accounts here]],Table629[Debit]),"")</f>
        <v>0</v>
      </c>
      <c r="W12" s="34">
        <f>IFERROR(SUMIF(Table629[Sub-Accounts],Table830[[#This Row],[Update your chart of accounts here]],Table629[Credit]),"")</f>
        <v>0</v>
      </c>
      <c r="X12" s="34"/>
      <c r="Y12" s="34"/>
      <c r="Z12" s="34">
        <f>AN7</f>
        <v>8341041.1232255697</v>
      </c>
      <c r="AA12" s="34">
        <f>AU6</f>
        <v>0</v>
      </c>
      <c r="AB12" s="34">
        <f>MAX(Table830[[#This Row],[Debit]]+Table830[[#This Row],[Debit -]]-Table830[[#This Row],[Credit]]-Table830[[#This Row],[Credit +]],0)</f>
        <v>8341041.1232255697</v>
      </c>
      <c r="AC12" s="34">
        <f>MAX(Table830[[#This Row],[Credit]]-Table830[[#This Row],[Debit]]+Table830[[#This Row],[Credit +]]-Table830[[#This Row],[Debit -]],0)</f>
        <v>0</v>
      </c>
      <c r="AD12" s="34">
        <f>IFERROR(IF(AND(OR(Table830[[#This Row],[Classification]]="Expense",Table830[[#This Row],[Classification]]="Cost of Goods Sold"),Table830[[#This Row],[Debit\]]&gt;Table830[[#This Row],[Credit.]]),Table830[[#This Row],[Debit\]]-Table830[[#This Row],[Credit.]],""),"")</f>
        <v>8341041.1232255697</v>
      </c>
      <c r="AE12" s="34" t="str">
        <f>IFERROR(IF(AND(OR(Table830[[#This Row],[Classification]]="Income",Table830[[#This Row],[Classification]]="Cost of Goods Sold"),Table830[[#This Row],[Credit.]]&gt;Table830[[#This Row],[Debit\]]),Table830[[#This Row],[Credit.]]-Table830[[#This Row],[Debit\]],""),"")</f>
        <v/>
      </c>
      <c r="AF12" s="34"/>
      <c r="AG12" s="34" t="str">
        <f>IFERROR(IF(AND(Table830[[#This Row],[Classification]]="Assets",Table830[[#This Row],[Debit\]]-Table830[[#This Row],[Credit.]]),Table830[[#This Row],[Debit\]]-Table830[[#This Row],[Credit.]],""),"")</f>
        <v/>
      </c>
      <c r="AH12" s="34" t="str">
        <f>IFERROR(IF(AND(OR(Table830[[#This Row],[Classification]]="Liabilities",Table830[[#This Row],[Classification]]="Owner´s Equity"),Table830[[#This Row],[Credit.]]&gt;Table830[[#This Row],[Debit\]]),Table830[[#This Row],[Credit.]]-Table830[[#This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IFERROR(SUMIF(Table427[,],Table629[[#This Row],[Accounts Name]],Table427[,3]),"")</f>
        <v>230653</v>
      </c>
      <c r="P13" s="34">
        <f>IFERROR(SUMIF(Table427[,],Table629[[#This Row],[Accounts Name]],Table427[,2]),"")</f>
        <v>0</v>
      </c>
      <c r="S13" s="36">
        <f t="shared" si="0"/>
        <v>6</v>
      </c>
      <c r="T13" s="34" t="s">
        <v>6</v>
      </c>
      <c r="U13" s="37" t="s">
        <v>142</v>
      </c>
      <c r="V13" s="34">
        <f>IFERROR(SUMIF(Table629[Sub-Accounts],Table830[[#This Row],[Update your chart of accounts here]],Table629[Debit]),"")</f>
        <v>3296400</v>
      </c>
      <c r="W13" s="34">
        <f>IFERROR(SUMIF(Table629[Sub-Accounts],Table830[[#This Row],[Update your chart of accounts here]],Table629[Credit]),"")</f>
        <v>0</v>
      </c>
      <c r="X13" s="34"/>
      <c r="Y13" s="34" t="s">
        <v>227</v>
      </c>
      <c r="Z13" s="65"/>
      <c r="AA13" s="34"/>
      <c r="AB13" s="34">
        <f>MAX(Table830[[#This Row],[Debit]]+Table830[[#This Row],[Debit -]]-Table830[[#This Row],[Credit]]-Table830[[#This Row],[Credit +]],0)</f>
        <v>3296400</v>
      </c>
      <c r="AC13" s="34">
        <f>MAX(Table830[[#This Row],[Credit]]-Table830[[#This Row],[Debit]]+Table830[[#This Row],[Credit +]]-Table830[[#This Row],[Debit -]],0)</f>
        <v>0</v>
      </c>
      <c r="AD13" s="34">
        <f>IFERROR(IF(AND(OR(Table830[[#This Row],[Classification]]="Expense",Table830[[#This Row],[Classification]]="Cost of Goods Sold"),Table830[[#This Row],[Debit\]]&gt;Table830[[#This Row],[Credit.]]),Table830[[#This Row],[Debit\]]-Table830[[#This Row],[Credit.]],""),"")</f>
        <v>3296400</v>
      </c>
      <c r="AE13" s="34" t="str">
        <f>IFERROR(IF(AND(OR(Table830[[#This Row],[Classification]]="Income",Table830[[#This Row],[Classification]]="Cost of Goods Sold"),Table830[[#This Row],[Credit.]]&gt;Table830[[#This Row],[Debit\]]),Table830[[#This Row],[Credit.]]-Table830[[#This Row],[Debit\]],""),"")</f>
        <v/>
      </c>
      <c r="AF13" s="34"/>
      <c r="AG13" s="34" t="str">
        <f>IFERROR(IF(AND(Table830[[#This Row],[Classification]]="Assets",Table830[[#This Row],[Debit\]]-Table830[[#This Row],[Credit.]]),Table830[[#This Row],[Debit\]]-Table830[[#This Row],[Credit.]],""),"")</f>
        <v/>
      </c>
      <c r="AH13" s="34" t="str">
        <f>IFERROR(IF(AND(OR(Table830[[#This Row],[Classification]]="Liabilities",Table830[[#This Row],[Classification]]="Owner´s Equity"),Table830[[#This Row],[Credit.]]&gt;Table830[[#This Row],[Debit\]]),Table830[[#This Row],[Credit.]]-Table830[[#This Row],[Debit\]],""),"")</f>
        <v/>
      </c>
    </row>
    <row r="14" spans="2:40" x14ac:dyDescent="0.25">
      <c r="B14" s="34"/>
      <c r="C14" s="38" t="s">
        <v>68</v>
      </c>
      <c r="D14" s="34">
        <v>230653</v>
      </c>
      <c r="E14" s="34"/>
      <c r="G14" s="39"/>
      <c r="H14" s="43" t="s">
        <v>184</v>
      </c>
      <c r="I14" s="41"/>
      <c r="J14" s="41"/>
      <c r="L14" s="34">
        <v>7</v>
      </c>
      <c r="M14" s="35" t="s">
        <v>138</v>
      </c>
      <c r="N14" s="35" t="s">
        <v>69</v>
      </c>
      <c r="O14" s="34">
        <f>IFERROR(SUMIF(Table427[,],Table629[[#This Row],[Accounts Name]],Table427[,3]),"")</f>
        <v>460168.95</v>
      </c>
      <c r="P14" s="34">
        <f>IFERROR(SUMIF(Table427[,],Table629[[#This Row],[Accounts Name]],Table427[,2]),"")</f>
        <v>0</v>
      </c>
      <c r="S14" s="36">
        <f t="shared" si="0"/>
        <v>7</v>
      </c>
      <c r="T14" s="34" t="s">
        <v>12</v>
      </c>
      <c r="U14" s="37" t="s">
        <v>141</v>
      </c>
      <c r="V14" s="34">
        <f>IFERROR(SUMIF(Table629[Sub-Accounts],Table830[[#This Row],[Update your chart of accounts here]],Table629[Debit]),"")</f>
        <v>0</v>
      </c>
      <c r="W14" s="34">
        <f>IFERROR(SUMIF(Table629[Sub-Accounts],Table830[[#This Row],[Update your chart of accounts here]],Table629[Credit]),"")</f>
        <v>15517383.640000001</v>
      </c>
      <c r="X14" s="34"/>
      <c r="Y14" s="34" t="s">
        <v>233</v>
      </c>
      <c r="Z14" s="34">
        <f>I18</f>
        <v>50000</v>
      </c>
      <c r="AA14" s="34">
        <f>J22</f>
        <v>115200</v>
      </c>
      <c r="AB14" s="34">
        <f>MAX(Table830[[#This Row],[Debit]]+Table830[[#This Row],[Debit -]]-Table830[[#This Row],[Credit]]-Table830[[#This Row],[Credit +]],0)</f>
        <v>0</v>
      </c>
      <c r="AC14" s="34">
        <f>MAX(Table830[[#This Row],[Credit]]-Table830[[#This Row],[Debit]]+Table830[[#This Row],[Credit +]]-Table830[[#This Row],[Debit -]],0)</f>
        <v>15582583.640000001</v>
      </c>
      <c r="AD14" s="34" t="str">
        <f>IFERROR(IF(AND(OR(Table830[[#This Row],[Classification]]="Expense",Table830[[#This Row],[Classification]]="Cost of Goods Sold"),Table830[[#This Row],[Debit\]]&gt;Table830[[#This Row],[Credit.]]),Table830[[#This Row],[Debit\]]-Table830[[#This Row],[Credit.]],""),"")</f>
        <v/>
      </c>
      <c r="AE14" s="34" t="str">
        <f>IFERROR(IF(AND(OR(Table830[[#This Row],[Classification]]="Income",Table830[[#This Row],[Classification]]="Cost of Goods Sold"),Table830[[#This Row],[Credit.]]&gt;Table830[[#This Row],[Debit\]]),Table830[[#This Row],[Credit.]]-Table830[[#This Row],[Debit\]],""),"")</f>
        <v/>
      </c>
      <c r="AF14" s="34"/>
      <c r="AG14" s="34" t="str">
        <f>IFERROR(IF(AND(Table830[[#This Row],[Classification]]="Assets",Table830[[#This Row],[Debit\]]-Table830[[#This Row],[Credit.]]),Table830[[#This Row],[Debit\]]-Table830[[#This Row],[Credit.]],""),"")</f>
        <v/>
      </c>
      <c r="AH14" s="34">
        <f>IFERROR(IF(AND(OR(Table830[[#This Row],[Classification]]="Liabilities",Table830[[#This Row],[Classification]]="Owner´s Equity"),Table830[[#This Row],[Credit.]]&gt;Table830[[#This Row],[Debit\]]),Table830[[#This Row],[Credit.]]-Table830[[#This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IFERROR(SUMIF(Table427[,],Table629[[#This Row],[Accounts Name]],Table427[,3]),"")</f>
        <v>17870623.949999999</v>
      </c>
      <c r="P15" s="34">
        <f>IFERROR(SUMIF(Table427[,],Table629[[#This Row],[Accounts Name]],Table427[,2]),"")</f>
        <v>0</v>
      </c>
      <c r="S15" s="36">
        <f t="shared" si="0"/>
        <v>8</v>
      </c>
      <c r="T15" s="34"/>
      <c r="U15" s="37" t="s">
        <v>208</v>
      </c>
      <c r="V15" s="34">
        <f>IFERROR(SUMIF(Table629[Sub-Accounts],Table830[[#This Row],[Update your chart of accounts here]],Table629[Debit]),"")</f>
        <v>0</v>
      </c>
      <c r="W15" s="34">
        <f>IFERROR(SUMIF(Table629[Sub-Accounts],Table830[[#This Row],[Update your chart of accounts here]],Table629[Credit]),"")</f>
        <v>0</v>
      </c>
      <c r="X15" s="34"/>
      <c r="Y15" s="34"/>
      <c r="Z15" s="34"/>
      <c r="AA15" s="34"/>
      <c r="AB15" s="34">
        <f>MAX(Table830[[#This Row],[Debit]]+Table830[[#This Row],[Debit -]]-Table830[[#This Row],[Credit]]-Table830[[#This Row],[Credit +]],0)</f>
        <v>0</v>
      </c>
      <c r="AC15" s="34">
        <f>MAX(Table830[[#This Row],[Credit]]-Table830[[#This Row],[Debit]]+Table830[[#This Row],[Credit +]]-Table830[[#This Row],[Debit -]],0)</f>
        <v>0</v>
      </c>
      <c r="AD15" s="34" t="str">
        <f>IFERROR(IF(AND(OR(Table830[[#This Row],[Classification]]="Expense",Table830[[#This Row],[Classification]]="Cost of Goods Sold"),Table830[[#This Row],[Debit\]]&gt;Table830[[#This Row],[Credit.]]),Table830[[#This Row],[Debit\]]-Table830[[#This Row],[Credit.]],""),"")</f>
        <v/>
      </c>
      <c r="AE15" s="34" t="str">
        <f>IFERROR(IF(AND(OR(Table830[[#This Row],[Classification]]="Income",Table830[[#This Row],[Classification]]="Cost of Goods Sold"),Table830[[#This Row],[Credit.]]&gt;Table830[[#This Row],[Debit\]]),Table830[[#This Row],[Credit.]]-Table830[[#This Row],[Debit\]],""),"")</f>
        <v/>
      </c>
      <c r="AF15" s="34"/>
      <c r="AG15" s="34" t="str">
        <f>IFERROR(IF(AND(Table830[[#This Row],[Classification]]="Assets",Table830[[#This Row],[Debit\]]-Table830[[#This Row],[Credit.]]),Table830[[#This Row],[Debit\]]-Table830[[#This Row],[Credit.]],""),"")</f>
        <v/>
      </c>
      <c r="AH15" s="34" t="str">
        <f>IFERROR(IF(AND(OR(Table830[[#This Row],[Classification]]="Liabilities",Table830[[#This Row],[Classification]]="Owner´s Equity"),Table830[[#This Row],[Credit.]]&gt;Table830[[#This Row],[Debit\]]),Table830[[#This Row],[Credit.]]-Table830[[#This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IFERROR(SUMIF(Table427[,],Table629[[#This Row],[Accounts Name]],Table427[,3]),"")</f>
        <v>0</v>
      </c>
      <c r="P16" s="34">
        <f>IFERROR(SUMIF(Table427[,],Table629[[#This Row],[Accounts Name]],Table427[,2]),"")</f>
        <v>8925200</v>
      </c>
      <c r="S16" s="36">
        <f t="shared" si="0"/>
        <v>9</v>
      </c>
      <c r="T16" s="34"/>
      <c r="U16" s="37" t="s">
        <v>209</v>
      </c>
      <c r="V16" s="34">
        <f>IFERROR(SUMIF(Table629[Sub-Accounts],Table830[[#This Row],[Update your chart of accounts here]],Table629[Debit]),"")</f>
        <v>0</v>
      </c>
      <c r="W16" s="34">
        <f>IFERROR(SUMIF(Table629[Sub-Accounts],Table830[[#This Row],[Update your chart of accounts here]],Table629[Credit]),"")</f>
        <v>0</v>
      </c>
      <c r="X16" s="34"/>
      <c r="Y16" s="34"/>
      <c r="Z16" s="34"/>
      <c r="AA16" s="34"/>
      <c r="AB16" s="34">
        <f>MAX(Table830[[#This Row],[Debit]]+Table830[[#This Row],[Debit -]]-Table830[[#This Row],[Credit]]-Table830[[#This Row],[Credit +]],0)</f>
        <v>0</v>
      </c>
      <c r="AC16" s="34">
        <f>MAX(Table830[[#This Row],[Credit]]-Table830[[#This Row],[Debit]]+Table830[[#This Row],[Credit +]]-Table830[[#This Row],[Debit -]],0)</f>
        <v>0</v>
      </c>
      <c r="AD16" s="34" t="str">
        <f>IFERROR(IF(AND(OR(Table830[[#This Row],[Classification]]="Expense",Table830[[#This Row],[Classification]]="Cost of Goods Sold"),Table830[[#This Row],[Debit\]]&gt;Table830[[#This Row],[Credit.]]),Table830[[#This Row],[Debit\]]-Table830[[#This Row],[Credit.]],""),"")</f>
        <v/>
      </c>
      <c r="AE16" s="34" t="str">
        <f>IFERROR(IF(AND(OR(Table830[[#This Row],[Classification]]="Income",Table830[[#This Row],[Classification]]="Cost of Goods Sold"),Table830[[#This Row],[Credit.]]&gt;Table830[[#This Row],[Debit\]]),Table830[[#This Row],[Credit.]]-Table830[[#This Row],[Debit\]],""),"")</f>
        <v/>
      </c>
      <c r="AF16" s="34"/>
      <c r="AG16" s="34" t="str">
        <f>IFERROR(IF(AND(Table830[[#This Row],[Classification]]="Assets",Table830[[#This Row],[Debit\]]-Table830[[#This Row],[Credit.]]),Table830[[#This Row],[Debit\]]-Table830[[#This Row],[Credit.]],""),"")</f>
        <v/>
      </c>
      <c r="AH16" s="34" t="str">
        <f>IFERROR(IF(AND(OR(Table830[[#This Row],[Classification]]="Liabilities",Table830[[#This Row],[Classification]]="Owner´s Equity"),Table830[[#This Row],[Credit.]]&gt;Table830[[#This Row],[Debit\]]),Table830[[#This Row],[Credit.]]-Table830[[#This Row],[Debit\]],""),"")</f>
        <v/>
      </c>
    </row>
    <row r="17" spans="2:34" x14ac:dyDescent="0.25">
      <c r="B17" s="34"/>
      <c r="C17" s="37" t="s">
        <v>71</v>
      </c>
      <c r="D17" s="34"/>
      <c r="E17" s="34">
        <v>8925200</v>
      </c>
      <c r="G17" s="39"/>
      <c r="H17" s="43" t="s">
        <v>185</v>
      </c>
      <c r="I17" s="41"/>
      <c r="J17" s="41"/>
      <c r="L17" s="34">
        <v>10</v>
      </c>
      <c r="M17" s="35" t="s">
        <v>142</v>
      </c>
      <c r="N17" s="35" t="s">
        <v>72</v>
      </c>
      <c r="O17" s="34">
        <f>IFERROR(SUMIF(Table427[,],Table629[[#This Row],[Accounts Name]],Table427[,3]),"")</f>
        <v>3296400</v>
      </c>
      <c r="P17" s="34">
        <f>IFERROR(SUMIF(Table427[,],Table629[[#This Row],[Accounts Name]],Table427[,2]),"")</f>
        <v>0</v>
      </c>
      <c r="S17" s="36">
        <f t="shared" si="0"/>
        <v>10</v>
      </c>
      <c r="T17" s="34" t="s">
        <v>48</v>
      </c>
      <c r="U17" s="37" t="s">
        <v>146</v>
      </c>
      <c r="V17" s="34">
        <f>IFERROR(SUMIF(Table629[Sub-Accounts],Table830[[#This Row],[Update your chart of accounts here]],Table629[Debit]),"")</f>
        <v>0</v>
      </c>
      <c r="W17" s="34">
        <f>IFERROR(SUMIF(Table629[Sub-Accounts],Table830[[#This Row],[Update your chart of accounts here]],Table629[Credit]),"")</f>
        <v>400</v>
      </c>
      <c r="X17" s="34"/>
      <c r="Y17" s="34"/>
      <c r="Z17" s="34"/>
      <c r="AA17" s="34"/>
      <c r="AB17" s="34">
        <f>MAX(Table830[[#This Row],[Debit]]+Table830[[#This Row],[Debit -]]-Table830[[#This Row],[Credit]]-Table830[[#This Row],[Credit +]],0)</f>
        <v>0</v>
      </c>
      <c r="AC17" s="34">
        <f>MAX(Table830[[#This Row],[Credit]]-Table830[[#This Row],[Debit]]+Table830[[#This Row],[Credit +]]-Table830[[#This Row],[Debit -]],0)</f>
        <v>400</v>
      </c>
      <c r="AD17" s="34" t="str">
        <f>IFERROR(IF(AND(OR(Table830[[#This Row],[Classification]]="Expense",Table830[[#This Row],[Classification]]="Cost of Goods Sold"),Table830[[#This Row],[Debit\]]&gt;Table830[[#This Row],[Credit.]]),Table830[[#This Row],[Debit\]]-Table830[[#This Row],[Credit.]],""),"")</f>
        <v/>
      </c>
      <c r="AE17" s="34" t="str">
        <f>IFERROR(IF(AND(OR(Table830[[#This Row],[Classification]]="Income",Table830[[#This Row],[Classification]]="Cost of Goods Sold"),Table830[[#This Row],[Credit.]]&gt;Table830[[#This Row],[Debit\]]),Table830[[#This Row],[Credit.]]-Table830[[#This Row],[Debit\]],""),"")</f>
        <v/>
      </c>
      <c r="AF17" s="34"/>
      <c r="AG17" s="34" t="str">
        <f>IFERROR(IF(AND(Table830[[#This Row],[Classification]]="Assets",Table830[[#This Row],[Debit\]]-Table830[[#This Row],[Credit.]]),Table830[[#This Row],[Debit\]]-Table830[[#This Row],[Credit.]],""),"")</f>
        <v/>
      </c>
      <c r="AH17" s="34">
        <f>IFERROR(IF(AND(OR(Table830[[#This Row],[Classification]]="Liabilities",Table830[[#This Row],[Classification]]="Owner´s Equity"),Table830[[#This Row],[Credit.]]&gt;Table830[[#This Row],[Debit\]]),Table830[[#This Row],[Credit.]]-Table830[[#This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IFERROR(SUMIF(Table427[,],Table629[[#This Row],[Accounts Name]],Table427[,3]),"")</f>
        <v>165000</v>
      </c>
      <c r="P18" s="34">
        <f>IFERROR(SUMIF(Table427[,],Table629[[#This Row],[Accounts Name]],Table427[,2]),"")</f>
        <v>0</v>
      </c>
      <c r="S18" s="36">
        <f t="shared" si="0"/>
        <v>11</v>
      </c>
      <c r="T18" s="34"/>
      <c r="U18" s="37" t="s">
        <v>210</v>
      </c>
      <c r="V18" s="34">
        <f>IFERROR(SUMIF(Table629[Sub-Accounts],Table830[[#This Row],[Update your chart of accounts here]],Table629[Debit]),"")</f>
        <v>0</v>
      </c>
      <c r="W18" s="34">
        <f>IFERROR(SUMIF(Table629[Sub-Accounts],Table830[[#This Row],[Update your chart of accounts here]],Table629[Credit]),"")</f>
        <v>0</v>
      </c>
      <c r="X18" s="34"/>
      <c r="Y18" s="34"/>
      <c r="Z18" s="34"/>
      <c r="AA18" s="34"/>
      <c r="AB18" s="34">
        <f>MAX(Table830[[#This Row],[Debit]]+Table830[[#This Row],[Debit -]]-Table830[[#This Row],[Credit]]-Table830[[#This Row],[Credit +]],0)</f>
        <v>0</v>
      </c>
      <c r="AC18" s="34">
        <f>MAX(Table830[[#This Row],[Credit]]-Table830[[#This Row],[Debit]]+Table830[[#This Row],[Credit +]]-Table830[[#This Row],[Debit -]],0)</f>
        <v>0</v>
      </c>
      <c r="AD18" s="34" t="str">
        <f>IFERROR(IF(AND(OR(Table830[[#This Row],[Classification]]="Expense",Table830[[#This Row],[Classification]]="Cost of Goods Sold"),Table830[[#This Row],[Debit\]]&gt;Table830[[#This Row],[Credit.]]),Table830[[#This Row],[Debit\]]-Table830[[#This Row],[Credit.]],""),"")</f>
        <v/>
      </c>
      <c r="AE18" s="34" t="str">
        <f>IFERROR(IF(AND(OR(Table830[[#This Row],[Classification]]="Income",Table830[[#This Row],[Classification]]="Cost of Goods Sold"),Table830[[#This Row],[Credit.]]&gt;Table830[[#This Row],[Debit\]]),Table830[[#This Row],[Credit.]]-Table830[[#This Row],[Debit\]],""),"")</f>
        <v/>
      </c>
      <c r="AF18" s="34"/>
      <c r="AG18" s="34" t="str">
        <f>IFERROR(IF(AND(Table830[[#This Row],[Classification]]="Assets",Table830[[#This Row],[Debit\]]-Table830[[#This Row],[Credit.]]),Table830[[#This Row],[Debit\]]-Table830[[#This Row],[Credit.]],""),"")</f>
        <v/>
      </c>
      <c r="AH18" s="34" t="str">
        <f>IFERROR(IF(AND(OR(Table830[[#This Row],[Classification]]="Liabilities",Table830[[#This Row],[Classification]]="Owner´s Equity"),Table830[[#This Row],[Credit.]]&gt;Table830[[#This Row],[Debit\]]),Table830[[#This Row],[Credit.]]-Table830[[#This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IFERROR(SUMIF(Table427[,],Table629[[#This Row],[Accounts Name]],Table427[,3]),"")</f>
        <v>676160</v>
      </c>
      <c r="P19" s="34">
        <f>IFERROR(SUMIF(Table427[,],Table629[[#This Row],[Accounts Name]],Table427[,2]),"")</f>
        <v>0</v>
      </c>
      <c r="S19" s="36">
        <f t="shared" si="0"/>
        <v>12</v>
      </c>
      <c r="T19" s="34"/>
      <c r="U19" s="37" t="s">
        <v>211</v>
      </c>
      <c r="V19" s="34">
        <f>IFERROR(SUMIF(Table629[Sub-Accounts],Table830[[#This Row],[Update your chart of accounts here]],Table629[Debit]),"")</f>
        <v>0</v>
      </c>
      <c r="W19" s="34">
        <f>IFERROR(SUMIF(Table629[Sub-Accounts],Table830[[#This Row],[Update your chart of accounts here]],Table629[Credit]),"")</f>
        <v>0</v>
      </c>
      <c r="X19" s="34"/>
      <c r="Y19" s="34"/>
      <c r="Z19" s="34"/>
      <c r="AA19" s="34"/>
      <c r="AB19" s="34">
        <f>MAX(Table830[[#This Row],[Debit]]+Table830[[#This Row],[Debit -]]-Table830[[#This Row],[Credit]]-Table830[[#This Row],[Credit +]],0)</f>
        <v>0</v>
      </c>
      <c r="AC19" s="34">
        <f>MAX(Table830[[#This Row],[Credit]]-Table830[[#This Row],[Debit]]+Table830[[#This Row],[Credit +]]-Table830[[#This Row],[Debit -]],0)</f>
        <v>0</v>
      </c>
      <c r="AD19" s="34" t="str">
        <f>IFERROR(IF(AND(OR(Table830[[#This Row],[Classification]]="Expense",Table830[[#This Row],[Classification]]="Cost of Goods Sold"),Table830[[#This Row],[Debit\]]&gt;Table830[[#This Row],[Credit.]]),Table830[[#This Row],[Debit\]]-Table830[[#This Row],[Credit.]],""),"")</f>
        <v/>
      </c>
      <c r="AE19" s="34" t="str">
        <f>IFERROR(IF(AND(OR(Table830[[#This Row],[Classification]]="Income",Table830[[#This Row],[Classification]]="Cost of Goods Sold"),Table830[[#This Row],[Credit.]]&gt;Table830[[#This Row],[Debit\]]),Table830[[#This Row],[Credit.]]-Table830[[#This Row],[Debit\]],""),"")</f>
        <v/>
      </c>
      <c r="AF19" s="34"/>
      <c r="AG19" s="34" t="str">
        <f>IFERROR(IF(AND(Table830[[#This Row],[Classification]]="Assets",Table830[[#This Row],[Debit\]]-Table830[[#This Row],[Credit.]]),Table830[[#This Row],[Debit\]]-Table830[[#This Row],[Credit.]],""),"")</f>
        <v/>
      </c>
      <c r="AH19" s="34" t="str">
        <f>IFERROR(IF(AND(OR(Table830[[#This Row],[Classification]]="Liabilities",Table830[[#This Row],[Classification]]="Owner´s Equity"),Table830[[#This Row],[Credit.]]&gt;Table830[[#This Row],[Debit\]]),Table830[[#This Row],[Credit.]]-Table830[[#This Row],[Debit\]],""),"")</f>
        <v/>
      </c>
    </row>
    <row r="20" spans="2:34" hidden="1" x14ac:dyDescent="0.25">
      <c r="B20" s="34"/>
      <c r="C20" s="37" t="s">
        <v>74</v>
      </c>
      <c r="D20" s="34">
        <v>676160</v>
      </c>
      <c r="E20" s="34"/>
      <c r="G20" s="39"/>
      <c r="H20" s="43" t="s">
        <v>187</v>
      </c>
      <c r="I20" s="41"/>
      <c r="J20" s="41"/>
      <c r="L20" s="34">
        <v>13</v>
      </c>
      <c r="M20" s="35" t="s">
        <v>143</v>
      </c>
      <c r="N20" s="35" t="s">
        <v>75</v>
      </c>
      <c r="O20" s="34">
        <f>IFERROR(SUMIF(Table427[,],Table629[[#This Row],[Accounts Name]],Table427[,3]),"")</f>
        <v>0</v>
      </c>
      <c r="P20" s="34">
        <f>IFERROR(SUMIF(Table427[,],Table629[[#This Row],[Accounts Name]],Table427[,2]),"")</f>
        <v>654898</v>
      </c>
      <c r="S20" s="36">
        <f t="shared" si="0"/>
        <v>13</v>
      </c>
      <c r="T20" s="34"/>
      <c r="U20" s="37" t="s">
        <v>212</v>
      </c>
      <c r="V20" s="34">
        <f>IFERROR(SUMIF(Table629[Sub-Accounts],Table830[[#This Row],[Update your chart of accounts here]],Table629[Debit]),"")</f>
        <v>0</v>
      </c>
      <c r="W20" s="34">
        <f>IFERROR(SUMIF(Table629[Sub-Accounts],Table830[[#This Row],[Update your chart of accounts here]],Table629[Credit]),"")</f>
        <v>0</v>
      </c>
      <c r="X20" s="34"/>
      <c r="Y20" s="34"/>
      <c r="Z20" s="34"/>
      <c r="AA20" s="34"/>
      <c r="AB20" s="34">
        <f>MAX(Table830[[#This Row],[Debit]]+Table830[[#This Row],[Debit -]]-Table830[[#This Row],[Credit]]-Table830[[#This Row],[Credit +]],0)</f>
        <v>0</v>
      </c>
      <c r="AC20" s="34">
        <f>MAX(Table830[[#This Row],[Credit]]-Table830[[#This Row],[Debit]]+Table830[[#This Row],[Credit +]]-Table830[[#This Row],[Debit -]],0)</f>
        <v>0</v>
      </c>
      <c r="AD20" s="34" t="str">
        <f>IFERROR(IF(AND(OR(Table830[[#This Row],[Classification]]="Expense",Table830[[#This Row],[Classification]]="Cost of Goods Sold"),Table830[[#This Row],[Debit\]]&gt;Table830[[#This Row],[Credit.]]),Table830[[#This Row],[Debit\]]-Table830[[#This Row],[Credit.]],""),"")</f>
        <v/>
      </c>
      <c r="AE20" s="34" t="str">
        <f>IFERROR(IF(AND(OR(Table830[[#This Row],[Classification]]="Income",Table830[[#This Row],[Classification]]="Cost of Goods Sold"),Table830[[#This Row],[Credit.]]&gt;Table830[[#This Row],[Debit\]]),Table830[[#This Row],[Credit.]]-Table830[[#This Row],[Debit\]],""),"")</f>
        <v/>
      </c>
      <c r="AF20" s="34"/>
      <c r="AG20" s="34" t="str">
        <f>IFERROR(IF(AND(Table830[[#This Row],[Classification]]="Assets",Table830[[#This Row],[Debit\]]-Table830[[#This Row],[Credit.]]),Table830[[#This Row],[Debit\]]-Table830[[#This Row],[Credit.]],""),"")</f>
        <v/>
      </c>
      <c r="AH20" s="34" t="str">
        <f>IFERROR(IF(AND(OR(Table830[[#This Row],[Classification]]="Liabilities",Table830[[#This Row],[Classification]]="Owner´s Equity"),Table830[[#This Row],[Credit.]]&gt;Table830[[#This Row],[Debit\]]),Table830[[#This Row],[Credit.]]-Table830[[#This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IFERROR(SUMIF(Table427[,],Table629[[#This Row],[Accounts Name]],Table427[,3]),"")</f>
        <v>828735.28</v>
      </c>
      <c r="P21" s="34">
        <f>IFERROR(SUMIF(Table427[,],Table629[[#This Row],[Accounts Name]],Table427[,2]),"")</f>
        <v>0</v>
      </c>
      <c r="S21" s="36">
        <f t="shared" si="0"/>
        <v>14</v>
      </c>
      <c r="T21" s="34"/>
      <c r="U21" s="37" t="s">
        <v>213</v>
      </c>
      <c r="V21" s="34">
        <f>IFERROR(SUMIF(Table629[Sub-Accounts],Table830[[#This Row],[Update your chart of accounts here]],Table629[Debit]),"")</f>
        <v>0</v>
      </c>
      <c r="W21" s="34">
        <f>IFERROR(SUMIF(Table629[Sub-Accounts],Table830[[#This Row],[Update your chart of accounts here]],Table629[Credit]),"")</f>
        <v>0</v>
      </c>
      <c r="X21" s="34"/>
      <c r="Y21" s="34"/>
      <c r="Z21" s="34"/>
      <c r="AA21" s="34"/>
      <c r="AB21" s="34">
        <f>MAX(Table830[[#This Row],[Debit]]+Table830[[#This Row],[Debit -]]-Table830[[#This Row],[Credit]]-Table830[[#This Row],[Credit +]],0)</f>
        <v>0</v>
      </c>
      <c r="AC21" s="34">
        <f>MAX(Table830[[#This Row],[Credit]]-Table830[[#This Row],[Debit]]+Table830[[#This Row],[Credit +]]-Table830[[#This Row],[Debit -]],0)</f>
        <v>0</v>
      </c>
      <c r="AD21" s="34" t="str">
        <f>IFERROR(IF(AND(OR(Table830[[#This Row],[Classification]]="Expense",Table830[[#This Row],[Classification]]="Cost of Goods Sold"),Table830[[#This Row],[Debit\]]&gt;Table830[[#This Row],[Credit.]]),Table830[[#This Row],[Debit\]]-Table830[[#This Row],[Credit.]],""),"")</f>
        <v/>
      </c>
      <c r="AE21" s="34" t="str">
        <f>IFERROR(IF(AND(OR(Table830[[#This Row],[Classification]]="Income",Table830[[#This Row],[Classification]]="Cost of Goods Sold"),Table830[[#This Row],[Credit.]]&gt;Table830[[#This Row],[Debit\]]),Table830[[#This Row],[Credit.]]-Table830[[#This Row],[Debit\]],""),"")</f>
        <v/>
      </c>
      <c r="AF21" s="34"/>
      <c r="AG21" s="34" t="str">
        <f>IFERROR(IF(AND(Table830[[#This Row],[Classification]]="Assets",Table830[[#This Row],[Debit\]]-Table830[[#This Row],[Credit.]]),Table830[[#This Row],[Debit\]]-Table830[[#This Row],[Credit.]],""),"")</f>
        <v/>
      </c>
      <c r="AH21" s="34" t="str">
        <f>IFERROR(IF(AND(OR(Table830[[#This Row],[Classification]]="Liabilities",Table830[[#This Row],[Classification]]="Owner´s Equity"),Table830[[#This Row],[Credit.]]&gt;Table830[[#This Row],[Debit\]]),Table830[[#This Row],[Credit.]]-Table830[[#This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IFERROR(SUMIF(Table427[,],Table629[[#This Row],[Accounts Name]],Table427[,3]),"")</f>
        <v>0</v>
      </c>
      <c r="P22" s="34">
        <f>IFERROR(SUMIF(Table427[,],Table629[[#This Row],[Accounts Name]],Table427[,2]),"")</f>
        <v>347656</v>
      </c>
      <c r="S22" s="36">
        <f t="shared" si="0"/>
        <v>15</v>
      </c>
      <c r="T22" s="34" t="s">
        <v>11</v>
      </c>
      <c r="U22" s="37" t="s">
        <v>144</v>
      </c>
      <c r="V22" s="34">
        <f>IFERROR(SUMIF(Table629[Sub-Accounts],Table830[[#This Row],[Update your chart of accounts here]],Table629[Debit]),"")</f>
        <v>2228108</v>
      </c>
      <c r="W22" s="34">
        <f>IFERROR(SUMIF(Table629[Sub-Accounts],Table830[[#This Row],[Update your chart of accounts here]],Table629[Credit]),"")</f>
        <v>0</v>
      </c>
      <c r="X22" s="34"/>
      <c r="Y22" s="34" t="s">
        <v>227</v>
      </c>
      <c r="Z22" s="34"/>
      <c r="AA22" s="34">
        <f>J19</f>
        <v>50000</v>
      </c>
      <c r="AB22" s="34">
        <f>MAX(Table830[[#This Row],[Debit]]+Table830[[#This Row],[Debit -]]-Table830[[#This Row],[Credit]]-Table830[[#This Row],[Credit +]],0)</f>
        <v>2178108</v>
      </c>
      <c r="AC22" s="34">
        <f>MAX(Table830[[#This Row],[Credit]]-Table830[[#This Row],[Debit]]+Table830[[#This Row],[Credit +]]-Table830[[#This Row],[Debit -]],0)</f>
        <v>0</v>
      </c>
      <c r="AD22" s="34" t="str">
        <f>IFERROR(IF(AND(OR(Table830[[#This Row],[Classification]]="Expense",Table830[[#This Row],[Classification]]="Cost of Goods Sold"),Table830[[#This Row],[Debit\]]&gt;Table830[[#This Row],[Credit.]]),Table830[[#This Row],[Debit\]]-Table830[[#This Row],[Credit.]],""),"")</f>
        <v/>
      </c>
      <c r="AE22" s="34" t="str">
        <f>IFERROR(IF(AND(OR(Table830[[#This Row],[Classification]]="Income",Table830[[#This Row],[Classification]]="Cost of Goods Sold"),Table830[[#This Row],[Credit.]]&gt;Table830[[#This Row],[Debit\]]),Table830[[#This Row],[Credit.]]-Table830[[#This Row],[Debit\]],""),"")</f>
        <v/>
      </c>
      <c r="AF22" s="34"/>
      <c r="AG22" s="34">
        <f>IFERROR(IF(AND(Table830[[#This Row],[Classification]]="Assets",Table830[[#This Row],[Debit\]]-Table830[[#This Row],[Credit.]]),Table830[[#This Row],[Debit\]]-Table830[[#This Row],[Credit.]],""),"")</f>
        <v>2178108</v>
      </c>
      <c r="AH22" s="34" t="str">
        <f>IFERROR(IF(AND(OR(Table830[[#This Row],[Classification]]="Liabilities",Table830[[#This Row],[Classification]]="Owner´s Equity"),Table830[[#This Row],[Credit.]]&gt;Table830[[#This Row],[Debit\]]),Table830[[#This Row],[Credit.]]-Table830[[#This Row],[Debit\]],""),"")</f>
        <v/>
      </c>
    </row>
    <row r="23" spans="2:34" hidden="1" x14ac:dyDescent="0.25">
      <c r="B23" s="34"/>
      <c r="C23" s="37" t="s">
        <v>77</v>
      </c>
      <c r="D23" s="34"/>
      <c r="E23" s="34">
        <v>347656</v>
      </c>
      <c r="G23" s="39"/>
      <c r="H23" s="43" t="s">
        <v>188</v>
      </c>
      <c r="I23" s="41"/>
      <c r="J23" s="41"/>
      <c r="L23" s="34">
        <v>16</v>
      </c>
      <c r="M23" s="35" t="s">
        <v>143</v>
      </c>
      <c r="N23" s="35" t="s">
        <v>78</v>
      </c>
      <c r="O23" s="34">
        <f>IFERROR(SUMIF(Table427[,],Table629[[#This Row],[Accounts Name]],Table427[,3]),"")</f>
        <v>1150000</v>
      </c>
      <c r="P23" s="34">
        <f>IFERROR(SUMIF(Table427[,],Table629[[#This Row],[Accounts Name]],Table427[,2]),"")</f>
        <v>0</v>
      </c>
      <c r="S23" s="36">
        <f t="shared" si="0"/>
        <v>16</v>
      </c>
      <c r="T23" s="34"/>
      <c r="U23" s="37" t="s">
        <v>214</v>
      </c>
      <c r="V23" s="34">
        <f>IFERROR(SUMIF(Table629[Sub-Accounts],Table830[[#This Row],[Update your chart of accounts here]],Table629[Debit]),"")</f>
        <v>0</v>
      </c>
      <c r="W23" s="34">
        <f>IFERROR(SUMIF(Table629[Sub-Accounts],Table830[[#This Row],[Update your chart of accounts here]],Table629[Credit]),"")</f>
        <v>0</v>
      </c>
      <c r="X23" s="34"/>
      <c r="Y23" s="34"/>
      <c r="Z23" s="34"/>
      <c r="AA23" s="34"/>
      <c r="AB23" s="34">
        <f>MAX(Table830[[#This Row],[Debit]]+Table830[[#This Row],[Debit -]]-Table830[[#This Row],[Credit]]-Table830[[#This Row],[Credit +]],0)</f>
        <v>0</v>
      </c>
      <c r="AC23" s="34">
        <f>MAX(Table830[[#This Row],[Credit]]-Table830[[#This Row],[Debit]]+Table830[[#This Row],[Credit +]]-Table830[[#This Row],[Debit -]],0)</f>
        <v>0</v>
      </c>
      <c r="AD23" s="34" t="str">
        <f>IFERROR(IF(AND(OR(Table830[[#This Row],[Classification]]="Expense",Table830[[#This Row],[Classification]]="Cost of Goods Sold"),Table830[[#This Row],[Debit\]]&gt;Table830[[#This Row],[Credit.]]),Table830[[#This Row],[Debit\]]-Table830[[#This Row],[Credit.]],""),"")</f>
        <v/>
      </c>
      <c r="AE23" s="34" t="str">
        <f>IFERROR(IF(AND(OR(Table830[[#This Row],[Classification]]="Income",Table830[[#This Row],[Classification]]="Cost of Goods Sold"),Table830[[#This Row],[Credit.]]&gt;Table830[[#This Row],[Debit\]]),Table830[[#This Row],[Credit.]]-Table830[[#This Row],[Debit\]],""),"")</f>
        <v/>
      </c>
      <c r="AF23" s="34"/>
      <c r="AG23" s="34" t="str">
        <f>IFERROR(IF(AND(Table830[[#This Row],[Classification]]="Assets",Table830[[#This Row],[Debit\]]-Table830[[#This Row],[Credit.]]),Table830[[#This Row],[Debit\]]-Table830[[#This Row],[Credit.]],""),"")</f>
        <v/>
      </c>
      <c r="AH23" s="34" t="str">
        <f>IFERROR(IF(AND(OR(Table830[[#This Row],[Classification]]="Liabilities",Table830[[#This Row],[Classification]]="Owner´s Equity"),Table830[[#This Row],[Credit.]]&gt;Table830[[#This Row],[Debit\]]),Table830[[#This Row],[Credit.]]-Table830[[#This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IFERROR(SUMIF(Table427[,],Table629[[#This Row],[Accounts Name]],Table427[,3]),"")</f>
        <v>375657</v>
      </c>
      <c r="P24" s="34">
        <f>IFERROR(SUMIF(Table427[,],Table629[[#This Row],[Accounts Name]],Table427[,2]),"")</f>
        <v>0</v>
      </c>
      <c r="S24" s="36">
        <f t="shared" si="0"/>
        <v>17</v>
      </c>
      <c r="T24" s="34" t="s">
        <v>48</v>
      </c>
      <c r="U24" s="37" t="s">
        <v>145</v>
      </c>
      <c r="V24" s="34">
        <f>IFERROR(SUMIF(Table629[Sub-Accounts],Table830[[#This Row],[Update your chart of accounts here]],Table629[Debit]),"")</f>
        <v>0</v>
      </c>
      <c r="W24" s="34">
        <f>IFERROR(SUMIF(Table629[Sub-Accounts],Table830[[#This Row],[Update your chart of accounts here]],Table629[Credit]),"")</f>
        <v>11852079.26</v>
      </c>
      <c r="X24" s="34"/>
      <c r="Y24" s="34" t="s">
        <v>226</v>
      </c>
      <c r="Z24" s="34">
        <f>I16</f>
        <v>1000000</v>
      </c>
      <c r="AA24" s="34"/>
      <c r="AB24" s="34">
        <f>MAX(Table830[[#This Row],[Debit]]+Table830[[#This Row],[Debit -]]-Table830[[#This Row],[Credit]]-Table830[[#This Row],[Credit +]],0)</f>
        <v>0</v>
      </c>
      <c r="AC24" s="34">
        <f>MAX(Table830[[#This Row],[Credit]]-Table830[[#This Row],[Debit]]+Table830[[#This Row],[Credit +]]-Table830[[#This Row],[Debit -]],0)</f>
        <v>10852079.26</v>
      </c>
      <c r="AD24" s="34" t="str">
        <f>IFERROR(IF(AND(OR(Table830[[#This Row],[Classification]]="Expense",Table830[[#This Row],[Classification]]="Cost of Goods Sold"),Table830[[#This Row],[Debit\]]&gt;Table830[[#This Row],[Credit.]]),Table830[[#This Row],[Debit\]]-Table830[[#This Row],[Credit.]],""),"")</f>
        <v/>
      </c>
      <c r="AE24" s="34" t="str">
        <f>IFERROR(IF(AND(OR(Table830[[#This Row],[Classification]]="Income",Table830[[#This Row],[Classification]]="Cost of Goods Sold"),Table830[[#This Row],[Credit.]]&gt;Table830[[#This Row],[Debit\]]),Table830[[#This Row],[Credit.]]-Table830[[#This Row],[Debit\]],""),"")</f>
        <v/>
      </c>
      <c r="AF24" s="34"/>
      <c r="AG24" s="34" t="str">
        <f>IFERROR(IF(AND(Table830[[#This Row],[Classification]]="Assets",Table830[[#This Row],[Debit\]]-Table830[[#This Row],[Credit.]]),Table830[[#This Row],[Debit\]]-Table830[[#This Row],[Credit.]],""),"")</f>
        <v/>
      </c>
      <c r="AH24" s="34">
        <f>IFERROR(IF(AND(OR(Table830[[#This Row],[Classification]]="Liabilities",Table830[[#This Row],[Classification]]="Owner´s Equity"),Table830[[#This Row],[Credit.]]&gt;Table830[[#This Row],[Debit\]]),Table830[[#This Row],[Credit.]]-Table830[[#This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IFERROR(SUMIF(Table427[,],Table629[[#This Row],[Accounts Name]],Table427[,3]),"")</f>
        <v>0</v>
      </c>
      <c r="P25" s="34">
        <f>IFERROR(SUMIF(Table427[,],Table629[[#This Row],[Accounts Name]],Table427[,2]),"")</f>
        <v>288789</v>
      </c>
      <c r="S25" s="36">
        <f t="shared" si="0"/>
        <v>18</v>
      </c>
      <c r="T25" s="34"/>
      <c r="U25" s="37" t="s">
        <v>215</v>
      </c>
      <c r="V25" s="34">
        <f>IFERROR(SUMIF(Table629[Sub-Accounts],Table830[[#This Row],[Update your chart of accounts here]],Table629[Debit]),"")</f>
        <v>0</v>
      </c>
      <c r="W25" s="34">
        <f>IFERROR(SUMIF(Table629[Sub-Accounts],Table830[[#This Row],[Update your chart of accounts here]],Table629[Credit]),"")</f>
        <v>0</v>
      </c>
      <c r="X25" s="34"/>
      <c r="Y25" s="34"/>
      <c r="Z25" s="34"/>
      <c r="AA25" s="34"/>
      <c r="AB25" s="34">
        <f>MAX(Table830[[#This Row],[Debit]]+Table830[[#This Row],[Debit -]]-Table830[[#This Row],[Credit]]-Table830[[#This Row],[Credit +]],0)</f>
        <v>0</v>
      </c>
      <c r="AC25" s="34">
        <f>MAX(Table830[[#This Row],[Credit]]-Table830[[#This Row],[Debit]]+Table830[[#This Row],[Credit +]]-Table830[[#This Row],[Debit -]],0)</f>
        <v>0</v>
      </c>
      <c r="AD25" s="34" t="str">
        <f>IFERROR(IF(AND(OR(Table830[[#This Row],[Classification]]="Expense",Table830[[#This Row],[Classification]]="Cost of Goods Sold"),Table830[[#This Row],[Debit\]]&gt;Table830[[#This Row],[Credit.]]),Table830[[#This Row],[Debit\]]-Table830[[#This Row],[Credit.]],""),"")</f>
        <v/>
      </c>
      <c r="AE25" s="34" t="str">
        <f>IFERROR(IF(AND(OR(Table830[[#This Row],[Classification]]="Income",Table830[[#This Row],[Classification]]="Cost of Goods Sold"),Table830[[#This Row],[Credit.]]&gt;Table830[[#This Row],[Debit\]]),Table830[[#This Row],[Credit.]]-Table830[[#This Row],[Debit\]],""),"")</f>
        <v/>
      </c>
      <c r="AF25" s="34"/>
      <c r="AG25" s="34" t="str">
        <f>IFERROR(IF(AND(Table830[[#This Row],[Classification]]="Assets",Table830[[#This Row],[Debit\]]-Table830[[#This Row],[Credit.]]),Table830[[#This Row],[Debit\]]-Table830[[#This Row],[Credit.]],""),"")</f>
        <v/>
      </c>
      <c r="AH25" s="34" t="str">
        <f>IFERROR(IF(AND(OR(Table830[[#This Row],[Classification]]="Liabilities",Table830[[#This Row],[Classification]]="Owner´s Equity"),Table830[[#This Row],[Credit.]]&gt;Table830[[#This Row],[Debit\]]),Table830[[#This Row],[Credit.]]-Table830[[#This Row],[Debit\]],""),"")</f>
        <v/>
      </c>
    </row>
    <row r="26" spans="2:34" hidden="1" x14ac:dyDescent="0.25">
      <c r="B26" s="34"/>
      <c r="C26" s="37" t="s">
        <v>80</v>
      </c>
      <c r="D26" s="34"/>
      <c r="E26" s="34">
        <v>288789</v>
      </c>
      <c r="G26" s="39"/>
      <c r="H26" s="43" t="s">
        <v>189</v>
      </c>
      <c r="I26" s="41"/>
      <c r="J26" s="41"/>
      <c r="L26" s="34">
        <v>19</v>
      </c>
      <c r="M26" s="35" t="s">
        <v>143</v>
      </c>
      <c r="N26" s="35" t="s">
        <v>81</v>
      </c>
      <c r="O26" s="34">
        <f>IFERROR(SUMIF(Table427[,],Table629[[#This Row],[Accounts Name]],Table427[,3]),"")</f>
        <v>975000</v>
      </c>
      <c r="P26" s="34">
        <f>IFERROR(SUMIF(Table427[,],Table629[[#This Row],[Accounts Name]],Table427[,2]),"")</f>
        <v>0</v>
      </c>
      <c r="S26" s="36">
        <f t="shared" si="0"/>
        <v>19</v>
      </c>
      <c r="T26" s="34" t="s">
        <v>62</v>
      </c>
      <c r="U26" s="37" t="s">
        <v>62</v>
      </c>
      <c r="V26" s="34">
        <f>IFERROR(SUMIF(Table629[Sub-Accounts],Table830[[#This Row],[Update your chart of accounts here]],Table629[Debit]),"")</f>
        <v>0</v>
      </c>
      <c r="W26" s="34">
        <f>IFERROR(SUMIF(Table629[Sub-Accounts],Table830[[#This Row],[Update your chart of accounts here]],Table629[Credit]),"")</f>
        <v>332888373.44999999</v>
      </c>
      <c r="X26" s="34"/>
      <c r="Y26" s="34" t="s">
        <v>228</v>
      </c>
      <c r="Z26" s="34">
        <f>I24</f>
        <v>21</v>
      </c>
      <c r="AA26" s="34"/>
      <c r="AB26" s="34">
        <f>MAX(Table830[[#This Row],[Debit]]+Table830[[#This Row],[Debit -]]-Table830[[#This Row],[Credit]]-Table830[[#This Row],[Credit +]],0)</f>
        <v>0</v>
      </c>
      <c r="AC26" s="34">
        <f>MAX(Table830[[#This Row],[Credit]]-Table830[[#This Row],[Debit]]+Table830[[#This Row],[Credit +]]-Table830[[#This Row],[Debit -]],0)</f>
        <v>332888352.44999999</v>
      </c>
      <c r="AD26" s="34" t="str">
        <f>IFERROR(IF(AND(OR(Table830[[#This Row],[Classification]]="Expense",Table830[[#This Row],[Classification]]="Cost of Goods Sold"),Table830[[#This Row],[Debit\]]&gt;Table830[[#This Row],[Credit.]]),Table830[[#This Row],[Debit\]]-Table830[[#This Row],[Credit.]],""),"")</f>
        <v/>
      </c>
      <c r="AE26" s="34">
        <f>IFERROR(IF(AND(OR(Table830[[#This Row],[Classification]]="Income",Table830[[#This Row],[Classification]]="Cost of Goods Sold"),Table830[[#This Row],[Credit.]]&gt;Table830[[#This Row],[Debit\]]),Table830[[#This Row],[Credit.]]-Table830[[#This Row],[Debit\]],""),"")</f>
        <v>332888352.44999999</v>
      </c>
      <c r="AF26" s="34"/>
      <c r="AG26" s="34" t="str">
        <f>IFERROR(IF(AND(Table830[[#This Row],[Classification]]="Assets",Table830[[#This Row],[Debit\]]-Table830[[#This Row],[Credit.]]),Table830[[#This Row],[Debit\]]-Table830[[#This Row],[Credit.]],""),"")</f>
        <v/>
      </c>
      <c r="AH26" s="34" t="str">
        <f>IFERROR(IF(AND(OR(Table830[[#This Row],[Classification]]="Liabilities",Table830[[#This Row],[Classification]]="Owner´s Equity"),Table830[[#This Row],[Credit.]]&gt;Table830[[#This Row],[Debit\]]),Table830[[#This Row],[Credit.]]-Table830[[#This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IFERROR(SUMIF(Table427[,],Table629[[#This Row],[Accounts Name]],Table427[,3]),"")</f>
        <v>0</v>
      </c>
      <c r="P27" s="34">
        <f>IFERROR(SUMIF(Table427[,],Table629[[#This Row],[Accounts Name]],Table427[,2]),"")</f>
        <v>426561</v>
      </c>
      <c r="S27" s="36">
        <f t="shared" si="0"/>
        <v>20</v>
      </c>
      <c r="T27" s="34" t="s">
        <v>62</v>
      </c>
      <c r="U27" s="37" t="s">
        <v>216</v>
      </c>
      <c r="V27" s="34">
        <f>IFERROR(SUMIF(Table629[Sub-Accounts],Table830[[#This Row],[Update your chart of accounts here]],Table629[Debit]),"")</f>
        <v>0</v>
      </c>
      <c r="W27" s="34">
        <f>IFERROR(SUMIF(Table629[Sub-Accounts],Table830[[#This Row],[Update your chart of accounts here]],Table629[Credit]),"")</f>
        <v>0</v>
      </c>
      <c r="X27" s="34"/>
      <c r="Y27" s="34" t="s">
        <v>225</v>
      </c>
      <c r="Z27" s="34"/>
      <c r="AA27" s="34">
        <f>J13</f>
        <v>251563</v>
      </c>
      <c r="AB27" s="34">
        <f>MAX(Table830[[#This Row],[Debit]]+Table830[[#This Row],[Debit -]]-Table830[[#This Row],[Credit]]-Table830[[#This Row],[Credit +]],0)</f>
        <v>0</v>
      </c>
      <c r="AC27" s="34">
        <f>MAX(Table830[[#This Row],[Credit]]-Table830[[#This Row],[Debit]]+Table830[[#This Row],[Credit +]]-Table830[[#This Row],[Debit -]],0)</f>
        <v>251563</v>
      </c>
      <c r="AD27" s="34" t="str">
        <f>IFERROR(IF(AND(OR(Table830[[#This Row],[Classification]]="Expense",Table830[[#This Row],[Classification]]="Cost of Goods Sold"),Table830[[#This Row],[Debit\]]&gt;Table830[[#This Row],[Credit.]]),Table830[[#This Row],[Debit\]]-Table830[[#This Row],[Credit.]],""),"")</f>
        <v/>
      </c>
      <c r="AE27" s="34">
        <f>IFERROR(IF(AND(OR(Table830[[#This Row],[Classification]]="Income",Table830[[#This Row],[Classification]]="Cost of Goods Sold"),Table830[[#This Row],[Credit.]]&gt;Table830[[#This Row],[Debit\]]),Table830[[#This Row],[Credit.]]-Table830[[#This Row],[Debit\]],""),"")</f>
        <v>251563</v>
      </c>
      <c r="AF27" s="34"/>
      <c r="AG27" s="34" t="str">
        <f>IFERROR(IF(AND(Table830[[#This Row],[Classification]]="Assets",Table830[[#This Row],[Debit\]]-Table830[[#This Row],[Credit.]]),Table830[[#This Row],[Debit\]]-Table830[[#This Row],[Credit.]],""),"")</f>
        <v/>
      </c>
      <c r="AH27" s="34" t="str">
        <f>IFERROR(IF(AND(OR(Table830[[#This Row],[Classification]]="Liabilities",Table830[[#This Row],[Classification]]="Owner´s Equity"),Table830[[#This Row],[Credit.]]&gt;Table830[[#This Row],[Debit\]]),Table830[[#This Row],[Credit.]]-Table830[[#This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IFERROR(SUMIF(Table427[,],Table629[[#This Row],[Accounts Name]],Table427[,3]),"")</f>
        <v>350000</v>
      </c>
      <c r="P28" s="34">
        <f>IFERROR(SUMIF(Table427[,],Table629[[#This Row],[Accounts Name]],Table427[,2]),"")</f>
        <v>0</v>
      </c>
      <c r="S28" s="36">
        <f t="shared" si="0"/>
        <v>21</v>
      </c>
      <c r="T28" s="34" t="s">
        <v>6</v>
      </c>
      <c r="U28" s="37" t="s">
        <v>147</v>
      </c>
      <c r="V28" s="34">
        <f>IFERROR(SUMIF(Table629[Sub-Accounts],Table830[[#This Row],[Update your chart of accounts here]],Table629[Debit]),"")</f>
        <v>316209838.63</v>
      </c>
      <c r="W28" s="34">
        <f>IFERROR(SUMIF(Table629[Sub-Accounts],Table830[[#This Row],[Update your chart of accounts here]],Table629[Credit]),"")</f>
        <v>0</v>
      </c>
      <c r="X28" s="34"/>
      <c r="Y28" s="34" t="s">
        <v>231</v>
      </c>
      <c r="Z28" s="34">
        <f>I30</f>
        <v>1379881</v>
      </c>
      <c r="AA28" s="34"/>
      <c r="AB28" s="34">
        <f>MAX(Table830[[#This Row],[Debit]]+Table830[[#This Row],[Debit -]]-Table830[[#This Row],[Credit]]-Table830[[#This Row],[Credit +]],0)</f>
        <v>317589719.63</v>
      </c>
      <c r="AC28" s="34">
        <f>MAX(Table830[[#This Row],[Credit]]-Table830[[#This Row],[Debit]]+Table830[[#This Row],[Credit +]]-Table830[[#This Row],[Debit -]],0)</f>
        <v>0</v>
      </c>
      <c r="AD28" s="34">
        <f>IFERROR(IF(AND(OR(Table830[[#This Row],[Classification]]="Expense",Table830[[#This Row],[Classification]]="Cost of Goods Sold"),Table830[[#This Row],[Debit\]]&gt;Table830[[#This Row],[Credit.]]),Table830[[#This Row],[Debit\]]-Table830[[#This Row],[Credit.]],""),"")</f>
        <v>317589719.63</v>
      </c>
      <c r="AE28" s="34" t="str">
        <f>IFERROR(IF(AND(OR(Table830[[#This Row],[Classification]]="Income",Table830[[#This Row],[Classification]]="Cost of Goods Sold"),Table830[[#This Row],[Credit.]]&gt;Table830[[#This Row],[Debit\]]),Table830[[#This Row],[Credit.]]-Table830[[#This Row],[Debit\]],""),"")</f>
        <v/>
      </c>
      <c r="AF28" s="34"/>
      <c r="AG28" s="34" t="str">
        <f>IFERROR(IF(AND(Table830[[#This Row],[Classification]]="Assets",Table830[[#This Row],[Debit\]]-Table830[[#This Row],[Credit.]]),Table830[[#This Row],[Debit\]]-Table830[[#This Row],[Credit.]],""),"")</f>
        <v/>
      </c>
      <c r="AH28" s="34" t="str">
        <f>IFERROR(IF(AND(OR(Table830[[#This Row],[Classification]]="Liabilities",Table830[[#This Row],[Classification]]="Owner´s Equity"),Table830[[#This Row],[Credit.]]&gt;Table830[[#This Row],[Debit\]]),Table830[[#This Row],[Credit.]]-Table830[[#This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IFERROR(SUMIF(Table427[,],Table629[[#This Row],[Accounts Name]],Table427[,3]),"")</f>
        <v>0</v>
      </c>
      <c r="P29" s="34">
        <f>IFERROR(SUMIF(Table427[,],Table629[[#This Row],[Accounts Name]],Table427[,2]),"")</f>
        <v>4840392.6399999997</v>
      </c>
      <c r="S29" s="36">
        <f t="shared" si="0"/>
        <v>22</v>
      </c>
      <c r="T29" s="34" t="s">
        <v>61</v>
      </c>
      <c r="U29" s="37" t="s">
        <v>151</v>
      </c>
      <c r="V29" s="34">
        <f>IFERROR(SUMIF(Table629[Sub-Accounts],Table830[[#This Row],[Update your chart of accounts here]],Table629[Debit]),"")</f>
        <v>3516485</v>
      </c>
      <c r="W29" s="34">
        <f>IFERROR(SUMIF(Table629[Sub-Accounts],Table830[[#This Row],[Update your chart of accounts here]],Table629[Credit]),"")</f>
        <v>0</v>
      </c>
      <c r="X29" s="34"/>
      <c r="Y29" s="34"/>
      <c r="Z29" s="34"/>
      <c r="AA29" s="34"/>
      <c r="AB29" s="34">
        <f>MAX(Table830[[#This Row],[Debit]]+Table830[[#This Row],[Debit -]]-Table830[[#This Row],[Credit]]-Table830[[#This Row],[Credit +]],0)</f>
        <v>3516485</v>
      </c>
      <c r="AC29" s="34">
        <f>MAX(Table830[[#This Row],[Credit]]-Table830[[#This Row],[Debit]]+Table830[[#This Row],[Credit +]]-Table830[[#This Row],[Debit -]],0)</f>
        <v>0</v>
      </c>
      <c r="AD29" s="34">
        <f>IFERROR(IF(AND(OR(Table830[[#This Row],[Classification]]="Expense",Table830[[#This Row],[Classification]]="Cost of Goods Sold"),Table830[[#This Row],[Debit\]]&gt;Table830[[#This Row],[Credit.]]),Table830[[#This Row],[Debit\]]-Table830[[#This Row],[Credit.]],""),"")</f>
        <v>3516485</v>
      </c>
      <c r="AE29" s="34" t="str">
        <f>IFERROR(IF(AND(OR(Table830[[#This Row],[Classification]]="Income",Table830[[#This Row],[Classification]]="Cost of Goods Sold"),Table830[[#This Row],[Credit.]]&gt;Table830[[#This Row],[Debit\]]),Table830[[#This Row],[Credit.]]-Table830[[#This Row],[Debit\]],""),"")</f>
        <v/>
      </c>
      <c r="AF29" s="34"/>
      <c r="AG29" s="34" t="str">
        <f>IFERROR(IF(AND(Table830[[#This Row],[Classification]]="Assets",Table830[[#This Row],[Debit\]]-Table830[[#This Row],[Credit.]]),Table830[[#This Row],[Debit\]]-Table830[[#This Row],[Credit.]],""),"")</f>
        <v/>
      </c>
      <c r="AH29" s="34" t="str">
        <f>IFERROR(IF(AND(OR(Table830[[#This Row],[Classification]]="Liabilities",Table830[[#This Row],[Classification]]="Owner´s Equity"),Table830[[#This Row],[Credit.]]&gt;Table830[[#This Row],[Debit\]]),Table830[[#This Row],[Credit.]]-Table830[[#This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IFERROR(SUMIF(Table427[,],Table629[[#This Row],[Accounts Name]],Table427[,3]),"")</f>
        <v>0</v>
      </c>
      <c r="P30" s="34">
        <f>IFERROR(SUMIF(Table427[,],Table629[[#This Row],[Accounts Name]],Table427[,2]),"")</f>
        <v>175000</v>
      </c>
      <c r="S30" s="36">
        <f t="shared" si="0"/>
        <v>23</v>
      </c>
      <c r="T30" s="34" t="s">
        <v>61</v>
      </c>
      <c r="U30" s="37" t="s">
        <v>167</v>
      </c>
      <c r="V30" s="34">
        <f>IFERROR(SUMIF(Table629[Sub-Accounts],Table830[[#This Row],[Update your chart of accounts here]],Table629[Debit]),"")</f>
        <v>395822.76</v>
      </c>
      <c r="W30" s="34">
        <f>IFERROR(SUMIF(Table629[Sub-Accounts],Table830[[#This Row],[Update your chart of accounts here]],Table629[Credit]),"")</f>
        <v>0</v>
      </c>
      <c r="X30" s="34"/>
      <c r="Y30" s="34" t="s">
        <v>231</v>
      </c>
      <c r="Z30" s="34">
        <f>I29</f>
        <v>325745</v>
      </c>
      <c r="AA30" s="34"/>
      <c r="AB30" s="34">
        <f>MAX(Table830[[#This Row],[Debit]]+Table830[[#This Row],[Debit -]]-Table830[[#This Row],[Credit]]-Table830[[#This Row],[Credit +]],0)</f>
        <v>721567.76</v>
      </c>
      <c r="AC30" s="34">
        <f>MAX(Table830[[#This Row],[Credit]]-Table830[[#This Row],[Debit]]+Table830[[#This Row],[Credit +]]-Table830[[#This Row],[Debit -]],0)</f>
        <v>0</v>
      </c>
      <c r="AD30" s="34">
        <f>IFERROR(IF(AND(OR(Table830[[#This Row],[Classification]]="Expense",Table830[[#This Row],[Classification]]="Cost of Goods Sold"),Table830[[#This Row],[Debit\]]&gt;Table830[[#This Row],[Credit.]]),Table830[[#This Row],[Debit\]]-Table830[[#This Row],[Credit.]],""),"")</f>
        <v>721567.76</v>
      </c>
      <c r="AE30" s="34" t="str">
        <f>IFERROR(IF(AND(OR(Table830[[#This Row],[Classification]]="Income",Table830[[#This Row],[Classification]]="Cost of Goods Sold"),Table830[[#This Row],[Credit.]]&gt;Table830[[#This Row],[Debit\]]),Table830[[#This Row],[Credit.]]-Table830[[#This Row],[Debit\]],""),"")</f>
        <v/>
      </c>
      <c r="AF30" s="34"/>
      <c r="AG30" s="34" t="str">
        <f>IFERROR(IF(AND(Table830[[#This Row],[Classification]]="Assets",Table830[[#This Row],[Debit\]]-Table830[[#This Row],[Credit.]]),Table830[[#This Row],[Debit\]]-Table830[[#This Row],[Credit.]],""),"")</f>
        <v/>
      </c>
      <c r="AH30" s="34" t="str">
        <f>IFERROR(IF(AND(OR(Table830[[#This Row],[Classification]]="Liabilities",Table830[[#This Row],[Classification]]="Owner´s Equity"),Table830[[#This Row],[Credit.]]&gt;Table830[[#This Row],[Debit\]]),Table830[[#This Row],[Credit.]]-Table830[[#This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IFERROR(SUMIF(Table427[,],Table629[[#This Row],[Accounts Name]],Table427[,3]),"")</f>
        <v>0</v>
      </c>
      <c r="P31" s="34">
        <f>IFERROR(SUMIF(Table427[,],Table629[[#This Row],[Accounts Name]],Table427[,2]),"")</f>
        <v>100000</v>
      </c>
      <c r="S31" s="36">
        <f t="shared" si="0"/>
        <v>24</v>
      </c>
      <c r="T31" s="34" t="s">
        <v>61</v>
      </c>
      <c r="U31" s="37" t="s">
        <v>166</v>
      </c>
      <c r="V31" s="34">
        <f>IFERROR(SUMIF(Table629[Sub-Accounts],Table830[[#This Row],[Update your chart of accounts here]],Table629[Debit]),"")</f>
        <v>1409746.56</v>
      </c>
      <c r="W31" s="34">
        <f>IFERROR(SUMIF(Table629[Sub-Accounts],Table830[[#This Row],[Update your chart of accounts here]],Table629[Credit]),"")</f>
        <v>0</v>
      </c>
      <c r="X31" s="34"/>
      <c r="Y31" s="34"/>
      <c r="Z31" s="34"/>
      <c r="AA31" s="34"/>
      <c r="AB31" s="34">
        <f>MAX(Table830[[#This Row],[Debit]]+Table830[[#This Row],[Debit -]]-Table830[[#This Row],[Credit]]-Table830[[#This Row],[Credit +]],0)</f>
        <v>1409746.56</v>
      </c>
      <c r="AC31" s="34">
        <f>MAX(Table830[[#This Row],[Credit]]-Table830[[#This Row],[Debit]]+Table830[[#This Row],[Credit +]]-Table830[[#This Row],[Debit -]],0)</f>
        <v>0</v>
      </c>
      <c r="AD31" s="34">
        <f>IFERROR(IF(AND(OR(Table830[[#This Row],[Classification]]="Expense",Table830[[#This Row],[Classification]]="Cost of Goods Sold"),Table830[[#This Row],[Debit\]]&gt;Table830[[#This Row],[Credit.]]),Table830[[#This Row],[Debit\]]-Table830[[#This Row],[Credit.]],""),"")</f>
        <v>1409746.56</v>
      </c>
      <c r="AE31" s="34" t="str">
        <f>IFERROR(IF(AND(OR(Table830[[#This Row],[Classification]]="Income",Table830[[#This Row],[Classification]]="Cost of Goods Sold"),Table830[[#This Row],[Credit.]]&gt;Table830[[#This Row],[Debit\]]),Table830[[#This Row],[Credit.]]-Table830[[#This Row],[Debit\]],""),"")</f>
        <v/>
      </c>
      <c r="AF31" s="34"/>
      <c r="AG31" s="34" t="str">
        <f>IFERROR(IF(AND(Table830[[#This Row],[Classification]]="Assets",Table830[[#This Row],[Debit\]]-Table830[[#This Row],[Credit.]]),Table830[[#This Row],[Debit\]]-Table830[[#This Row],[Credit.]],""),"")</f>
        <v/>
      </c>
      <c r="AH31" s="34" t="str">
        <f>IFERROR(IF(AND(OR(Table830[[#This Row],[Classification]]="Liabilities",Table830[[#This Row],[Classification]]="Owner´s Equity"),Table830[[#This Row],[Credit.]]&gt;Table830[[#This Row],[Debit\]]),Table830[[#This Row],[Credit.]]-Table830[[#This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IFERROR(SUMIF(Table427[,],Table629[[#This Row],[Accounts Name]],Table427[,3]),"")</f>
        <v>0</v>
      </c>
      <c r="P32" s="34">
        <f>IFERROR(SUMIF(Table427[,],Table629[[#This Row],[Accounts Name]],Table427[,2]),"")</f>
        <v>10050</v>
      </c>
      <c r="S32" s="36">
        <f t="shared" si="0"/>
        <v>25</v>
      </c>
      <c r="T32" s="34" t="s">
        <v>61</v>
      </c>
      <c r="U32" s="37" t="s">
        <v>175</v>
      </c>
      <c r="V32" s="34">
        <f>IFERROR(SUMIF(Table629[Sub-Accounts],Table830[[#This Row],[Update your chart of accounts here]],Table629[Debit]),"")</f>
        <v>0</v>
      </c>
      <c r="W32" s="34">
        <f>IFERROR(SUMIF(Table629[Sub-Accounts],Table830[[#This Row],[Update your chart of accounts here]],Table629[Credit]),"")</f>
        <v>0</v>
      </c>
      <c r="X32" s="34"/>
      <c r="Y32" s="34" t="s">
        <v>231</v>
      </c>
      <c r="Z32" s="34">
        <f>I27</f>
        <v>845624</v>
      </c>
      <c r="AA32" s="34"/>
      <c r="AB32" s="34">
        <f>MAX(Table830[[#This Row],[Debit]]+Table830[[#This Row],[Debit -]]-Table830[[#This Row],[Credit]]-Table830[[#This Row],[Credit +]],0)</f>
        <v>845624</v>
      </c>
      <c r="AC32" s="34">
        <f>MAX(Table830[[#This Row],[Credit]]-Table830[[#This Row],[Debit]]+Table830[[#This Row],[Credit +]]-Table830[[#This Row],[Debit -]],0)</f>
        <v>0</v>
      </c>
      <c r="AD32" s="34">
        <f>IFERROR(IF(AND(OR(Table830[[#This Row],[Classification]]="Expense",Table830[[#This Row],[Classification]]="Cost of Goods Sold"),Table830[[#This Row],[Debit\]]&gt;Table830[[#This Row],[Credit.]]),Table830[[#This Row],[Debit\]]-Table830[[#This Row],[Credit.]],""),"")</f>
        <v>845624</v>
      </c>
      <c r="AE32" s="34" t="str">
        <f>IFERROR(IF(AND(OR(Table830[[#This Row],[Classification]]="Income",Table830[[#This Row],[Classification]]="Cost of Goods Sold"),Table830[[#This Row],[Credit.]]&gt;Table830[[#This Row],[Debit\]]),Table830[[#This Row],[Credit.]]-Table830[[#This Row],[Debit\]],""),"")</f>
        <v/>
      </c>
      <c r="AF32" s="34"/>
      <c r="AG32" s="34" t="str">
        <f>IFERROR(IF(AND(Table830[[#This Row],[Classification]]="Assets",Table830[[#This Row],[Debit\]]-Table830[[#This Row],[Credit.]]),Table830[[#This Row],[Debit\]]-Table830[[#This Row],[Credit.]],""),"")</f>
        <v/>
      </c>
      <c r="AH32" s="34" t="str">
        <f>IFERROR(IF(AND(OR(Table830[[#This Row],[Classification]]="Liabilities",Table830[[#This Row],[Classification]]="Owner´s Equity"),Table830[[#This Row],[Credit.]]&gt;Table830[[#This Row],[Debit\]]),Table830[[#This Row],[Credit.]]-Table830[[#This Row],[Debit\]],""),"")</f>
        <v/>
      </c>
    </row>
    <row r="33" spans="2:34" hidden="1" x14ac:dyDescent="0.25">
      <c r="B33" s="34"/>
      <c r="C33" s="37" t="s">
        <v>87</v>
      </c>
      <c r="D33" s="34"/>
      <c r="E33" s="34">
        <v>10050</v>
      </c>
      <c r="G33" s="39"/>
      <c r="H33" s="40"/>
      <c r="I33" s="41"/>
      <c r="J33" s="41"/>
      <c r="L33" s="34">
        <v>26</v>
      </c>
      <c r="M33" s="35" t="s">
        <v>141</v>
      </c>
      <c r="N33" s="35" t="s">
        <v>88</v>
      </c>
      <c r="O33" s="34">
        <f>IFERROR(SUMIF(Table427[,],Table629[[#This Row],[Accounts Name]],Table427[,3]),"")</f>
        <v>0</v>
      </c>
      <c r="P33" s="34">
        <f>IFERROR(SUMIF(Table427[,],Table629[[#This Row],[Accounts Name]],Table427[,2]),"")</f>
        <v>4800</v>
      </c>
      <c r="S33" s="36">
        <f t="shared" si="0"/>
        <v>26</v>
      </c>
      <c r="T33" s="34" t="s">
        <v>61</v>
      </c>
      <c r="U33" s="37" t="s">
        <v>154</v>
      </c>
      <c r="V33" s="34">
        <f>IFERROR(SUMIF(Table629[Sub-Accounts],Table830[[#This Row],[Update your chart of accounts here]],Table629[Debit]),"")</f>
        <v>2500001</v>
      </c>
      <c r="W33" s="34">
        <f>IFERROR(SUMIF(Table629[Sub-Accounts],Table830[[#This Row],[Update your chart of accounts here]],Table629[Credit]),"")</f>
        <v>0</v>
      </c>
      <c r="X33" s="34"/>
      <c r="Y33" s="34"/>
      <c r="Z33" s="34"/>
      <c r="AA33" s="34"/>
      <c r="AB33" s="34">
        <f>MAX(Table830[[#This Row],[Debit]]+Table830[[#This Row],[Debit -]]-Table830[[#This Row],[Credit]]-Table830[[#This Row],[Credit +]],0)</f>
        <v>2500001</v>
      </c>
      <c r="AC33" s="34">
        <f>MAX(Table830[[#This Row],[Credit]]-Table830[[#This Row],[Debit]]+Table830[[#This Row],[Credit +]]-Table830[[#This Row],[Debit -]],0)</f>
        <v>0</v>
      </c>
      <c r="AD33" s="34">
        <f>IFERROR(IF(AND(OR(Table830[[#This Row],[Classification]]="Expense",Table830[[#This Row],[Classification]]="Cost of Goods Sold"),Table830[[#This Row],[Debit\]]&gt;Table830[[#This Row],[Credit.]]),Table830[[#This Row],[Debit\]]-Table830[[#This Row],[Credit.]],""),"")</f>
        <v>2500001</v>
      </c>
      <c r="AE33" s="34" t="str">
        <f>IFERROR(IF(AND(OR(Table830[[#This Row],[Classification]]="Income",Table830[[#This Row],[Classification]]="Cost of Goods Sold"),Table830[[#This Row],[Credit.]]&gt;Table830[[#This Row],[Debit\]]),Table830[[#This Row],[Credit.]]-Table830[[#This Row],[Debit\]],""),"")</f>
        <v/>
      </c>
      <c r="AF33" s="34"/>
      <c r="AG33" s="34" t="str">
        <f>IFERROR(IF(AND(Table830[[#This Row],[Classification]]="Assets",Table830[[#This Row],[Debit\]]-Table830[[#This Row],[Credit.]]),Table830[[#This Row],[Debit\]]-Table830[[#This Row],[Credit.]],""),"")</f>
        <v/>
      </c>
      <c r="AH33" s="34" t="str">
        <f>IFERROR(IF(AND(OR(Table830[[#This Row],[Classification]]="Liabilities",Table830[[#This Row],[Classification]]="Owner´s Equity"),Table830[[#This Row],[Credit.]]&gt;Table830[[#This Row],[Debit\]]),Table830[[#This Row],[Credit.]]-Table830[[#This Row],[Debit\]],""),"")</f>
        <v/>
      </c>
    </row>
    <row r="34" spans="2:34" hidden="1" x14ac:dyDescent="0.25">
      <c r="B34" s="34"/>
      <c r="C34" s="37" t="s">
        <v>88</v>
      </c>
      <c r="D34" s="34"/>
      <c r="E34" s="34">
        <v>4800</v>
      </c>
      <c r="G34" s="39"/>
      <c r="H34" s="40"/>
      <c r="I34" s="41"/>
      <c r="J34" s="41"/>
      <c r="L34" s="34">
        <v>27</v>
      </c>
      <c r="M34" s="35" t="s">
        <v>141</v>
      </c>
      <c r="N34" s="35" t="s">
        <v>89</v>
      </c>
      <c r="O34" s="34">
        <f>IFERROR(SUMIF(Table427[,],Table629[[#This Row],[Accounts Name]],Table427[,3]),"")</f>
        <v>0</v>
      </c>
      <c r="P34" s="34">
        <f>IFERROR(SUMIF(Table427[,],Table629[[#This Row],[Accounts Name]],Table427[,2]),"")</f>
        <v>110610</v>
      </c>
      <c r="S34" s="36">
        <f t="shared" si="0"/>
        <v>27</v>
      </c>
      <c r="T34" s="34" t="s">
        <v>61</v>
      </c>
      <c r="U34" s="37" t="s">
        <v>161</v>
      </c>
      <c r="V34" s="34">
        <f>IFERROR(SUMIF(Table629[Sub-Accounts],Table830[[#This Row],[Update your chart of accounts here]],Table629[Debit]),"")</f>
        <v>77850</v>
      </c>
      <c r="W34" s="34">
        <f>IFERROR(SUMIF(Table629[Sub-Accounts],Table830[[#This Row],[Update your chart of accounts here]],Table629[Credit]),"")</f>
        <v>0</v>
      </c>
      <c r="X34" s="34"/>
      <c r="Y34" s="34"/>
      <c r="Z34" s="34"/>
      <c r="AA34" s="34"/>
      <c r="AB34" s="34">
        <f>MAX(Table830[[#This Row],[Debit]]+Table830[[#This Row],[Debit -]]-Table830[[#This Row],[Credit]]-Table830[[#This Row],[Credit +]],0)</f>
        <v>77850</v>
      </c>
      <c r="AC34" s="34">
        <f>MAX(Table830[[#This Row],[Credit]]-Table830[[#This Row],[Debit]]+Table830[[#This Row],[Credit +]]-Table830[[#This Row],[Debit -]],0)</f>
        <v>0</v>
      </c>
      <c r="AD34" s="34">
        <f>IFERROR(IF(AND(OR(Table830[[#This Row],[Classification]]="Expense",Table830[[#This Row],[Classification]]="Cost of Goods Sold"),Table830[[#This Row],[Debit\]]&gt;Table830[[#This Row],[Credit.]]),Table830[[#This Row],[Debit\]]-Table830[[#This Row],[Credit.]],""),"")</f>
        <v>77850</v>
      </c>
      <c r="AE34" s="34" t="str">
        <f>IFERROR(IF(AND(OR(Table830[[#This Row],[Classification]]="Income",Table830[[#This Row],[Classification]]="Cost of Goods Sold"),Table830[[#This Row],[Credit.]]&gt;Table830[[#This Row],[Debit\]]),Table830[[#This Row],[Credit.]]-Table830[[#This Row],[Debit\]],""),"")</f>
        <v/>
      </c>
      <c r="AF34" s="34"/>
      <c r="AG34" s="34" t="str">
        <f>IFERROR(IF(AND(Table830[[#This Row],[Classification]]="Assets",Table830[[#This Row],[Debit\]]-Table830[[#This Row],[Credit.]]),Table830[[#This Row],[Debit\]]-Table830[[#This Row],[Credit.]],""),"")</f>
        <v/>
      </c>
      <c r="AH34" s="34" t="str">
        <f>IFERROR(IF(AND(OR(Table830[[#This Row],[Classification]]="Liabilities",Table830[[#This Row],[Classification]]="Owner´s Equity"),Table830[[#This Row],[Credit.]]&gt;Table830[[#This Row],[Debit\]]),Table830[[#This Row],[Credit.]]-Table830[[#This Row],[Debit\]],""),"")</f>
        <v/>
      </c>
    </row>
    <row r="35" spans="2:34" hidden="1" x14ac:dyDescent="0.25">
      <c r="B35" s="34"/>
      <c r="C35" s="37" t="s">
        <v>89</v>
      </c>
      <c r="D35" s="34"/>
      <c r="E35" s="34">
        <v>110610</v>
      </c>
      <c r="G35" s="39"/>
      <c r="H35" s="43"/>
      <c r="I35" s="41"/>
      <c r="J35" s="41"/>
      <c r="L35" s="34">
        <v>28</v>
      </c>
      <c r="M35" s="35" t="s">
        <v>141</v>
      </c>
      <c r="N35" s="35" t="s">
        <v>90</v>
      </c>
      <c r="O35" s="34">
        <f>IFERROR(SUMIF(Table427[,],Table629[[#This Row],[Accounts Name]],Table427[,3]),"")</f>
        <v>0</v>
      </c>
      <c r="P35" s="34">
        <f>IFERROR(SUMIF(Table427[,],Table629[[#This Row],[Accounts Name]],Table427[,2]),"")</f>
        <v>33200</v>
      </c>
      <c r="S35" s="36">
        <f t="shared" si="0"/>
        <v>28</v>
      </c>
      <c r="T35" s="34" t="s">
        <v>61</v>
      </c>
      <c r="U35" s="37" t="s">
        <v>162</v>
      </c>
      <c r="V35" s="34">
        <f>IFERROR(SUMIF(Table629[Sub-Accounts],Table830[[#This Row],[Update your chart of accounts here]],Table629[Debit]),"")</f>
        <v>268183.07</v>
      </c>
      <c r="W35" s="34">
        <f>IFERROR(SUMIF(Table629[Sub-Accounts],Table830[[#This Row],[Update your chart of accounts here]],Table629[Credit]),"")</f>
        <v>0</v>
      </c>
      <c r="X35" s="34"/>
      <c r="Y35" s="34"/>
      <c r="Z35" s="34">
        <f>I28</f>
        <v>0</v>
      </c>
      <c r="AA35" s="34"/>
      <c r="AB35" s="34">
        <f>MAX(Table830[[#This Row],[Debit]]+Table830[[#This Row],[Debit -]]-Table830[[#This Row],[Credit]]-Table830[[#This Row],[Credit +]],0)</f>
        <v>268183.07</v>
      </c>
      <c r="AC35" s="34">
        <f>MAX(Table830[[#This Row],[Credit]]-Table830[[#This Row],[Debit]]+Table830[[#This Row],[Credit +]]-Table830[[#This Row],[Debit -]],0)</f>
        <v>0</v>
      </c>
      <c r="AD35" s="34">
        <f>IFERROR(IF(AND(OR(Table830[[#This Row],[Classification]]="Expense",Table830[[#This Row],[Classification]]="Cost of Goods Sold"),Table830[[#This Row],[Debit\]]&gt;Table830[[#This Row],[Credit.]]),Table830[[#This Row],[Debit\]]-Table830[[#This Row],[Credit.]],""),"")</f>
        <v>268183.07</v>
      </c>
      <c r="AE35" s="34" t="str">
        <f>IFERROR(IF(AND(OR(Table830[[#This Row],[Classification]]="Income",Table830[[#This Row],[Classification]]="Cost of Goods Sold"),Table830[[#This Row],[Credit.]]&gt;Table830[[#This Row],[Debit\]]),Table830[[#This Row],[Credit.]]-Table830[[#This Row],[Debit\]],""),"")</f>
        <v/>
      </c>
      <c r="AF35" s="34"/>
      <c r="AG35" s="34" t="str">
        <f>IFERROR(IF(AND(Table830[[#This Row],[Classification]]="Assets",Table830[[#This Row],[Debit\]]-Table830[[#This Row],[Credit.]]),Table830[[#This Row],[Debit\]]-Table830[[#This Row],[Credit.]],""),"")</f>
        <v/>
      </c>
      <c r="AH35" s="34" t="str">
        <f>IFERROR(IF(AND(OR(Table830[[#This Row],[Classification]]="Liabilities",Table830[[#This Row],[Classification]]="Owner´s Equity"),Table830[[#This Row],[Credit.]]&gt;Table830[[#This Row],[Debit\]]),Table830[[#This Row],[Credit.]]-Table830[[#This Row],[Debit\]],""),"")</f>
        <v/>
      </c>
    </row>
    <row r="36" spans="2:34" hidden="1" x14ac:dyDescent="0.25">
      <c r="B36" s="34"/>
      <c r="C36" s="37" t="s">
        <v>90</v>
      </c>
      <c r="D36" s="34"/>
      <c r="E36" s="34">
        <v>33200</v>
      </c>
      <c r="G36" s="39"/>
      <c r="H36" s="40"/>
      <c r="I36" s="41"/>
      <c r="J36" s="41"/>
      <c r="L36" s="34">
        <v>29</v>
      </c>
      <c r="M36" s="35" t="s">
        <v>140</v>
      </c>
      <c r="N36" s="35" t="s">
        <v>91</v>
      </c>
      <c r="O36" s="34">
        <f>IFERROR(SUMIF(Table427[,],Table629[[#This Row],[Accounts Name]],Table427[,3]),"")</f>
        <v>124460</v>
      </c>
      <c r="P36" s="34">
        <f>IFERROR(SUMIF(Table427[,],Table629[[#This Row],[Accounts Name]],Table427[,2]),"")</f>
        <v>0</v>
      </c>
      <c r="S36" s="36">
        <f t="shared" si="0"/>
        <v>29</v>
      </c>
      <c r="T36" s="34" t="s">
        <v>61</v>
      </c>
      <c r="U36" s="37" t="s">
        <v>165</v>
      </c>
      <c r="V36" s="34">
        <f>IFERROR(SUMIF(Table629[Sub-Accounts],Table830[[#This Row],[Update your chart of accounts here]],Table629[Debit]),"")</f>
        <v>653656.38</v>
      </c>
      <c r="W36" s="34">
        <f>IFERROR(SUMIF(Table629[Sub-Accounts],Table830[[#This Row],[Update your chart of accounts here]],Table629[Credit]),"")</f>
        <v>0</v>
      </c>
      <c r="X36" s="34"/>
      <c r="Y36" s="34"/>
      <c r="Z36" s="34"/>
      <c r="AA36" s="34"/>
      <c r="AB36" s="34">
        <f>MAX(Table830[[#This Row],[Debit]]+Table830[[#This Row],[Debit -]]-Table830[[#This Row],[Credit]]-Table830[[#This Row],[Credit +]],0)</f>
        <v>653656.38</v>
      </c>
      <c r="AC36" s="34">
        <f>MAX(Table830[[#This Row],[Credit]]-Table830[[#This Row],[Debit]]+Table830[[#This Row],[Credit +]]-Table830[[#This Row],[Debit -]],0)</f>
        <v>0</v>
      </c>
      <c r="AD36" s="34">
        <f>IFERROR(IF(AND(OR(Table830[[#This Row],[Classification]]="Expense",Table830[[#This Row],[Classification]]="Cost of Goods Sold"),Table830[[#This Row],[Debit\]]&gt;Table830[[#This Row],[Credit.]]),Table830[[#This Row],[Debit\]]-Table830[[#This Row],[Credit.]],""),"")</f>
        <v>653656.38</v>
      </c>
      <c r="AE36" s="34" t="str">
        <f>IFERROR(IF(AND(OR(Table830[[#This Row],[Classification]]="Income",Table830[[#This Row],[Classification]]="Cost of Goods Sold"),Table830[[#This Row],[Credit.]]&gt;Table830[[#This Row],[Debit\]]),Table830[[#This Row],[Credit.]]-Table830[[#This Row],[Debit\]],""),"")</f>
        <v/>
      </c>
      <c r="AF36" s="34"/>
      <c r="AG36" s="34" t="str">
        <f>IFERROR(IF(AND(Table830[[#This Row],[Classification]]="Assets",Table830[[#This Row],[Debit\]]-Table830[[#This Row],[Credit.]]),Table830[[#This Row],[Debit\]]-Table830[[#This Row],[Credit.]],""),"")</f>
        <v/>
      </c>
      <c r="AH36" s="34" t="str">
        <f>IFERROR(IF(AND(OR(Table830[[#This Row],[Classification]]="Liabilities",Table830[[#This Row],[Classification]]="Owner´s Equity"),Table830[[#This Row],[Credit.]]&gt;Table830[[#This Row],[Debit\]]),Table830[[#This Row],[Credit.]]-Table830[[#This Row],[Debit\]],""),"")</f>
        <v/>
      </c>
    </row>
    <row r="37" spans="2:34" hidden="1" x14ac:dyDescent="0.25">
      <c r="B37" s="34"/>
      <c r="C37" s="37" t="s">
        <v>91</v>
      </c>
      <c r="D37" s="34">
        <v>124460</v>
      </c>
      <c r="E37" s="34"/>
      <c r="G37" s="39"/>
      <c r="H37" s="40"/>
      <c r="I37" s="41"/>
      <c r="J37" s="41"/>
      <c r="L37" s="34">
        <v>30</v>
      </c>
      <c r="M37" s="35" t="s">
        <v>144</v>
      </c>
      <c r="N37" s="35" t="s">
        <v>92</v>
      </c>
      <c r="O37" s="34">
        <f>IFERROR(SUMIF(Table427[,],Table629[[#This Row],[Accounts Name]],Table427[,3]),"")</f>
        <v>2228108</v>
      </c>
      <c r="P37" s="34">
        <f>IFERROR(SUMIF(Table427[,],Table629[[#This Row],[Accounts Name]],Table427[,2]),"")</f>
        <v>0</v>
      </c>
      <c r="S37" s="36">
        <f t="shared" si="0"/>
        <v>30</v>
      </c>
      <c r="T37" s="34" t="s">
        <v>61</v>
      </c>
      <c r="U37" s="37" t="s">
        <v>159</v>
      </c>
      <c r="V37" s="34">
        <f>IFERROR(SUMIF(Table629[Sub-Accounts],Table830[[#This Row],[Update your chart of accounts here]],Table629[Debit]),"")</f>
        <v>208578.65</v>
      </c>
      <c r="W37" s="34">
        <f>IFERROR(SUMIF(Table629[Sub-Accounts],Table830[[#This Row],[Update your chart of accounts here]],Table629[Credit]),"")</f>
        <v>0</v>
      </c>
      <c r="X37" s="34"/>
      <c r="Y37" s="34"/>
      <c r="Z37" s="34"/>
      <c r="AA37" s="34"/>
      <c r="AB37" s="34">
        <f>MAX(Table830[[#This Row],[Debit]]+Table830[[#This Row],[Debit -]]-Table830[[#This Row],[Credit]]-Table830[[#This Row],[Credit +]],0)</f>
        <v>208578.65</v>
      </c>
      <c r="AC37" s="34">
        <f>MAX(Table830[[#This Row],[Credit]]-Table830[[#This Row],[Debit]]+Table830[[#This Row],[Credit +]]-Table830[[#This Row],[Debit -]],0)</f>
        <v>0</v>
      </c>
      <c r="AD37" s="34">
        <f>IFERROR(IF(AND(OR(Table830[[#This Row],[Classification]]="Expense",Table830[[#This Row],[Classification]]="Cost of Goods Sold"),Table830[[#This Row],[Debit\]]&gt;Table830[[#This Row],[Credit.]]),Table830[[#This Row],[Debit\]]-Table830[[#This Row],[Credit.]],""),"")</f>
        <v>208578.65</v>
      </c>
      <c r="AE37" s="34" t="str">
        <f>IFERROR(IF(AND(OR(Table830[[#This Row],[Classification]]="Income",Table830[[#This Row],[Classification]]="Cost of Goods Sold"),Table830[[#This Row],[Credit.]]&gt;Table830[[#This Row],[Debit\]]),Table830[[#This Row],[Credit.]]-Table830[[#This Row],[Debit\]],""),"")</f>
        <v/>
      </c>
      <c r="AF37" s="34"/>
      <c r="AG37" s="34" t="str">
        <f>IFERROR(IF(AND(Table830[[#This Row],[Classification]]="Assets",Table830[[#This Row],[Debit\]]-Table830[[#This Row],[Credit.]]),Table830[[#This Row],[Debit\]]-Table830[[#This Row],[Credit.]],""),"")</f>
        <v/>
      </c>
      <c r="AH37" s="34" t="str">
        <f>IFERROR(IF(AND(OR(Table830[[#This Row],[Classification]]="Liabilities",Table830[[#This Row],[Classification]]="Owner´s Equity"),Table830[[#This Row],[Credit.]]&gt;Table830[[#This Row],[Debit\]]),Table830[[#This Row],[Credit.]]-Table830[[#This Row],[Debit\]],""),"")</f>
        <v/>
      </c>
    </row>
    <row r="38" spans="2:34" hidden="1" x14ac:dyDescent="0.25">
      <c r="B38" s="34"/>
      <c r="C38" s="37" t="s">
        <v>92</v>
      </c>
      <c r="D38" s="34">
        <v>2228108</v>
      </c>
      <c r="E38" s="34"/>
      <c r="G38" s="39"/>
      <c r="H38" s="43"/>
      <c r="I38" s="41"/>
      <c r="J38" s="41"/>
      <c r="L38" s="34">
        <v>31</v>
      </c>
      <c r="M38" s="35" t="s">
        <v>140</v>
      </c>
      <c r="N38" s="35" t="s">
        <v>93</v>
      </c>
      <c r="O38" s="34">
        <f>IFERROR(SUMIF(Table427[,],Table629[[#This Row],[Accounts Name]],Table427[,3]),"")</f>
        <v>510902</v>
      </c>
      <c r="P38" s="34">
        <f>IFERROR(SUMIF(Table427[,],Table629[[#This Row],[Accounts Name]],Table427[,2]),"")</f>
        <v>0</v>
      </c>
      <c r="S38" s="36">
        <f t="shared" si="0"/>
        <v>31</v>
      </c>
      <c r="T38" s="34" t="s">
        <v>61</v>
      </c>
      <c r="U38" s="37" t="s">
        <v>157</v>
      </c>
      <c r="V38" s="34">
        <f>IFERROR(SUMIF(Table629[Sub-Accounts],Table830[[#This Row],[Update your chart of accounts here]],Table629[Debit]),"")</f>
        <v>542263</v>
      </c>
      <c r="W38" s="34">
        <f>IFERROR(SUMIF(Table629[Sub-Accounts],Table830[[#This Row],[Update your chart of accounts here]],Table629[Credit]),"")</f>
        <v>0</v>
      </c>
      <c r="X38" s="34"/>
      <c r="Y38" s="34"/>
      <c r="Z38" s="34"/>
      <c r="AA38" s="34"/>
      <c r="AB38" s="34">
        <f>MAX(Table830[[#This Row],[Debit]]+Table830[[#This Row],[Debit -]]-Table830[[#This Row],[Credit]]-Table830[[#This Row],[Credit +]],0)</f>
        <v>542263</v>
      </c>
      <c r="AC38" s="34">
        <f>MAX(Table830[[#This Row],[Credit]]-Table830[[#This Row],[Debit]]+Table830[[#This Row],[Credit +]]-Table830[[#This Row],[Debit -]],0)</f>
        <v>0</v>
      </c>
      <c r="AD38" s="34">
        <f>IFERROR(IF(AND(OR(Table830[[#This Row],[Classification]]="Expense",Table830[[#This Row],[Classification]]="Cost of Goods Sold"),Table830[[#This Row],[Debit\]]&gt;Table830[[#This Row],[Credit.]]),Table830[[#This Row],[Debit\]]-Table830[[#This Row],[Credit.]],""),"")</f>
        <v>542263</v>
      </c>
      <c r="AE38" s="34" t="str">
        <f>IFERROR(IF(AND(OR(Table830[[#This Row],[Classification]]="Income",Table830[[#This Row],[Classification]]="Cost of Goods Sold"),Table830[[#This Row],[Credit.]]&gt;Table830[[#This Row],[Debit\]]),Table830[[#This Row],[Credit.]]-Table830[[#This Row],[Debit\]],""),"")</f>
        <v/>
      </c>
      <c r="AF38" s="34"/>
      <c r="AG38" s="34" t="str">
        <f>IFERROR(IF(AND(Table830[[#This Row],[Classification]]="Assets",Table830[[#This Row],[Debit\]]-Table830[[#This Row],[Credit.]]),Table830[[#This Row],[Debit\]]-Table830[[#This Row],[Credit.]],""),"")</f>
        <v/>
      </c>
      <c r="AH38" s="34" t="str">
        <f>IFERROR(IF(AND(OR(Table830[[#This Row],[Classification]]="Liabilities",Table830[[#This Row],[Classification]]="Owner´s Equity"),Table830[[#This Row],[Credit.]]&gt;Table830[[#This Row],[Debit\]]),Table830[[#This Row],[Credit.]]-Table830[[#This Row],[Debit\]],""),"")</f>
        <v/>
      </c>
    </row>
    <row r="39" spans="2:34" hidden="1" x14ac:dyDescent="0.25">
      <c r="B39" s="34"/>
      <c r="C39" s="37" t="s">
        <v>93</v>
      </c>
      <c r="D39" s="34">
        <v>510902</v>
      </c>
      <c r="E39" s="34"/>
      <c r="G39" s="39"/>
      <c r="H39" s="40"/>
      <c r="I39" s="41"/>
      <c r="J39" s="41"/>
      <c r="L39" s="34">
        <v>32</v>
      </c>
      <c r="M39" s="35" t="s">
        <v>140</v>
      </c>
      <c r="N39" s="35" t="s">
        <v>94</v>
      </c>
      <c r="O39" s="34">
        <f>IFERROR(SUMIF(Table427[,],Table629[[#This Row],[Accounts Name]],Table427[,3]),"")</f>
        <v>1702569</v>
      </c>
      <c r="P39" s="34">
        <f>IFERROR(SUMIF(Table427[,],Table629[[#This Row],[Accounts Name]],Table427[,2]),"")</f>
        <v>0</v>
      </c>
      <c r="S39" s="36">
        <f t="shared" si="0"/>
        <v>32</v>
      </c>
      <c r="T39" s="34" t="s">
        <v>61</v>
      </c>
      <c r="U39" s="37" t="s">
        <v>168</v>
      </c>
      <c r="V39" s="34">
        <f>IFERROR(SUMIF(Table629[Sub-Accounts],Table830[[#This Row],[Update your chart of accounts here]],Table629[Debit]),"")</f>
        <v>302989.64</v>
      </c>
      <c r="W39" s="34">
        <f>IFERROR(SUMIF(Table629[Sub-Accounts],Table830[[#This Row],[Update your chart of accounts here]],Table629[Credit]),"")</f>
        <v>0</v>
      </c>
      <c r="X39" s="34"/>
      <c r="Y39" s="34"/>
      <c r="Z39" s="34"/>
      <c r="AA39" s="34"/>
      <c r="AB39" s="34">
        <f>MAX(Table830[[#This Row],[Debit]]+Table830[[#This Row],[Debit -]]-Table830[[#This Row],[Credit]]-Table830[[#This Row],[Credit +]],0)</f>
        <v>302989.64</v>
      </c>
      <c r="AC39" s="34">
        <f>MAX(Table830[[#This Row],[Credit]]-Table830[[#This Row],[Debit]]+Table830[[#This Row],[Credit +]]-Table830[[#This Row],[Debit -]],0)</f>
        <v>0</v>
      </c>
      <c r="AD39" s="34">
        <f>IFERROR(IF(AND(OR(Table830[[#This Row],[Classification]]="Expense",Table830[[#This Row],[Classification]]="Cost of Goods Sold"),Table830[[#This Row],[Debit\]]&gt;Table830[[#This Row],[Credit.]]),Table830[[#This Row],[Debit\]]-Table830[[#This Row],[Credit.]],""),"")</f>
        <v>302989.64</v>
      </c>
      <c r="AE39" s="34" t="str">
        <f>IFERROR(IF(AND(OR(Table830[[#This Row],[Classification]]="Income",Table830[[#This Row],[Classification]]="Cost of Goods Sold"),Table830[[#This Row],[Credit.]]&gt;Table830[[#This Row],[Debit\]]),Table830[[#This Row],[Credit.]]-Table830[[#This Row],[Debit\]],""),"")</f>
        <v/>
      </c>
      <c r="AF39" s="34"/>
      <c r="AG39" s="34" t="str">
        <f>IFERROR(IF(AND(Table830[[#This Row],[Classification]]="Assets",Table830[[#This Row],[Debit\]]-Table830[[#This Row],[Credit.]]),Table830[[#This Row],[Debit\]]-Table830[[#This Row],[Credit.]],""),"")</f>
        <v/>
      </c>
      <c r="AH39" s="34" t="str">
        <f>IFERROR(IF(AND(OR(Table830[[#This Row],[Classification]]="Liabilities",Table830[[#This Row],[Classification]]="Owner´s Equity"),Table830[[#This Row],[Credit.]]&gt;Table830[[#This Row],[Debit\]]),Table830[[#This Row],[Credit.]]-Table830[[#This Row],[Debit\]],""),"")</f>
        <v/>
      </c>
    </row>
    <row r="40" spans="2:34" hidden="1" x14ac:dyDescent="0.25">
      <c r="B40" s="34"/>
      <c r="C40" s="37" t="s">
        <v>94</v>
      </c>
      <c r="D40" s="34">
        <v>1702569</v>
      </c>
      <c r="E40" s="34"/>
      <c r="G40" s="39"/>
      <c r="H40" s="40"/>
      <c r="I40" s="41"/>
      <c r="J40" s="41"/>
      <c r="L40" s="34">
        <v>33</v>
      </c>
      <c r="M40" s="35" t="s">
        <v>140</v>
      </c>
      <c r="N40" s="35" t="s">
        <v>95</v>
      </c>
      <c r="O40" s="34">
        <f>IFERROR(SUMIF(Table427[,],Table629[[#This Row],[Accounts Name]],Table427[,3]),"")</f>
        <v>735271</v>
      </c>
      <c r="P40" s="34">
        <f>IFERROR(SUMIF(Table427[,],Table629[[#This Row],[Accounts Name]],Table427[,2]),"")</f>
        <v>0</v>
      </c>
      <c r="S40" s="36">
        <f t="shared" si="0"/>
        <v>33</v>
      </c>
      <c r="T40" s="34" t="s">
        <v>61</v>
      </c>
      <c r="U40" s="37" t="s">
        <v>153</v>
      </c>
      <c r="V40" s="34">
        <f>IFERROR(SUMIF(Table629[Sub-Accounts],Table830[[#This Row],[Update your chart of accounts here]],Table629[Debit]),"")</f>
        <v>233250</v>
      </c>
      <c r="W40" s="34">
        <f>IFERROR(SUMIF(Table629[Sub-Accounts],Table830[[#This Row],[Update your chart of accounts here]],Table629[Credit]),"")</f>
        <v>0</v>
      </c>
      <c r="X40" s="34"/>
      <c r="Y40" s="34"/>
      <c r="Z40" s="34"/>
      <c r="AA40" s="34"/>
      <c r="AB40" s="34">
        <f>MAX(Table830[[#This Row],[Debit]]+Table830[[#This Row],[Debit -]]-Table830[[#This Row],[Credit]]-Table830[[#This Row],[Credit +]],0)</f>
        <v>233250</v>
      </c>
      <c r="AC40" s="34">
        <f>MAX(Table830[[#This Row],[Credit]]-Table830[[#This Row],[Debit]]+Table830[[#This Row],[Credit +]]-Table830[[#This Row],[Debit -]],0)</f>
        <v>0</v>
      </c>
      <c r="AD40" s="34">
        <f>IFERROR(IF(AND(OR(Table830[[#This Row],[Classification]]="Expense",Table830[[#This Row],[Classification]]="Cost of Goods Sold"),Table830[[#This Row],[Debit\]]&gt;Table830[[#This Row],[Credit.]]),Table830[[#This Row],[Debit\]]-Table830[[#This Row],[Credit.]],""),"")</f>
        <v>233250</v>
      </c>
      <c r="AE40" s="34" t="str">
        <f>IFERROR(IF(AND(OR(Table830[[#This Row],[Classification]]="Income",Table830[[#This Row],[Classification]]="Cost of Goods Sold"),Table830[[#This Row],[Credit.]]&gt;Table830[[#This Row],[Debit\]]),Table830[[#This Row],[Credit.]]-Table830[[#This Row],[Debit\]],""),"")</f>
        <v/>
      </c>
      <c r="AF40" s="34"/>
      <c r="AG40" s="34" t="str">
        <f>IFERROR(IF(AND(Table830[[#This Row],[Classification]]="Assets",Table830[[#This Row],[Debit\]]-Table830[[#This Row],[Credit.]]),Table830[[#This Row],[Debit\]]-Table830[[#This Row],[Credit.]],""),"")</f>
        <v/>
      </c>
      <c r="AH40" s="34" t="str">
        <f>IFERROR(IF(AND(OR(Table830[[#This Row],[Classification]]="Liabilities",Table830[[#This Row],[Classification]]="Owner´s Equity"),Table830[[#This Row],[Credit.]]&gt;Table830[[#This Row],[Debit\]]),Table830[[#This Row],[Credit.]]-Table830[[#This Row],[Debit\]],""),"")</f>
        <v/>
      </c>
    </row>
    <row r="41" spans="2:34" hidden="1" x14ac:dyDescent="0.25">
      <c r="B41" s="34"/>
      <c r="C41" s="37" t="s">
        <v>95</v>
      </c>
      <c r="D41" s="34">
        <v>735271</v>
      </c>
      <c r="E41" s="34"/>
      <c r="G41" s="39"/>
      <c r="H41" s="43"/>
      <c r="I41" s="41"/>
      <c r="J41" s="41"/>
      <c r="L41" s="34">
        <v>34</v>
      </c>
      <c r="M41" s="35" t="s">
        <v>141</v>
      </c>
      <c r="N41" s="35" t="s">
        <v>96</v>
      </c>
      <c r="O41" s="34">
        <f>IFERROR(SUMIF(Table427[,],Table629[[#This Row],[Accounts Name]],Table427[,3]),"")</f>
        <v>0</v>
      </c>
      <c r="P41" s="34">
        <f>IFERROR(SUMIF(Table427[,],Table629[[#This Row],[Accounts Name]],Table427[,2]),"")</f>
        <v>1318131</v>
      </c>
      <c r="S41" s="36">
        <f t="shared" si="0"/>
        <v>34</v>
      </c>
      <c r="T41" s="34" t="s">
        <v>61</v>
      </c>
      <c r="U41" s="37" t="s">
        <v>152</v>
      </c>
      <c r="V41" s="34">
        <f>IFERROR(SUMIF(Table629[Sub-Accounts],Table830[[#This Row],[Update your chart of accounts here]],Table629[Debit]),"")</f>
        <v>51948.32</v>
      </c>
      <c r="W41" s="34">
        <f>IFERROR(SUMIF(Table629[Sub-Accounts],Table830[[#This Row],[Update your chart of accounts here]],Table629[Credit]),"")</f>
        <v>0</v>
      </c>
      <c r="X41" s="34"/>
      <c r="Y41" s="34"/>
      <c r="Z41" s="34"/>
      <c r="AA41" s="34"/>
      <c r="AB41" s="34">
        <f>MAX(Table830[[#This Row],[Debit]]+Table830[[#This Row],[Debit -]]-Table830[[#This Row],[Credit]]-Table830[[#This Row],[Credit +]],0)</f>
        <v>51948.32</v>
      </c>
      <c r="AC41" s="34">
        <f>MAX(Table830[[#This Row],[Credit]]-Table830[[#This Row],[Debit]]+Table830[[#This Row],[Credit +]]-Table830[[#This Row],[Debit -]],0)</f>
        <v>0</v>
      </c>
      <c r="AD41" s="34">
        <f>IFERROR(IF(AND(OR(Table830[[#This Row],[Classification]]="Expense",Table830[[#This Row],[Classification]]="Cost of Goods Sold"),Table830[[#This Row],[Debit\]]&gt;Table830[[#This Row],[Credit.]]),Table830[[#This Row],[Debit\]]-Table830[[#This Row],[Credit.]],""),"")</f>
        <v>51948.32</v>
      </c>
      <c r="AE41" s="34" t="str">
        <f>IFERROR(IF(AND(OR(Table830[[#This Row],[Classification]]="Income",Table830[[#This Row],[Classification]]="Cost of Goods Sold"),Table830[[#This Row],[Credit.]]&gt;Table830[[#This Row],[Debit\]]),Table830[[#This Row],[Credit.]]-Table830[[#This Row],[Debit\]],""),"")</f>
        <v/>
      </c>
      <c r="AF41" s="34"/>
      <c r="AG41" s="34" t="str">
        <f>IFERROR(IF(AND(Table830[[#This Row],[Classification]]="Assets",Table830[[#This Row],[Debit\]]-Table830[[#This Row],[Credit.]]),Table830[[#This Row],[Debit\]]-Table830[[#This Row],[Credit.]],""),"")</f>
        <v/>
      </c>
      <c r="AH41" s="34" t="str">
        <f>IFERROR(IF(AND(OR(Table830[[#This Row],[Classification]]="Liabilities",Table830[[#This Row],[Classification]]="Owner´s Equity"),Table830[[#This Row],[Credit.]]&gt;Table830[[#This Row],[Debit\]]),Table830[[#This Row],[Credit.]]-Table830[[#This Row],[Debit\]],""),"")</f>
        <v/>
      </c>
    </row>
    <row r="42" spans="2:34" hidden="1" x14ac:dyDescent="0.25">
      <c r="B42" s="34"/>
      <c r="C42" s="37" t="s">
        <v>96</v>
      </c>
      <c r="D42" s="34"/>
      <c r="E42" s="34">
        <v>1318131</v>
      </c>
      <c r="G42" s="39"/>
      <c r="H42" s="40"/>
      <c r="I42" s="41"/>
      <c r="J42" s="41"/>
      <c r="L42" s="34">
        <v>35</v>
      </c>
      <c r="M42" s="35" t="s">
        <v>145</v>
      </c>
      <c r="N42" s="35" t="s">
        <v>97</v>
      </c>
      <c r="O42" s="34">
        <f>IFERROR(SUMIF(Table427[,],Table629[[#This Row],[Accounts Name]],Table427[,3]),"")</f>
        <v>0</v>
      </c>
      <c r="P42" s="34">
        <f>IFERROR(SUMIF(Table427[,],Table629[[#This Row],[Accounts Name]],Table427[,2]),"")</f>
        <v>11852079.26</v>
      </c>
      <c r="S42" s="36">
        <f t="shared" si="0"/>
        <v>35</v>
      </c>
      <c r="T42" s="34" t="s">
        <v>61</v>
      </c>
      <c r="U42" s="37" t="s">
        <v>156</v>
      </c>
      <c r="V42" s="34">
        <f>IFERROR(SUMIF(Table629[Sub-Accounts],Table830[[#This Row],[Update your chart of accounts here]],Table629[Debit]),"")</f>
        <v>219706</v>
      </c>
      <c r="W42" s="34">
        <f>IFERROR(SUMIF(Table629[Sub-Accounts],Table830[[#This Row],[Update your chart of accounts here]],Table629[Credit]),"")</f>
        <v>0</v>
      </c>
      <c r="X42" s="34"/>
      <c r="Y42" s="34"/>
      <c r="Z42" s="34"/>
      <c r="AA42" s="34"/>
      <c r="AB42" s="34">
        <f>MAX(Table830[[#This Row],[Debit]]+Table830[[#This Row],[Debit -]]-Table830[[#This Row],[Credit]]-Table830[[#This Row],[Credit +]],0)</f>
        <v>219706</v>
      </c>
      <c r="AC42" s="34">
        <f>MAX(Table830[[#This Row],[Credit]]-Table830[[#This Row],[Debit]]+Table830[[#This Row],[Credit +]]-Table830[[#This Row],[Debit -]],0)</f>
        <v>0</v>
      </c>
      <c r="AD42" s="34">
        <f>IFERROR(IF(AND(OR(Table830[[#This Row],[Classification]]="Expense",Table830[[#This Row],[Classification]]="Cost of Goods Sold"),Table830[[#This Row],[Debit\]]&gt;Table830[[#This Row],[Credit.]]),Table830[[#This Row],[Debit\]]-Table830[[#This Row],[Credit.]],""),"")</f>
        <v>219706</v>
      </c>
      <c r="AE42" s="34" t="str">
        <f>IFERROR(IF(AND(OR(Table830[[#This Row],[Classification]]="Income",Table830[[#This Row],[Classification]]="Cost of Goods Sold"),Table830[[#This Row],[Credit.]]&gt;Table830[[#This Row],[Debit\]]),Table830[[#This Row],[Credit.]]-Table830[[#This Row],[Debit\]],""),"")</f>
        <v/>
      </c>
      <c r="AF42" s="34"/>
      <c r="AG42" s="34" t="str">
        <f>IFERROR(IF(AND(Table830[[#This Row],[Classification]]="Assets",Table830[[#This Row],[Debit\]]-Table830[[#This Row],[Credit.]]),Table830[[#This Row],[Debit\]]-Table830[[#This Row],[Credit.]],""),"")</f>
        <v/>
      </c>
      <c r="AH42" s="34" t="str">
        <f>IFERROR(IF(AND(OR(Table830[[#This Row],[Classification]]="Liabilities",Table830[[#This Row],[Classification]]="Owner´s Equity"),Table830[[#This Row],[Credit.]]&gt;Table830[[#This Row],[Debit\]]),Table830[[#This Row],[Credit.]]-Table830[[#This Row],[Debit\]],""),"")</f>
        <v/>
      </c>
    </row>
    <row r="43" spans="2:34" hidden="1" x14ac:dyDescent="0.25">
      <c r="B43" s="34"/>
      <c r="C43" s="37" t="s">
        <v>97</v>
      </c>
      <c r="D43" s="34"/>
      <c r="E43" s="34">
        <v>11852079.26</v>
      </c>
      <c r="G43" s="39"/>
      <c r="H43" s="40"/>
      <c r="I43" s="41"/>
      <c r="J43" s="41"/>
      <c r="L43" s="34">
        <v>36</v>
      </c>
      <c r="M43" s="35" t="s">
        <v>146</v>
      </c>
      <c r="N43" s="35" t="s">
        <v>98</v>
      </c>
      <c r="O43" s="34">
        <f>IFERROR(SUMIF(Table427[,],Table629[[#This Row],[Accounts Name]],Table427[,3]),"")</f>
        <v>0</v>
      </c>
      <c r="P43" s="34">
        <f>IFERROR(SUMIF(Table427[,],Table629[[#This Row],[Accounts Name]],Table427[,2]),"")</f>
        <v>400</v>
      </c>
      <c r="S43" s="36">
        <f t="shared" si="0"/>
        <v>36</v>
      </c>
      <c r="T43" s="34" t="s">
        <v>61</v>
      </c>
      <c r="U43" s="37" t="s">
        <v>217</v>
      </c>
      <c r="V43" s="34">
        <f>IFERROR(SUMIF(Table629[Sub-Accounts],Table830[[#This Row],[Update your chart of accounts here]],Table629[Debit]),"")</f>
        <v>0</v>
      </c>
      <c r="W43" s="34">
        <f>IFERROR(SUMIF(Table629[Sub-Accounts],Table830[[#This Row],[Update your chart of accounts here]],Table629[Credit]),"")</f>
        <v>0</v>
      </c>
      <c r="X43" s="34"/>
      <c r="Y43" s="34"/>
      <c r="Z43" s="34"/>
      <c r="AA43" s="34"/>
      <c r="AB43" s="34">
        <f>MAX(Table830[[#This Row],[Debit]]+Table830[[#This Row],[Debit -]]-Table830[[#This Row],[Credit]]-Table830[[#This Row],[Credit +]],0)</f>
        <v>0</v>
      </c>
      <c r="AC43" s="34">
        <f>MAX(Table830[[#This Row],[Credit]]-Table830[[#This Row],[Debit]]+Table830[[#This Row],[Credit +]]-Table830[[#This Row],[Debit -]],0)</f>
        <v>0</v>
      </c>
      <c r="AD43" s="34" t="str">
        <f>IFERROR(IF(AND(OR(Table830[[#This Row],[Classification]]="Expense",Table830[[#This Row],[Classification]]="Cost of Goods Sold"),Table830[[#This Row],[Debit\]]&gt;Table830[[#This Row],[Credit.]]),Table830[[#This Row],[Debit\]]-Table830[[#This Row],[Credit.]],""),"")</f>
        <v/>
      </c>
      <c r="AE43" s="34" t="str">
        <f>IFERROR(IF(AND(OR(Table830[[#This Row],[Classification]]="Income",Table830[[#This Row],[Classification]]="Cost of Goods Sold"),Table830[[#This Row],[Credit.]]&gt;Table830[[#This Row],[Debit\]]),Table830[[#This Row],[Credit.]]-Table830[[#This Row],[Debit\]],""),"")</f>
        <v/>
      </c>
      <c r="AF43" s="34"/>
      <c r="AG43" s="34" t="str">
        <f>IFERROR(IF(AND(Table830[[#This Row],[Classification]]="Assets",Table830[[#This Row],[Debit\]]-Table830[[#This Row],[Credit.]]),Table830[[#This Row],[Debit\]]-Table830[[#This Row],[Credit.]],""),"")</f>
        <v/>
      </c>
      <c r="AH43" s="34" t="str">
        <f>IFERROR(IF(AND(OR(Table830[[#This Row],[Classification]]="Liabilities",Table830[[#This Row],[Classification]]="Owner´s Equity"),Table830[[#This Row],[Credit.]]&gt;Table830[[#This Row],[Debit\]]),Table830[[#This Row],[Credit.]]-Table830[[#This Row],[Debit\]],""),"")</f>
        <v/>
      </c>
    </row>
    <row r="44" spans="2:34" hidden="1" x14ac:dyDescent="0.25">
      <c r="B44" s="34"/>
      <c r="C44" s="37" t="s">
        <v>98</v>
      </c>
      <c r="D44" s="34"/>
      <c r="E44" s="34">
        <v>400</v>
      </c>
      <c r="G44" s="39"/>
      <c r="H44" s="43"/>
      <c r="I44" s="41"/>
      <c r="J44" s="41"/>
      <c r="L44" s="34">
        <v>37</v>
      </c>
      <c r="M44" s="35" t="s">
        <v>143</v>
      </c>
      <c r="N44" s="35" t="s">
        <v>99</v>
      </c>
      <c r="O44" s="34">
        <f>IFERROR(SUMIF(Table427[,],Table629[[#This Row],[Accounts Name]],Table427[,3]),"")</f>
        <v>0</v>
      </c>
      <c r="P44" s="34">
        <f>IFERROR(SUMIF(Table427[,],Table629[[#This Row],[Accounts Name]],Table427[,2]),"")</f>
        <v>800000</v>
      </c>
      <c r="S44" s="36">
        <f t="shared" si="0"/>
        <v>37</v>
      </c>
      <c r="T44" s="34" t="s">
        <v>61</v>
      </c>
      <c r="U44" s="37" t="s">
        <v>218</v>
      </c>
      <c r="V44" s="34">
        <f>IFERROR(SUMIF(Table629[Sub-Accounts],Table830[[#This Row],[Update your chart of accounts here]],Table629[Debit]),"")</f>
        <v>0</v>
      </c>
      <c r="W44" s="34">
        <f>IFERROR(SUMIF(Table629[Sub-Accounts],Table830[[#This Row],[Update your chart of accounts here]],Table629[Credit]),"")</f>
        <v>0</v>
      </c>
      <c r="X44" s="34"/>
      <c r="Y44" s="34"/>
      <c r="Z44" s="34"/>
      <c r="AA44" s="34"/>
      <c r="AB44" s="34">
        <f>MAX(Table830[[#This Row],[Debit]]+Table830[[#This Row],[Debit -]]-Table830[[#This Row],[Credit]]-Table830[[#This Row],[Credit +]],0)</f>
        <v>0</v>
      </c>
      <c r="AC44" s="34">
        <f>MAX(Table830[[#This Row],[Credit]]-Table830[[#This Row],[Debit]]+Table830[[#This Row],[Credit +]]-Table830[[#This Row],[Debit -]],0)</f>
        <v>0</v>
      </c>
      <c r="AD44" s="34" t="str">
        <f>IFERROR(IF(AND(OR(Table830[[#This Row],[Classification]]="Expense",Table830[[#This Row],[Classification]]="Cost of Goods Sold"),Table830[[#This Row],[Debit\]]&gt;Table830[[#This Row],[Credit.]]),Table830[[#This Row],[Debit\]]-Table830[[#This Row],[Credit.]],""),"")</f>
        <v/>
      </c>
      <c r="AE44" s="34" t="str">
        <f>IFERROR(IF(AND(OR(Table830[[#This Row],[Classification]]="Income",Table830[[#This Row],[Classification]]="Cost of Goods Sold"),Table830[[#This Row],[Credit.]]&gt;Table830[[#This Row],[Debit\]]),Table830[[#This Row],[Credit.]]-Table830[[#This Row],[Debit\]],""),"")</f>
        <v/>
      </c>
      <c r="AF44" s="34"/>
      <c r="AG44" s="34" t="str">
        <f>IFERROR(IF(AND(Table830[[#This Row],[Classification]]="Assets",Table830[[#This Row],[Debit\]]-Table830[[#This Row],[Credit.]]),Table830[[#This Row],[Debit\]]-Table830[[#This Row],[Credit.]],""),"")</f>
        <v/>
      </c>
      <c r="AH44" s="34" t="str">
        <f>IFERROR(IF(AND(OR(Table830[[#This Row],[Classification]]="Liabilities",Table830[[#This Row],[Classification]]="Owner´s Equity"),Table830[[#This Row],[Credit.]]&gt;Table830[[#This Row],[Debit\]]),Table830[[#This Row],[Credit.]]-Table830[[#This Row],[Debit\]],""),"")</f>
        <v/>
      </c>
    </row>
    <row r="45" spans="2:34" hidden="1" x14ac:dyDescent="0.25">
      <c r="B45" s="34"/>
      <c r="C45" s="37" t="s">
        <v>99</v>
      </c>
      <c r="D45" s="34"/>
      <c r="E45" s="34">
        <v>800000</v>
      </c>
      <c r="G45" s="39"/>
      <c r="H45" s="40"/>
      <c r="I45" s="41"/>
      <c r="J45" s="41"/>
      <c r="L45" s="34">
        <v>38</v>
      </c>
      <c r="M45" s="35" t="s">
        <v>62</v>
      </c>
      <c r="N45" s="35" t="s">
        <v>100</v>
      </c>
      <c r="O45" s="34">
        <f>IFERROR(SUMIF(Table427[,],Table629[[#This Row],[Accounts Name]],Table427[,3]),"")</f>
        <v>0</v>
      </c>
      <c r="P45" s="34">
        <f>IFERROR(SUMIF(Table427[,],Table629[[#This Row],[Accounts Name]],Table427[,2]),"")</f>
        <v>332888373.44999999</v>
      </c>
      <c r="S45" s="36">
        <f t="shared" si="0"/>
        <v>38</v>
      </c>
      <c r="T45" s="34" t="s">
        <v>61</v>
      </c>
      <c r="U45" s="37" t="s">
        <v>163</v>
      </c>
      <c r="V45" s="34">
        <f>IFERROR(SUMIF(Table629[Sub-Accounts],Table830[[#This Row],[Update your chart of accounts here]],Table629[Debit]),"")</f>
        <v>300</v>
      </c>
      <c r="W45" s="34">
        <f>IFERROR(SUMIF(Table629[Sub-Accounts],Table830[[#This Row],[Update your chart of accounts here]],Table629[Credit]),"")</f>
        <v>0</v>
      </c>
      <c r="X45" s="34"/>
      <c r="Y45" s="34"/>
      <c r="Z45" s="34"/>
      <c r="AA45" s="34"/>
      <c r="AB45" s="34">
        <f>MAX(Table830[[#This Row],[Debit]]+Table830[[#This Row],[Debit -]]-Table830[[#This Row],[Credit]]-Table830[[#This Row],[Credit +]],0)</f>
        <v>300</v>
      </c>
      <c r="AC45" s="34">
        <f>MAX(Table830[[#This Row],[Credit]]-Table830[[#This Row],[Debit]]+Table830[[#This Row],[Credit +]]-Table830[[#This Row],[Debit -]],0)</f>
        <v>0</v>
      </c>
      <c r="AD45" s="34">
        <f>IFERROR(IF(AND(OR(Table830[[#This Row],[Classification]]="Expense",Table830[[#This Row],[Classification]]="Cost of Goods Sold"),Table830[[#This Row],[Debit\]]&gt;Table830[[#This Row],[Credit.]]),Table830[[#This Row],[Debit\]]-Table830[[#This Row],[Credit.]],""),"")</f>
        <v>300</v>
      </c>
      <c r="AE45" s="34" t="str">
        <f>IFERROR(IF(AND(OR(Table830[[#This Row],[Classification]]="Income",Table830[[#This Row],[Classification]]="Cost of Goods Sold"),Table830[[#This Row],[Credit.]]&gt;Table830[[#This Row],[Debit\]]),Table830[[#This Row],[Credit.]]-Table830[[#This Row],[Debit\]],""),"")</f>
        <v/>
      </c>
      <c r="AF45" s="34"/>
      <c r="AG45" s="34" t="str">
        <f>IFERROR(IF(AND(Table830[[#This Row],[Classification]]="Assets",Table830[[#This Row],[Debit\]]-Table830[[#This Row],[Credit.]]),Table830[[#This Row],[Debit\]]-Table830[[#This Row],[Credit.]],""),"")</f>
        <v/>
      </c>
      <c r="AH45" s="34" t="str">
        <f>IFERROR(IF(AND(OR(Table830[[#This Row],[Classification]]="Liabilities",Table830[[#This Row],[Classification]]="Owner´s Equity"),Table830[[#This Row],[Credit.]]&gt;Table830[[#This Row],[Debit\]]),Table830[[#This Row],[Credit.]]-Table830[[#This Row],[Debit\]],""),"")</f>
        <v/>
      </c>
    </row>
    <row r="46" spans="2:34" hidden="1" x14ac:dyDescent="0.25">
      <c r="B46" s="34"/>
      <c r="C46" s="37" t="s">
        <v>100</v>
      </c>
      <c r="D46" s="34"/>
      <c r="E46" s="34">
        <v>332888373.44999999</v>
      </c>
      <c r="G46" s="39"/>
      <c r="H46" s="40"/>
      <c r="I46" s="41"/>
      <c r="J46" s="41"/>
      <c r="L46" s="34">
        <v>39</v>
      </c>
      <c r="M46" s="35" t="s">
        <v>147</v>
      </c>
      <c r="N46" s="35" t="s">
        <v>101</v>
      </c>
      <c r="O46" s="34">
        <f>IFERROR(SUMIF(Table427[,],Table629[[#This Row],[Accounts Name]],Table427[,3]),"")</f>
        <v>316209838.63</v>
      </c>
      <c r="P46" s="34">
        <f>IFERROR(SUMIF(Table427[,],Table629[[#This Row],[Accounts Name]],Table427[,2]),"")</f>
        <v>0</v>
      </c>
      <c r="S46" s="36">
        <f t="shared" si="0"/>
        <v>39</v>
      </c>
      <c r="T46" s="34" t="s">
        <v>61</v>
      </c>
      <c r="U46" s="37" t="s">
        <v>164</v>
      </c>
      <c r="V46" s="34">
        <f>IFERROR(SUMIF(Table629[Sub-Accounts],Table830[[#This Row],[Update your chart of accounts here]],Table629[Debit]),"")</f>
        <v>436840.42</v>
      </c>
      <c r="W46" s="34">
        <f>IFERROR(SUMIF(Table629[Sub-Accounts],Table830[[#This Row],[Update your chart of accounts here]],Table629[Credit]),"")</f>
        <v>0</v>
      </c>
      <c r="X46" s="34"/>
      <c r="Y46" s="34"/>
      <c r="Z46" s="34"/>
      <c r="AA46" s="34"/>
      <c r="AB46" s="34">
        <f>MAX(Table830[[#This Row],[Debit]]+Table830[[#This Row],[Debit -]]-Table830[[#This Row],[Credit]]-Table830[[#This Row],[Credit +]],0)</f>
        <v>436840.42</v>
      </c>
      <c r="AC46" s="34">
        <f>MAX(Table830[[#This Row],[Credit]]-Table830[[#This Row],[Debit]]+Table830[[#This Row],[Credit +]]-Table830[[#This Row],[Debit -]],0)</f>
        <v>0</v>
      </c>
      <c r="AD46" s="34">
        <f>IFERROR(IF(AND(OR(Table830[[#This Row],[Classification]]="Expense",Table830[[#This Row],[Classification]]="Cost of Goods Sold"),Table830[[#This Row],[Debit\]]&gt;Table830[[#This Row],[Credit.]]),Table830[[#This Row],[Debit\]]-Table830[[#This Row],[Credit.]],""),"")</f>
        <v>436840.42</v>
      </c>
      <c r="AE46" s="34" t="str">
        <f>IFERROR(IF(AND(OR(Table830[[#This Row],[Classification]]="Income",Table830[[#This Row],[Classification]]="Cost of Goods Sold"),Table830[[#This Row],[Credit.]]&gt;Table830[[#This Row],[Debit\]]),Table830[[#This Row],[Credit.]]-Table830[[#This Row],[Debit\]],""),"")</f>
        <v/>
      </c>
      <c r="AF46" s="34"/>
      <c r="AG46" s="34" t="str">
        <f>IFERROR(IF(AND(Table830[[#This Row],[Classification]]="Assets",Table830[[#This Row],[Debit\]]-Table830[[#This Row],[Credit.]]),Table830[[#This Row],[Debit\]]-Table830[[#This Row],[Credit.]],""),"")</f>
        <v/>
      </c>
      <c r="AH46" s="34" t="str">
        <f>IFERROR(IF(AND(OR(Table830[[#This Row],[Classification]]="Liabilities",Table830[[#This Row],[Classification]]="Owner´s Equity"),Table830[[#This Row],[Credit.]]&gt;Table830[[#This Row],[Debit\]]),Table830[[#This Row],[Credit.]]-Table830[[#This Row],[Debit\]],""),"")</f>
        <v/>
      </c>
    </row>
    <row r="47" spans="2:34" hidden="1" x14ac:dyDescent="0.25">
      <c r="B47" s="34"/>
      <c r="C47" s="37" t="s">
        <v>101</v>
      </c>
      <c r="D47" s="34">
        <v>316209838.63</v>
      </c>
      <c r="E47" s="34"/>
      <c r="G47" s="39"/>
      <c r="H47" s="43"/>
      <c r="I47" s="41"/>
      <c r="J47" s="41"/>
      <c r="L47" s="34">
        <v>40</v>
      </c>
      <c r="M47" s="35" t="s">
        <v>148</v>
      </c>
      <c r="N47" s="35" t="s">
        <v>102</v>
      </c>
      <c r="O47" s="34">
        <f>IFERROR(SUMIF(Table427[,],Table629[[#This Row],[Accounts Name]],Table427[,3]),"")</f>
        <v>568965.54</v>
      </c>
      <c r="P47" s="34">
        <f>IFERROR(SUMIF(Table427[,],Table629[[#This Row],[Accounts Name]],Table427[,2]),"")</f>
        <v>0</v>
      </c>
      <c r="S47" s="36">
        <f t="shared" si="0"/>
        <v>40</v>
      </c>
      <c r="T47" s="34" t="s">
        <v>61</v>
      </c>
      <c r="U47" s="37" t="s">
        <v>219</v>
      </c>
      <c r="V47" s="34">
        <f>IFERROR(SUMIF(Table629[Sub-Accounts],Table830[[#This Row],[Update your chart of accounts here]],Table629[Debit]),"")</f>
        <v>0</v>
      </c>
      <c r="W47" s="34">
        <f>IFERROR(SUMIF(Table629[Sub-Accounts],Table830[[#This Row],[Update your chart of accounts here]],Table629[Credit]),"")</f>
        <v>0</v>
      </c>
      <c r="X47" s="34"/>
      <c r="Y47" s="34"/>
      <c r="Z47" s="34"/>
      <c r="AA47" s="34"/>
      <c r="AB47" s="34">
        <f>MAX(Table830[[#This Row],[Debit]]+Table830[[#This Row],[Debit -]]-Table830[[#This Row],[Credit]]-Table830[[#This Row],[Credit +]],0)</f>
        <v>0</v>
      </c>
      <c r="AC47" s="34">
        <f>MAX(Table830[[#This Row],[Credit]]-Table830[[#This Row],[Debit]]+Table830[[#This Row],[Credit +]]-Table830[[#This Row],[Debit -]],0)</f>
        <v>0</v>
      </c>
      <c r="AD47" s="34" t="str">
        <f>IFERROR(IF(AND(OR(Table830[[#This Row],[Classification]]="Expense",Table830[[#This Row],[Classification]]="Cost of Goods Sold"),Table830[[#This Row],[Debit\]]&gt;Table830[[#This Row],[Credit.]]),Table830[[#This Row],[Debit\]]-Table830[[#This Row],[Credit.]],""),"")</f>
        <v/>
      </c>
      <c r="AE47" s="34" t="str">
        <f>IFERROR(IF(AND(OR(Table830[[#This Row],[Classification]]="Income",Table830[[#This Row],[Classification]]="Cost of Goods Sold"),Table830[[#This Row],[Credit.]]&gt;Table830[[#This Row],[Debit\]]),Table830[[#This Row],[Credit.]]-Table830[[#This Row],[Debit\]],""),"")</f>
        <v/>
      </c>
      <c r="AF47" s="34"/>
      <c r="AG47" s="34" t="str">
        <f>IFERROR(IF(AND(Table830[[#This Row],[Classification]]="Assets",Table830[[#This Row],[Debit\]]-Table830[[#This Row],[Credit.]]),Table830[[#This Row],[Debit\]]-Table830[[#This Row],[Credit.]],""),"")</f>
        <v/>
      </c>
      <c r="AH47" s="34" t="str">
        <f>IFERROR(IF(AND(OR(Table830[[#This Row],[Classification]]="Liabilities",Table830[[#This Row],[Classification]]="Owner´s Equity"),Table830[[#This Row],[Credit.]]&gt;Table830[[#This Row],[Debit\]]),Table830[[#This Row],[Credit.]]-Table830[[#This Row],[Debit\]],""),"")</f>
        <v/>
      </c>
    </row>
    <row r="48" spans="2:34" hidden="1" x14ac:dyDescent="0.25">
      <c r="B48" s="34"/>
      <c r="C48" s="37" t="s">
        <v>102</v>
      </c>
      <c r="D48" s="34">
        <v>568965.54</v>
      </c>
      <c r="E48" s="34"/>
      <c r="G48" s="39"/>
      <c r="H48" s="40"/>
      <c r="I48" s="41"/>
      <c r="J48" s="41"/>
      <c r="L48" s="34">
        <v>41</v>
      </c>
      <c r="M48" s="35" t="s">
        <v>149</v>
      </c>
      <c r="N48" s="35" t="s">
        <v>103</v>
      </c>
      <c r="O48" s="34">
        <f>IFERROR(SUMIF(Table427[,],Table629[[#This Row],[Accounts Name]],Table427[,3]),"")</f>
        <v>175000</v>
      </c>
      <c r="P48" s="34">
        <f>IFERROR(SUMIF(Table427[,],Table629[[#This Row],[Accounts Name]],Table427[,2]),"")</f>
        <v>0</v>
      </c>
      <c r="S48" s="36">
        <f t="shared" si="0"/>
        <v>41</v>
      </c>
      <c r="T48" s="34" t="s">
        <v>61</v>
      </c>
      <c r="U48" s="37" t="s">
        <v>169</v>
      </c>
      <c r="V48" s="34">
        <f>IFERROR(SUMIF(Table629[Sub-Accounts],Table830[[#This Row],[Update your chart of accounts here]],Table629[Debit]),"")</f>
        <v>2000</v>
      </c>
      <c r="W48" s="34">
        <f>IFERROR(SUMIF(Table629[Sub-Accounts],Table830[[#This Row],[Update your chart of accounts here]],Table629[Credit]),"")</f>
        <v>0</v>
      </c>
      <c r="X48" s="34"/>
      <c r="Y48" s="34"/>
      <c r="Z48" s="34"/>
      <c r="AA48" s="34"/>
      <c r="AB48" s="34">
        <f>MAX(Table830[[#This Row],[Debit]]+Table830[[#This Row],[Debit -]]-Table830[[#This Row],[Credit]]-Table830[[#This Row],[Credit +]],0)</f>
        <v>2000</v>
      </c>
      <c r="AC48" s="34">
        <f>MAX(Table830[[#This Row],[Credit]]-Table830[[#This Row],[Debit]]+Table830[[#This Row],[Credit +]]-Table830[[#This Row],[Debit -]],0)</f>
        <v>0</v>
      </c>
      <c r="AD48" s="34">
        <f>IFERROR(IF(AND(OR(Table830[[#This Row],[Classification]]="Expense",Table830[[#This Row],[Classification]]="Cost of Goods Sold"),Table830[[#This Row],[Debit\]]&gt;Table830[[#This Row],[Credit.]]),Table830[[#This Row],[Debit\]]-Table830[[#This Row],[Credit.]],""),"")</f>
        <v>2000</v>
      </c>
      <c r="AE48" s="34" t="str">
        <f>IFERROR(IF(AND(OR(Table830[[#This Row],[Classification]]="Income",Table830[[#This Row],[Classification]]="Cost of Goods Sold"),Table830[[#This Row],[Credit.]]&gt;Table830[[#This Row],[Debit\]]),Table830[[#This Row],[Credit.]]-Table830[[#This Row],[Debit\]],""),"")</f>
        <v/>
      </c>
      <c r="AF48" s="34"/>
      <c r="AG48" s="34" t="str">
        <f>IFERROR(IF(AND(Table830[[#This Row],[Classification]]="Assets",Table830[[#This Row],[Debit\]]-Table830[[#This Row],[Credit.]]),Table830[[#This Row],[Debit\]]-Table830[[#This Row],[Credit.]],""),"")</f>
        <v/>
      </c>
      <c r="AH48" s="34" t="str">
        <f>IFERROR(IF(AND(OR(Table830[[#This Row],[Classification]]="Liabilities",Table830[[#This Row],[Classification]]="Owner´s Equity"),Table830[[#This Row],[Credit.]]&gt;Table830[[#This Row],[Debit\]]),Table830[[#This Row],[Credit.]]-Table830[[#This Row],[Debit\]],""),"")</f>
        <v/>
      </c>
    </row>
    <row r="49" spans="2:34" hidden="1" x14ac:dyDescent="0.25">
      <c r="B49" s="34"/>
      <c r="C49" s="37" t="s">
        <v>103</v>
      </c>
      <c r="D49" s="34">
        <v>175000</v>
      </c>
      <c r="E49" s="34"/>
      <c r="G49" s="39"/>
      <c r="H49" s="40"/>
      <c r="I49" s="41"/>
      <c r="J49" s="41"/>
      <c r="L49" s="34">
        <v>42</v>
      </c>
      <c r="M49" s="35" t="s">
        <v>150</v>
      </c>
      <c r="N49" s="35" t="s">
        <v>104</v>
      </c>
      <c r="O49" s="34">
        <f>IFERROR(SUMIF(Table427[,],Table629[[#This Row],[Accounts Name]],Table427[,3]),"")</f>
        <v>176009.84</v>
      </c>
      <c r="P49" s="34">
        <f>IFERROR(SUMIF(Table427[,],Table629[[#This Row],[Accounts Name]],Table427[,2]),"")</f>
        <v>0</v>
      </c>
      <c r="S49" s="36">
        <f t="shared" si="0"/>
        <v>42</v>
      </c>
      <c r="T49" s="34" t="s">
        <v>61</v>
      </c>
      <c r="U49" s="37" t="s">
        <v>170</v>
      </c>
      <c r="V49" s="34">
        <f>IFERROR(SUMIF(Table629[Sub-Accounts],Table830[[#This Row],[Update your chart of accounts here]],Table629[Debit]),"")</f>
        <v>13250</v>
      </c>
      <c r="W49" s="34">
        <f>IFERROR(SUMIF(Table629[Sub-Accounts],Table830[[#This Row],[Update your chart of accounts here]],Table629[Credit]),"")</f>
        <v>0</v>
      </c>
      <c r="X49" s="34"/>
      <c r="Y49" s="34"/>
      <c r="Z49" s="34"/>
      <c r="AA49" s="34"/>
      <c r="AB49" s="34">
        <f>MAX(Table830[[#This Row],[Debit]]+Table830[[#This Row],[Debit -]]-Table830[[#This Row],[Credit]]-Table830[[#This Row],[Credit +]],0)</f>
        <v>13250</v>
      </c>
      <c r="AC49" s="34">
        <f>MAX(Table830[[#This Row],[Credit]]-Table830[[#This Row],[Debit]]+Table830[[#This Row],[Credit +]]-Table830[[#This Row],[Debit -]],0)</f>
        <v>0</v>
      </c>
      <c r="AD49" s="34">
        <f>IFERROR(IF(AND(OR(Table830[[#This Row],[Classification]]="Expense",Table830[[#This Row],[Classification]]="Cost of Goods Sold"),Table830[[#This Row],[Debit\]]&gt;Table830[[#This Row],[Credit.]]),Table830[[#This Row],[Debit\]]-Table830[[#This Row],[Credit.]],""),"")</f>
        <v>13250</v>
      </c>
      <c r="AE49" s="34" t="str">
        <f>IFERROR(IF(AND(OR(Table830[[#This Row],[Classification]]="Income",Table830[[#This Row],[Classification]]="Cost of Goods Sold"),Table830[[#This Row],[Credit.]]&gt;Table830[[#This Row],[Debit\]]),Table830[[#This Row],[Credit.]]-Table830[[#This Row],[Debit\]],""),"")</f>
        <v/>
      </c>
      <c r="AF49" s="34"/>
      <c r="AG49" s="34" t="str">
        <f>IFERROR(IF(AND(Table830[[#This Row],[Classification]]="Assets",Table830[[#This Row],[Debit\]]-Table830[[#This Row],[Credit.]]),Table830[[#This Row],[Debit\]]-Table830[[#This Row],[Credit.]],""),"")</f>
        <v/>
      </c>
      <c r="AH49" s="34" t="str">
        <f>IFERROR(IF(AND(OR(Table830[[#This Row],[Classification]]="Liabilities",Table830[[#This Row],[Classification]]="Owner´s Equity"),Table830[[#This Row],[Credit.]]&gt;Table830[[#This Row],[Debit\]]),Table830[[#This Row],[Credit.]]-Table830[[#This Row],[Debit\]],""),"")</f>
        <v/>
      </c>
    </row>
    <row r="50" spans="2:34" hidden="1" x14ac:dyDescent="0.25">
      <c r="B50" s="34"/>
      <c r="C50" s="37" t="s">
        <v>104</v>
      </c>
      <c r="D50" s="34">
        <v>176009.84</v>
      </c>
      <c r="E50" s="34"/>
      <c r="G50" s="39"/>
      <c r="H50" s="43"/>
      <c r="I50" s="41"/>
      <c r="J50" s="41"/>
      <c r="L50" s="34">
        <v>43</v>
      </c>
      <c r="M50" s="35" t="s">
        <v>151</v>
      </c>
      <c r="N50" s="35" t="s">
        <v>105</v>
      </c>
      <c r="O50" s="34">
        <f>IFERROR(SUMIF(Table427[,],Table629[[#This Row],[Accounts Name]],Table427[,3]),"")</f>
        <v>4000</v>
      </c>
      <c r="P50" s="34">
        <f>IFERROR(SUMIF(Table427[,],Table629[[#This Row],[Accounts Name]],Table427[,2]),"")</f>
        <v>0</v>
      </c>
      <c r="S50" s="36">
        <f t="shared" si="0"/>
        <v>43</v>
      </c>
      <c r="T50" s="34" t="s">
        <v>61</v>
      </c>
      <c r="U50" s="37" t="s">
        <v>220</v>
      </c>
      <c r="V50" s="34">
        <f>IFERROR(SUMIF(Table629[Sub-Accounts],Table830[[#This Row],[Update your chart of accounts here]],Table629[Debit]),"")</f>
        <v>0</v>
      </c>
      <c r="W50" s="34">
        <f>IFERROR(SUMIF(Table629[Sub-Accounts],Table830[[#This Row],[Update your chart of accounts here]],Table629[Credit]),"")</f>
        <v>0</v>
      </c>
      <c r="X50" s="34"/>
      <c r="Y50" s="34"/>
      <c r="Z50" s="34"/>
      <c r="AA50" s="34"/>
      <c r="AB50" s="34">
        <f>MAX(Table830[[#This Row],[Debit]]+Table830[[#This Row],[Debit -]]-Table830[[#This Row],[Credit]]-Table830[[#This Row],[Credit +]],0)</f>
        <v>0</v>
      </c>
      <c r="AC50" s="34">
        <f>MAX(Table830[[#This Row],[Credit]]-Table830[[#This Row],[Debit]]+Table830[[#This Row],[Credit +]]-Table830[[#This Row],[Debit -]],0)</f>
        <v>0</v>
      </c>
      <c r="AD50" s="34" t="str">
        <f>IFERROR(IF(AND(OR(Table830[[#This Row],[Classification]]="Expense",Table830[[#This Row],[Classification]]="Cost of Goods Sold"),Table830[[#This Row],[Debit\]]&gt;Table830[[#This Row],[Credit.]]),Table830[[#This Row],[Debit\]]-Table830[[#This Row],[Credit.]],""),"")</f>
        <v/>
      </c>
      <c r="AE50" s="34" t="str">
        <f>IFERROR(IF(AND(OR(Table830[[#This Row],[Classification]]="Income",Table830[[#This Row],[Classification]]="Cost of Goods Sold"),Table830[[#This Row],[Credit.]]&gt;Table830[[#This Row],[Debit\]]),Table830[[#This Row],[Credit.]]-Table830[[#This Row],[Debit\]],""),"")</f>
        <v/>
      </c>
      <c r="AF50" s="34"/>
      <c r="AG50" s="34" t="str">
        <f>IFERROR(IF(AND(Table830[[#This Row],[Classification]]="Assets",Table830[[#This Row],[Debit\]]-Table830[[#This Row],[Credit.]]),Table830[[#This Row],[Debit\]]-Table830[[#This Row],[Credit.]],""),"")</f>
        <v/>
      </c>
      <c r="AH50" s="34" t="str">
        <f>IFERROR(IF(AND(OR(Table830[[#This Row],[Classification]]="Liabilities",Table830[[#This Row],[Classification]]="Owner´s Equity"),Table830[[#This Row],[Credit.]]&gt;Table830[[#This Row],[Debit\]]),Table830[[#This Row],[Credit.]]-Table830[[#This Row],[Debit\]],""),"")</f>
        <v/>
      </c>
    </row>
    <row r="51" spans="2:34" hidden="1" x14ac:dyDescent="0.25">
      <c r="B51" s="34"/>
      <c r="C51" s="37" t="s">
        <v>105</v>
      </c>
      <c r="D51" s="34">
        <v>4000</v>
      </c>
      <c r="E51" s="34"/>
      <c r="G51" s="39"/>
      <c r="H51" s="40"/>
      <c r="I51" s="41"/>
      <c r="J51" s="41"/>
      <c r="L51" s="34">
        <v>44</v>
      </c>
      <c r="M51" s="35" t="s">
        <v>152</v>
      </c>
      <c r="N51" s="35" t="s">
        <v>106</v>
      </c>
      <c r="O51" s="34">
        <f>IFERROR(SUMIF(Table427[,],Table629[[#This Row],[Accounts Name]],Table427[,3]),"")</f>
        <v>50190.32</v>
      </c>
      <c r="P51" s="34">
        <f>IFERROR(SUMIF(Table427[,],Table629[[#This Row],[Accounts Name]],Table427[,2]),"")</f>
        <v>0</v>
      </c>
      <c r="S51" s="36">
        <f t="shared" si="0"/>
        <v>44</v>
      </c>
      <c r="T51" s="34" t="s">
        <v>61</v>
      </c>
      <c r="U51" s="37" t="s">
        <v>155</v>
      </c>
      <c r="V51" s="34">
        <f>IFERROR(SUMIF(Table629[Sub-Accounts],Table830[[#This Row],[Update your chart of accounts here]],Table629[Debit]),"")</f>
        <v>1000000</v>
      </c>
      <c r="W51" s="34">
        <f>IFERROR(SUMIF(Table629[Sub-Accounts],Table830[[#This Row],[Update your chart of accounts here]],Table629[Credit]),"")</f>
        <v>0</v>
      </c>
      <c r="X51" s="34"/>
      <c r="Y51" s="34" t="s">
        <v>226</v>
      </c>
      <c r="Z51" s="34"/>
      <c r="AA51" s="34">
        <f>J15</f>
        <v>1000000</v>
      </c>
      <c r="AB51" s="34">
        <f>MAX(Table830[[#This Row],[Debit]]+Table830[[#This Row],[Debit -]]-Table830[[#This Row],[Credit]]-Table830[[#This Row],[Credit +]],0)</f>
        <v>0</v>
      </c>
      <c r="AC51" s="34">
        <f>MAX(Table830[[#This Row],[Credit]]-Table830[[#This Row],[Debit]]+Table830[[#This Row],[Credit +]]-Table830[[#This Row],[Debit -]],0)</f>
        <v>0</v>
      </c>
      <c r="AD51" s="34" t="str">
        <f>IFERROR(IF(AND(OR(Table830[[#This Row],[Classification]]="Expense",Table830[[#This Row],[Classification]]="Cost of Goods Sold"),Table830[[#This Row],[Debit\]]&gt;Table830[[#This Row],[Credit.]]),Table830[[#This Row],[Debit\]]-Table830[[#This Row],[Credit.]],""),"")</f>
        <v/>
      </c>
      <c r="AE51" s="34" t="str">
        <f>IFERROR(IF(AND(OR(Table830[[#This Row],[Classification]]="Income",Table830[[#This Row],[Classification]]="Cost of Goods Sold"),Table830[[#This Row],[Credit.]]&gt;Table830[[#This Row],[Debit\]]),Table830[[#This Row],[Credit.]]-Table830[[#This Row],[Debit\]],""),"")</f>
        <v/>
      </c>
      <c r="AF51" s="34"/>
      <c r="AG51" s="34" t="str">
        <f>IFERROR(IF(AND(Table830[[#This Row],[Classification]]="Assets",Table830[[#This Row],[Debit\]]-Table830[[#This Row],[Credit.]]),Table830[[#This Row],[Debit\]]-Table830[[#This Row],[Credit.]],""),"")</f>
        <v/>
      </c>
      <c r="AH51" s="34" t="str">
        <f>IFERROR(IF(AND(OR(Table830[[#This Row],[Classification]]="Liabilities",Table830[[#This Row],[Classification]]="Owner´s Equity"),Table830[[#This Row],[Credit.]]&gt;Table830[[#This Row],[Debit\]]),Table830[[#This Row],[Credit.]]-Table830[[#This Row],[Debit\]],""),"")</f>
        <v/>
      </c>
    </row>
    <row r="52" spans="2:34" hidden="1" x14ac:dyDescent="0.25">
      <c r="B52" s="34"/>
      <c r="C52" s="37" t="s">
        <v>106</v>
      </c>
      <c r="D52" s="34">
        <v>50190.32</v>
      </c>
      <c r="E52" s="34"/>
      <c r="G52" s="39"/>
      <c r="H52" s="40"/>
      <c r="I52" s="41"/>
      <c r="J52" s="41"/>
      <c r="L52" s="34">
        <v>45</v>
      </c>
      <c r="M52" s="35" t="s">
        <v>153</v>
      </c>
      <c r="N52" s="35" t="s">
        <v>107</v>
      </c>
      <c r="O52" s="34">
        <f>IFERROR(SUMIF(Table427[,],Table629[[#This Row],[Accounts Name]],Table427[,3]),"")</f>
        <v>233250</v>
      </c>
      <c r="P52" s="34">
        <f>IFERROR(SUMIF(Table427[,],Table629[[#This Row],[Accounts Name]],Table427[,2]),"")</f>
        <v>0</v>
      </c>
      <c r="S52" s="36">
        <f t="shared" si="0"/>
        <v>45</v>
      </c>
      <c r="T52" s="34" t="s">
        <v>61</v>
      </c>
      <c r="U52" s="37" t="s">
        <v>171</v>
      </c>
      <c r="V52" s="34">
        <f>IFERROR(SUMIF(Table629[Sub-Accounts],Table830[[#This Row],[Update your chart of accounts here]],Table629[Debit]),"")</f>
        <v>0</v>
      </c>
      <c r="W52" s="34">
        <f>IFERROR(SUMIF(Table629[Sub-Accounts],Table830[[#This Row],[Update your chart of accounts here]],Table629[Credit]),"")</f>
        <v>0</v>
      </c>
      <c r="X52" s="34"/>
      <c r="Y52" s="34" t="s">
        <v>224</v>
      </c>
      <c r="Z52" s="34">
        <f>I9</f>
        <v>409278.51677448238</v>
      </c>
      <c r="AA52" s="34"/>
      <c r="AB52" s="34">
        <f>MAX(Table830[[#This Row],[Debit]]+Table830[[#This Row],[Debit -]]-Table830[[#This Row],[Credit]]-Table830[[#This Row],[Credit +]],0)</f>
        <v>409278.51677448238</v>
      </c>
      <c r="AC52" s="34">
        <f>MAX(Table830[[#This Row],[Credit]]-Table830[[#This Row],[Debit]]+Table830[[#This Row],[Credit +]]-Table830[[#This Row],[Debit -]],0)</f>
        <v>0</v>
      </c>
      <c r="AD52" s="34">
        <f>IFERROR(IF(AND(OR(Table830[[#This Row],[Classification]]="Expense",Table830[[#This Row],[Classification]]="Cost of Goods Sold"),Table830[[#This Row],[Debit\]]&gt;Table830[[#This Row],[Credit.]]),Table830[[#This Row],[Debit\]]-Table830[[#This Row],[Credit.]],""),"")</f>
        <v>409278.51677448238</v>
      </c>
      <c r="AE52" s="34" t="str">
        <f>IFERROR(IF(AND(OR(Table830[[#This Row],[Classification]]="Income",Table830[[#This Row],[Classification]]="Cost of Goods Sold"),Table830[[#This Row],[Credit.]]&gt;Table830[[#This Row],[Debit\]]),Table830[[#This Row],[Credit.]]-Table830[[#This Row],[Debit\]],""),"")</f>
        <v/>
      </c>
      <c r="AF52" s="34"/>
      <c r="AG52" s="34" t="str">
        <f>IFERROR(IF(AND(Table830[[#This Row],[Classification]]="Assets",Table830[[#This Row],[Debit\]]-Table830[[#This Row],[Credit.]]),Table830[[#This Row],[Debit\]]-Table830[[#This Row],[Credit.]],""),"")</f>
        <v/>
      </c>
      <c r="AH52" s="34" t="str">
        <f>IFERROR(IF(AND(OR(Table830[[#This Row],[Classification]]="Liabilities",Table830[[#This Row],[Classification]]="Owner´s Equity"),Table830[[#This Row],[Credit.]]&gt;Table830[[#This Row],[Debit\]]),Table830[[#This Row],[Credit.]]-Table830[[#This Row],[Debit\]],""),"")</f>
        <v/>
      </c>
    </row>
    <row r="53" spans="2:34" hidden="1" x14ac:dyDescent="0.25">
      <c r="B53" s="34"/>
      <c r="C53" s="37" t="s">
        <v>107</v>
      </c>
      <c r="D53" s="34">
        <v>233250</v>
      </c>
      <c r="E53" s="34"/>
      <c r="G53" s="39"/>
      <c r="H53" s="43"/>
      <c r="I53" s="41"/>
      <c r="J53" s="41"/>
      <c r="L53" s="34">
        <v>46</v>
      </c>
      <c r="M53" s="35" t="s">
        <v>154</v>
      </c>
      <c r="N53" s="35" t="s">
        <v>108</v>
      </c>
      <c r="O53" s="34">
        <f>IFERROR(SUMIF(Table427[,],Table629[[#This Row],[Accounts Name]],Table427[,3]),"")</f>
        <v>2500001</v>
      </c>
      <c r="P53" s="34">
        <f>IFERROR(SUMIF(Table427[,],Table629[[#This Row],[Accounts Name]],Table427[,2]),"")</f>
        <v>0</v>
      </c>
      <c r="S53" s="36">
        <f t="shared" si="0"/>
        <v>46</v>
      </c>
      <c r="T53" s="34" t="s">
        <v>61</v>
      </c>
      <c r="U53" s="37" t="s">
        <v>148</v>
      </c>
      <c r="V53" s="34">
        <f>IFERROR(SUMIF(Table629[Sub-Accounts],Table830[[#This Row],[Update your chart of accounts here]],Table629[Debit]),"")</f>
        <v>568965.54</v>
      </c>
      <c r="W53" s="34">
        <f>IFERROR(SUMIF(Table629[Sub-Accounts],Table830[[#This Row],[Update your chart of accounts here]],Table629[Credit]),"")</f>
        <v>0</v>
      </c>
      <c r="X53" s="34"/>
      <c r="Y53" s="34"/>
      <c r="Z53" s="34"/>
      <c r="AA53" s="34"/>
      <c r="AB53" s="34">
        <f>MAX(Table830[[#This Row],[Debit]]+Table830[[#This Row],[Debit -]]-Table830[[#This Row],[Credit]]-Table830[[#This Row],[Credit +]],0)</f>
        <v>568965.54</v>
      </c>
      <c r="AC53" s="34">
        <f>MAX(Table830[[#This Row],[Credit]]-Table830[[#This Row],[Debit]]+Table830[[#This Row],[Credit +]]-Table830[[#This Row],[Debit -]],0)</f>
        <v>0</v>
      </c>
      <c r="AD53" s="34">
        <f>IFERROR(IF(AND(OR(Table830[[#This Row],[Classification]]="Expense",Table830[[#This Row],[Classification]]="Cost of Goods Sold"),Table830[[#This Row],[Debit\]]&gt;Table830[[#This Row],[Credit.]]),Table830[[#This Row],[Debit\]]-Table830[[#This Row],[Credit.]],""),"")</f>
        <v>568965.54</v>
      </c>
      <c r="AE53" s="34" t="str">
        <f>IFERROR(IF(AND(OR(Table830[[#This Row],[Classification]]="Income",Table830[[#This Row],[Classification]]="Cost of Goods Sold"),Table830[[#This Row],[Credit.]]&gt;Table830[[#This Row],[Debit\]]),Table830[[#This Row],[Credit.]]-Table830[[#This Row],[Debit\]],""),"")</f>
        <v/>
      </c>
      <c r="AF53" s="34"/>
      <c r="AG53" s="34" t="str">
        <f>IFERROR(IF(AND(Table830[[#This Row],[Classification]]="Assets",Table830[[#This Row],[Debit\]]-Table830[[#This Row],[Credit.]]),Table830[[#This Row],[Debit\]]-Table830[[#This Row],[Credit.]],""),"")</f>
        <v/>
      </c>
      <c r="AH53" s="34" t="str">
        <f>IFERROR(IF(AND(OR(Table830[[#This Row],[Classification]]="Liabilities",Table830[[#This Row],[Classification]]="Owner´s Equity"),Table830[[#This Row],[Credit.]]&gt;Table830[[#This Row],[Debit\]]),Table830[[#This Row],[Credit.]]-Table830[[#This Row],[Debit\]],""),"")</f>
        <v/>
      </c>
    </row>
    <row r="54" spans="2:34" hidden="1" x14ac:dyDescent="0.25">
      <c r="B54" s="34"/>
      <c r="C54" s="37" t="s">
        <v>108</v>
      </c>
      <c r="D54" s="34">
        <v>2500001</v>
      </c>
      <c r="E54" s="34"/>
      <c r="G54" s="39"/>
      <c r="H54" s="40"/>
      <c r="I54" s="41"/>
      <c r="J54" s="41"/>
      <c r="L54" s="34">
        <v>47</v>
      </c>
      <c r="M54" s="35" t="s">
        <v>155</v>
      </c>
      <c r="N54" s="35" t="s">
        <v>109</v>
      </c>
      <c r="O54" s="34">
        <f>IFERROR(SUMIF(Table427[,],Table629[[#This Row],[Accounts Name]],Table427[,3]),"")</f>
        <v>1000000</v>
      </c>
      <c r="P54" s="34">
        <f>IFERROR(SUMIF(Table427[,],Table629[[#This Row],[Accounts Name]],Table427[,2]),"")</f>
        <v>0</v>
      </c>
      <c r="S54" s="36">
        <f t="shared" si="0"/>
        <v>47</v>
      </c>
      <c r="T54" s="34" t="s">
        <v>61</v>
      </c>
      <c r="U54" s="37" t="s">
        <v>158</v>
      </c>
      <c r="V54" s="34">
        <f>IFERROR(SUMIF(Table629[Sub-Accounts],Table830[[#This Row],[Update your chart of accounts here]],Table629[Debit]),"")</f>
        <v>436880</v>
      </c>
      <c r="W54" s="34">
        <f>IFERROR(SUMIF(Table629[Sub-Accounts],Table830[[#This Row],[Update your chart of accounts here]],Table629[Credit]),"")</f>
        <v>0</v>
      </c>
      <c r="X54" s="34"/>
      <c r="Y54" s="34"/>
      <c r="Z54" s="34"/>
      <c r="AA54" s="34"/>
      <c r="AB54" s="34">
        <f>MAX(Table830[[#This Row],[Debit]]+Table830[[#This Row],[Debit -]]-Table830[[#This Row],[Credit]]-Table830[[#This Row],[Credit +]],0)</f>
        <v>436880</v>
      </c>
      <c r="AC54" s="34">
        <f>MAX(Table830[[#This Row],[Credit]]-Table830[[#This Row],[Debit]]+Table830[[#This Row],[Credit +]]-Table830[[#This Row],[Debit -]],0)</f>
        <v>0</v>
      </c>
      <c r="AD54" s="34">
        <f>IFERROR(IF(AND(OR(Table830[[#This Row],[Classification]]="Expense",Table830[[#This Row],[Classification]]="Cost of Goods Sold"),Table830[[#This Row],[Debit\]]&gt;Table830[[#This Row],[Credit.]]),Table830[[#This Row],[Debit\]]-Table830[[#This Row],[Credit.]],""),"")</f>
        <v>436880</v>
      </c>
      <c r="AE54" s="34" t="str">
        <f>IFERROR(IF(AND(OR(Table830[[#This Row],[Classification]]="Income",Table830[[#This Row],[Classification]]="Cost of Goods Sold"),Table830[[#This Row],[Credit.]]&gt;Table830[[#This Row],[Debit\]]),Table830[[#This Row],[Credit.]]-Table830[[#This Row],[Debit\]],""),"")</f>
        <v/>
      </c>
      <c r="AF54" s="34"/>
      <c r="AG54" s="34" t="str">
        <f>IFERROR(IF(AND(Table830[[#This Row],[Classification]]="Assets",Table830[[#This Row],[Debit\]]-Table830[[#This Row],[Credit.]]),Table830[[#This Row],[Debit\]]-Table830[[#This Row],[Credit.]],""),"")</f>
        <v/>
      </c>
      <c r="AH54" s="34" t="str">
        <f>IFERROR(IF(AND(OR(Table830[[#This Row],[Classification]]="Liabilities",Table830[[#This Row],[Classification]]="Owner´s Equity"),Table830[[#This Row],[Credit.]]&gt;Table830[[#This Row],[Debit\]]),Table830[[#This Row],[Credit.]]-Table830[[#This Row],[Debit\]],""),"")</f>
        <v/>
      </c>
    </row>
    <row r="55" spans="2:34" hidden="1" x14ac:dyDescent="0.25">
      <c r="B55" s="34"/>
      <c r="C55" s="37" t="s">
        <v>109</v>
      </c>
      <c r="D55" s="34">
        <v>1000000</v>
      </c>
      <c r="E55" s="34"/>
      <c r="G55" s="39"/>
      <c r="H55" s="40"/>
      <c r="I55" s="41"/>
      <c r="J55" s="41"/>
      <c r="L55" s="34">
        <v>48</v>
      </c>
      <c r="M55" s="35" t="s">
        <v>156</v>
      </c>
      <c r="N55" s="35" t="s">
        <v>110</v>
      </c>
      <c r="O55" s="34">
        <f>IFERROR(SUMIF(Table427[,],Table629[[#This Row],[Accounts Name]],Table427[,3]),"")</f>
        <v>900</v>
      </c>
      <c r="P55" s="34">
        <f>IFERROR(SUMIF(Table427[,],Table629[[#This Row],[Accounts Name]],Table427[,2]),"")</f>
        <v>0</v>
      </c>
      <c r="S55" s="36">
        <f t="shared" si="0"/>
        <v>48</v>
      </c>
      <c r="T55" s="34" t="s">
        <v>61</v>
      </c>
      <c r="U55" s="37" t="s">
        <v>149</v>
      </c>
      <c r="V55" s="34">
        <f>IFERROR(SUMIF(Table629[Sub-Accounts],Table830[[#This Row],[Update your chart of accounts here]],Table629[Debit]),"")</f>
        <v>175000</v>
      </c>
      <c r="W55" s="34">
        <f>IFERROR(SUMIF(Table629[Sub-Accounts],Table830[[#This Row],[Update your chart of accounts here]],Table629[Credit]),"")</f>
        <v>0</v>
      </c>
      <c r="X55" s="34"/>
      <c r="Y55" s="34"/>
      <c r="Z55" s="34"/>
      <c r="AA55" s="34"/>
      <c r="AB55" s="34">
        <f>MAX(Table830[[#This Row],[Debit]]+Table830[[#This Row],[Debit -]]-Table830[[#This Row],[Credit]]-Table830[[#This Row],[Credit +]],0)</f>
        <v>175000</v>
      </c>
      <c r="AC55" s="34">
        <f>MAX(Table830[[#This Row],[Credit]]-Table830[[#This Row],[Debit]]+Table830[[#This Row],[Credit +]]-Table830[[#This Row],[Debit -]],0)</f>
        <v>0</v>
      </c>
      <c r="AD55" s="34">
        <f>IFERROR(IF(AND(OR(Table830[[#This Row],[Classification]]="Expense",Table830[[#This Row],[Classification]]="Cost of Goods Sold"),Table830[[#This Row],[Debit\]]&gt;Table830[[#This Row],[Credit.]]),Table830[[#This Row],[Debit\]]-Table830[[#This Row],[Credit.]],""),"")</f>
        <v>175000</v>
      </c>
      <c r="AE55" s="34" t="str">
        <f>IFERROR(IF(AND(OR(Table830[[#This Row],[Classification]]="Income",Table830[[#This Row],[Classification]]="Cost of Goods Sold"),Table830[[#This Row],[Credit.]]&gt;Table830[[#This Row],[Debit\]]),Table830[[#This Row],[Credit.]]-Table830[[#This Row],[Debit\]],""),"")</f>
        <v/>
      </c>
      <c r="AF55" s="34"/>
      <c r="AG55" s="34" t="str">
        <f>IFERROR(IF(AND(Table830[[#This Row],[Classification]]="Assets",Table830[[#This Row],[Debit\]]-Table830[[#This Row],[Credit.]]),Table830[[#This Row],[Debit\]]-Table830[[#This Row],[Credit.]],""),"")</f>
        <v/>
      </c>
      <c r="AH55" s="34" t="str">
        <f>IFERROR(IF(AND(OR(Table830[[#This Row],[Classification]]="Liabilities",Table830[[#This Row],[Classification]]="Owner´s Equity"),Table830[[#This Row],[Credit.]]&gt;Table830[[#This Row],[Debit\]]),Table830[[#This Row],[Credit.]]-Table830[[#This Row],[Debit\]],""),"")</f>
        <v/>
      </c>
    </row>
    <row r="56" spans="2:34" hidden="1" x14ac:dyDescent="0.25">
      <c r="B56" s="34"/>
      <c r="C56" s="37" t="s">
        <v>110</v>
      </c>
      <c r="D56" s="34">
        <v>900</v>
      </c>
      <c r="E56" s="34"/>
      <c r="G56" s="39"/>
      <c r="H56" s="43"/>
      <c r="I56" s="41"/>
      <c r="J56" s="41"/>
      <c r="L56" s="34">
        <v>49</v>
      </c>
      <c r="M56" s="35" t="s">
        <v>157</v>
      </c>
      <c r="N56" s="35" t="s">
        <v>111</v>
      </c>
      <c r="O56" s="34">
        <f>IFERROR(SUMIF(Table427[,],Table629[[#This Row],[Accounts Name]],Table427[,3]),"")</f>
        <v>542263</v>
      </c>
      <c r="P56" s="34">
        <f>IFERROR(SUMIF(Table427[,],Table629[[#This Row],[Accounts Name]],Table427[,2]),"")</f>
        <v>0</v>
      </c>
      <c r="S56" s="36">
        <f t="shared" si="0"/>
        <v>49</v>
      </c>
      <c r="T56" s="34" t="s">
        <v>61</v>
      </c>
      <c r="U56" s="37" t="s">
        <v>160</v>
      </c>
      <c r="V56" s="34">
        <f>IFERROR(SUMIF(Table629[Sub-Accounts],Table830[[#This Row],[Update your chart of accounts here]],Table629[Debit]),"")</f>
        <v>145440</v>
      </c>
      <c r="W56" s="34">
        <f>IFERROR(SUMIF(Table629[Sub-Accounts],Table830[[#This Row],[Update your chart of accounts here]],Table629[Credit]),"")</f>
        <v>0</v>
      </c>
      <c r="X56" s="34"/>
      <c r="Y56" s="34"/>
      <c r="Z56" s="34"/>
      <c r="AA56" s="34"/>
      <c r="AB56" s="34">
        <f>MAX(Table830[[#This Row],[Debit]]+Table830[[#This Row],[Debit -]]-Table830[[#This Row],[Credit]]-Table830[[#This Row],[Credit +]],0)</f>
        <v>145440</v>
      </c>
      <c r="AC56" s="34">
        <f>MAX(Table830[[#This Row],[Credit]]-Table830[[#This Row],[Debit]]+Table830[[#This Row],[Credit +]]-Table830[[#This Row],[Debit -]],0)</f>
        <v>0</v>
      </c>
      <c r="AD56" s="34">
        <f>IFERROR(IF(AND(OR(Table830[[#This Row],[Classification]]="Expense",Table830[[#This Row],[Classification]]="Cost of Goods Sold"),Table830[[#This Row],[Debit\]]&gt;Table830[[#This Row],[Credit.]]),Table830[[#This Row],[Debit\]]-Table830[[#This Row],[Credit.]],""),"")</f>
        <v>145440</v>
      </c>
      <c r="AE56" s="34" t="str">
        <f>IFERROR(IF(AND(OR(Table830[[#This Row],[Classification]]="Income",Table830[[#This Row],[Classification]]="Cost of Goods Sold"),Table830[[#This Row],[Credit.]]&gt;Table830[[#This Row],[Debit\]]),Table830[[#This Row],[Credit.]]-Table830[[#This Row],[Debit\]],""),"")</f>
        <v/>
      </c>
      <c r="AF56" s="34"/>
      <c r="AG56" s="34" t="str">
        <f>IFERROR(IF(AND(Table830[[#This Row],[Classification]]="Assets",Table830[[#This Row],[Debit\]]-Table830[[#This Row],[Credit.]]),Table830[[#This Row],[Debit\]]-Table830[[#This Row],[Credit.]],""),"")</f>
        <v/>
      </c>
      <c r="AH56" s="34" t="str">
        <f>IFERROR(IF(AND(OR(Table830[[#This Row],[Classification]]="Liabilities",Table830[[#This Row],[Classification]]="Owner´s Equity"),Table830[[#This Row],[Credit.]]&gt;Table830[[#This Row],[Debit\]]),Table830[[#This Row],[Credit.]]-Table830[[#This Row],[Debit\]],""),"")</f>
        <v/>
      </c>
    </row>
    <row r="57" spans="2:34" hidden="1" x14ac:dyDescent="0.25">
      <c r="B57" s="34"/>
      <c r="C57" s="37" t="s">
        <v>111</v>
      </c>
      <c r="D57" s="34">
        <v>542263</v>
      </c>
      <c r="E57" s="34"/>
      <c r="G57" s="39"/>
      <c r="H57" s="40"/>
      <c r="I57" s="41"/>
      <c r="J57" s="41"/>
      <c r="L57" s="34">
        <v>50</v>
      </c>
      <c r="M57" s="35" t="s">
        <v>158</v>
      </c>
      <c r="N57" s="35" t="s">
        <v>112</v>
      </c>
      <c r="O57" s="34">
        <f>IFERROR(SUMIF(Table427[,],Table629[[#This Row],[Accounts Name]],Table427[,3]),"")</f>
        <v>20412.8</v>
      </c>
      <c r="P57" s="34">
        <f>IFERROR(SUMIF(Table427[,],Table629[[#This Row],[Accounts Name]],Table427[,2]),"")</f>
        <v>0</v>
      </c>
      <c r="S57" s="36">
        <f t="shared" si="0"/>
        <v>50</v>
      </c>
      <c r="T57" s="34" t="s">
        <v>61</v>
      </c>
      <c r="U57" s="37" t="s">
        <v>150</v>
      </c>
      <c r="V57" s="34">
        <f>IFERROR(SUMIF(Table629[Sub-Accounts],Table830[[#This Row],[Update your chart of accounts here]],Table629[Debit]),"")</f>
        <v>176009.84</v>
      </c>
      <c r="W57" s="34">
        <f>IFERROR(SUMIF(Table629[Sub-Accounts],Table830[[#This Row],[Update your chart of accounts here]],Table629[Credit]),"")</f>
        <v>0</v>
      </c>
      <c r="X57" s="34"/>
      <c r="Y57" s="34"/>
      <c r="Z57" s="34"/>
      <c r="AA57" s="34"/>
      <c r="AB57" s="34">
        <f>MAX(Table830[[#This Row],[Debit]]+Table830[[#This Row],[Debit -]]-Table830[[#This Row],[Credit]]-Table830[[#This Row],[Credit +]],0)</f>
        <v>176009.84</v>
      </c>
      <c r="AC57" s="34">
        <f>MAX(Table830[[#This Row],[Credit]]-Table830[[#This Row],[Debit]]+Table830[[#This Row],[Credit +]]-Table830[[#This Row],[Debit -]],0)</f>
        <v>0</v>
      </c>
      <c r="AD57" s="34">
        <f>IFERROR(IF(AND(OR(Table830[[#This Row],[Classification]]="Expense",Table830[[#This Row],[Classification]]="Cost of Goods Sold"),Table830[[#This Row],[Debit\]]&gt;Table830[[#This Row],[Credit.]]),Table830[[#This Row],[Debit\]]-Table830[[#This Row],[Credit.]],""),"")</f>
        <v>176009.84</v>
      </c>
      <c r="AE57" s="34" t="str">
        <f>IFERROR(IF(AND(OR(Table830[[#This Row],[Classification]]="Income",Table830[[#This Row],[Classification]]="Cost of Goods Sold"),Table830[[#This Row],[Credit.]]&gt;Table830[[#This Row],[Debit\]]),Table830[[#This Row],[Credit.]]-Table830[[#This Row],[Debit\]],""),"")</f>
        <v/>
      </c>
      <c r="AF57" s="34"/>
      <c r="AG57" s="34" t="str">
        <f>IFERROR(IF(AND(Table830[[#This Row],[Classification]]="Assets",Table830[[#This Row],[Debit\]]-Table830[[#This Row],[Credit.]]),Table830[[#This Row],[Debit\]]-Table830[[#This Row],[Credit.]],""),"")</f>
        <v/>
      </c>
      <c r="AH57" s="34" t="str">
        <f>IFERROR(IF(AND(OR(Table830[[#This Row],[Classification]]="Liabilities",Table830[[#This Row],[Classification]]="Owner´s Equity"),Table830[[#This Row],[Credit.]]&gt;Table830[[#This Row],[Debit\]]),Table830[[#This Row],[Credit.]]-Table830[[#This Row],[Debit\]],""),"")</f>
        <v/>
      </c>
    </row>
    <row r="58" spans="2:34" hidden="1" x14ac:dyDescent="0.25">
      <c r="B58" s="34"/>
      <c r="C58" s="37" t="s">
        <v>112</v>
      </c>
      <c r="D58" s="34">
        <v>20412.8</v>
      </c>
      <c r="E58" s="34"/>
      <c r="G58" s="39"/>
      <c r="H58" s="40"/>
      <c r="I58" s="41"/>
      <c r="J58" s="41"/>
      <c r="L58" s="34">
        <v>51</v>
      </c>
      <c r="M58" s="35" t="s">
        <v>158</v>
      </c>
      <c r="N58" s="35" t="s">
        <v>113</v>
      </c>
      <c r="O58" s="34">
        <f>IFERROR(SUMIF(Table427[,],Table629[[#This Row],[Accounts Name]],Table427[,3]),"")</f>
        <v>416467.20000000001</v>
      </c>
      <c r="P58" s="34">
        <f>IFERROR(SUMIF(Table427[,],Table629[[#This Row],[Accounts Name]],Table427[,2]),"")</f>
        <v>0</v>
      </c>
      <c r="S58" s="36">
        <f t="shared" si="0"/>
        <v>51</v>
      </c>
      <c r="T58" s="34" t="s">
        <v>61</v>
      </c>
      <c r="U58" s="37" t="s">
        <v>221</v>
      </c>
      <c r="V58" s="34">
        <f>IFERROR(SUMIF(Table629[Sub-Accounts],Table830[[#This Row],[Update your chart of accounts here]],Table629[Debit]),"")</f>
        <v>0</v>
      </c>
      <c r="W58" s="34">
        <f>IFERROR(SUMIF(Table629[Sub-Accounts],Table830[[#This Row],[Update your chart of accounts here]],Table629[Credit]),"")</f>
        <v>0</v>
      </c>
      <c r="X58" s="34"/>
      <c r="Y58" s="34"/>
      <c r="Z58" s="34"/>
      <c r="AA58" s="34"/>
      <c r="AB58" s="34">
        <f>MAX(Table830[[#This Row],[Debit]]+Table830[[#This Row],[Debit -]]-Table830[[#This Row],[Credit]]-Table830[[#This Row],[Credit +]],0)</f>
        <v>0</v>
      </c>
      <c r="AC58" s="34">
        <f>MAX(Table830[[#This Row],[Credit]]-Table830[[#This Row],[Debit]]+Table830[[#This Row],[Credit +]]-Table830[[#This Row],[Debit -]],0)</f>
        <v>0</v>
      </c>
      <c r="AD58" s="34" t="str">
        <f>IFERROR(IF(AND(OR(Table830[[#This Row],[Classification]]="Expense",Table830[[#This Row],[Classification]]="Cost of Goods Sold"),Table830[[#This Row],[Debit\]]&gt;Table830[[#This Row],[Credit.]]),Table830[[#This Row],[Debit\]]-Table830[[#This Row],[Credit.]],""),"")</f>
        <v/>
      </c>
      <c r="AE58" s="34" t="str">
        <f>IFERROR(IF(AND(OR(Table830[[#This Row],[Classification]]="Income",Table830[[#This Row],[Classification]]="Cost of Goods Sold"),Table830[[#This Row],[Credit.]]&gt;Table830[[#This Row],[Debit\]]),Table830[[#This Row],[Credit.]]-Table830[[#This Row],[Debit\]],""),"")</f>
        <v/>
      </c>
      <c r="AF58" s="34"/>
      <c r="AG58" s="34" t="str">
        <f>IFERROR(IF(AND(Table830[[#This Row],[Classification]]="Assets",Table830[[#This Row],[Debit\]]-Table830[[#This Row],[Credit.]]),Table830[[#This Row],[Debit\]]-Table830[[#This Row],[Credit.]],""),"")</f>
        <v/>
      </c>
      <c r="AH58" s="34" t="str">
        <f>IFERROR(IF(AND(OR(Table830[[#This Row],[Classification]]="Liabilities",Table830[[#This Row],[Classification]]="Owner´s Equity"),Table830[[#This Row],[Credit.]]&gt;Table830[[#This Row],[Debit\]]),Table830[[#This Row],[Credit.]]-Table830[[#This Row],[Debit\]],""),"")</f>
        <v/>
      </c>
    </row>
    <row r="59" spans="2:34" hidden="1" x14ac:dyDescent="0.25">
      <c r="B59" s="34"/>
      <c r="C59" s="37" t="s">
        <v>113</v>
      </c>
      <c r="D59" s="34">
        <v>416467.20000000001</v>
      </c>
      <c r="E59" s="34"/>
      <c r="G59" s="39"/>
      <c r="H59" s="43"/>
      <c r="I59" s="41"/>
      <c r="J59" s="41"/>
      <c r="L59" s="34">
        <v>52</v>
      </c>
      <c r="M59" s="35" t="s">
        <v>159</v>
      </c>
      <c r="N59" s="35" t="s">
        <v>114</v>
      </c>
      <c r="O59" s="34">
        <f>IFERROR(SUMIF(Table427[,],Table629[[#This Row],[Accounts Name]],Table427[,3]),"")</f>
        <v>27500</v>
      </c>
      <c r="P59" s="34">
        <f>IFERROR(SUMIF(Table427[,],Table629[[#This Row],[Accounts Name]],Table427[,2]),"")</f>
        <v>0</v>
      </c>
      <c r="S59" s="36">
        <f t="shared" si="0"/>
        <v>52</v>
      </c>
      <c r="T59" s="34" t="s">
        <v>61</v>
      </c>
      <c r="U59" s="37" t="s">
        <v>222</v>
      </c>
      <c r="V59" s="34">
        <f>IFERROR(SUMIF(Table629[Sub-Accounts],Table830[[#This Row],[Update your chart of accounts here]],Table629[Debit]),"")</f>
        <v>0</v>
      </c>
      <c r="W59" s="34">
        <f>IFERROR(SUMIF(Table629[Sub-Accounts],Table830[[#This Row],[Update your chart of accounts here]],Table629[Credit]),"")</f>
        <v>0</v>
      </c>
      <c r="X59" s="34"/>
      <c r="Y59" s="34"/>
      <c r="Z59" s="34"/>
      <c r="AA59" s="34"/>
      <c r="AB59" s="34">
        <f>MAX(Table830[[#This Row],[Debit]]+Table830[[#This Row],[Debit -]]-Table830[[#This Row],[Credit]]-Table830[[#This Row],[Credit +]],0)</f>
        <v>0</v>
      </c>
      <c r="AC59" s="34">
        <f>MAX(Table830[[#This Row],[Credit]]-Table830[[#This Row],[Debit]]+Table830[[#This Row],[Credit +]]-Table830[[#This Row],[Debit -]],0)</f>
        <v>0</v>
      </c>
      <c r="AD59" s="34" t="str">
        <f>IFERROR(IF(AND(OR(Table830[[#This Row],[Classification]]="Expense",Table830[[#This Row],[Classification]]="Cost of Goods Sold"),Table830[[#This Row],[Debit\]]&gt;Table830[[#This Row],[Credit.]]),Table830[[#This Row],[Debit\]]-Table830[[#This Row],[Credit.]],""),"")</f>
        <v/>
      </c>
      <c r="AE59" s="34" t="str">
        <f>IFERROR(IF(AND(OR(Table830[[#This Row],[Classification]]="Income",Table830[[#This Row],[Classification]]="Cost of Goods Sold"),Table830[[#This Row],[Credit.]]&gt;Table830[[#This Row],[Debit\]]),Table830[[#This Row],[Credit.]]-Table830[[#This Row],[Debit\]],""),"")</f>
        <v/>
      </c>
      <c r="AF59" s="34"/>
      <c r="AG59" s="34" t="str">
        <f>IFERROR(IF(AND(Table830[[#This Row],[Classification]]="Assets",Table830[[#This Row],[Debit\]]-Table830[[#This Row],[Credit.]]),Table830[[#This Row],[Debit\]]-Table830[[#This Row],[Credit.]],""),"")</f>
        <v/>
      </c>
      <c r="AH59" s="34" t="str">
        <f>IFERROR(IF(AND(OR(Table830[[#This Row],[Classification]]="Liabilities",Table830[[#This Row],[Classification]]="Owner´s Equity"),Table830[[#This Row],[Credit.]]&gt;Table830[[#This Row],[Debit\]]),Table830[[#This Row],[Credit.]]-Table830[[#This Row],[Debit\]],""),"")</f>
        <v/>
      </c>
    </row>
    <row r="60" spans="2:34" x14ac:dyDescent="0.25">
      <c r="B60" s="34"/>
      <c r="C60" s="37" t="s">
        <v>114</v>
      </c>
      <c r="D60" s="34">
        <v>27500</v>
      </c>
      <c r="E60" s="34"/>
      <c r="G60" s="39"/>
      <c r="H60" s="40"/>
      <c r="I60" s="41"/>
      <c r="J60" s="41"/>
      <c r="L60" s="34">
        <v>53</v>
      </c>
      <c r="M60" s="35" t="s">
        <v>160</v>
      </c>
      <c r="N60" s="35" t="s">
        <v>115</v>
      </c>
      <c r="O60" s="34">
        <f>IFERROR(SUMIF(Table427[,],Table629[[#This Row],[Accounts Name]],Table427[,3]),"")</f>
        <v>30000</v>
      </c>
      <c r="P60" s="34">
        <f>IFERROR(SUMIF(Table427[,],Table629[[#This Row],[Accounts Name]],Table427[,2]),"")</f>
        <v>0</v>
      </c>
      <c r="S60" s="36">
        <f t="shared" si="0"/>
        <v>53</v>
      </c>
      <c r="T60" s="34" t="s">
        <v>11</v>
      </c>
      <c r="U60" s="37" t="s">
        <v>229</v>
      </c>
      <c r="V60" s="34">
        <f>IFERROR(SUMIF(Table629[Sub-Accounts],Table830[[#This Row],[Update your chart of accounts here]],Table629[Debit]),"")</f>
        <v>0</v>
      </c>
      <c r="W60" s="34">
        <f>IFERROR(SUMIF(Table629[Sub-Accounts],Table830[[#This Row],[Update your chart of accounts here]],Table629[Credit]),"")</f>
        <v>0</v>
      </c>
      <c r="X60" s="34"/>
      <c r="Y60" s="34"/>
      <c r="Z60" s="34">
        <f>AA62</f>
        <v>10003059</v>
      </c>
      <c r="AA60" s="34"/>
      <c r="AB60" s="34">
        <f>MAX(Table830[[#This Row],[Debit]]+Table830[[#This Row],[Debit -]]-Table830[[#This Row],[Credit]]-Table830[[#This Row],[Credit +]],0)</f>
        <v>10003059</v>
      </c>
      <c r="AC60" s="34">
        <f>MAX(Table830[[#This Row],[Credit]]-Table830[[#This Row],[Debit]]+Table830[[#This Row],[Credit +]]-Table830[[#This Row],[Debit -]],0)</f>
        <v>0</v>
      </c>
      <c r="AD60" s="34" t="str">
        <f>IFERROR(IF(AND(OR(Table830[[#This Row],[Classification]]="Expense",Table830[[#This Row],[Classification]]="Cost of Goods Sold"),Table830[[#This Row],[Debit\]]&gt;Table830[[#This Row],[Credit.]]),Table830[[#This Row],[Debit\]]-Table830[[#This Row],[Credit.]],""),"")</f>
        <v/>
      </c>
      <c r="AE60" s="34" t="str">
        <f>IFERROR(IF(AND(OR(Table830[[#This Row],[Classification]]="Income",Table830[[#This Row],[Classification]]="Cost of Goods Sold"),Table830[[#This Row],[Credit.]]&gt;Table830[[#This Row],[Debit\]]),Table830[[#This Row],[Credit.]]-Table830[[#This Row],[Debit\]],""),"")</f>
        <v/>
      </c>
      <c r="AF60" s="34"/>
      <c r="AG60" s="34">
        <f>IFERROR(IF(AND(Table830[[#This Row],[Classification]]="Assets",Table830[[#This Row],[Debit\]]-Table830[[#This Row],[Credit.]]),Table830[[#This Row],[Debit\]]-Table830[[#This Row],[Credit.]],""),"")</f>
        <v>10003059</v>
      </c>
      <c r="AH60" s="34" t="str">
        <f>IFERROR(IF(AND(OR(Table830[[#This Row],[Classification]]="Liabilities",Table830[[#This Row],[Classification]]="Owner´s Equity"),Table830[[#This Row],[Credit.]]&gt;Table830[[#This Row],[Debit\]]),Table830[[#This Row],[Credit.]]-Table830[[#This Row],[Debit\]],""),"")</f>
        <v/>
      </c>
    </row>
    <row r="61" spans="2:34" x14ac:dyDescent="0.25">
      <c r="B61" s="34"/>
      <c r="C61" s="37" t="s">
        <v>115</v>
      </c>
      <c r="D61" s="34">
        <v>30000</v>
      </c>
      <c r="E61" s="34"/>
      <c r="G61" s="39"/>
      <c r="H61" s="40"/>
      <c r="I61" s="41"/>
      <c r="J61" s="41"/>
      <c r="L61" s="34">
        <v>54</v>
      </c>
      <c r="M61" s="35" t="s">
        <v>161</v>
      </c>
      <c r="N61" s="35" t="s">
        <v>116</v>
      </c>
      <c r="O61" s="34">
        <f>IFERROR(SUMIF(Table427[,],Table629[[#This Row],[Accounts Name]],Table427[,3]),"")</f>
        <v>77850</v>
      </c>
      <c r="P61" s="34">
        <f>IFERROR(SUMIF(Table427[,],Table629[[#This Row],[Accounts Name]],Table427[,2]),"")</f>
        <v>0</v>
      </c>
      <c r="S61" s="36">
        <f t="shared" si="0"/>
        <v>54</v>
      </c>
      <c r="T61" s="34" t="s">
        <v>48</v>
      </c>
      <c r="U61" s="37" t="s">
        <v>207</v>
      </c>
      <c r="V61" s="34">
        <f>IFERROR(SUMIF(Table629[Sub-Accounts],Table830[[#This Row],[Update your chart of accounts here]],Table629[Debit]),"")</f>
        <v>0</v>
      </c>
      <c r="W61" s="34">
        <f>IFERROR(SUMIF(Table629[Sub-Accounts],Table830[[#This Row],[Update your chart of accounts here]],Table629[Credit]),"")</f>
        <v>0</v>
      </c>
      <c r="X61" s="34"/>
      <c r="Y61" s="34"/>
      <c r="Z61" s="34"/>
      <c r="AA61" s="34">
        <f>Z12</f>
        <v>8341041.1232255697</v>
      </c>
      <c r="AB61" s="34">
        <f>MAX(Table830[[#This Row],[Debit]]+Table830[[#This Row],[Debit -]]-Table830[[#This Row],[Credit]]-Table830[[#This Row],[Credit +]],0)</f>
        <v>0</v>
      </c>
      <c r="AC61" s="34">
        <f>MAX(Table830[[#This Row],[Credit]]-Table830[[#This Row],[Debit]]+Table830[[#This Row],[Credit +]]-Table830[[#This Row],[Debit -]],0)</f>
        <v>8341041.1232255697</v>
      </c>
      <c r="AD61" s="34" t="str">
        <f>IFERROR(IF(AND(OR(Table830[[#This Row],[Classification]]="Expense",Table830[[#This Row],[Classification]]="Cost of Goods Sold"),Table830[[#This Row],[Debit\]]&gt;Table830[[#This Row],[Credit.]]),Table830[[#This Row],[Debit\]]-Table830[[#This Row],[Credit.]],""),"")</f>
        <v/>
      </c>
      <c r="AE61" s="34" t="str">
        <f>IFERROR(IF(AND(OR(Table830[[#This Row],[Classification]]="Income",Table830[[#This Row],[Classification]]="Cost of Goods Sold"),Table830[[#This Row],[Credit.]]&gt;Table830[[#This Row],[Debit\]]),Table830[[#This Row],[Credit.]]-Table830[[#This Row],[Debit\]],""),"")</f>
        <v/>
      </c>
      <c r="AF61" s="34"/>
      <c r="AG61" s="34" t="str">
        <f>IFERROR(IF(AND(Table830[[#This Row],[Classification]]="Assets",Table830[[#This Row],[Debit\]]-Table830[[#This Row],[Credit.]]),Table830[[#This Row],[Debit\]]-Table830[[#This Row],[Credit.]],""),"")</f>
        <v/>
      </c>
      <c r="AH61" s="34">
        <f>IFERROR(IF(AND(OR(Table830[[#This Row],[Classification]]="Liabilities",Table830[[#This Row],[Classification]]="Owner´s Equity"),Table830[[#This Row],[Credit.]]&gt;Table830[[#This Row],[Debit\]]),Table830[[#This Row],[Credit.]]-Table830[[#This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IFERROR(SUMIF(Table427[,],Table629[[#This Row],[Accounts Name]],Table427[,3]),"")</f>
        <v>129108.59</v>
      </c>
      <c r="P62" s="34">
        <f>IFERROR(SUMIF(Table427[,],Table629[[#This Row],[Accounts Name]],Table427[,2]),"")</f>
        <v>0</v>
      </c>
      <c r="S62" s="36">
        <f t="shared" si="0"/>
        <v>55</v>
      </c>
      <c r="T62" s="34" t="s">
        <v>62</v>
      </c>
      <c r="U62" s="37" t="s">
        <v>229</v>
      </c>
      <c r="V62" s="34">
        <f>IFERROR(SUMIF(Table629[Sub-Accounts],Table830[[#This Row],[Update your chart of accounts here]],Table629[Debit]),"")</f>
        <v>0</v>
      </c>
      <c r="W62" s="34">
        <f>IFERROR(SUMIF(Table629[Sub-Accounts],Table830[[#This Row],[Update your chart of accounts here]],Table629[Credit]),"")</f>
        <v>0</v>
      </c>
      <c r="X62" s="34"/>
      <c r="Y62" s="34"/>
      <c r="Z62" s="34"/>
      <c r="AA62" s="34">
        <v>10003059</v>
      </c>
      <c r="AB62" s="34">
        <f>MAX(Table830[[#This Row],[Debit]]+Table830[[#This Row],[Debit -]]-Table830[[#This Row],[Credit]]-Table830[[#This Row],[Credit +]],0)</f>
        <v>0</v>
      </c>
      <c r="AC62" s="34">
        <f>MAX(Table830[[#This Row],[Credit]]-Table830[[#This Row],[Debit]]+Table830[[#This Row],[Credit +]]-Table830[[#This Row],[Debit -]],0)</f>
        <v>10003059</v>
      </c>
      <c r="AD62" s="34" t="str">
        <f>IFERROR(IF(AND(OR(Table830[[#This Row],[Classification]]="Expense",Table830[[#This Row],[Classification]]="Cost of Goods Sold"),Table830[[#This Row],[Debit\]]&gt;Table830[[#This Row],[Credit.]]),Table830[[#This Row],[Debit\]]-Table830[[#This Row],[Credit.]],""),"")</f>
        <v/>
      </c>
      <c r="AE62" s="34">
        <f>IFERROR(IF(AND(OR(Table830[[#This Row],[Classification]]="Income",Table830[[#This Row],[Classification]]="Cost of Goods Sold"),Table830[[#This Row],[Credit.]]&gt;Table830[[#This Row],[Debit\]]),Table830[[#This Row],[Credit.]]-Table830[[#This Row],[Debit\]],""),"")</f>
        <v>10003059</v>
      </c>
      <c r="AF62" s="34"/>
      <c r="AG62" s="34" t="str">
        <f>IFERROR(IF(AND(Table830[[#This Row],[Classification]]="Assets",Table830[[#This Row],[Debit\]]-Table830[[#This Row],[Credit.]]),Table830[[#This Row],[Debit\]]-Table830[[#This Row],[Credit.]],""),"")</f>
        <v/>
      </c>
      <c r="AH62" s="34" t="str">
        <f>IFERROR(IF(AND(OR(Table830[[#This Row],[Classification]]="Liabilities",Table830[[#This Row],[Classification]]="Owner´s Equity"),Table830[[#This Row],[Credit.]]&gt;Table830[[#This Row],[Debit\]]),Table830[[#This Row],[Credit.]]-Table830[[#This Row],[Debit\]],""),"")</f>
        <v/>
      </c>
    </row>
    <row r="63" spans="2:34" x14ac:dyDescent="0.25">
      <c r="B63" s="34"/>
      <c r="C63" s="37" t="s">
        <v>117</v>
      </c>
      <c r="D63" s="34">
        <v>129108.59</v>
      </c>
      <c r="E63" s="34"/>
      <c r="G63" s="39"/>
      <c r="H63" s="40"/>
      <c r="I63" s="41"/>
      <c r="J63" s="41"/>
      <c r="L63" s="34">
        <v>56</v>
      </c>
      <c r="M63" s="35" t="s">
        <v>156</v>
      </c>
      <c r="N63" s="35" t="s">
        <v>118</v>
      </c>
      <c r="O63" s="34">
        <f>IFERROR(SUMIF(Table427[,],Table629[[#This Row],[Accounts Name]],Table427[,3]),"")</f>
        <v>131390</v>
      </c>
      <c r="P63" s="34">
        <f>IFERROR(SUMIF(Table427[,],Table629[[#This Row],[Accounts Name]],Table427[,2]),"")</f>
        <v>0</v>
      </c>
      <c r="S63" s="36">
        <f t="shared" si="0"/>
        <v>56</v>
      </c>
      <c r="T63" s="34" t="s">
        <v>11</v>
      </c>
      <c r="U63" s="37" t="s">
        <v>232</v>
      </c>
      <c r="V63" s="34">
        <f>IFERROR(SUMIF(Table629[Sub-Accounts],Table830[[#This Row],[Update your chart of accounts here]],Table629[Debit]),"")</f>
        <v>0</v>
      </c>
      <c r="W63" s="34">
        <f>IFERROR(SUMIF(Table629[Sub-Accounts],Table830[[#This Row],[Update your chart of accounts here]],Table629[Credit]),"")</f>
        <v>0</v>
      </c>
      <c r="X63" s="34"/>
      <c r="Y63" s="34" t="s">
        <v>233</v>
      </c>
      <c r="Z63" s="34">
        <f>I21</f>
        <v>115200</v>
      </c>
      <c r="AA63" s="34"/>
      <c r="AB63" s="34">
        <f>MAX(Table830[[#This Row],[Debit]]+Table830[[#This Row],[Debit -]]-Table830[[#This Row],[Credit]]-Table830[[#This Row],[Credit +]],0)</f>
        <v>115200</v>
      </c>
      <c r="AC63" s="34">
        <f>MAX(Table830[[#This Row],[Credit]]-Table830[[#This Row],[Debit]]+Table830[[#This Row],[Credit +]]-Table830[[#This Row],[Debit -]],0)</f>
        <v>0</v>
      </c>
      <c r="AD63" s="34" t="str">
        <f>IFERROR(IF(AND(OR(Table830[[#This Row],[Classification]]="Expense",Table830[[#This Row],[Classification]]="Cost of Goods Sold"),Table830[[#This Row],[Debit\]]&gt;Table830[[#This Row],[Credit.]]),Table830[[#This Row],[Debit\]]-Table830[[#This Row],[Credit.]],""),"")</f>
        <v/>
      </c>
      <c r="AE63" s="34" t="str">
        <f>IFERROR(IF(AND(OR(Table830[[#This Row],[Classification]]="Income",Table830[[#This Row],[Classification]]="Cost of Goods Sold"),Table830[[#This Row],[Credit.]]&gt;Table830[[#This Row],[Debit\]]),Table830[[#This Row],[Credit.]]-Table830[[#This Row],[Debit\]],""),"")</f>
        <v/>
      </c>
      <c r="AF63" s="34"/>
      <c r="AG63" s="34">
        <f>IFERROR(IF(AND(Table830[[#This Row],[Classification]]="Assets",Table830[[#This Row],[Debit\]]-Table830[[#This Row],[Credit.]]),Table830[[#This Row],[Debit\]]-Table830[[#This Row],[Credit.]],""),"")</f>
        <v>115200</v>
      </c>
      <c r="AH63" s="34" t="str">
        <f>IFERROR(IF(AND(OR(Table830[[#This Row],[Classification]]="Liabilities",Table830[[#This Row],[Classification]]="Owner´s Equity"),Table830[[#This Row],[Credit.]]&gt;Table830[[#This Row],[Debit\]]),Table830[[#This Row],[Credit.]]-Table830[[#This Row],[Debit\]],""),"")</f>
        <v/>
      </c>
    </row>
    <row r="64" spans="2:34" hidden="1" x14ac:dyDescent="0.25">
      <c r="B64" s="34"/>
      <c r="C64" s="37" t="s">
        <v>118</v>
      </c>
      <c r="D64" s="34">
        <v>131390</v>
      </c>
      <c r="E64" s="34"/>
      <c r="G64" s="39"/>
      <c r="H64" s="40"/>
      <c r="I64" s="41"/>
      <c r="J64" s="41"/>
      <c r="L64" s="34">
        <v>57</v>
      </c>
      <c r="M64" s="35" t="s">
        <v>163</v>
      </c>
      <c r="N64" s="35" t="s">
        <v>119</v>
      </c>
      <c r="O64" s="34">
        <f>IFERROR(SUMIF(Table427[,],Table629[[#This Row],[Accounts Name]],Table427[,3]),"")</f>
        <v>300</v>
      </c>
      <c r="P64" s="34">
        <f>IFERROR(SUMIF(Table427[,],Table629[[#This Row],[Accounts Name]],Table427[,2]),"")</f>
        <v>0</v>
      </c>
      <c r="S64" s="36">
        <f t="shared" si="0"/>
        <v>57</v>
      </c>
      <c r="T64" s="34"/>
      <c r="U64" s="37"/>
      <c r="V64" s="34">
        <f>IFERROR(SUMIF(Table629[Sub-Accounts],Table830[[#This Row],[Update your chart of accounts here]],Table629[Debit]),"")</f>
        <v>0</v>
      </c>
      <c r="W64" s="34">
        <f>IFERROR(SUMIF(Table629[Sub-Accounts],Table830[[#This Row],[Update your chart of accounts here]],Table629[Credit]),"")</f>
        <v>0</v>
      </c>
      <c r="X64" s="34"/>
      <c r="Y64" s="34"/>
      <c r="Z64" s="34"/>
      <c r="AA64" s="34"/>
      <c r="AB64" s="34">
        <f>MAX(Table830[[#This Row],[Debit]]+Table830[[#This Row],[Debit -]]-Table830[[#This Row],[Credit]]-Table830[[#This Row],[Credit +]],0)</f>
        <v>0</v>
      </c>
      <c r="AC64" s="34">
        <f>MAX(Table830[[#This Row],[Credit]]-Table830[[#This Row],[Debit]]+Table830[[#This Row],[Credit +]]-Table830[[#This Row],[Debit -]],0)</f>
        <v>0</v>
      </c>
      <c r="AD64" s="34" t="str">
        <f>IFERROR(IF(AND(OR(Table830[[#This Row],[Classification]]="Expense",Table830[[#This Row],[Classification]]="Cost of Goods Sold"),Table830[[#This Row],[Debit\]]&gt;Table830[[#This Row],[Credit.]]),Table830[[#This Row],[Debit\]]-Table830[[#This Row],[Credit.]],""),"")</f>
        <v/>
      </c>
      <c r="AE64" s="34" t="str">
        <f>IFERROR(IF(AND(OR(Table830[[#This Row],[Classification]]="Income",Table830[[#This Row],[Classification]]="Cost of Goods Sold"),Table830[[#This Row],[Credit.]]&gt;Table830[[#This Row],[Debit\]]),Table830[[#This Row],[Credit.]]-Table830[[#This Row],[Debit\]],""),"")</f>
        <v/>
      </c>
      <c r="AF64" s="34"/>
      <c r="AG64" s="34" t="str">
        <f>IFERROR(IF(AND(Table830[[#This Row],[Classification]]="Assets",Table830[[#This Row],[Debit\]]-Table830[[#This Row],[Credit.]]),Table830[[#This Row],[Debit\]]-Table830[[#This Row],[Credit.]],""),"")</f>
        <v/>
      </c>
      <c r="AH64" s="34" t="str">
        <f>IFERROR(IF(AND(OR(Table830[[#This Row],[Classification]]="Liabilities",Table830[[#This Row],[Classification]]="Owner´s Equity"),Table830[[#This Row],[Credit.]]&gt;Table830[[#This Row],[Debit\]]),Table830[[#This Row],[Credit.]]-Table830[[#This Row],[Debit\]],""),"")</f>
        <v/>
      </c>
    </row>
    <row r="65" spans="2:34" hidden="1" x14ac:dyDescent="0.25">
      <c r="B65" s="34"/>
      <c r="C65" s="37" t="s">
        <v>119</v>
      </c>
      <c r="D65" s="34">
        <v>300</v>
      </c>
      <c r="E65" s="34"/>
      <c r="G65" s="39"/>
      <c r="H65" s="43"/>
      <c r="I65" s="41"/>
      <c r="J65" s="41"/>
      <c r="L65" s="34">
        <v>58</v>
      </c>
      <c r="M65" s="35" t="s">
        <v>164</v>
      </c>
      <c r="N65" s="35" t="s">
        <v>120</v>
      </c>
      <c r="O65" s="34">
        <f>IFERROR(SUMIF(Table427[,],Table629[[#This Row],[Accounts Name]],Table427[,3]),"")</f>
        <v>436840.42</v>
      </c>
      <c r="P65" s="34">
        <f>IFERROR(SUMIF(Table427[,],Table629[[#This Row],[Accounts Name]],Table427[,2]),"")</f>
        <v>0</v>
      </c>
      <c r="S65" s="36">
        <f t="shared" si="0"/>
        <v>58</v>
      </c>
      <c r="T65" s="34"/>
      <c r="U65" s="37"/>
      <c r="V65" s="34">
        <f>IFERROR(SUMIF(Table629[Sub-Accounts],Table830[[#This Row],[Update your chart of accounts here]],Table629[Debit]),"")</f>
        <v>0</v>
      </c>
      <c r="W65" s="34">
        <f>IFERROR(SUMIF(Table629[Sub-Accounts],Table830[[#This Row],[Update your chart of accounts here]],Table629[Credit]),"")</f>
        <v>0</v>
      </c>
      <c r="X65" s="34"/>
      <c r="Y65" s="34"/>
      <c r="Z65" s="34"/>
      <c r="AA65" s="34"/>
      <c r="AB65" s="34">
        <f>MAX(Table830[[#This Row],[Debit]]+Table830[[#This Row],[Debit -]]-Table830[[#This Row],[Credit]]-Table830[[#This Row],[Credit +]],0)</f>
        <v>0</v>
      </c>
      <c r="AC65" s="34">
        <f>MAX(Table830[[#This Row],[Credit]]-Table830[[#This Row],[Debit]]+Table830[[#This Row],[Credit +]]-Table830[[#This Row],[Debit -]],0)</f>
        <v>0</v>
      </c>
      <c r="AD65" s="34" t="str">
        <f>IFERROR(IF(AND(OR(Table830[[#This Row],[Classification]]="Expense",Table830[[#This Row],[Classification]]="Cost of Goods Sold"),Table830[[#This Row],[Debit\]]&gt;Table830[[#This Row],[Credit.]]),Table830[[#This Row],[Debit\]]-Table830[[#This Row],[Credit.]],""),"")</f>
        <v/>
      </c>
      <c r="AE65" s="34" t="str">
        <f>IFERROR(IF(AND(OR(Table830[[#This Row],[Classification]]="Income",Table830[[#This Row],[Classification]]="Cost of Goods Sold"),Table830[[#This Row],[Credit.]]&gt;Table830[[#This Row],[Debit\]]),Table830[[#This Row],[Credit.]]-Table830[[#This Row],[Debit\]],""),"")</f>
        <v/>
      </c>
      <c r="AF65" s="34"/>
      <c r="AG65" s="34" t="str">
        <f>IFERROR(IF(AND(Table830[[#This Row],[Classification]]="Assets",Table830[[#This Row],[Debit\]]-Table830[[#This Row],[Credit.]]),Table830[[#This Row],[Debit\]]-Table830[[#This Row],[Credit.]],""),"")</f>
        <v/>
      </c>
      <c r="AH65" s="34" t="str">
        <f>IFERROR(IF(AND(OR(Table830[[#This Row],[Classification]]="Liabilities",Table830[[#This Row],[Classification]]="Owner´s Equity"),Table830[[#This Row],[Credit.]]&gt;Table830[[#This Row],[Debit\]]),Table830[[#This Row],[Credit.]]-Table830[[#This Row],[Debit\]],""),"")</f>
        <v/>
      </c>
    </row>
    <row r="66" spans="2:34" hidden="1" x14ac:dyDescent="0.25">
      <c r="B66" s="34"/>
      <c r="C66" s="37" t="s">
        <v>120</v>
      </c>
      <c r="D66" s="34">
        <v>436840.42</v>
      </c>
      <c r="E66" s="34"/>
      <c r="G66" s="39"/>
      <c r="H66" s="40"/>
      <c r="I66" s="41"/>
      <c r="J66" s="41"/>
      <c r="L66" s="34">
        <v>59</v>
      </c>
      <c r="M66" s="35" t="s">
        <v>151</v>
      </c>
      <c r="N66" s="35" t="s">
        <v>121</v>
      </c>
      <c r="O66" s="34">
        <f>IFERROR(SUMIF(Table427[,],Table629[[#This Row],[Accounts Name]],Table427[,3]),"")</f>
        <v>102350</v>
      </c>
      <c r="P66" s="34">
        <f>IFERROR(SUMIF(Table427[,],Table629[[#This Row],[Accounts Name]],Table427[,2]),"")</f>
        <v>0</v>
      </c>
      <c r="S66" s="36">
        <f t="shared" si="0"/>
        <v>59</v>
      </c>
      <c r="T66" s="34"/>
      <c r="U66" s="37"/>
      <c r="V66" s="34">
        <f>IFERROR(SUMIF(Table629[Sub-Accounts],Table830[[#This Row],[Update your chart of accounts here]],Table629[Debit]),"")</f>
        <v>0</v>
      </c>
      <c r="W66" s="34">
        <f>IFERROR(SUMIF(Table629[Sub-Accounts],Table830[[#This Row],[Update your chart of accounts here]],Table629[Credit]),"")</f>
        <v>0</v>
      </c>
      <c r="X66" s="34"/>
      <c r="Y66" s="34"/>
      <c r="Z66" s="34"/>
      <c r="AA66" s="34"/>
      <c r="AB66" s="34">
        <f>MAX(Table830[[#This Row],[Debit]]+Table830[[#This Row],[Debit -]]-Table830[[#This Row],[Credit]]-Table830[[#This Row],[Credit +]],0)</f>
        <v>0</v>
      </c>
      <c r="AC66" s="34">
        <f>MAX(Table830[[#This Row],[Credit]]-Table830[[#This Row],[Debit]]+Table830[[#This Row],[Credit +]]-Table830[[#This Row],[Debit -]],0)</f>
        <v>0</v>
      </c>
      <c r="AD66" s="34" t="str">
        <f>IFERROR(IF(AND(OR(Table830[[#This Row],[Classification]]="Expense",Table830[[#This Row],[Classification]]="Cost of Goods Sold"),Table830[[#This Row],[Debit\]]&gt;Table830[[#This Row],[Credit.]]),Table830[[#This Row],[Debit\]]-Table830[[#This Row],[Credit.]],""),"")</f>
        <v/>
      </c>
      <c r="AE66" s="34" t="str">
        <f>IFERROR(IF(AND(OR(Table830[[#This Row],[Classification]]="Income",Table830[[#This Row],[Classification]]="Cost of Goods Sold"),Table830[[#This Row],[Credit.]]&gt;Table830[[#This Row],[Debit\]]),Table830[[#This Row],[Credit.]]-Table830[[#This Row],[Debit\]],""),"")</f>
        <v/>
      </c>
      <c r="AF66" s="34"/>
      <c r="AG66" s="34" t="str">
        <f>IFERROR(IF(AND(Table830[[#This Row],[Classification]]="Assets",Table830[[#This Row],[Debit\]]-Table830[[#This Row],[Credit.]]),Table830[[#This Row],[Debit\]]-Table830[[#This Row],[Credit.]],""),"")</f>
        <v/>
      </c>
      <c r="AH66" s="34" t="str">
        <f>IFERROR(IF(AND(OR(Table830[[#This Row],[Classification]]="Liabilities",Table830[[#This Row],[Classification]]="Owner´s Equity"),Table830[[#This Row],[Credit.]]&gt;Table830[[#This Row],[Debit\]]),Table830[[#This Row],[Credit.]]-Table830[[#This Row],[Debit\]],""),"")</f>
        <v/>
      </c>
    </row>
    <row r="67" spans="2:34" hidden="1" x14ac:dyDescent="0.25">
      <c r="B67" s="34"/>
      <c r="C67" s="37" t="s">
        <v>121</v>
      </c>
      <c r="D67" s="34">
        <v>102350</v>
      </c>
      <c r="E67" s="34"/>
      <c r="G67" s="39"/>
      <c r="H67" s="40"/>
      <c r="I67" s="41"/>
      <c r="J67" s="41"/>
      <c r="L67" s="34">
        <v>60</v>
      </c>
      <c r="M67" s="35" t="s">
        <v>151</v>
      </c>
      <c r="N67" s="35" t="s">
        <v>122</v>
      </c>
      <c r="O67" s="34">
        <f>IFERROR(SUMIF(Table427[,],Table629[[#This Row],[Accounts Name]],Table427[,3]),"")</f>
        <v>62000</v>
      </c>
      <c r="P67" s="34">
        <f>IFERROR(SUMIF(Table427[,],Table629[[#This Row],[Accounts Name]],Table427[,2]),"")</f>
        <v>0</v>
      </c>
      <c r="S67" s="36">
        <f t="shared" si="0"/>
        <v>60</v>
      </c>
      <c r="T67" s="34"/>
      <c r="U67" s="37"/>
      <c r="V67" s="34">
        <f>IFERROR(SUMIF(Table629[Sub-Accounts],Table830[[#This Row],[Update your chart of accounts here]],Table629[Debit]),"")</f>
        <v>0</v>
      </c>
      <c r="W67" s="34">
        <f>IFERROR(SUMIF(Table629[Sub-Accounts],Table830[[#This Row],[Update your chart of accounts here]],Table629[Credit]),"")</f>
        <v>0</v>
      </c>
      <c r="X67" s="34"/>
      <c r="Y67" s="34"/>
      <c r="Z67" s="34"/>
      <c r="AA67" s="34"/>
      <c r="AB67" s="34">
        <f>MAX(Table830[[#This Row],[Debit]]+Table830[[#This Row],[Debit -]]-Table830[[#This Row],[Credit]]-Table830[[#This Row],[Credit +]],0)</f>
        <v>0</v>
      </c>
      <c r="AC67" s="34">
        <f>MAX(Table830[[#This Row],[Credit]]-Table830[[#This Row],[Debit]]+Table830[[#This Row],[Credit +]]-Table830[[#This Row],[Debit -]],0)</f>
        <v>0</v>
      </c>
      <c r="AD67" s="34" t="str">
        <f>IFERROR(IF(AND(OR(Table830[[#This Row],[Classification]]="Expense",Table830[[#This Row],[Classification]]="Cost of Goods Sold"),Table830[[#This Row],[Debit\]]&gt;Table830[[#This Row],[Credit.]]),Table830[[#This Row],[Debit\]]-Table830[[#This Row],[Credit.]],""),"")</f>
        <v/>
      </c>
      <c r="AE67" s="34" t="str">
        <f>IFERROR(IF(AND(OR(Table830[[#This Row],[Classification]]="Income",Table830[[#This Row],[Classification]]="Cost of Goods Sold"),Table830[[#This Row],[Credit.]]&gt;Table830[[#This Row],[Debit\]]),Table830[[#This Row],[Credit.]]-Table830[[#This Row],[Debit\]],""),"")</f>
        <v/>
      </c>
      <c r="AF67" s="34"/>
      <c r="AG67" s="34" t="str">
        <f>IFERROR(IF(AND(Table830[[#This Row],[Classification]]="Assets",Table830[[#This Row],[Debit\]]-Table830[[#This Row],[Credit.]]),Table830[[#This Row],[Debit\]]-Table830[[#This Row],[Credit.]],""),"")</f>
        <v/>
      </c>
      <c r="AH67" s="34" t="str">
        <f>IFERROR(IF(AND(OR(Table830[[#This Row],[Classification]]="Liabilities",Table830[[#This Row],[Classification]]="Owner´s Equity"),Table830[[#This Row],[Credit.]]&gt;Table830[[#This Row],[Debit\]]),Table830[[#This Row],[Credit.]]-Table830[[#This Row],[Debit\]],""),"")</f>
        <v/>
      </c>
    </row>
    <row r="68" spans="2:34" hidden="1" x14ac:dyDescent="0.25">
      <c r="B68" s="34"/>
      <c r="C68" s="37" t="s">
        <v>122</v>
      </c>
      <c r="D68" s="34">
        <v>62000</v>
      </c>
      <c r="E68" s="34"/>
      <c r="G68" s="39"/>
      <c r="H68" s="43"/>
      <c r="I68" s="41"/>
      <c r="J68" s="41"/>
      <c r="L68" s="34">
        <v>61</v>
      </c>
      <c r="M68" s="35" t="s">
        <v>151</v>
      </c>
      <c r="N68" s="35" t="s">
        <v>123</v>
      </c>
      <c r="O68" s="34">
        <f>IFERROR(SUMIF(Table427[,],Table629[[#This Row],[Accounts Name]],Table427[,3]),"")</f>
        <v>278343</v>
      </c>
      <c r="P68" s="34">
        <f>IFERROR(SUMIF(Table427[,],Table629[[#This Row],[Accounts Name]],Table427[,2]),"")</f>
        <v>0</v>
      </c>
      <c r="S68" s="36">
        <f t="shared" si="0"/>
        <v>61</v>
      </c>
      <c r="T68" s="34"/>
      <c r="U68" s="37"/>
      <c r="V68" s="34">
        <f>IFERROR(SUMIF(Table629[Sub-Accounts],Table830[[#This Row],[Update your chart of accounts here]],Table629[Debit]),"")</f>
        <v>0</v>
      </c>
      <c r="W68" s="34">
        <f>IFERROR(SUMIF(Table629[Sub-Accounts],Table830[[#This Row],[Update your chart of accounts here]],Table629[Credit]),"")</f>
        <v>0</v>
      </c>
      <c r="X68" s="34"/>
      <c r="Y68" s="34"/>
      <c r="Z68" s="34"/>
      <c r="AA68" s="34"/>
      <c r="AB68" s="34">
        <f>MAX(Table830[[#This Row],[Debit]]+Table830[[#This Row],[Debit -]]-Table830[[#This Row],[Credit]]-Table830[[#This Row],[Credit +]],0)</f>
        <v>0</v>
      </c>
      <c r="AC68" s="34">
        <f>MAX(Table830[[#This Row],[Credit]]-Table830[[#This Row],[Debit]]+Table830[[#This Row],[Credit +]]-Table830[[#This Row],[Debit -]],0)</f>
        <v>0</v>
      </c>
      <c r="AD68" s="34" t="str">
        <f>IFERROR(IF(AND(OR(Table830[[#This Row],[Classification]]="Expense",Table830[[#This Row],[Classification]]="Cost of Goods Sold"),Table830[[#This Row],[Debit\]]&gt;Table830[[#This Row],[Credit.]]),Table830[[#This Row],[Debit\]]-Table830[[#This Row],[Credit.]],""),"")</f>
        <v/>
      </c>
      <c r="AE68" s="34" t="str">
        <f>IFERROR(IF(AND(OR(Table830[[#This Row],[Classification]]="Income",Table830[[#This Row],[Classification]]="Cost of Goods Sold"),Table830[[#This Row],[Credit.]]&gt;Table830[[#This Row],[Debit\]]),Table830[[#This Row],[Credit.]]-Table830[[#This Row],[Debit\]],""),"")</f>
        <v/>
      </c>
      <c r="AF68" s="34"/>
      <c r="AG68" s="34" t="str">
        <f>IFERROR(IF(AND(Table830[[#This Row],[Classification]]="Assets",Table830[[#This Row],[Debit\]]-Table830[[#This Row],[Credit.]]),Table830[[#This Row],[Debit\]]-Table830[[#This Row],[Credit.]],""),"")</f>
        <v/>
      </c>
      <c r="AH68" s="34" t="str">
        <f>IFERROR(IF(AND(OR(Table830[[#This Row],[Classification]]="Liabilities",Table830[[#This Row],[Classification]]="Owner´s Equity"),Table830[[#This Row],[Credit.]]&gt;Table830[[#This Row],[Debit\]]),Table830[[#This Row],[Credit.]]-Table830[[#This Row],[Debit\]],""),"")</f>
        <v/>
      </c>
    </row>
    <row r="69" spans="2:34" hidden="1" x14ac:dyDescent="0.25">
      <c r="B69" s="34"/>
      <c r="C69" s="37" t="s">
        <v>123</v>
      </c>
      <c r="D69" s="34">
        <v>278343</v>
      </c>
      <c r="E69" s="34"/>
      <c r="G69" s="39"/>
      <c r="H69" s="40"/>
      <c r="I69" s="41"/>
      <c r="J69" s="41"/>
      <c r="L69" s="34">
        <v>62</v>
      </c>
      <c r="M69" s="35" t="s">
        <v>159</v>
      </c>
      <c r="N69" s="35" t="s">
        <v>124</v>
      </c>
      <c r="O69" s="34">
        <f>IFERROR(SUMIF(Table427[,],Table629[[#This Row],[Accounts Name]],Table427[,3]),"")</f>
        <v>181078.65</v>
      </c>
      <c r="P69" s="34">
        <f>IFERROR(SUMIF(Table427[,],Table629[[#This Row],[Accounts Name]],Table427[,2]),"")</f>
        <v>0</v>
      </c>
      <c r="S69" s="36">
        <f t="shared" si="0"/>
        <v>62</v>
      </c>
      <c r="T69" s="34"/>
      <c r="U69" s="37"/>
      <c r="V69" s="34">
        <f>IFERROR(SUMIF(Table629[Sub-Accounts],Table830[[#This Row],[Update your chart of accounts here]],Table629[Debit]),"")</f>
        <v>0</v>
      </c>
      <c r="W69" s="34">
        <f>IFERROR(SUMIF(Table629[Sub-Accounts],Table830[[#This Row],[Update your chart of accounts here]],Table629[Credit]),"")</f>
        <v>0</v>
      </c>
      <c r="X69" s="34"/>
      <c r="Y69" s="34"/>
      <c r="Z69" s="34"/>
      <c r="AA69" s="34"/>
      <c r="AB69" s="34">
        <f>MAX(Table830[[#This Row],[Debit]]+Table830[[#This Row],[Debit -]]-Table830[[#This Row],[Credit]]-Table830[[#This Row],[Credit +]],0)</f>
        <v>0</v>
      </c>
      <c r="AC69" s="34">
        <f>MAX(Table830[[#This Row],[Credit]]-Table830[[#This Row],[Debit]]+Table830[[#This Row],[Credit +]]-Table830[[#This Row],[Debit -]],0)</f>
        <v>0</v>
      </c>
      <c r="AD69" s="34" t="str">
        <f>IFERROR(IF(AND(OR(Table830[[#This Row],[Classification]]="Expense",Table830[[#This Row],[Classification]]="Cost of Goods Sold"),Table830[[#This Row],[Debit\]]&gt;Table830[[#This Row],[Credit.]]),Table830[[#This Row],[Debit\]]-Table830[[#This Row],[Credit.]],""),"")</f>
        <v/>
      </c>
      <c r="AE69" s="34" t="str">
        <f>IFERROR(IF(AND(OR(Table830[[#This Row],[Classification]]="Income",Table830[[#This Row],[Classification]]="Cost of Goods Sold"),Table830[[#This Row],[Credit.]]&gt;Table830[[#This Row],[Debit\]]),Table830[[#This Row],[Credit.]]-Table830[[#This Row],[Debit\]],""),"")</f>
        <v/>
      </c>
      <c r="AF69" s="34"/>
      <c r="AG69" s="34" t="str">
        <f>IFERROR(IF(AND(Table830[[#This Row],[Classification]]="Assets",Table830[[#This Row],[Debit\]]-Table830[[#This Row],[Credit.]]),Table830[[#This Row],[Debit\]]-Table830[[#This Row],[Credit.]],""),"")</f>
        <v/>
      </c>
      <c r="AH69" s="34" t="str">
        <f>IFERROR(IF(AND(OR(Table830[[#This Row],[Classification]]="Liabilities",Table830[[#This Row],[Classification]]="Owner´s Equity"),Table830[[#This Row],[Credit.]]&gt;Table830[[#This Row],[Debit\]]),Table830[[#This Row],[Credit.]]-Table830[[#This Row],[Debit\]],""),"")</f>
        <v/>
      </c>
    </row>
    <row r="70" spans="2:34" hidden="1" x14ac:dyDescent="0.25">
      <c r="B70" s="34"/>
      <c r="C70" s="37" t="s">
        <v>124</v>
      </c>
      <c r="D70" s="34">
        <v>181078.65</v>
      </c>
      <c r="E70" s="34"/>
      <c r="G70" s="39"/>
      <c r="H70" s="40"/>
      <c r="I70" s="41"/>
      <c r="J70" s="41"/>
      <c r="L70" s="34">
        <v>63</v>
      </c>
      <c r="M70" s="35" t="s">
        <v>165</v>
      </c>
      <c r="N70" s="35" t="s">
        <v>125</v>
      </c>
      <c r="O70" s="34">
        <f>IFERROR(SUMIF(Table427[,],Table629[[#This Row],[Accounts Name]],Table427[,3]),"")</f>
        <v>653656.38</v>
      </c>
      <c r="P70" s="34">
        <f>IFERROR(SUMIF(Table427[,],Table629[[#This Row],[Accounts Name]],Table427[,2]),"")</f>
        <v>0</v>
      </c>
      <c r="S70" s="36">
        <f t="shared" si="0"/>
        <v>63</v>
      </c>
      <c r="T70" s="34"/>
      <c r="U70" s="37"/>
      <c r="V70" s="34">
        <f>IFERROR(SUMIF(Table629[Sub-Accounts],Table830[[#This Row],[Update your chart of accounts here]],Table629[Debit]),"")</f>
        <v>0</v>
      </c>
      <c r="W70" s="34">
        <f>IFERROR(SUMIF(Table629[Sub-Accounts],Table830[[#This Row],[Update your chart of accounts here]],Table629[Credit]),"")</f>
        <v>0</v>
      </c>
      <c r="X70" s="34"/>
      <c r="Y70" s="34"/>
      <c r="Z70" s="34"/>
      <c r="AA70" s="34"/>
      <c r="AB70" s="34">
        <f>MAX(Table830[[#This Row],[Debit]]+Table830[[#This Row],[Debit -]]-Table830[[#This Row],[Credit]]-Table830[[#This Row],[Credit +]],0)</f>
        <v>0</v>
      </c>
      <c r="AC70" s="34">
        <f>MAX(Table830[[#This Row],[Credit]]-Table830[[#This Row],[Debit]]+Table830[[#This Row],[Credit +]]-Table830[[#This Row],[Debit -]],0)</f>
        <v>0</v>
      </c>
      <c r="AD70" s="34" t="str">
        <f>IFERROR(IF(AND(OR(Table830[[#This Row],[Classification]]="Expense",Table830[[#This Row],[Classification]]="Cost of Goods Sold"),Table830[[#This Row],[Debit\]]&gt;Table830[[#This Row],[Credit.]]),Table830[[#This Row],[Debit\]]-Table830[[#This Row],[Credit.]],""),"")</f>
        <v/>
      </c>
      <c r="AE70" s="34" t="str">
        <f>IFERROR(IF(AND(OR(Table830[[#This Row],[Classification]]="Income",Table830[[#This Row],[Classification]]="Cost of Goods Sold"),Table830[[#This Row],[Credit.]]&gt;Table830[[#This Row],[Debit\]]),Table830[[#This Row],[Credit.]]-Table830[[#This Row],[Debit\]],""),"")</f>
        <v/>
      </c>
      <c r="AF70" s="34"/>
      <c r="AG70" s="34" t="str">
        <f>IFERROR(IF(AND(Table830[[#This Row],[Classification]]="Assets",Table830[[#This Row],[Debit\]]-Table830[[#This Row],[Credit.]]),Table830[[#This Row],[Debit\]]-Table830[[#This Row],[Credit.]],""),"")</f>
        <v/>
      </c>
      <c r="AH70" s="34" t="str">
        <f>IFERROR(IF(AND(OR(Table830[[#This Row],[Classification]]="Liabilities",Table830[[#This Row],[Classification]]="Owner´s Equity"),Table830[[#This Row],[Credit.]]&gt;Table830[[#This Row],[Debit\]]),Table830[[#This Row],[Credit.]]-Table830[[#This Row],[Debit\]],""),"")</f>
        <v/>
      </c>
    </row>
    <row r="71" spans="2:34" hidden="1" x14ac:dyDescent="0.25">
      <c r="B71" s="34"/>
      <c r="C71" s="37" t="s">
        <v>125</v>
      </c>
      <c r="D71" s="34">
        <v>653656.38</v>
      </c>
      <c r="E71" s="34"/>
      <c r="G71" s="39"/>
      <c r="H71" s="43"/>
      <c r="I71" s="41"/>
      <c r="J71" s="41"/>
      <c r="L71" s="34">
        <v>64</v>
      </c>
      <c r="M71" s="35" t="s">
        <v>160</v>
      </c>
      <c r="N71" s="35" t="s">
        <v>126</v>
      </c>
      <c r="O71" s="34">
        <f>IFERROR(SUMIF(Table427[,],Table629[[#This Row],[Accounts Name]],Table427[,3]),"")</f>
        <v>115440</v>
      </c>
      <c r="P71" s="34">
        <f>IFERROR(SUMIF(Table427[,],Table629[[#This Row],[Accounts Name]],Table427[,2]),"")</f>
        <v>0</v>
      </c>
      <c r="S71" s="36">
        <f t="shared" si="0"/>
        <v>64</v>
      </c>
      <c r="T71" s="34"/>
      <c r="U71" s="37"/>
      <c r="V71" s="34">
        <f>IFERROR(SUMIF(Table629[Sub-Accounts],Table830[[#This Row],[Update your chart of accounts here]],Table629[Debit]),"")</f>
        <v>0</v>
      </c>
      <c r="W71" s="34">
        <f>IFERROR(SUMIF(Table629[Sub-Accounts],Table830[[#This Row],[Update your chart of accounts here]],Table629[Credit]),"")</f>
        <v>0</v>
      </c>
      <c r="X71" s="34"/>
      <c r="Y71" s="34"/>
      <c r="Z71" s="34"/>
      <c r="AA71" s="34"/>
      <c r="AB71" s="34">
        <f>MAX(Table830[[#This Row],[Debit]]+Table830[[#This Row],[Debit -]]-Table830[[#This Row],[Credit]]-Table830[[#This Row],[Credit +]],0)</f>
        <v>0</v>
      </c>
      <c r="AC71" s="34">
        <f>MAX(Table830[[#This Row],[Credit]]-Table830[[#This Row],[Debit]]+Table830[[#This Row],[Credit +]]-Table830[[#This Row],[Debit -]],0)</f>
        <v>0</v>
      </c>
      <c r="AD71" s="34" t="str">
        <f>IFERROR(IF(AND(OR(Table830[[#This Row],[Classification]]="Expense",Table830[[#This Row],[Classification]]="Cost of Goods Sold"),Table830[[#This Row],[Debit\]]&gt;Table830[[#This Row],[Credit.]]),Table830[[#This Row],[Debit\]]-Table830[[#This Row],[Credit.]],""),"")</f>
        <v/>
      </c>
      <c r="AE71" s="34" t="str">
        <f>IFERROR(IF(AND(OR(Table830[[#This Row],[Classification]]="Income",Table830[[#This Row],[Classification]]="Cost of Goods Sold"),Table830[[#This Row],[Credit.]]&gt;Table830[[#This Row],[Debit\]]),Table830[[#This Row],[Credit.]]-Table830[[#This Row],[Debit\]],""),"")</f>
        <v/>
      </c>
      <c r="AF71" s="34"/>
      <c r="AG71" s="34" t="str">
        <f>IFERROR(IF(AND(Table830[[#This Row],[Classification]]="Assets",Table830[[#This Row],[Debit\]]-Table830[[#This Row],[Credit.]]),Table830[[#This Row],[Debit\]]-Table830[[#This Row],[Credit.]],""),"")</f>
        <v/>
      </c>
      <c r="AH71" s="34" t="str">
        <f>IFERROR(IF(AND(OR(Table830[[#This Row],[Classification]]="Liabilities",Table830[[#This Row],[Classification]]="Owner´s Equity"),Table830[[#This Row],[Credit.]]&gt;Table830[[#This Row],[Debit\]]),Table830[[#This Row],[Credit.]]-Table830[[#This Row],[Debit\]],""),"")</f>
        <v/>
      </c>
    </row>
    <row r="72" spans="2:34" hidden="1" x14ac:dyDescent="0.25">
      <c r="B72" s="34"/>
      <c r="C72" s="37" t="s">
        <v>126</v>
      </c>
      <c r="D72" s="34">
        <v>115440</v>
      </c>
      <c r="E72" s="34"/>
      <c r="G72" s="39"/>
      <c r="H72" s="40"/>
      <c r="I72" s="41"/>
      <c r="J72" s="41"/>
      <c r="L72" s="34">
        <v>65</v>
      </c>
      <c r="M72" s="35" t="s">
        <v>166</v>
      </c>
      <c r="N72" s="35" t="s">
        <v>127</v>
      </c>
      <c r="O72" s="34">
        <f>IFERROR(SUMIF(Table427[,],Table629[[#This Row],[Accounts Name]],Table427[,3]),"")</f>
        <v>1409746.56</v>
      </c>
      <c r="P72" s="34">
        <f>IFERROR(SUMIF(Table427[,],Table629[[#This Row],[Accounts Name]],Table427[,2]),"")</f>
        <v>0</v>
      </c>
      <c r="S72" s="36">
        <f t="shared" si="0"/>
        <v>65</v>
      </c>
      <c r="T72" s="34"/>
      <c r="U72" s="37"/>
      <c r="V72" s="34">
        <f>IFERROR(SUMIF(Table629[Sub-Accounts],Table830[[#This Row],[Update your chart of accounts here]],Table629[Debit]),"")</f>
        <v>0</v>
      </c>
      <c r="W72" s="34">
        <f>IFERROR(SUMIF(Table629[Sub-Accounts],Table830[[#This Row],[Update your chart of accounts here]],Table629[Credit]),"")</f>
        <v>0</v>
      </c>
      <c r="X72" s="34"/>
      <c r="Y72" s="34"/>
      <c r="Z72" s="34"/>
      <c r="AA72" s="34"/>
      <c r="AB72" s="34">
        <f>MAX(Table830[[#This Row],[Debit]]+Table830[[#This Row],[Debit -]]-Table830[[#This Row],[Credit]]-Table830[[#This Row],[Credit +]],0)</f>
        <v>0</v>
      </c>
      <c r="AC72" s="34">
        <f>MAX(Table830[[#This Row],[Credit]]-Table830[[#This Row],[Debit]]+Table830[[#This Row],[Credit +]]-Table830[[#This Row],[Debit -]],0)</f>
        <v>0</v>
      </c>
      <c r="AD72" s="34" t="str">
        <f>IFERROR(IF(AND(OR(Table830[[#This Row],[Classification]]="Expense",Table830[[#This Row],[Classification]]="Cost of Goods Sold"),Table830[[#This Row],[Debit\]]&gt;Table830[[#This Row],[Credit.]]),Table830[[#This Row],[Debit\]]-Table830[[#This Row],[Credit.]],""),"")</f>
        <v/>
      </c>
      <c r="AE72" s="34" t="str">
        <f>IFERROR(IF(AND(OR(Table830[[#This Row],[Classification]]="Income",Table830[[#This Row],[Classification]]="Cost of Goods Sold"),Table830[[#This Row],[Credit.]]&gt;Table830[[#This Row],[Debit\]]),Table830[[#This Row],[Credit.]]-Table830[[#This Row],[Debit\]],""),"")</f>
        <v/>
      </c>
      <c r="AF72" s="34"/>
      <c r="AG72" s="34" t="str">
        <f>IFERROR(IF(AND(Table830[[#This Row],[Classification]]="Assets",Table830[[#This Row],[Debit\]]-Table830[[#This Row],[Credit.]]),Table830[[#This Row],[Debit\]]-Table830[[#This Row],[Credit.]],""),"")</f>
        <v/>
      </c>
      <c r="AH72" s="34" t="str">
        <f>IFERROR(IF(AND(OR(Table830[[#This Row],[Classification]]="Liabilities",Table830[[#This Row],[Classification]]="Owner´s Equity"),Table830[[#This Row],[Credit.]]&gt;Table830[[#This Row],[Debit\]]),Table830[[#This Row],[Credit.]]-Table830[[#This Row],[Debit\]],""),"")</f>
        <v/>
      </c>
    </row>
    <row r="73" spans="2:34" hidden="1" x14ac:dyDescent="0.25">
      <c r="B73" s="34"/>
      <c r="C73" s="37" t="s">
        <v>127</v>
      </c>
      <c r="D73" s="34">
        <v>1409746.56</v>
      </c>
      <c r="E73" s="34"/>
      <c r="G73" s="39"/>
      <c r="H73" s="40"/>
      <c r="I73" s="41"/>
      <c r="J73" s="41"/>
      <c r="L73" s="34">
        <v>66</v>
      </c>
      <c r="M73" s="35" t="s">
        <v>152</v>
      </c>
      <c r="N73" s="35" t="s">
        <v>128</v>
      </c>
      <c r="O73" s="34">
        <f>IFERROR(SUMIF(Table427[,],Table629[[#This Row],[Accounts Name]],Table427[,3]),"")</f>
        <v>1758</v>
      </c>
      <c r="P73" s="34">
        <f>IFERROR(SUMIF(Table427[,],Table629[[#This Row],[Accounts Name]],Table427[,2]),"")</f>
        <v>0</v>
      </c>
      <c r="S73" s="36">
        <f t="shared" si="0"/>
        <v>66</v>
      </c>
      <c r="T73" s="34"/>
      <c r="U73" s="37"/>
      <c r="V73" s="34">
        <f>IFERROR(SUMIF(Table629[Sub-Accounts],Table830[[#This Row],[Update your chart of accounts here]],Table629[Debit]),"")</f>
        <v>0</v>
      </c>
      <c r="W73" s="34">
        <f>IFERROR(SUMIF(Table629[Sub-Accounts],Table830[[#This Row],[Update your chart of accounts here]],Table629[Credit]),"")</f>
        <v>0</v>
      </c>
      <c r="X73" s="34"/>
      <c r="Y73" s="34"/>
      <c r="Z73" s="34"/>
      <c r="AA73" s="34"/>
      <c r="AB73" s="34">
        <f>MAX(Table830[[#This Row],[Debit]]+Table830[[#This Row],[Debit -]]-Table830[[#This Row],[Credit]]-Table830[[#This Row],[Credit +]],0)</f>
        <v>0</v>
      </c>
      <c r="AC73" s="34">
        <f>MAX(Table830[[#This Row],[Credit]]-Table830[[#This Row],[Debit]]+Table830[[#This Row],[Credit +]]-Table830[[#This Row],[Debit -]],0)</f>
        <v>0</v>
      </c>
      <c r="AD73" s="34" t="str">
        <f>IFERROR(IF(AND(OR(Table830[[#This Row],[Classification]]="Expense",Table830[[#This Row],[Classification]]="Cost of Goods Sold"),Table830[[#This Row],[Debit\]]&gt;Table830[[#This Row],[Credit.]]),Table830[[#This Row],[Debit\]]-Table830[[#This Row],[Credit.]],""),"")</f>
        <v/>
      </c>
      <c r="AE73" s="34" t="str">
        <f>IFERROR(IF(AND(OR(Table830[[#This Row],[Classification]]="Income",Table830[[#This Row],[Classification]]="Cost of Goods Sold"),Table830[[#This Row],[Credit.]]&gt;Table830[[#This Row],[Debit\]]),Table830[[#This Row],[Credit.]]-Table830[[#This Row],[Debit\]],""),"")</f>
        <v/>
      </c>
      <c r="AF73" s="34"/>
      <c r="AG73" s="34" t="str">
        <f>IFERROR(IF(AND(Table830[[#This Row],[Classification]]="Assets",Table830[[#This Row],[Debit\]]-Table830[[#This Row],[Credit.]]),Table830[[#This Row],[Debit\]]-Table830[[#This Row],[Credit.]],""),"")</f>
        <v/>
      </c>
      <c r="AH73" s="34" t="str">
        <f>IFERROR(IF(AND(OR(Table830[[#This Row],[Classification]]="Liabilities",Table830[[#This Row],[Classification]]="Owner´s Equity"),Table830[[#This Row],[Credit.]]&gt;Table830[[#This Row],[Debit\]]),Table830[[#This Row],[Credit.]]-Table830[[#This Row],[Debit\]],""),"")</f>
        <v/>
      </c>
    </row>
    <row r="74" spans="2:34" hidden="1" x14ac:dyDescent="0.25">
      <c r="B74" s="34"/>
      <c r="C74" s="37" t="s">
        <v>128</v>
      </c>
      <c r="D74" s="34">
        <v>1758</v>
      </c>
      <c r="E74" s="34"/>
      <c r="G74" s="39"/>
      <c r="H74" s="43"/>
      <c r="I74" s="41"/>
      <c r="J74" s="41"/>
      <c r="L74" s="34">
        <v>67</v>
      </c>
      <c r="M74" s="35" t="s">
        <v>167</v>
      </c>
      <c r="N74" s="35" t="s">
        <v>129</v>
      </c>
      <c r="O74" s="34">
        <f>IFERROR(SUMIF(Table427[,],Table629[[#This Row],[Accounts Name]],Table427[,3]),"")</f>
        <v>196582.42</v>
      </c>
      <c r="P74" s="34">
        <f>IFERROR(SUMIF(Table427[,],Table629[[#This Row],[Accounts Name]],Table427[,2]),"")</f>
        <v>0</v>
      </c>
      <c r="S74" s="36">
        <f t="shared" ref="S74:S137" si="1">S73+1</f>
        <v>67</v>
      </c>
      <c r="T74" s="34"/>
      <c r="U74" s="37"/>
      <c r="V74" s="34">
        <f>IFERROR(SUMIF(Table629[Sub-Accounts],Table830[[#This Row],[Update your chart of accounts here]],Table629[Debit]),"")</f>
        <v>0</v>
      </c>
      <c r="W74" s="34">
        <f>IFERROR(SUMIF(Table629[Sub-Accounts],Table830[[#This Row],[Update your chart of accounts here]],Table629[Credit]),"")</f>
        <v>0</v>
      </c>
      <c r="X74" s="34"/>
      <c r="Y74" s="34"/>
      <c r="Z74" s="34"/>
      <c r="AA74" s="34"/>
      <c r="AB74" s="34">
        <f>MAX(Table830[[#This Row],[Debit]]+Table830[[#This Row],[Debit -]]-Table830[[#This Row],[Credit]]-Table830[[#This Row],[Credit +]],0)</f>
        <v>0</v>
      </c>
      <c r="AC74" s="34">
        <f>MAX(Table830[[#This Row],[Credit]]-Table830[[#This Row],[Debit]]+Table830[[#This Row],[Credit +]]-Table830[[#This Row],[Debit -]],0)</f>
        <v>0</v>
      </c>
      <c r="AD74" s="34" t="str">
        <f>IFERROR(IF(AND(OR(Table830[[#This Row],[Classification]]="Expense",Table830[[#This Row],[Classification]]="Cost of Goods Sold"),Table830[[#This Row],[Debit\]]&gt;Table830[[#This Row],[Credit.]]),Table830[[#This Row],[Debit\]]-Table830[[#This Row],[Credit.]],""),"")</f>
        <v/>
      </c>
      <c r="AE74" s="34" t="str">
        <f>IFERROR(IF(AND(OR(Table830[[#This Row],[Classification]]="Income",Table830[[#This Row],[Classification]]="Cost of Goods Sold"),Table830[[#This Row],[Credit.]]&gt;Table830[[#This Row],[Debit\]]),Table830[[#This Row],[Credit.]]-Table830[[#This Row],[Debit\]],""),"")</f>
        <v/>
      </c>
      <c r="AF74" s="34"/>
      <c r="AG74" s="34" t="str">
        <f>IFERROR(IF(AND(Table830[[#This Row],[Classification]]="Assets",Table830[[#This Row],[Debit\]]-Table830[[#This Row],[Credit.]]),Table830[[#This Row],[Debit\]]-Table830[[#This Row],[Credit.]],""),"")</f>
        <v/>
      </c>
      <c r="AH74" s="34" t="str">
        <f>IFERROR(IF(AND(OR(Table830[[#This Row],[Classification]]="Liabilities",Table830[[#This Row],[Classification]]="Owner´s Equity"),Table830[[#This Row],[Credit.]]&gt;Table830[[#This Row],[Debit\]]),Table830[[#This Row],[Credit.]]-Table830[[#This Row],[Debit\]],""),"")</f>
        <v/>
      </c>
    </row>
    <row r="75" spans="2:34" hidden="1" x14ac:dyDescent="0.25">
      <c r="B75" s="34"/>
      <c r="C75" s="37" t="s">
        <v>129</v>
      </c>
      <c r="D75" s="34">
        <v>196582.42</v>
      </c>
      <c r="E75" s="34"/>
      <c r="G75" s="39"/>
      <c r="H75" s="40"/>
      <c r="I75" s="41"/>
      <c r="J75" s="41"/>
      <c r="L75" s="34">
        <v>68</v>
      </c>
      <c r="M75" s="35" t="s">
        <v>151</v>
      </c>
      <c r="N75" s="35" t="s">
        <v>130</v>
      </c>
      <c r="O75" s="34">
        <f>IFERROR(SUMIF(Table427[,],Table629[[#This Row],[Accounts Name]],Table427[,3]),"")</f>
        <v>3069792</v>
      </c>
      <c r="P75" s="34">
        <f>IFERROR(SUMIF(Table427[,],Table629[[#This Row],[Accounts Name]],Table427[,2]),"")</f>
        <v>0</v>
      </c>
      <c r="S75" s="36">
        <f t="shared" si="1"/>
        <v>68</v>
      </c>
      <c r="T75" s="34"/>
      <c r="U75" s="37"/>
      <c r="V75" s="34">
        <f>IFERROR(SUMIF(Table629[Sub-Accounts],Table830[[#This Row],[Update your chart of accounts here]],Table629[Debit]),"")</f>
        <v>0</v>
      </c>
      <c r="W75" s="34">
        <f>IFERROR(SUMIF(Table629[Sub-Accounts],Table830[[#This Row],[Update your chart of accounts here]],Table629[Credit]),"")</f>
        <v>0</v>
      </c>
      <c r="X75" s="34"/>
      <c r="Y75" s="34"/>
      <c r="Z75" s="34"/>
      <c r="AA75" s="34"/>
      <c r="AB75" s="34">
        <f>MAX(Table830[[#This Row],[Debit]]+Table830[[#This Row],[Debit -]]-Table830[[#This Row],[Credit]]-Table830[[#This Row],[Credit +]],0)</f>
        <v>0</v>
      </c>
      <c r="AC75" s="34">
        <f>MAX(Table830[[#This Row],[Credit]]-Table830[[#This Row],[Debit]]+Table830[[#This Row],[Credit +]]-Table830[[#This Row],[Debit -]],0)</f>
        <v>0</v>
      </c>
      <c r="AD75" s="34" t="str">
        <f>IFERROR(IF(AND(OR(Table830[[#This Row],[Classification]]="Expense",Table830[[#This Row],[Classification]]="Cost of Goods Sold"),Table830[[#This Row],[Debit\]]&gt;Table830[[#This Row],[Credit.]]),Table830[[#This Row],[Debit\]]-Table830[[#This Row],[Credit.]],""),"")</f>
        <v/>
      </c>
      <c r="AE75" s="34" t="str">
        <f>IFERROR(IF(AND(OR(Table830[[#This Row],[Classification]]="Income",Table830[[#This Row],[Classification]]="Cost of Goods Sold"),Table830[[#This Row],[Credit.]]&gt;Table830[[#This Row],[Debit\]]),Table830[[#This Row],[Credit.]]-Table830[[#This Row],[Debit\]],""),"")</f>
        <v/>
      </c>
      <c r="AF75" s="34"/>
      <c r="AG75" s="34" t="str">
        <f>IFERROR(IF(AND(Table830[[#This Row],[Classification]]="Assets",Table830[[#This Row],[Debit\]]-Table830[[#This Row],[Credit.]]),Table830[[#This Row],[Debit\]]-Table830[[#This Row],[Credit.]],""),"")</f>
        <v/>
      </c>
      <c r="AH75" s="34" t="str">
        <f>IFERROR(IF(AND(OR(Table830[[#This Row],[Classification]]="Liabilities",Table830[[#This Row],[Classification]]="Owner´s Equity"),Table830[[#This Row],[Credit.]]&gt;Table830[[#This Row],[Debit\]]),Table830[[#This Row],[Credit.]]-Table830[[#This Row],[Debit\]],""),"")</f>
        <v/>
      </c>
    </row>
    <row r="76" spans="2:34" hidden="1" x14ac:dyDescent="0.25">
      <c r="B76" s="34"/>
      <c r="C76" s="37" t="s">
        <v>130</v>
      </c>
      <c r="D76" s="34">
        <v>3069792</v>
      </c>
      <c r="E76" s="34"/>
      <c r="G76" s="39"/>
      <c r="H76" s="40"/>
      <c r="I76" s="41"/>
      <c r="J76" s="41"/>
      <c r="L76" s="34">
        <v>69</v>
      </c>
      <c r="M76" s="35" t="s">
        <v>168</v>
      </c>
      <c r="N76" s="35" t="s">
        <v>131</v>
      </c>
      <c r="O76" s="34">
        <f>IFERROR(SUMIF(Table427[,],Table629[[#This Row],[Accounts Name]],Table427[,3]),"")</f>
        <v>302989.64</v>
      </c>
      <c r="P76" s="34">
        <f>IFERROR(SUMIF(Table427[,],Table629[[#This Row],[Accounts Name]],Table427[,2]),"")</f>
        <v>0</v>
      </c>
      <c r="S76" s="36">
        <f t="shared" si="1"/>
        <v>69</v>
      </c>
      <c r="T76" s="34"/>
      <c r="U76" s="37"/>
      <c r="V76" s="34">
        <f>IFERROR(SUMIF(Table629[Sub-Accounts],Table830[[#This Row],[Update your chart of accounts here]],Table629[Debit]),"")</f>
        <v>0</v>
      </c>
      <c r="W76" s="34">
        <f>IFERROR(SUMIF(Table629[Sub-Accounts],Table830[[#This Row],[Update your chart of accounts here]],Table629[Credit]),"")</f>
        <v>0</v>
      </c>
      <c r="X76" s="34"/>
      <c r="Y76" s="34"/>
      <c r="Z76" s="34"/>
      <c r="AA76" s="34"/>
      <c r="AB76" s="34">
        <f>MAX(Table830[[#This Row],[Debit]]+Table830[[#This Row],[Debit -]]-Table830[[#This Row],[Credit]]-Table830[[#This Row],[Credit +]],0)</f>
        <v>0</v>
      </c>
      <c r="AC76" s="34">
        <f>MAX(Table830[[#This Row],[Credit]]-Table830[[#This Row],[Debit]]+Table830[[#This Row],[Credit +]]-Table830[[#This Row],[Debit -]],0)</f>
        <v>0</v>
      </c>
      <c r="AD76" s="34" t="str">
        <f>IFERROR(IF(AND(OR(Table830[[#This Row],[Classification]]="Expense",Table830[[#This Row],[Classification]]="Cost of Goods Sold"),Table830[[#This Row],[Debit\]]&gt;Table830[[#This Row],[Credit.]]),Table830[[#This Row],[Debit\]]-Table830[[#This Row],[Credit.]],""),"")</f>
        <v/>
      </c>
      <c r="AE76" s="34" t="str">
        <f>IFERROR(IF(AND(OR(Table830[[#This Row],[Classification]]="Income",Table830[[#This Row],[Classification]]="Cost of Goods Sold"),Table830[[#This Row],[Credit.]]&gt;Table830[[#This Row],[Debit\]]),Table830[[#This Row],[Credit.]]-Table830[[#This Row],[Debit\]],""),"")</f>
        <v/>
      </c>
      <c r="AF76" s="34"/>
      <c r="AG76" s="34" t="str">
        <f>IFERROR(IF(AND(Table830[[#This Row],[Classification]]="Assets",Table830[[#This Row],[Debit\]]-Table830[[#This Row],[Credit.]]),Table830[[#This Row],[Debit\]]-Table830[[#This Row],[Credit.]],""),"")</f>
        <v/>
      </c>
      <c r="AH76" s="34" t="str">
        <f>IFERROR(IF(AND(OR(Table830[[#This Row],[Classification]]="Liabilities",Table830[[#This Row],[Classification]]="Owner´s Equity"),Table830[[#This Row],[Credit.]]&gt;Table830[[#This Row],[Debit\]]),Table830[[#This Row],[Credit.]]-Table830[[#This Row],[Debit\]],""),"")</f>
        <v/>
      </c>
    </row>
    <row r="77" spans="2:34" hidden="1" x14ac:dyDescent="0.25">
      <c r="B77" s="34"/>
      <c r="C77" s="37" t="s">
        <v>131</v>
      </c>
      <c r="D77" s="34">
        <v>302989.64</v>
      </c>
      <c r="E77" s="34"/>
      <c r="G77" s="39"/>
      <c r="H77" s="43"/>
      <c r="I77" s="41"/>
      <c r="J77" s="41"/>
      <c r="L77" s="34">
        <v>70</v>
      </c>
      <c r="M77" s="35" t="s">
        <v>167</v>
      </c>
      <c r="N77" s="35" t="s">
        <v>132</v>
      </c>
      <c r="O77" s="34">
        <f>IFERROR(SUMIF(Table427[,],Table629[[#This Row],[Accounts Name]],Table427[,3]),"")</f>
        <v>35000</v>
      </c>
      <c r="P77" s="34">
        <f>IFERROR(SUMIF(Table427[,],Table629[[#This Row],[Accounts Name]],Table427[,2]),"")</f>
        <v>0</v>
      </c>
      <c r="S77" s="36">
        <f t="shared" si="1"/>
        <v>70</v>
      </c>
      <c r="T77" s="34"/>
      <c r="U77" s="37"/>
      <c r="V77" s="34">
        <f>IFERROR(SUMIF(Table629[Sub-Accounts],Table830[[#This Row],[Update your chart of accounts here]],Table629[Debit]),"")</f>
        <v>0</v>
      </c>
      <c r="W77" s="34">
        <f>IFERROR(SUMIF(Table629[Sub-Accounts],Table830[[#This Row],[Update your chart of accounts here]],Table629[Credit]),"")</f>
        <v>0</v>
      </c>
      <c r="X77" s="34"/>
      <c r="Y77" s="34"/>
      <c r="Z77" s="34"/>
      <c r="AA77" s="34"/>
      <c r="AB77" s="34">
        <f>MAX(Table830[[#This Row],[Debit]]+Table830[[#This Row],[Debit -]]-Table830[[#This Row],[Credit]]-Table830[[#This Row],[Credit +]],0)</f>
        <v>0</v>
      </c>
      <c r="AC77" s="34">
        <f>MAX(Table830[[#This Row],[Credit]]-Table830[[#This Row],[Debit]]+Table830[[#This Row],[Credit +]]-Table830[[#This Row],[Debit -]],0)</f>
        <v>0</v>
      </c>
      <c r="AD77" s="34" t="str">
        <f>IFERROR(IF(AND(OR(Table830[[#This Row],[Classification]]="Expense",Table830[[#This Row],[Classification]]="Cost of Goods Sold"),Table830[[#This Row],[Debit\]]&gt;Table830[[#This Row],[Credit.]]),Table830[[#This Row],[Debit\]]-Table830[[#This Row],[Credit.]],""),"")</f>
        <v/>
      </c>
      <c r="AE77" s="34" t="str">
        <f>IFERROR(IF(AND(OR(Table830[[#This Row],[Classification]]="Income",Table830[[#This Row],[Classification]]="Cost of Goods Sold"),Table830[[#This Row],[Credit.]]&gt;Table830[[#This Row],[Debit\]]),Table830[[#This Row],[Credit.]]-Table830[[#This Row],[Debit\]],""),"")</f>
        <v/>
      </c>
      <c r="AF77" s="34"/>
      <c r="AG77" s="34" t="str">
        <f>IFERROR(IF(AND(Table830[[#This Row],[Classification]]="Assets",Table830[[#This Row],[Debit\]]-Table830[[#This Row],[Credit.]]),Table830[[#This Row],[Debit\]]-Table830[[#This Row],[Credit.]],""),"")</f>
        <v/>
      </c>
      <c r="AH77" s="34" t="str">
        <f>IFERROR(IF(AND(OR(Table830[[#This Row],[Classification]]="Liabilities",Table830[[#This Row],[Classification]]="Owner´s Equity"),Table830[[#This Row],[Credit.]]&gt;Table830[[#This Row],[Debit\]]),Table830[[#This Row],[Credit.]]-Table830[[#This Row],[Debit\]],""),"")</f>
        <v/>
      </c>
    </row>
    <row r="78" spans="2:34" hidden="1" x14ac:dyDescent="0.25">
      <c r="B78" s="34"/>
      <c r="C78" s="37" t="s">
        <v>132</v>
      </c>
      <c r="D78" s="34">
        <v>35000</v>
      </c>
      <c r="E78" s="34"/>
      <c r="G78" s="39"/>
      <c r="H78" s="40"/>
      <c r="I78" s="41"/>
      <c r="J78" s="41"/>
      <c r="L78" s="34">
        <v>71</v>
      </c>
      <c r="M78" s="35" t="s">
        <v>167</v>
      </c>
      <c r="N78" s="35" t="s">
        <v>133</v>
      </c>
      <c r="O78" s="34">
        <f>IFERROR(SUMIF(Table427[,],Table629[[#This Row],[Accounts Name]],Table427[,3]),"")</f>
        <v>164240.34</v>
      </c>
      <c r="P78" s="34">
        <f>IFERROR(SUMIF(Table427[,],Table629[[#This Row],[Accounts Name]],Table427[,2]),"")</f>
        <v>0</v>
      </c>
      <c r="S78" s="36">
        <f t="shared" si="1"/>
        <v>71</v>
      </c>
      <c r="T78" s="34"/>
      <c r="U78" s="37"/>
      <c r="V78" s="34">
        <f>IFERROR(SUMIF(Table629[Sub-Accounts],Table830[[#This Row],[Update your chart of accounts here]],Table629[Debit]),"")</f>
        <v>0</v>
      </c>
      <c r="W78" s="34">
        <f>IFERROR(SUMIF(Table629[Sub-Accounts],Table830[[#This Row],[Update your chart of accounts here]],Table629[Credit]),"")</f>
        <v>0</v>
      </c>
      <c r="X78" s="34"/>
      <c r="Y78" s="34"/>
      <c r="Z78" s="34"/>
      <c r="AA78" s="34"/>
      <c r="AB78" s="34">
        <f>MAX(Table830[[#This Row],[Debit]]+Table830[[#This Row],[Debit -]]-Table830[[#This Row],[Credit]]-Table830[[#This Row],[Credit +]],0)</f>
        <v>0</v>
      </c>
      <c r="AC78" s="34">
        <f>MAX(Table830[[#This Row],[Credit]]-Table830[[#This Row],[Debit]]+Table830[[#This Row],[Credit +]]-Table830[[#This Row],[Debit -]],0)</f>
        <v>0</v>
      </c>
      <c r="AD78" s="34" t="str">
        <f>IFERROR(IF(AND(OR(Table830[[#This Row],[Classification]]="Expense",Table830[[#This Row],[Classification]]="Cost of Goods Sold"),Table830[[#This Row],[Debit\]]&gt;Table830[[#This Row],[Credit.]]),Table830[[#This Row],[Debit\]]-Table830[[#This Row],[Credit.]],""),"")</f>
        <v/>
      </c>
      <c r="AE78" s="34" t="str">
        <f>IFERROR(IF(AND(OR(Table830[[#This Row],[Classification]]="Income",Table830[[#This Row],[Classification]]="Cost of Goods Sold"),Table830[[#This Row],[Credit.]]&gt;Table830[[#This Row],[Debit\]]),Table830[[#This Row],[Credit.]]-Table830[[#This Row],[Debit\]],""),"")</f>
        <v/>
      </c>
      <c r="AF78" s="34"/>
      <c r="AG78" s="34" t="str">
        <f>IFERROR(IF(AND(Table830[[#This Row],[Classification]]="Assets",Table830[[#This Row],[Debit\]]-Table830[[#This Row],[Credit.]]),Table830[[#This Row],[Debit\]]-Table830[[#This Row],[Credit.]],""),"")</f>
        <v/>
      </c>
      <c r="AH78" s="34" t="str">
        <f>IFERROR(IF(AND(OR(Table830[[#This Row],[Classification]]="Liabilities",Table830[[#This Row],[Classification]]="Owner´s Equity"),Table830[[#This Row],[Credit.]]&gt;Table830[[#This Row],[Debit\]]),Table830[[#This Row],[Credit.]]-Table830[[#This Row],[Debit\]],""),"")</f>
        <v/>
      </c>
    </row>
    <row r="79" spans="2:34" hidden="1" x14ac:dyDescent="0.25">
      <c r="B79" s="34"/>
      <c r="C79" s="37" t="s">
        <v>133</v>
      </c>
      <c r="D79" s="34">
        <v>164240.34</v>
      </c>
      <c r="E79" s="34"/>
      <c r="G79" s="39"/>
      <c r="H79" s="40"/>
      <c r="I79" s="41"/>
      <c r="J79" s="41"/>
      <c r="L79" s="34">
        <v>72</v>
      </c>
      <c r="M79" s="35" t="s">
        <v>169</v>
      </c>
      <c r="N79" s="35" t="s">
        <v>134</v>
      </c>
      <c r="O79" s="34">
        <f>IFERROR(SUMIF(Table427[,],Table629[[#This Row],[Accounts Name]],Table427[,3]),"")</f>
        <v>2000</v>
      </c>
      <c r="P79" s="34">
        <f>IFERROR(SUMIF(Table427[,],Table629[[#This Row],[Accounts Name]],Table427[,2]),"")</f>
        <v>0</v>
      </c>
      <c r="S79" s="36">
        <f t="shared" si="1"/>
        <v>72</v>
      </c>
      <c r="T79" s="34"/>
      <c r="U79" s="37"/>
      <c r="V79" s="34">
        <f>IFERROR(SUMIF(Table629[Sub-Accounts],Table830[[#This Row],[Update your chart of accounts here]],Table629[Debit]),"")</f>
        <v>0</v>
      </c>
      <c r="W79" s="34">
        <f>IFERROR(SUMIF(Table629[Sub-Accounts],Table830[[#This Row],[Update your chart of accounts here]],Table629[Credit]),"")</f>
        <v>0</v>
      </c>
      <c r="X79" s="34"/>
      <c r="Y79" s="34"/>
      <c r="Z79" s="34"/>
      <c r="AA79" s="34"/>
      <c r="AB79" s="34">
        <f>MAX(Table830[[#This Row],[Debit]]+Table830[[#This Row],[Debit -]]-Table830[[#This Row],[Credit]]-Table830[[#This Row],[Credit +]],0)</f>
        <v>0</v>
      </c>
      <c r="AC79" s="34">
        <f>MAX(Table830[[#This Row],[Credit]]-Table830[[#This Row],[Debit]]+Table830[[#This Row],[Credit +]]-Table830[[#This Row],[Debit -]],0)</f>
        <v>0</v>
      </c>
      <c r="AD79" s="34" t="str">
        <f>IFERROR(IF(AND(OR(Table830[[#This Row],[Classification]]="Expense",Table830[[#This Row],[Classification]]="Cost of Goods Sold"),Table830[[#This Row],[Debit\]]&gt;Table830[[#This Row],[Credit.]]),Table830[[#This Row],[Debit\]]-Table830[[#This Row],[Credit.]],""),"")</f>
        <v/>
      </c>
      <c r="AE79" s="34" t="str">
        <f>IFERROR(IF(AND(OR(Table830[[#This Row],[Classification]]="Income",Table830[[#This Row],[Classification]]="Cost of Goods Sold"),Table830[[#This Row],[Credit.]]&gt;Table830[[#This Row],[Debit\]]),Table830[[#This Row],[Credit.]]-Table830[[#This Row],[Debit\]],""),"")</f>
        <v/>
      </c>
      <c r="AF79" s="34"/>
      <c r="AG79" s="34" t="str">
        <f>IFERROR(IF(AND(Table830[[#This Row],[Classification]]="Assets",Table830[[#This Row],[Debit\]]-Table830[[#This Row],[Credit.]]),Table830[[#This Row],[Debit\]]-Table830[[#This Row],[Credit.]],""),"")</f>
        <v/>
      </c>
      <c r="AH79" s="34" t="str">
        <f>IFERROR(IF(AND(OR(Table830[[#This Row],[Classification]]="Liabilities",Table830[[#This Row],[Classification]]="Owner´s Equity"),Table830[[#This Row],[Credit.]]&gt;Table830[[#This Row],[Debit\]]),Table830[[#This Row],[Credit.]]-Table830[[#This Row],[Debit\]],""),"")</f>
        <v/>
      </c>
    </row>
    <row r="80" spans="2:34" hidden="1" x14ac:dyDescent="0.25">
      <c r="B80" s="34"/>
      <c r="C80" s="37" t="s">
        <v>134</v>
      </c>
      <c r="D80" s="34">
        <v>2000</v>
      </c>
      <c r="E80" s="34"/>
      <c r="G80" s="39"/>
      <c r="H80" s="43"/>
      <c r="I80" s="41"/>
      <c r="J80" s="41"/>
      <c r="L80" s="34">
        <v>73</v>
      </c>
      <c r="M80" s="35" t="s">
        <v>170</v>
      </c>
      <c r="N80" s="35" t="s">
        <v>135</v>
      </c>
      <c r="O80" s="34">
        <f>IFERROR(SUMIF(Table427[,],Table629[[#This Row],[Accounts Name]],Table427[,3]),"")</f>
        <v>13250</v>
      </c>
      <c r="P80" s="34">
        <f>IFERROR(SUMIF(Table427[,],Table629[[#This Row],[Accounts Name]],Table427[,2]),"")</f>
        <v>0</v>
      </c>
      <c r="S80" s="36">
        <f t="shared" si="1"/>
        <v>73</v>
      </c>
      <c r="T80" s="34"/>
      <c r="U80" s="37"/>
      <c r="V80" s="34">
        <f>IFERROR(SUMIF(Table629[Sub-Accounts],Table830[[#This Row],[Update your chart of accounts here]],Table629[Debit]),"")</f>
        <v>0</v>
      </c>
      <c r="W80" s="34">
        <f>IFERROR(SUMIF(Table629[Sub-Accounts],Table830[[#This Row],[Update your chart of accounts here]],Table629[Credit]),"")</f>
        <v>0</v>
      </c>
      <c r="X80" s="34"/>
      <c r="Y80" s="34"/>
      <c r="Z80" s="34"/>
      <c r="AA80" s="34"/>
      <c r="AB80" s="34">
        <f>MAX(Table830[[#This Row],[Debit]]+Table830[[#This Row],[Debit -]]-Table830[[#This Row],[Credit]]-Table830[[#This Row],[Credit +]],0)</f>
        <v>0</v>
      </c>
      <c r="AC80" s="34">
        <f>MAX(Table830[[#This Row],[Credit]]-Table830[[#This Row],[Debit]]+Table830[[#This Row],[Credit +]]-Table830[[#This Row],[Debit -]],0)</f>
        <v>0</v>
      </c>
      <c r="AD80" s="34" t="str">
        <f>IFERROR(IF(AND(OR(Table830[[#This Row],[Classification]]="Expense",Table830[[#This Row],[Classification]]="Cost of Goods Sold"),Table830[[#This Row],[Debit\]]&gt;Table830[[#This Row],[Credit.]]),Table830[[#This Row],[Debit\]]-Table830[[#This Row],[Credit.]],""),"")</f>
        <v/>
      </c>
      <c r="AE80" s="34" t="str">
        <f>IFERROR(IF(AND(OR(Table830[[#This Row],[Classification]]="Income",Table830[[#This Row],[Classification]]="Cost of Goods Sold"),Table830[[#This Row],[Credit.]]&gt;Table830[[#This Row],[Debit\]]),Table830[[#This Row],[Credit.]]-Table830[[#This Row],[Debit\]],""),"")</f>
        <v/>
      </c>
      <c r="AF80" s="34"/>
      <c r="AG80" s="34" t="str">
        <f>IFERROR(IF(AND(Table830[[#This Row],[Classification]]="Assets",Table830[[#This Row],[Debit\]]-Table830[[#This Row],[Credit.]]),Table830[[#This Row],[Debit\]]-Table830[[#This Row],[Credit.]],""),"")</f>
        <v/>
      </c>
      <c r="AH80" s="34" t="str">
        <f>IFERROR(IF(AND(OR(Table830[[#This Row],[Classification]]="Liabilities",Table830[[#This Row],[Classification]]="Owner´s Equity"),Table830[[#This Row],[Credit.]]&gt;Table830[[#This Row],[Debit\]]),Table830[[#This Row],[Credit.]]-Table830[[#This Row],[Debit\]],""),"")</f>
        <v/>
      </c>
    </row>
    <row r="81" spans="2:34" hidden="1" x14ac:dyDescent="0.25">
      <c r="B81" s="34"/>
      <c r="C81" s="37" t="s">
        <v>135</v>
      </c>
      <c r="D81" s="34">
        <v>13250</v>
      </c>
      <c r="E81" s="34"/>
      <c r="G81" s="39"/>
      <c r="H81" s="40"/>
      <c r="I81" s="41"/>
      <c r="J81" s="41"/>
      <c r="L81" s="34">
        <v>74</v>
      </c>
      <c r="M81" s="35" t="s">
        <v>156</v>
      </c>
      <c r="N81" s="35" t="s">
        <v>136</v>
      </c>
      <c r="O81" s="34">
        <f>IFERROR(SUMIF(Table427[,],Table629[[#This Row],[Accounts Name]],Table427[,3]),"")</f>
        <v>87416</v>
      </c>
      <c r="P81" s="34">
        <f>IFERROR(SUMIF(Table427[,],Table629[[#This Row],[Accounts Name]],Table427[,2]),"")</f>
        <v>0</v>
      </c>
      <c r="S81" s="36">
        <f t="shared" si="1"/>
        <v>74</v>
      </c>
      <c r="T81" s="34"/>
      <c r="U81" s="37"/>
      <c r="V81" s="34">
        <f>IFERROR(SUMIF(Table629[Sub-Accounts],Table830[[#This Row],[Update your chart of accounts here]],Table629[Debit]),"")</f>
        <v>0</v>
      </c>
      <c r="W81" s="34">
        <f>IFERROR(SUMIF(Table629[Sub-Accounts],Table830[[#This Row],[Update your chart of accounts here]],Table629[Credit]),"")</f>
        <v>0</v>
      </c>
      <c r="X81" s="34"/>
      <c r="Y81" s="34"/>
      <c r="Z81" s="34"/>
      <c r="AA81" s="34"/>
      <c r="AB81" s="34">
        <f>MAX(Table830[[#This Row],[Debit]]+Table830[[#This Row],[Debit -]]-Table830[[#This Row],[Credit]]-Table830[[#This Row],[Credit +]],0)</f>
        <v>0</v>
      </c>
      <c r="AC81" s="34">
        <f>MAX(Table830[[#This Row],[Credit]]-Table830[[#This Row],[Debit]]+Table830[[#This Row],[Credit +]]-Table830[[#This Row],[Debit -]],0)</f>
        <v>0</v>
      </c>
      <c r="AD81" s="34" t="str">
        <f>IFERROR(IF(AND(OR(Table830[[#This Row],[Classification]]="Expense",Table830[[#This Row],[Classification]]="Cost of Goods Sold"),Table830[[#This Row],[Debit\]]&gt;Table830[[#This Row],[Credit.]]),Table830[[#This Row],[Debit\]]-Table830[[#This Row],[Credit.]],""),"")</f>
        <v/>
      </c>
      <c r="AE81" s="34" t="str">
        <f>IFERROR(IF(AND(OR(Table830[[#This Row],[Classification]]="Income",Table830[[#This Row],[Classification]]="Cost of Goods Sold"),Table830[[#This Row],[Credit.]]&gt;Table830[[#This Row],[Debit\]]),Table830[[#This Row],[Credit.]]-Table830[[#This Row],[Debit\]],""),"")</f>
        <v/>
      </c>
      <c r="AF81" s="34"/>
      <c r="AG81" s="34" t="str">
        <f>IFERROR(IF(AND(Table830[[#This Row],[Classification]]="Assets",Table830[[#This Row],[Debit\]]-Table830[[#This Row],[Credit.]]),Table830[[#This Row],[Debit\]]-Table830[[#This Row],[Credit.]],""),"")</f>
        <v/>
      </c>
      <c r="AH81" s="34" t="str">
        <f>IFERROR(IF(AND(OR(Table830[[#This Row],[Classification]]="Liabilities",Table830[[#This Row],[Classification]]="Owner´s Equity"),Table830[[#This Row],[Credit.]]&gt;Table830[[#This Row],[Debit\]]),Table830[[#This Row],[Credit.]]-Table830[[#This Row],[Debit\]],""),"")</f>
        <v/>
      </c>
    </row>
    <row r="82" spans="2:34" hidden="1" x14ac:dyDescent="0.25">
      <c r="B82" s="34"/>
      <c r="C82" s="37" t="s">
        <v>136</v>
      </c>
      <c r="D82" s="34">
        <v>87416</v>
      </c>
      <c r="E82" s="34"/>
      <c r="G82" s="39"/>
      <c r="H82" s="40"/>
      <c r="I82" s="41"/>
      <c r="J82" s="41"/>
      <c r="L82" s="34">
        <v>75</v>
      </c>
      <c r="M82" s="35" t="s">
        <v>162</v>
      </c>
      <c r="N82" s="35" t="s">
        <v>137</v>
      </c>
      <c r="O82" s="34">
        <f>IFERROR(SUMIF(Table427[,],Table629[[#This Row],[Accounts Name]],Table427[,3]),"")</f>
        <v>139074.48000000001</v>
      </c>
      <c r="P82" s="34">
        <f>IFERROR(SUMIF(Table427[,],Table629[[#This Row],[Accounts Name]],Table427[,2]),"")</f>
        <v>0</v>
      </c>
      <c r="S82" s="36">
        <f t="shared" si="1"/>
        <v>75</v>
      </c>
      <c r="T82" s="34"/>
      <c r="U82" s="37"/>
      <c r="V82" s="34">
        <f>IFERROR(SUMIF(Table629[Sub-Accounts],Table830[[#This Row],[Update your chart of accounts here]],Table629[Debit]),"")</f>
        <v>0</v>
      </c>
      <c r="W82" s="34">
        <f>IFERROR(SUMIF(Table629[Sub-Accounts],Table830[[#This Row],[Update your chart of accounts here]],Table629[Credit]),"")</f>
        <v>0</v>
      </c>
      <c r="X82" s="34"/>
      <c r="Y82" s="34"/>
      <c r="Z82" s="34"/>
      <c r="AA82" s="34"/>
      <c r="AB82" s="34">
        <f>MAX(Table830[[#This Row],[Debit]]+Table830[[#This Row],[Debit -]]-Table830[[#This Row],[Credit]]-Table830[[#This Row],[Credit +]],0)</f>
        <v>0</v>
      </c>
      <c r="AC82" s="34">
        <f>MAX(Table830[[#This Row],[Credit]]-Table830[[#This Row],[Debit]]+Table830[[#This Row],[Credit +]]-Table830[[#This Row],[Debit -]],0)</f>
        <v>0</v>
      </c>
      <c r="AD82" s="34" t="str">
        <f>IFERROR(IF(AND(OR(Table830[[#This Row],[Classification]]="Expense",Table830[[#This Row],[Classification]]="Cost of Goods Sold"),Table830[[#This Row],[Debit\]]&gt;Table830[[#This Row],[Credit.]]),Table830[[#This Row],[Debit\]]-Table830[[#This Row],[Credit.]],""),"")</f>
        <v/>
      </c>
      <c r="AE82" s="34" t="str">
        <f>IFERROR(IF(AND(OR(Table830[[#This Row],[Classification]]="Income",Table830[[#This Row],[Classification]]="Cost of Goods Sold"),Table830[[#This Row],[Credit.]]&gt;Table830[[#This Row],[Debit\]]),Table830[[#This Row],[Credit.]]-Table830[[#This Row],[Debit\]],""),"")</f>
        <v/>
      </c>
      <c r="AF82" s="34"/>
      <c r="AG82" s="34" t="str">
        <f>IFERROR(IF(AND(Table830[[#This Row],[Classification]]="Assets",Table830[[#This Row],[Debit\]]-Table830[[#This Row],[Credit.]]),Table830[[#This Row],[Debit\]]-Table830[[#This Row],[Credit.]],""),"")</f>
        <v/>
      </c>
      <c r="AH82" s="34" t="str">
        <f>IFERROR(IF(AND(OR(Table830[[#This Row],[Classification]]="Liabilities",Table830[[#This Row],[Classification]]="Owner´s Equity"),Table830[[#This Row],[Credit.]]&gt;Table830[[#This Row],[Debit\]]),Table830[[#This Row],[Credit.]]-Table830[[#This Row],[Debit\]],""),"")</f>
        <v/>
      </c>
    </row>
    <row r="83" spans="2:34" hidden="1" x14ac:dyDescent="0.25">
      <c r="B83" s="34"/>
      <c r="C83" s="37" t="s">
        <v>137</v>
      </c>
      <c r="D83" s="34">
        <v>139074.48000000001</v>
      </c>
      <c r="E83" s="34"/>
      <c r="G83" s="39"/>
      <c r="H83" s="43"/>
      <c r="I83" s="41"/>
      <c r="J83" s="41"/>
      <c r="L83" s="34">
        <v>76</v>
      </c>
      <c r="M83" s="35"/>
      <c r="N83" s="35"/>
      <c r="O83" s="34">
        <f>IFERROR(SUMIF(Table427[,],Table629[[#This Row],[Accounts Name]],Table427[,3]),"")</f>
        <v>0</v>
      </c>
      <c r="P83" s="34">
        <f>IFERROR(SUMIF(Table427[,],Table629[[#This Row],[Accounts Name]],Table427[,2]),"")</f>
        <v>0</v>
      </c>
      <c r="S83" s="36">
        <f t="shared" si="1"/>
        <v>76</v>
      </c>
      <c r="T83" s="34"/>
      <c r="U83" s="37"/>
      <c r="V83" s="34">
        <f>IFERROR(SUMIF(Table629[Sub-Accounts],Table830[[#This Row],[Update your chart of accounts here]],Table629[Debit]),"")</f>
        <v>0</v>
      </c>
      <c r="W83" s="34">
        <f>IFERROR(SUMIF(Table629[Sub-Accounts],Table830[[#This Row],[Update your chart of accounts here]],Table629[Credit]),"")</f>
        <v>0</v>
      </c>
      <c r="X83" s="34"/>
      <c r="Y83" s="34"/>
      <c r="Z83" s="34"/>
      <c r="AA83" s="34"/>
      <c r="AB83" s="34">
        <f>MAX(Table830[[#This Row],[Debit]]+Table830[[#This Row],[Debit -]]-Table830[[#This Row],[Credit]]-Table830[[#This Row],[Credit +]],0)</f>
        <v>0</v>
      </c>
      <c r="AC83" s="34">
        <f>MAX(Table830[[#This Row],[Credit]]-Table830[[#This Row],[Debit]]+Table830[[#This Row],[Credit +]]-Table830[[#This Row],[Debit -]],0)</f>
        <v>0</v>
      </c>
      <c r="AD83" s="34" t="str">
        <f>IFERROR(IF(AND(OR(Table830[[#This Row],[Classification]]="Expense",Table830[[#This Row],[Classification]]="Cost of Goods Sold"),Table830[[#This Row],[Debit\]]&gt;Table830[[#This Row],[Credit.]]),Table830[[#This Row],[Debit\]]-Table830[[#This Row],[Credit.]],""),"")</f>
        <v/>
      </c>
      <c r="AE83" s="34" t="str">
        <f>IFERROR(IF(AND(OR(Table830[[#This Row],[Classification]]="Income",Table830[[#This Row],[Classification]]="Cost of Goods Sold"),Table830[[#This Row],[Credit.]]&gt;Table830[[#This Row],[Debit\]]),Table830[[#This Row],[Credit.]]-Table830[[#This Row],[Debit\]],""),"")</f>
        <v/>
      </c>
      <c r="AF83" s="34"/>
      <c r="AG83" s="34" t="str">
        <f>IFERROR(IF(AND(Table830[[#This Row],[Classification]]="Assets",Table830[[#This Row],[Debit\]]-Table830[[#This Row],[Credit.]]),Table830[[#This Row],[Debit\]]-Table830[[#This Row],[Credit.]],""),"")</f>
        <v/>
      </c>
      <c r="AH83" s="34" t="str">
        <f>IFERROR(IF(AND(OR(Table830[[#This Row],[Classification]]="Liabilities",Table830[[#This Row],[Classification]]="Owner´s Equity"),Table830[[#This Row],[Credit.]]&gt;Table830[[#This Row],[Debit\]]),Table830[[#This Row],[Credit.]]-Table830[[#This Row],[Debit\]],""),"")</f>
        <v/>
      </c>
    </row>
    <row r="84" spans="2:34" hidden="1" x14ac:dyDescent="0.25">
      <c r="B84" s="34"/>
      <c r="C84" s="37"/>
      <c r="D84" s="34"/>
      <c r="E84" s="34"/>
      <c r="G84" s="39"/>
      <c r="H84" s="40"/>
      <c r="I84" s="41"/>
      <c r="J84" s="41"/>
      <c r="L84" s="34">
        <v>77</v>
      </c>
      <c r="M84" s="35"/>
      <c r="N84" s="35"/>
      <c r="O84" s="34">
        <f>IFERROR(SUMIF(Table427[,],Table629[[#This Row],[Accounts Name]],Table427[,3]),"")</f>
        <v>0</v>
      </c>
      <c r="P84" s="34">
        <f>IFERROR(SUMIF(Table427[,],Table629[[#This Row],[Accounts Name]],Table427[,2]),"")</f>
        <v>0</v>
      </c>
      <c r="S84" s="36">
        <f t="shared" si="1"/>
        <v>77</v>
      </c>
      <c r="T84" s="34"/>
      <c r="U84" s="37"/>
      <c r="V84" s="34">
        <f>IFERROR(SUMIF(Table629[Sub-Accounts],Table830[[#This Row],[Update your chart of accounts here]],Table629[Debit]),"")</f>
        <v>0</v>
      </c>
      <c r="W84" s="34">
        <f>IFERROR(SUMIF(Table629[Sub-Accounts],Table830[[#This Row],[Update your chart of accounts here]],Table629[Credit]),"")</f>
        <v>0</v>
      </c>
      <c r="X84" s="34"/>
      <c r="Y84" s="34"/>
      <c r="Z84" s="34"/>
      <c r="AA84" s="34"/>
      <c r="AB84" s="34">
        <f>MAX(Table830[[#This Row],[Debit]]+Table830[[#This Row],[Debit -]]-Table830[[#This Row],[Credit]]-Table830[[#This Row],[Credit +]],0)</f>
        <v>0</v>
      </c>
      <c r="AC84" s="34">
        <f>MAX(Table830[[#This Row],[Credit]]-Table830[[#This Row],[Debit]]+Table830[[#This Row],[Credit +]]-Table830[[#This Row],[Debit -]],0)</f>
        <v>0</v>
      </c>
      <c r="AD84" s="34" t="str">
        <f>IFERROR(IF(AND(OR(Table830[[#This Row],[Classification]]="Expense",Table830[[#This Row],[Classification]]="Cost of Goods Sold"),Table830[[#This Row],[Debit\]]&gt;Table830[[#This Row],[Credit.]]),Table830[[#This Row],[Debit\]]-Table830[[#This Row],[Credit.]],""),"")</f>
        <v/>
      </c>
      <c r="AE84" s="34" t="str">
        <f>IFERROR(IF(AND(OR(Table830[[#This Row],[Classification]]="Income",Table830[[#This Row],[Classification]]="Cost of Goods Sold"),Table830[[#This Row],[Credit.]]&gt;Table830[[#This Row],[Debit\]]),Table830[[#This Row],[Credit.]]-Table830[[#This Row],[Debit\]],""),"")</f>
        <v/>
      </c>
      <c r="AF84" s="34"/>
      <c r="AG84" s="34" t="str">
        <f>IFERROR(IF(AND(Table830[[#This Row],[Classification]]="Assets",Table830[[#This Row],[Debit\]]-Table830[[#This Row],[Credit.]]),Table830[[#This Row],[Debit\]]-Table830[[#This Row],[Credit.]],""),"")</f>
        <v/>
      </c>
      <c r="AH84" s="34" t="str">
        <f>IFERROR(IF(AND(OR(Table830[[#This Row],[Classification]]="Liabilities",Table830[[#This Row],[Classification]]="Owner´s Equity"),Table830[[#This Row],[Credit.]]&gt;Table830[[#This Row],[Debit\]]),Table830[[#This Row],[Credit.]]-Table830[[#This Row],[Debit\]],""),"")</f>
        <v/>
      </c>
    </row>
    <row r="85" spans="2:34" hidden="1" x14ac:dyDescent="0.25">
      <c r="B85" s="34"/>
      <c r="C85" s="37"/>
      <c r="D85" s="34"/>
      <c r="E85" s="34"/>
      <c r="G85" s="39"/>
      <c r="H85" s="40"/>
      <c r="I85" s="41"/>
      <c r="J85" s="41"/>
      <c r="L85" s="34">
        <v>78</v>
      </c>
      <c r="M85" s="35"/>
      <c r="N85" s="35"/>
      <c r="O85" s="34">
        <f>IFERROR(SUMIF(Table427[,],Table629[[#This Row],[Accounts Name]],Table427[,3]),"")</f>
        <v>0</v>
      </c>
      <c r="P85" s="34">
        <f>IFERROR(SUMIF(Table427[,],Table629[[#This Row],[Accounts Name]],Table427[,2]),"")</f>
        <v>0</v>
      </c>
      <c r="S85" s="36">
        <f t="shared" si="1"/>
        <v>78</v>
      </c>
      <c r="T85" s="34"/>
      <c r="U85" s="37"/>
      <c r="V85" s="34">
        <f>IFERROR(SUMIF(Table629[Sub-Accounts],Table830[[#This Row],[Update your chart of accounts here]],Table629[Debit]),"")</f>
        <v>0</v>
      </c>
      <c r="W85" s="34">
        <f>IFERROR(SUMIF(Table629[Sub-Accounts],Table830[[#This Row],[Update your chart of accounts here]],Table629[Credit]),"")</f>
        <v>0</v>
      </c>
      <c r="X85" s="34"/>
      <c r="Y85" s="34"/>
      <c r="Z85" s="34"/>
      <c r="AA85" s="34"/>
      <c r="AB85" s="34">
        <f>MAX(Table830[[#This Row],[Debit]]+Table830[[#This Row],[Debit -]]-Table830[[#This Row],[Credit]]-Table830[[#This Row],[Credit +]],0)</f>
        <v>0</v>
      </c>
      <c r="AC85" s="34">
        <f>MAX(Table830[[#This Row],[Credit]]-Table830[[#This Row],[Debit]]+Table830[[#This Row],[Credit +]]-Table830[[#This Row],[Debit -]],0)</f>
        <v>0</v>
      </c>
      <c r="AD85" s="34" t="str">
        <f>IFERROR(IF(AND(OR(Table830[[#This Row],[Classification]]="Expense",Table830[[#This Row],[Classification]]="Cost of Goods Sold"),Table830[[#This Row],[Debit\]]&gt;Table830[[#This Row],[Credit.]]),Table830[[#This Row],[Debit\]]-Table830[[#This Row],[Credit.]],""),"")</f>
        <v/>
      </c>
      <c r="AE85" s="34" t="str">
        <f>IFERROR(IF(AND(OR(Table830[[#This Row],[Classification]]="Income",Table830[[#This Row],[Classification]]="Cost of Goods Sold"),Table830[[#This Row],[Credit.]]&gt;Table830[[#This Row],[Debit\]]),Table830[[#This Row],[Credit.]]-Table830[[#This Row],[Debit\]],""),"")</f>
        <v/>
      </c>
      <c r="AF85" s="34"/>
      <c r="AG85" s="34" t="str">
        <f>IFERROR(IF(AND(Table830[[#This Row],[Classification]]="Assets",Table830[[#This Row],[Debit\]]-Table830[[#This Row],[Credit.]]),Table830[[#This Row],[Debit\]]-Table830[[#This Row],[Credit.]],""),"")</f>
        <v/>
      </c>
      <c r="AH85" s="34" t="str">
        <f>IFERROR(IF(AND(OR(Table830[[#This Row],[Classification]]="Liabilities",Table830[[#This Row],[Classification]]="Owner´s Equity"),Table830[[#This Row],[Credit.]]&gt;Table830[[#This Row],[Debit\]]),Table830[[#This Row],[Credit.]]-Table830[[#This Row],[Debit\]],""),"")</f>
        <v/>
      </c>
    </row>
    <row r="86" spans="2:34" hidden="1" x14ac:dyDescent="0.25">
      <c r="B86" s="34"/>
      <c r="C86" s="37"/>
      <c r="D86" s="34"/>
      <c r="E86" s="34"/>
      <c r="G86" s="39"/>
      <c r="H86" s="43"/>
      <c r="I86" s="41"/>
      <c r="J86" s="41"/>
      <c r="L86" s="34">
        <v>79</v>
      </c>
      <c r="M86" s="35"/>
      <c r="N86" s="35"/>
      <c r="O86" s="34">
        <f>IFERROR(SUMIF(Table427[,],Table629[[#This Row],[Accounts Name]],Table427[,3]),"")</f>
        <v>0</v>
      </c>
      <c r="P86" s="34">
        <f>IFERROR(SUMIF(Table427[,],Table629[[#This Row],[Accounts Name]],Table427[,2]),"")</f>
        <v>0</v>
      </c>
      <c r="S86" s="36">
        <f t="shared" si="1"/>
        <v>79</v>
      </c>
      <c r="T86" s="34"/>
      <c r="U86" s="37"/>
      <c r="V86" s="34">
        <f>IFERROR(SUMIF(Table629[Sub-Accounts],Table830[[#This Row],[Update your chart of accounts here]],Table629[Debit]),"")</f>
        <v>0</v>
      </c>
      <c r="W86" s="34">
        <f>IFERROR(SUMIF(Table629[Sub-Accounts],Table830[[#This Row],[Update your chart of accounts here]],Table629[Credit]),"")</f>
        <v>0</v>
      </c>
      <c r="X86" s="34"/>
      <c r="Y86" s="34"/>
      <c r="Z86" s="34"/>
      <c r="AA86" s="34"/>
      <c r="AB86" s="34">
        <f>MAX(Table830[[#This Row],[Debit]]+Table830[[#This Row],[Debit -]]-Table830[[#This Row],[Credit]]-Table830[[#This Row],[Credit +]],0)</f>
        <v>0</v>
      </c>
      <c r="AC86" s="34">
        <f>MAX(Table830[[#This Row],[Credit]]-Table830[[#This Row],[Debit]]+Table830[[#This Row],[Credit +]]-Table830[[#This Row],[Debit -]],0)</f>
        <v>0</v>
      </c>
      <c r="AD86" s="34" t="str">
        <f>IFERROR(IF(AND(OR(Table830[[#This Row],[Classification]]="Expense",Table830[[#This Row],[Classification]]="Cost of Goods Sold"),Table830[[#This Row],[Debit\]]&gt;Table830[[#This Row],[Credit.]]),Table830[[#This Row],[Debit\]]-Table830[[#This Row],[Credit.]],""),"")</f>
        <v/>
      </c>
      <c r="AE86" s="34" t="str">
        <f>IFERROR(IF(AND(OR(Table830[[#This Row],[Classification]]="Income",Table830[[#This Row],[Classification]]="Cost of Goods Sold"),Table830[[#This Row],[Credit.]]&gt;Table830[[#This Row],[Debit\]]),Table830[[#This Row],[Credit.]]-Table830[[#This Row],[Debit\]],""),"")</f>
        <v/>
      </c>
      <c r="AF86" s="34"/>
      <c r="AG86" s="34" t="str">
        <f>IFERROR(IF(AND(Table830[[#This Row],[Classification]]="Assets",Table830[[#This Row],[Debit\]]-Table830[[#This Row],[Credit.]]),Table830[[#This Row],[Debit\]]-Table830[[#This Row],[Credit.]],""),"")</f>
        <v/>
      </c>
      <c r="AH86" s="34" t="str">
        <f>IFERROR(IF(AND(OR(Table830[[#This Row],[Classification]]="Liabilities",Table830[[#This Row],[Classification]]="Owner´s Equity"),Table830[[#This Row],[Credit.]]&gt;Table830[[#This Row],[Debit\]]),Table830[[#This Row],[Credit.]]-Table830[[#This Row],[Debit\]],""),"")</f>
        <v/>
      </c>
    </row>
    <row r="87" spans="2:34" hidden="1" x14ac:dyDescent="0.25">
      <c r="B87" s="34"/>
      <c r="C87" s="37"/>
      <c r="D87" s="34"/>
      <c r="E87" s="34"/>
      <c r="G87" s="39"/>
      <c r="H87" s="40"/>
      <c r="I87" s="41"/>
      <c r="J87" s="41"/>
      <c r="L87" s="34">
        <v>80</v>
      </c>
      <c r="M87" s="35"/>
      <c r="N87" s="35"/>
      <c r="O87" s="34">
        <f>IFERROR(SUMIF(Table427[,],Table629[[#This Row],[Accounts Name]],Table427[,3]),"")</f>
        <v>0</v>
      </c>
      <c r="P87" s="34">
        <f>IFERROR(SUMIF(Table427[,],Table629[[#This Row],[Accounts Name]],Table427[,2]),"")</f>
        <v>0</v>
      </c>
      <c r="S87" s="36">
        <f t="shared" si="1"/>
        <v>80</v>
      </c>
      <c r="T87" s="34"/>
      <c r="U87" s="37"/>
      <c r="V87" s="34">
        <f>IFERROR(SUMIF(Table629[Sub-Accounts],Table830[[#This Row],[Update your chart of accounts here]],Table629[Debit]),"")</f>
        <v>0</v>
      </c>
      <c r="W87" s="34">
        <f>IFERROR(SUMIF(Table629[Sub-Accounts],Table830[[#This Row],[Update your chart of accounts here]],Table629[Credit]),"")</f>
        <v>0</v>
      </c>
      <c r="X87" s="34"/>
      <c r="Y87" s="34"/>
      <c r="Z87" s="34"/>
      <c r="AA87" s="34"/>
      <c r="AB87" s="34">
        <f>MAX(Table830[[#This Row],[Debit]]+Table830[[#This Row],[Debit -]]-Table830[[#This Row],[Credit]]-Table830[[#This Row],[Credit +]],0)</f>
        <v>0</v>
      </c>
      <c r="AC87" s="34">
        <f>MAX(Table830[[#This Row],[Credit]]-Table830[[#This Row],[Debit]]+Table830[[#This Row],[Credit +]]-Table830[[#This Row],[Debit -]],0)</f>
        <v>0</v>
      </c>
      <c r="AD87" s="34" t="str">
        <f>IFERROR(IF(AND(OR(Table830[[#This Row],[Classification]]="Expense",Table830[[#This Row],[Classification]]="Cost of Goods Sold"),Table830[[#This Row],[Debit\]]&gt;Table830[[#This Row],[Credit.]]),Table830[[#This Row],[Debit\]]-Table830[[#This Row],[Credit.]],""),"")</f>
        <v/>
      </c>
      <c r="AE87" s="34" t="str">
        <f>IFERROR(IF(AND(OR(Table830[[#This Row],[Classification]]="Income",Table830[[#This Row],[Classification]]="Cost of Goods Sold"),Table830[[#This Row],[Credit.]]&gt;Table830[[#This Row],[Debit\]]),Table830[[#This Row],[Credit.]]-Table830[[#This Row],[Debit\]],""),"")</f>
        <v/>
      </c>
      <c r="AF87" s="34"/>
      <c r="AG87" s="34" t="str">
        <f>IFERROR(IF(AND(Table830[[#This Row],[Classification]]="Assets",Table830[[#This Row],[Debit\]]-Table830[[#This Row],[Credit.]]),Table830[[#This Row],[Debit\]]-Table830[[#This Row],[Credit.]],""),"")</f>
        <v/>
      </c>
      <c r="AH87" s="34" t="str">
        <f>IFERROR(IF(AND(OR(Table830[[#This Row],[Classification]]="Liabilities",Table830[[#This Row],[Classification]]="Owner´s Equity"),Table830[[#This Row],[Credit.]]&gt;Table830[[#This Row],[Debit\]]),Table830[[#This Row],[Credit.]]-Table830[[#This Row],[Debit\]],""),"")</f>
        <v/>
      </c>
    </row>
    <row r="88" spans="2:34" hidden="1" x14ac:dyDescent="0.25">
      <c r="B88" s="34"/>
      <c r="C88" s="37"/>
      <c r="D88" s="34"/>
      <c r="E88" s="34"/>
      <c r="G88" s="39"/>
      <c r="H88" s="40"/>
      <c r="I88" s="41"/>
      <c r="J88" s="41"/>
      <c r="L88" s="34">
        <v>81</v>
      </c>
      <c r="M88" s="35"/>
      <c r="N88" s="35"/>
      <c r="O88" s="34">
        <f>IFERROR(SUMIF(Table427[,],Table629[[#This Row],[Accounts Name]],Table427[,3]),"")</f>
        <v>0</v>
      </c>
      <c r="P88" s="34">
        <f>IFERROR(SUMIF(Table427[,],Table629[[#This Row],[Accounts Name]],Table427[,2]),"")</f>
        <v>0</v>
      </c>
      <c r="S88" s="36">
        <f t="shared" si="1"/>
        <v>81</v>
      </c>
      <c r="T88" s="34"/>
      <c r="U88" s="37"/>
      <c r="V88" s="34">
        <f>IFERROR(SUMIF(Table629[Sub-Accounts],Table830[[#This Row],[Update your chart of accounts here]],Table629[Debit]),"")</f>
        <v>0</v>
      </c>
      <c r="W88" s="34">
        <f>IFERROR(SUMIF(Table629[Sub-Accounts],Table830[[#This Row],[Update your chart of accounts here]],Table629[Credit]),"")</f>
        <v>0</v>
      </c>
      <c r="X88" s="34"/>
      <c r="Y88" s="34"/>
      <c r="Z88" s="34"/>
      <c r="AA88" s="34"/>
      <c r="AB88" s="34">
        <f>MAX(Table830[[#This Row],[Debit]]+Table830[[#This Row],[Debit -]]-Table830[[#This Row],[Credit]]-Table830[[#This Row],[Credit +]],0)</f>
        <v>0</v>
      </c>
      <c r="AC88" s="34">
        <f>MAX(Table830[[#This Row],[Credit]]-Table830[[#This Row],[Debit]]+Table830[[#This Row],[Credit +]]-Table830[[#This Row],[Debit -]],0)</f>
        <v>0</v>
      </c>
      <c r="AD88" s="34" t="str">
        <f>IFERROR(IF(AND(OR(Table830[[#This Row],[Classification]]="Expense",Table830[[#This Row],[Classification]]="Cost of Goods Sold"),Table830[[#This Row],[Debit\]]&gt;Table830[[#This Row],[Credit.]]),Table830[[#This Row],[Debit\]]-Table830[[#This Row],[Credit.]],""),"")</f>
        <v/>
      </c>
      <c r="AE88" s="34" t="str">
        <f>IFERROR(IF(AND(OR(Table830[[#This Row],[Classification]]="Income",Table830[[#This Row],[Classification]]="Cost of Goods Sold"),Table830[[#This Row],[Credit.]]&gt;Table830[[#This Row],[Debit\]]),Table830[[#This Row],[Credit.]]-Table830[[#This Row],[Debit\]],""),"")</f>
        <v/>
      </c>
      <c r="AF88" s="34"/>
      <c r="AG88" s="34" t="str">
        <f>IFERROR(IF(AND(Table830[[#This Row],[Classification]]="Assets",Table830[[#This Row],[Debit\]]-Table830[[#This Row],[Credit.]]),Table830[[#This Row],[Debit\]]-Table830[[#This Row],[Credit.]],""),"")</f>
        <v/>
      </c>
      <c r="AH88" s="34" t="str">
        <f>IFERROR(IF(AND(OR(Table830[[#This Row],[Classification]]="Liabilities",Table830[[#This Row],[Classification]]="Owner´s Equity"),Table830[[#This Row],[Credit.]]&gt;Table830[[#This Row],[Debit\]]),Table830[[#This Row],[Credit.]]-Table830[[#This Row],[Debit\]],""),"")</f>
        <v/>
      </c>
    </row>
    <row r="89" spans="2:34" hidden="1" x14ac:dyDescent="0.25">
      <c r="B89" s="34"/>
      <c r="C89" s="37"/>
      <c r="D89" s="34"/>
      <c r="E89" s="34"/>
      <c r="G89" s="39"/>
      <c r="H89" s="43"/>
      <c r="I89" s="41"/>
      <c r="J89" s="41"/>
      <c r="L89" s="34">
        <v>82</v>
      </c>
      <c r="M89" s="35"/>
      <c r="N89" s="35"/>
      <c r="O89" s="34">
        <f>IFERROR(SUMIF(Table427[,],Table629[[#This Row],[Accounts Name]],Table427[,3]),"")</f>
        <v>0</v>
      </c>
      <c r="P89" s="34">
        <f>IFERROR(SUMIF(Table427[,],Table629[[#This Row],[Accounts Name]],Table427[,2]),"")</f>
        <v>0</v>
      </c>
      <c r="S89" s="36">
        <f t="shared" si="1"/>
        <v>82</v>
      </c>
      <c r="T89" s="34"/>
      <c r="U89" s="37"/>
      <c r="V89" s="34">
        <f>IFERROR(SUMIF(Table629[Sub-Accounts],Table830[[#This Row],[Update your chart of accounts here]],Table629[Debit]),"")</f>
        <v>0</v>
      </c>
      <c r="W89" s="34">
        <f>IFERROR(SUMIF(Table629[Sub-Accounts],Table830[[#This Row],[Update your chart of accounts here]],Table629[Credit]),"")</f>
        <v>0</v>
      </c>
      <c r="X89" s="34"/>
      <c r="Y89" s="34"/>
      <c r="Z89" s="34"/>
      <c r="AA89" s="34"/>
      <c r="AB89" s="34">
        <f>MAX(Table830[[#This Row],[Debit]]+Table830[[#This Row],[Debit -]]-Table830[[#This Row],[Credit]]-Table830[[#This Row],[Credit +]],0)</f>
        <v>0</v>
      </c>
      <c r="AC89" s="34">
        <f>MAX(Table830[[#This Row],[Credit]]-Table830[[#This Row],[Debit]]+Table830[[#This Row],[Credit +]]-Table830[[#This Row],[Debit -]],0)</f>
        <v>0</v>
      </c>
      <c r="AD89" s="34" t="str">
        <f>IFERROR(IF(AND(OR(Table830[[#This Row],[Classification]]="Expense",Table830[[#This Row],[Classification]]="Cost of Goods Sold"),Table830[[#This Row],[Debit\]]&gt;Table830[[#This Row],[Credit.]]),Table830[[#This Row],[Debit\]]-Table830[[#This Row],[Credit.]],""),"")</f>
        <v/>
      </c>
      <c r="AE89" s="34" t="str">
        <f>IFERROR(IF(AND(OR(Table830[[#This Row],[Classification]]="Income",Table830[[#This Row],[Classification]]="Cost of Goods Sold"),Table830[[#This Row],[Credit.]]&gt;Table830[[#This Row],[Debit\]]),Table830[[#This Row],[Credit.]]-Table830[[#This Row],[Debit\]],""),"")</f>
        <v/>
      </c>
      <c r="AF89" s="34"/>
      <c r="AG89" s="34" t="str">
        <f>IFERROR(IF(AND(Table830[[#This Row],[Classification]]="Assets",Table830[[#This Row],[Debit\]]-Table830[[#This Row],[Credit.]]),Table830[[#This Row],[Debit\]]-Table830[[#This Row],[Credit.]],""),"")</f>
        <v/>
      </c>
      <c r="AH89" s="34" t="str">
        <f>IFERROR(IF(AND(OR(Table830[[#This Row],[Classification]]="Liabilities",Table830[[#This Row],[Classification]]="Owner´s Equity"),Table830[[#This Row],[Credit.]]&gt;Table830[[#This Row],[Debit\]]),Table830[[#This Row],[Credit.]]-Table830[[#This Row],[Debit\]],""),"")</f>
        <v/>
      </c>
    </row>
    <row r="90" spans="2:34" hidden="1" x14ac:dyDescent="0.25">
      <c r="B90" s="34"/>
      <c r="C90" s="45"/>
      <c r="D90" s="34"/>
      <c r="E90" s="34"/>
      <c r="G90" s="39"/>
      <c r="H90" s="40"/>
      <c r="I90" s="41"/>
      <c r="J90" s="41"/>
      <c r="L90" s="34">
        <v>83</v>
      </c>
      <c r="M90" s="35"/>
      <c r="N90" s="35"/>
      <c r="O90" s="34">
        <f>IFERROR(SUMIF(Table427[,],Table629[[#This Row],[Accounts Name]],Table427[,3]),"")</f>
        <v>0</v>
      </c>
      <c r="P90" s="34">
        <f>IFERROR(SUMIF(Table427[,],Table629[[#This Row],[Accounts Name]],Table427[,2]),"")</f>
        <v>0</v>
      </c>
      <c r="S90" s="36">
        <f t="shared" si="1"/>
        <v>83</v>
      </c>
      <c r="T90" s="34"/>
      <c r="U90" s="37"/>
      <c r="V90" s="34">
        <f>IFERROR(SUMIF(Table629[Sub-Accounts],Table830[[#This Row],[Update your chart of accounts here]],Table629[Debit]),"")</f>
        <v>0</v>
      </c>
      <c r="W90" s="34">
        <f>IFERROR(SUMIF(Table629[Sub-Accounts],Table830[[#This Row],[Update your chart of accounts here]],Table629[Credit]),"")</f>
        <v>0</v>
      </c>
      <c r="X90" s="34"/>
      <c r="Y90" s="34"/>
      <c r="Z90" s="34"/>
      <c r="AA90" s="34"/>
      <c r="AB90" s="34">
        <f>MAX(Table830[[#This Row],[Debit]]+Table830[[#This Row],[Debit -]]-Table830[[#This Row],[Credit]]-Table830[[#This Row],[Credit +]],0)</f>
        <v>0</v>
      </c>
      <c r="AC90" s="34">
        <f>MAX(Table830[[#This Row],[Credit]]-Table830[[#This Row],[Debit]]+Table830[[#This Row],[Credit +]]-Table830[[#This Row],[Debit -]],0)</f>
        <v>0</v>
      </c>
      <c r="AD90" s="34" t="str">
        <f>IFERROR(IF(AND(OR(Table830[[#This Row],[Classification]]="Expense",Table830[[#This Row],[Classification]]="Cost of Goods Sold"),Table830[[#This Row],[Debit\]]&gt;Table830[[#This Row],[Credit.]]),Table830[[#This Row],[Debit\]]-Table830[[#This Row],[Credit.]],""),"")</f>
        <v/>
      </c>
      <c r="AE90" s="34" t="str">
        <f>IFERROR(IF(AND(OR(Table830[[#This Row],[Classification]]="Income",Table830[[#This Row],[Classification]]="Cost of Goods Sold"),Table830[[#This Row],[Credit.]]&gt;Table830[[#This Row],[Debit\]]),Table830[[#This Row],[Credit.]]-Table830[[#This Row],[Debit\]],""),"")</f>
        <v/>
      </c>
      <c r="AF90" s="34"/>
      <c r="AG90" s="34" t="str">
        <f>IFERROR(IF(AND(Table830[[#This Row],[Classification]]="Assets",Table830[[#This Row],[Debit\]]-Table830[[#This Row],[Credit.]]),Table830[[#This Row],[Debit\]]-Table830[[#This Row],[Credit.]],""),"")</f>
        <v/>
      </c>
      <c r="AH90" s="34" t="str">
        <f>IFERROR(IF(AND(OR(Table830[[#This Row],[Classification]]="Liabilities",Table830[[#This Row],[Classification]]="Owner´s Equity"),Table830[[#This Row],[Credit.]]&gt;Table830[[#This Row],[Debit\]]),Table830[[#This Row],[Credit.]]-Table830[[#This Row],[Debit\]],""),"")</f>
        <v/>
      </c>
    </row>
    <row r="91" spans="2:34" hidden="1" x14ac:dyDescent="0.25">
      <c r="B91" s="34"/>
      <c r="C91" s="45"/>
      <c r="D91" s="34"/>
      <c r="E91" s="34"/>
      <c r="G91" s="39"/>
      <c r="H91" s="40"/>
      <c r="I91" s="41"/>
      <c r="J91" s="41"/>
      <c r="L91" s="34">
        <v>84</v>
      </c>
      <c r="M91" s="35"/>
      <c r="N91" s="35"/>
      <c r="O91" s="34">
        <f>IFERROR(SUMIF(Table427[,],Table629[[#This Row],[Accounts Name]],Table427[,3]),"")</f>
        <v>0</v>
      </c>
      <c r="P91" s="34">
        <f>IFERROR(SUMIF(Table427[,],Table629[[#This Row],[Accounts Name]],Table427[,2]),"")</f>
        <v>0</v>
      </c>
      <c r="S91" s="36">
        <f t="shared" si="1"/>
        <v>84</v>
      </c>
      <c r="T91" s="34"/>
      <c r="U91" s="37"/>
      <c r="V91" s="34">
        <f>IFERROR(SUMIF(Table629[Sub-Accounts],Table830[[#This Row],[Update your chart of accounts here]],Table629[Debit]),"")</f>
        <v>0</v>
      </c>
      <c r="W91" s="34">
        <f>IFERROR(SUMIF(Table629[Sub-Accounts],Table830[[#This Row],[Update your chart of accounts here]],Table629[Credit]),"")</f>
        <v>0</v>
      </c>
      <c r="X91" s="34"/>
      <c r="Y91" s="34"/>
      <c r="Z91" s="34"/>
      <c r="AA91" s="34"/>
      <c r="AB91" s="34">
        <f>MAX(Table830[[#This Row],[Debit]]+Table830[[#This Row],[Debit -]]-Table830[[#This Row],[Credit]]-Table830[[#This Row],[Credit +]],0)</f>
        <v>0</v>
      </c>
      <c r="AC91" s="34">
        <f>MAX(Table830[[#This Row],[Credit]]-Table830[[#This Row],[Debit]]+Table830[[#This Row],[Credit +]]-Table830[[#This Row],[Debit -]],0)</f>
        <v>0</v>
      </c>
      <c r="AD91" s="34" t="str">
        <f>IFERROR(IF(AND(OR(Table830[[#This Row],[Classification]]="Expense",Table830[[#This Row],[Classification]]="Cost of Goods Sold"),Table830[[#This Row],[Debit\]]&gt;Table830[[#This Row],[Credit.]]),Table830[[#This Row],[Debit\]]-Table830[[#This Row],[Credit.]],""),"")</f>
        <v/>
      </c>
      <c r="AE91" s="34" t="str">
        <f>IFERROR(IF(AND(OR(Table830[[#This Row],[Classification]]="Income",Table830[[#This Row],[Classification]]="Cost of Goods Sold"),Table830[[#This Row],[Credit.]]&gt;Table830[[#This Row],[Debit\]]),Table830[[#This Row],[Credit.]]-Table830[[#This Row],[Debit\]],""),"")</f>
        <v/>
      </c>
      <c r="AF91" s="34"/>
      <c r="AG91" s="34" t="str">
        <f>IFERROR(IF(AND(Table830[[#This Row],[Classification]]="Assets",Table830[[#This Row],[Debit\]]-Table830[[#This Row],[Credit.]]),Table830[[#This Row],[Debit\]]-Table830[[#This Row],[Credit.]],""),"")</f>
        <v/>
      </c>
      <c r="AH91" s="34" t="str">
        <f>IFERROR(IF(AND(OR(Table830[[#This Row],[Classification]]="Liabilities",Table830[[#This Row],[Classification]]="Owner´s Equity"),Table830[[#This Row],[Credit.]]&gt;Table830[[#This Row],[Debit\]]),Table830[[#This Row],[Credit.]]-Table830[[#This Row],[Debit\]],""),"")</f>
        <v/>
      </c>
    </row>
    <row r="92" spans="2:34" hidden="1" x14ac:dyDescent="0.25">
      <c r="B92" s="34"/>
      <c r="C92" s="45"/>
      <c r="D92" s="34"/>
      <c r="E92" s="34"/>
      <c r="G92" s="39"/>
      <c r="H92" s="43"/>
      <c r="I92" s="41"/>
      <c r="J92" s="41"/>
      <c r="L92" s="34">
        <v>85</v>
      </c>
      <c r="M92" s="35"/>
      <c r="N92" s="35"/>
      <c r="O92" s="34">
        <f>IFERROR(SUMIF(Table427[,],Table629[[#This Row],[Accounts Name]],Table427[,3]),"")</f>
        <v>0</v>
      </c>
      <c r="P92" s="34">
        <f>IFERROR(SUMIF(Table427[,],Table629[[#This Row],[Accounts Name]],Table427[,2]),"")</f>
        <v>0</v>
      </c>
      <c r="S92" s="36">
        <f t="shared" si="1"/>
        <v>85</v>
      </c>
      <c r="T92" s="34"/>
      <c r="U92" s="37"/>
      <c r="V92" s="34">
        <f>IFERROR(SUMIF(Table629[Sub-Accounts],Table830[[#This Row],[Update your chart of accounts here]],Table629[Debit]),"")</f>
        <v>0</v>
      </c>
      <c r="W92" s="34">
        <f>IFERROR(SUMIF(Table629[Sub-Accounts],Table830[[#This Row],[Update your chart of accounts here]],Table629[Credit]),"")</f>
        <v>0</v>
      </c>
      <c r="X92" s="34"/>
      <c r="Y92" s="34"/>
      <c r="Z92" s="34"/>
      <c r="AA92" s="34"/>
      <c r="AB92" s="34">
        <f>MAX(Table830[[#This Row],[Debit]]+Table830[[#This Row],[Debit -]]-Table830[[#This Row],[Credit]]-Table830[[#This Row],[Credit +]],0)</f>
        <v>0</v>
      </c>
      <c r="AC92" s="34">
        <f>MAX(Table830[[#This Row],[Credit]]-Table830[[#This Row],[Debit]]+Table830[[#This Row],[Credit +]]-Table830[[#This Row],[Debit -]],0)</f>
        <v>0</v>
      </c>
      <c r="AD92" s="34" t="str">
        <f>IFERROR(IF(AND(OR(Table830[[#This Row],[Classification]]="Expense",Table830[[#This Row],[Classification]]="Cost of Goods Sold"),Table830[[#This Row],[Debit\]]&gt;Table830[[#This Row],[Credit.]]),Table830[[#This Row],[Debit\]]-Table830[[#This Row],[Credit.]],""),"")</f>
        <v/>
      </c>
      <c r="AE92" s="34" t="str">
        <f>IFERROR(IF(AND(OR(Table830[[#This Row],[Classification]]="Income",Table830[[#This Row],[Classification]]="Cost of Goods Sold"),Table830[[#This Row],[Credit.]]&gt;Table830[[#This Row],[Debit\]]),Table830[[#This Row],[Credit.]]-Table830[[#This Row],[Debit\]],""),"")</f>
        <v/>
      </c>
      <c r="AF92" s="34"/>
      <c r="AG92" s="34" t="str">
        <f>IFERROR(IF(AND(Table830[[#This Row],[Classification]]="Assets",Table830[[#This Row],[Debit\]]-Table830[[#This Row],[Credit.]]),Table830[[#This Row],[Debit\]]-Table830[[#This Row],[Credit.]],""),"")</f>
        <v/>
      </c>
      <c r="AH92" s="34" t="str">
        <f>IFERROR(IF(AND(OR(Table830[[#This Row],[Classification]]="Liabilities",Table830[[#This Row],[Classification]]="Owner´s Equity"),Table830[[#This Row],[Credit.]]&gt;Table830[[#This Row],[Debit\]]),Table830[[#This Row],[Credit.]]-Table830[[#This Row],[Debit\]],""),"")</f>
        <v/>
      </c>
    </row>
    <row r="93" spans="2:34" hidden="1" x14ac:dyDescent="0.25">
      <c r="B93" s="34"/>
      <c r="C93" s="45"/>
      <c r="D93" s="34"/>
      <c r="E93" s="34"/>
      <c r="G93" s="39"/>
      <c r="H93" s="40"/>
      <c r="I93" s="41"/>
      <c r="J93" s="41"/>
      <c r="L93" s="34">
        <v>86</v>
      </c>
      <c r="M93" s="35"/>
      <c r="N93" s="35"/>
      <c r="O93" s="34">
        <f>IFERROR(SUMIF(Table427[,],Table629[[#This Row],[Accounts Name]],Table427[,3]),"")</f>
        <v>0</v>
      </c>
      <c r="P93" s="34">
        <f>IFERROR(SUMIF(Table427[,],Table629[[#This Row],[Accounts Name]],Table427[,2]),"")</f>
        <v>0</v>
      </c>
      <c r="S93" s="36">
        <f t="shared" si="1"/>
        <v>86</v>
      </c>
      <c r="T93" s="34"/>
      <c r="U93" s="37"/>
      <c r="V93" s="34">
        <f>IFERROR(SUMIF(Table629[Sub-Accounts],Table830[[#This Row],[Update your chart of accounts here]],Table629[Debit]),"")</f>
        <v>0</v>
      </c>
      <c r="W93" s="34">
        <f>IFERROR(SUMIF(Table629[Sub-Accounts],Table830[[#This Row],[Update your chart of accounts here]],Table629[Credit]),"")</f>
        <v>0</v>
      </c>
      <c r="X93" s="34"/>
      <c r="Y93" s="34"/>
      <c r="Z93" s="34"/>
      <c r="AA93" s="34"/>
      <c r="AB93" s="34">
        <f>MAX(Table830[[#This Row],[Debit]]+Table830[[#This Row],[Debit -]]-Table830[[#This Row],[Credit]]-Table830[[#This Row],[Credit +]],0)</f>
        <v>0</v>
      </c>
      <c r="AC93" s="34">
        <f>MAX(Table830[[#This Row],[Credit]]-Table830[[#This Row],[Debit]]+Table830[[#This Row],[Credit +]]-Table830[[#This Row],[Debit -]],0)</f>
        <v>0</v>
      </c>
      <c r="AD93" s="34" t="str">
        <f>IFERROR(IF(AND(OR(Table830[[#This Row],[Classification]]="Expense",Table830[[#This Row],[Classification]]="Cost of Goods Sold"),Table830[[#This Row],[Debit\]]&gt;Table830[[#This Row],[Credit.]]),Table830[[#This Row],[Debit\]]-Table830[[#This Row],[Credit.]],""),"")</f>
        <v/>
      </c>
      <c r="AE93" s="34" t="str">
        <f>IFERROR(IF(AND(OR(Table830[[#This Row],[Classification]]="Income",Table830[[#This Row],[Classification]]="Cost of Goods Sold"),Table830[[#This Row],[Credit.]]&gt;Table830[[#This Row],[Debit\]]),Table830[[#This Row],[Credit.]]-Table830[[#This Row],[Debit\]],""),"")</f>
        <v/>
      </c>
      <c r="AF93" s="34"/>
      <c r="AG93" s="34" t="str">
        <f>IFERROR(IF(AND(Table830[[#This Row],[Classification]]="Assets",Table830[[#This Row],[Debit\]]-Table830[[#This Row],[Credit.]]),Table830[[#This Row],[Debit\]]-Table830[[#This Row],[Credit.]],""),"")</f>
        <v/>
      </c>
      <c r="AH93" s="34" t="str">
        <f>IFERROR(IF(AND(OR(Table830[[#This Row],[Classification]]="Liabilities",Table830[[#This Row],[Classification]]="Owner´s Equity"),Table830[[#This Row],[Credit.]]&gt;Table830[[#This Row],[Debit\]]),Table830[[#This Row],[Credit.]]-Table830[[#This Row],[Debit\]],""),"")</f>
        <v/>
      </c>
    </row>
    <row r="94" spans="2:34" hidden="1" x14ac:dyDescent="0.25">
      <c r="B94" s="34"/>
      <c r="C94" s="45"/>
      <c r="D94" s="34"/>
      <c r="E94" s="34"/>
      <c r="G94" s="39"/>
      <c r="H94" s="40"/>
      <c r="I94" s="41"/>
      <c r="J94" s="41"/>
      <c r="L94" s="34">
        <v>87</v>
      </c>
      <c r="M94" s="35"/>
      <c r="N94" s="35"/>
      <c r="O94" s="34">
        <f>IFERROR(SUMIF(Table427[,],Table629[[#This Row],[Accounts Name]],Table427[,3]),"")</f>
        <v>0</v>
      </c>
      <c r="P94" s="34">
        <f>IFERROR(SUMIF(Table427[,],Table629[[#This Row],[Accounts Name]],Table427[,2]),"")</f>
        <v>0</v>
      </c>
      <c r="S94" s="36">
        <f t="shared" si="1"/>
        <v>87</v>
      </c>
      <c r="T94" s="34"/>
      <c r="U94" s="37"/>
      <c r="V94" s="34">
        <f>IFERROR(SUMIF(Table629[Sub-Accounts],Table830[[#This Row],[Update your chart of accounts here]],Table629[Debit]),"")</f>
        <v>0</v>
      </c>
      <c r="W94" s="34">
        <f>IFERROR(SUMIF(Table629[Sub-Accounts],Table830[[#This Row],[Update your chart of accounts here]],Table629[Credit]),"")</f>
        <v>0</v>
      </c>
      <c r="X94" s="34"/>
      <c r="Y94" s="34"/>
      <c r="Z94" s="34"/>
      <c r="AA94" s="34"/>
      <c r="AB94" s="34">
        <f>MAX(Table830[[#This Row],[Debit]]+Table830[[#This Row],[Debit -]]-Table830[[#This Row],[Credit]]-Table830[[#This Row],[Credit +]],0)</f>
        <v>0</v>
      </c>
      <c r="AC94" s="34">
        <f>MAX(Table830[[#This Row],[Credit]]-Table830[[#This Row],[Debit]]+Table830[[#This Row],[Credit +]]-Table830[[#This Row],[Debit -]],0)</f>
        <v>0</v>
      </c>
      <c r="AD94" s="34" t="str">
        <f>IFERROR(IF(AND(OR(Table830[[#This Row],[Classification]]="Expense",Table830[[#This Row],[Classification]]="Cost of Goods Sold"),Table830[[#This Row],[Debit\]]&gt;Table830[[#This Row],[Credit.]]),Table830[[#This Row],[Debit\]]-Table830[[#This Row],[Credit.]],""),"")</f>
        <v/>
      </c>
      <c r="AE94" s="34" t="str">
        <f>IFERROR(IF(AND(OR(Table830[[#This Row],[Classification]]="Income",Table830[[#This Row],[Classification]]="Cost of Goods Sold"),Table830[[#This Row],[Credit.]]&gt;Table830[[#This Row],[Debit\]]),Table830[[#This Row],[Credit.]]-Table830[[#This Row],[Debit\]],""),"")</f>
        <v/>
      </c>
      <c r="AF94" s="34"/>
      <c r="AG94" s="34" t="str">
        <f>IFERROR(IF(AND(Table830[[#This Row],[Classification]]="Assets",Table830[[#This Row],[Debit\]]-Table830[[#This Row],[Credit.]]),Table830[[#This Row],[Debit\]]-Table830[[#This Row],[Credit.]],""),"")</f>
        <v/>
      </c>
      <c r="AH94" s="34" t="str">
        <f>IFERROR(IF(AND(OR(Table830[[#This Row],[Classification]]="Liabilities",Table830[[#This Row],[Classification]]="Owner´s Equity"),Table830[[#This Row],[Credit.]]&gt;Table830[[#This Row],[Debit\]]),Table830[[#This Row],[Credit.]]-Table830[[#This Row],[Debit\]],""),"")</f>
        <v/>
      </c>
    </row>
    <row r="95" spans="2:34" hidden="1" x14ac:dyDescent="0.25">
      <c r="B95" s="34"/>
      <c r="C95" s="45"/>
      <c r="D95" s="34"/>
      <c r="E95" s="34"/>
      <c r="G95" s="39"/>
      <c r="H95" s="43"/>
      <c r="I95" s="41"/>
      <c r="J95" s="41"/>
      <c r="L95" s="34">
        <v>88</v>
      </c>
      <c r="M95" s="35"/>
      <c r="N95" s="35"/>
      <c r="O95" s="34">
        <f>IFERROR(SUMIF(Table427[,],Table629[[#This Row],[Accounts Name]],Table427[,3]),"")</f>
        <v>0</v>
      </c>
      <c r="P95" s="34">
        <f>IFERROR(SUMIF(Table427[,],Table629[[#This Row],[Accounts Name]],Table427[,2]),"")</f>
        <v>0</v>
      </c>
      <c r="S95" s="36">
        <f t="shared" si="1"/>
        <v>88</v>
      </c>
      <c r="T95" s="34"/>
      <c r="U95" s="37"/>
      <c r="V95" s="34">
        <f>IFERROR(SUMIF(Table629[Sub-Accounts],Table830[[#This Row],[Update your chart of accounts here]],Table629[Debit]),"")</f>
        <v>0</v>
      </c>
      <c r="W95" s="34">
        <f>IFERROR(SUMIF(Table629[Sub-Accounts],Table830[[#This Row],[Update your chart of accounts here]],Table629[Credit]),"")</f>
        <v>0</v>
      </c>
      <c r="X95" s="34"/>
      <c r="Y95" s="34"/>
      <c r="Z95" s="34"/>
      <c r="AA95" s="34"/>
      <c r="AB95" s="34">
        <f>MAX(Table830[[#This Row],[Debit]]+Table830[[#This Row],[Debit -]]-Table830[[#This Row],[Credit]]-Table830[[#This Row],[Credit +]],0)</f>
        <v>0</v>
      </c>
      <c r="AC95" s="34">
        <f>MAX(Table830[[#This Row],[Credit]]-Table830[[#This Row],[Debit]]+Table830[[#This Row],[Credit +]]-Table830[[#This Row],[Debit -]],0)</f>
        <v>0</v>
      </c>
      <c r="AD95" s="34" t="str">
        <f>IFERROR(IF(AND(OR(Table830[[#This Row],[Classification]]="Expense",Table830[[#This Row],[Classification]]="Cost of Goods Sold"),Table830[[#This Row],[Debit\]]&gt;Table830[[#This Row],[Credit.]]),Table830[[#This Row],[Debit\]]-Table830[[#This Row],[Credit.]],""),"")</f>
        <v/>
      </c>
      <c r="AE95" s="34" t="str">
        <f>IFERROR(IF(AND(OR(Table830[[#This Row],[Classification]]="Income",Table830[[#This Row],[Classification]]="Cost of Goods Sold"),Table830[[#This Row],[Credit.]]&gt;Table830[[#This Row],[Debit\]]),Table830[[#This Row],[Credit.]]-Table830[[#This Row],[Debit\]],""),"")</f>
        <v/>
      </c>
      <c r="AF95" s="34"/>
      <c r="AG95" s="34" t="str">
        <f>IFERROR(IF(AND(Table830[[#This Row],[Classification]]="Assets",Table830[[#This Row],[Debit\]]-Table830[[#This Row],[Credit.]]),Table830[[#This Row],[Debit\]]-Table830[[#This Row],[Credit.]],""),"")</f>
        <v/>
      </c>
      <c r="AH95" s="34" t="str">
        <f>IFERROR(IF(AND(OR(Table830[[#This Row],[Classification]]="Liabilities",Table830[[#This Row],[Classification]]="Owner´s Equity"),Table830[[#This Row],[Credit.]]&gt;Table830[[#This Row],[Debit\]]),Table830[[#This Row],[Credit.]]-Table830[[#This Row],[Debit\]],""),"")</f>
        <v/>
      </c>
    </row>
    <row r="96" spans="2:34" hidden="1" x14ac:dyDescent="0.25">
      <c r="B96" s="34"/>
      <c r="C96" s="45"/>
      <c r="D96" s="34"/>
      <c r="E96" s="34"/>
      <c r="G96" s="39"/>
      <c r="H96" s="40"/>
      <c r="I96" s="41"/>
      <c r="J96" s="41"/>
      <c r="L96" s="34">
        <v>89</v>
      </c>
      <c r="M96" s="35"/>
      <c r="N96" s="35"/>
      <c r="O96" s="34">
        <f>IFERROR(SUMIF(Table427[,],Table629[[#This Row],[Accounts Name]],Table427[,3]),"")</f>
        <v>0</v>
      </c>
      <c r="P96" s="34">
        <f>IFERROR(SUMIF(Table427[,],Table629[[#This Row],[Accounts Name]],Table427[,2]),"")</f>
        <v>0</v>
      </c>
      <c r="S96" s="36">
        <f t="shared" si="1"/>
        <v>89</v>
      </c>
      <c r="T96" s="34"/>
      <c r="U96" s="37"/>
      <c r="V96" s="34">
        <f>IFERROR(SUMIF(Table629[Sub-Accounts],Table830[[#This Row],[Update your chart of accounts here]],Table629[Debit]),"")</f>
        <v>0</v>
      </c>
      <c r="W96" s="34">
        <f>IFERROR(SUMIF(Table629[Sub-Accounts],Table830[[#This Row],[Update your chart of accounts here]],Table629[Credit]),"")</f>
        <v>0</v>
      </c>
      <c r="X96" s="34"/>
      <c r="Y96" s="34"/>
      <c r="Z96" s="34"/>
      <c r="AA96" s="34"/>
      <c r="AB96" s="34">
        <f>MAX(Table830[[#This Row],[Debit]]+Table830[[#This Row],[Debit -]]-Table830[[#This Row],[Credit]]-Table830[[#This Row],[Credit +]],0)</f>
        <v>0</v>
      </c>
      <c r="AC96" s="34">
        <f>MAX(Table830[[#This Row],[Credit]]-Table830[[#This Row],[Debit]]+Table830[[#This Row],[Credit +]]-Table830[[#This Row],[Debit -]],0)</f>
        <v>0</v>
      </c>
      <c r="AD96" s="34" t="str">
        <f>IFERROR(IF(AND(OR(Table830[[#This Row],[Classification]]="Expense",Table830[[#This Row],[Classification]]="Cost of Goods Sold"),Table830[[#This Row],[Debit\]]&gt;Table830[[#This Row],[Credit.]]),Table830[[#This Row],[Debit\]]-Table830[[#This Row],[Credit.]],""),"")</f>
        <v/>
      </c>
      <c r="AE96" s="34" t="str">
        <f>IFERROR(IF(AND(OR(Table830[[#This Row],[Classification]]="Income",Table830[[#This Row],[Classification]]="Cost of Goods Sold"),Table830[[#This Row],[Credit.]]&gt;Table830[[#This Row],[Debit\]]),Table830[[#This Row],[Credit.]]-Table830[[#This Row],[Debit\]],""),"")</f>
        <v/>
      </c>
      <c r="AF96" s="34"/>
      <c r="AG96" s="34" t="str">
        <f>IFERROR(IF(AND(Table830[[#This Row],[Classification]]="Assets",Table830[[#This Row],[Debit\]]-Table830[[#This Row],[Credit.]]),Table830[[#This Row],[Debit\]]-Table830[[#This Row],[Credit.]],""),"")</f>
        <v/>
      </c>
      <c r="AH96" s="34" t="str">
        <f>IFERROR(IF(AND(OR(Table830[[#This Row],[Classification]]="Liabilities",Table830[[#This Row],[Classification]]="Owner´s Equity"),Table830[[#This Row],[Credit.]]&gt;Table830[[#This Row],[Debit\]]),Table830[[#This Row],[Credit.]]-Table830[[#This Row],[Debit\]],""),"")</f>
        <v/>
      </c>
    </row>
    <row r="97" spans="2:34" hidden="1" x14ac:dyDescent="0.25">
      <c r="B97" s="34"/>
      <c r="C97" s="45"/>
      <c r="D97" s="34"/>
      <c r="E97" s="34"/>
      <c r="G97" s="39"/>
      <c r="H97" s="40"/>
      <c r="I97" s="41"/>
      <c r="J97" s="41"/>
      <c r="L97" s="34">
        <v>90</v>
      </c>
      <c r="M97" s="35"/>
      <c r="N97" s="35"/>
      <c r="O97" s="34">
        <f>IFERROR(SUMIF(Table427[,],Table629[[#This Row],[Accounts Name]],Table427[,3]),"")</f>
        <v>0</v>
      </c>
      <c r="P97" s="34">
        <f>IFERROR(SUMIF(Table427[,],Table629[[#This Row],[Accounts Name]],Table427[,2]),"")</f>
        <v>0</v>
      </c>
      <c r="S97" s="36">
        <f t="shared" si="1"/>
        <v>90</v>
      </c>
      <c r="T97" s="34"/>
      <c r="U97" s="37"/>
      <c r="V97" s="34">
        <f>IFERROR(SUMIF(Table629[Sub-Accounts],Table830[[#This Row],[Update your chart of accounts here]],Table629[Debit]),"")</f>
        <v>0</v>
      </c>
      <c r="W97" s="34">
        <f>IFERROR(SUMIF(Table629[Sub-Accounts],Table830[[#This Row],[Update your chart of accounts here]],Table629[Credit]),"")</f>
        <v>0</v>
      </c>
      <c r="X97" s="34"/>
      <c r="Y97" s="34"/>
      <c r="Z97" s="34"/>
      <c r="AA97" s="34"/>
      <c r="AB97" s="34">
        <f>MAX(Table830[[#This Row],[Debit]]+Table830[[#This Row],[Debit -]]-Table830[[#This Row],[Credit]]-Table830[[#This Row],[Credit +]],0)</f>
        <v>0</v>
      </c>
      <c r="AC97" s="34">
        <f>MAX(Table830[[#This Row],[Credit]]-Table830[[#This Row],[Debit]]+Table830[[#This Row],[Credit +]]-Table830[[#This Row],[Debit -]],0)</f>
        <v>0</v>
      </c>
      <c r="AD97" s="34" t="str">
        <f>IFERROR(IF(AND(OR(Table830[[#This Row],[Classification]]="Expense",Table830[[#This Row],[Classification]]="Cost of Goods Sold"),Table830[[#This Row],[Debit\]]&gt;Table830[[#This Row],[Credit.]]),Table830[[#This Row],[Debit\]]-Table830[[#This Row],[Credit.]],""),"")</f>
        <v/>
      </c>
      <c r="AE97" s="34" t="str">
        <f>IFERROR(IF(AND(OR(Table830[[#This Row],[Classification]]="Income",Table830[[#This Row],[Classification]]="Cost of Goods Sold"),Table830[[#This Row],[Credit.]]&gt;Table830[[#This Row],[Debit\]]),Table830[[#This Row],[Credit.]]-Table830[[#This Row],[Debit\]],""),"")</f>
        <v/>
      </c>
      <c r="AF97" s="34"/>
      <c r="AG97" s="34" t="str">
        <f>IFERROR(IF(AND(Table830[[#This Row],[Classification]]="Assets",Table830[[#This Row],[Debit\]]-Table830[[#This Row],[Credit.]]),Table830[[#This Row],[Debit\]]-Table830[[#This Row],[Credit.]],""),"")</f>
        <v/>
      </c>
      <c r="AH97" s="34" t="str">
        <f>IFERROR(IF(AND(OR(Table830[[#This Row],[Classification]]="Liabilities",Table830[[#This Row],[Classification]]="Owner´s Equity"),Table830[[#This Row],[Credit.]]&gt;Table830[[#This Row],[Debit\]]),Table830[[#This Row],[Credit.]]-Table830[[#This Row],[Debit\]],""),"")</f>
        <v/>
      </c>
    </row>
    <row r="98" spans="2:34" hidden="1" x14ac:dyDescent="0.25">
      <c r="B98" s="34"/>
      <c r="C98" s="45"/>
      <c r="D98" s="34"/>
      <c r="E98" s="34"/>
      <c r="G98" s="39"/>
      <c r="H98" s="43"/>
      <c r="I98" s="41"/>
      <c r="J98" s="41"/>
      <c r="L98" s="34">
        <v>91</v>
      </c>
      <c r="M98" s="35"/>
      <c r="N98" s="35"/>
      <c r="O98" s="34">
        <f>IFERROR(SUMIF(Table427[,],Table629[[#This Row],[Accounts Name]],Table427[,3]),"")</f>
        <v>0</v>
      </c>
      <c r="P98" s="34">
        <f>IFERROR(SUMIF(Table427[,],Table629[[#This Row],[Accounts Name]],Table427[,2]),"")</f>
        <v>0</v>
      </c>
      <c r="S98" s="36">
        <f t="shared" si="1"/>
        <v>91</v>
      </c>
      <c r="T98" s="34"/>
      <c r="U98" s="37"/>
      <c r="V98" s="34">
        <f>IFERROR(SUMIF(Table629[Sub-Accounts],Table830[[#This Row],[Update your chart of accounts here]],Table629[Debit]),"")</f>
        <v>0</v>
      </c>
      <c r="W98" s="34">
        <f>IFERROR(SUMIF(Table629[Sub-Accounts],Table830[[#This Row],[Update your chart of accounts here]],Table629[Credit]),"")</f>
        <v>0</v>
      </c>
      <c r="X98" s="34"/>
      <c r="Y98" s="34"/>
      <c r="Z98" s="34"/>
      <c r="AA98" s="34"/>
      <c r="AB98" s="34">
        <f>MAX(Table830[[#This Row],[Debit]]+Table830[[#This Row],[Debit -]]-Table830[[#This Row],[Credit]]-Table830[[#This Row],[Credit +]],0)</f>
        <v>0</v>
      </c>
      <c r="AC98" s="34">
        <f>MAX(Table830[[#This Row],[Credit]]-Table830[[#This Row],[Debit]]+Table830[[#This Row],[Credit +]]-Table830[[#This Row],[Debit -]],0)</f>
        <v>0</v>
      </c>
      <c r="AD98" s="34" t="str">
        <f>IFERROR(IF(AND(OR(Table830[[#This Row],[Classification]]="Expense",Table830[[#This Row],[Classification]]="Cost of Goods Sold"),Table830[[#This Row],[Debit\]]&gt;Table830[[#This Row],[Credit.]]),Table830[[#This Row],[Debit\]]-Table830[[#This Row],[Credit.]],""),"")</f>
        <v/>
      </c>
      <c r="AE98" s="34" t="str">
        <f>IFERROR(IF(AND(OR(Table830[[#This Row],[Classification]]="Income",Table830[[#This Row],[Classification]]="Cost of Goods Sold"),Table830[[#This Row],[Credit.]]&gt;Table830[[#This Row],[Debit\]]),Table830[[#This Row],[Credit.]]-Table830[[#This Row],[Debit\]],""),"")</f>
        <v/>
      </c>
      <c r="AF98" s="34"/>
      <c r="AG98" s="34" t="str">
        <f>IFERROR(IF(AND(Table830[[#This Row],[Classification]]="Assets",Table830[[#This Row],[Debit\]]-Table830[[#This Row],[Credit.]]),Table830[[#This Row],[Debit\]]-Table830[[#This Row],[Credit.]],""),"")</f>
        <v/>
      </c>
      <c r="AH98" s="34" t="str">
        <f>IFERROR(IF(AND(OR(Table830[[#This Row],[Classification]]="Liabilities",Table830[[#This Row],[Classification]]="Owner´s Equity"),Table830[[#This Row],[Credit.]]&gt;Table830[[#This Row],[Debit\]]),Table830[[#This Row],[Credit.]]-Table830[[#This Row],[Debit\]],""),"")</f>
        <v/>
      </c>
    </row>
    <row r="99" spans="2:34" hidden="1" x14ac:dyDescent="0.25">
      <c r="B99" s="34"/>
      <c r="C99" s="45"/>
      <c r="D99" s="34"/>
      <c r="E99" s="34"/>
      <c r="G99" s="39"/>
      <c r="H99" s="40"/>
      <c r="I99" s="41"/>
      <c r="J99" s="41"/>
      <c r="L99" s="34">
        <v>92</v>
      </c>
      <c r="M99" s="35"/>
      <c r="N99" s="35"/>
      <c r="O99" s="34">
        <f>IFERROR(SUMIF(Table427[,],Table629[[#This Row],[Accounts Name]],Table427[,3]),"")</f>
        <v>0</v>
      </c>
      <c r="P99" s="34">
        <f>IFERROR(SUMIF(Table427[,],Table629[[#This Row],[Accounts Name]],Table427[,2]),"")</f>
        <v>0</v>
      </c>
      <c r="S99" s="36">
        <f t="shared" si="1"/>
        <v>92</v>
      </c>
      <c r="T99" s="34"/>
      <c r="U99" s="37"/>
      <c r="V99" s="34">
        <f>IFERROR(SUMIF(Table629[Sub-Accounts],Table830[[#This Row],[Update your chart of accounts here]],Table629[Debit]),"")</f>
        <v>0</v>
      </c>
      <c r="W99" s="34">
        <f>IFERROR(SUMIF(Table629[Sub-Accounts],Table830[[#This Row],[Update your chart of accounts here]],Table629[Credit]),"")</f>
        <v>0</v>
      </c>
      <c r="X99" s="34"/>
      <c r="Y99" s="34"/>
      <c r="Z99" s="34"/>
      <c r="AA99" s="34"/>
      <c r="AB99" s="34">
        <f>MAX(Table830[[#This Row],[Debit]]+Table830[[#This Row],[Debit -]]-Table830[[#This Row],[Credit]]-Table830[[#This Row],[Credit +]],0)</f>
        <v>0</v>
      </c>
      <c r="AC99" s="34">
        <f>MAX(Table830[[#This Row],[Credit]]-Table830[[#This Row],[Debit]]+Table830[[#This Row],[Credit +]]-Table830[[#This Row],[Debit -]],0)</f>
        <v>0</v>
      </c>
      <c r="AD99" s="34" t="str">
        <f>IFERROR(IF(AND(OR(Table830[[#This Row],[Classification]]="Expense",Table830[[#This Row],[Classification]]="Cost of Goods Sold"),Table830[[#This Row],[Debit\]]&gt;Table830[[#This Row],[Credit.]]),Table830[[#This Row],[Debit\]]-Table830[[#This Row],[Credit.]],""),"")</f>
        <v/>
      </c>
      <c r="AE99" s="34" t="str">
        <f>IFERROR(IF(AND(OR(Table830[[#This Row],[Classification]]="Income",Table830[[#This Row],[Classification]]="Cost of Goods Sold"),Table830[[#This Row],[Credit.]]&gt;Table830[[#This Row],[Debit\]]),Table830[[#This Row],[Credit.]]-Table830[[#This Row],[Debit\]],""),"")</f>
        <v/>
      </c>
      <c r="AF99" s="34"/>
      <c r="AG99" s="34" t="str">
        <f>IFERROR(IF(AND(Table830[[#This Row],[Classification]]="Assets",Table830[[#This Row],[Debit\]]-Table830[[#This Row],[Credit.]]),Table830[[#This Row],[Debit\]]-Table830[[#This Row],[Credit.]],""),"")</f>
        <v/>
      </c>
      <c r="AH99" s="34" t="str">
        <f>IFERROR(IF(AND(OR(Table830[[#This Row],[Classification]]="Liabilities",Table830[[#This Row],[Classification]]="Owner´s Equity"),Table830[[#This Row],[Credit.]]&gt;Table830[[#This Row],[Debit\]]),Table830[[#This Row],[Credit.]]-Table830[[#This Row],[Debit\]],""),"")</f>
        <v/>
      </c>
    </row>
    <row r="100" spans="2:34" hidden="1" x14ac:dyDescent="0.25">
      <c r="B100" s="34"/>
      <c r="C100" s="45"/>
      <c r="D100" s="34"/>
      <c r="E100" s="34"/>
      <c r="G100" s="39"/>
      <c r="H100" s="40"/>
      <c r="I100" s="41"/>
      <c r="J100" s="41"/>
      <c r="L100" s="34">
        <v>93</v>
      </c>
      <c r="M100" s="35"/>
      <c r="N100" s="35"/>
      <c r="O100" s="34">
        <f>IFERROR(SUMIF(Table427[,],Table629[[#This Row],[Accounts Name]],Table427[,3]),"")</f>
        <v>0</v>
      </c>
      <c r="P100" s="34">
        <f>IFERROR(SUMIF(Table427[,],Table629[[#This Row],[Accounts Name]],Table427[,2]),"")</f>
        <v>0</v>
      </c>
      <c r="S100" s="36">
        <f t="shared" si="1"/>
        <v>93</v>
      </c>
      <c r="T100" s="34"/>
      <c r="U100" s="37"/>
      <c r="V100" s="34">
        <f>IFERROR(SUMIF(Table629[Sub-Accounts],Table830[[#This Row],[Update your chart of accounts here]],Table629[Debit]),"")</f>
        <v>0</v>
      </c>
      <c r="W100" s="34">
        <f>IFERROR(SUMIF(Table629[Sub-Accounts],Table830[[#This Row],[Update your chart of accounts here]],Table629[Credit]),"")</f>
        <v>0</v>
      </c>
      <c r="X100" s="34"/>
      <c r="Y100" s="34"/>
      <c r="Z100" s="34"/>
      <c r="AA100" s="34"/>
      <c r="AB100" s="34">
        <f>MAX(Table830[[#This Row],[Debit]]+Table830[[#This Row],[Debit -]]-Table830[[#This Row],[Credit]]-Table830[[#This Row],[Credit +]],0)</f>
        <v>0</v>
      </c>
      <c r="AC100" s="34">
        <f>MAX(Table830[[#This Row],[Credit]]-Table830[[#This Row],[Debit]]+Table830[[#This Row],[Credit +]]-Table830[[#This Row],[Debit -]],0)</f>
        <v>0</v>
      </c>
      <c r="AD100" s="34" t="str">
        <f>IFERROR(IF(AND(OR(Table830[[#This Row],[Classification]]="Expense",Table830[[#This Row],[Classification]]="Cost of Goods Sold"),Table830[[#This Row],[Debit\]]&gt;Table830[[#This Row],[Credit.]]),Table830[[#This Row],[Debit\]]-Table830[[#This Row],[Credit.]],""),"")</f>
        <v/>
      </c>
      <c r="AE100" s="34" t="str">
        <f>IFERROR(IF(AND(OR(Table830[[#This Row],[Classification]]="Income",Table830[[#This Row],[Classification]]="Cost of Goods Sold"),Table830[[#This Row],[Credit.]]&gt;Table830[[#This Row],[Debit\]]),Table830[[#This Row],[Credit.]]-Table830[[#This Row],[Debit\]],""),"")</f>
        <v/>
      </c>
      <c r="AF100" s="34"/>
      <c r="AG100" s="34" t="str">
        <f>IFERROR(IF(AND(Table830[[#This Row],[Classification]]="Assets",Table830[[#This Row],[Debit\]]-Table830[[#This Row],[Credit.]]),Table830[[#This Row],[Debit\]]-Table830[[#This Row],[Credit.]],""),"")</f>
        <v/>
      </c>
      <c r="AH100" s="34" t="str">
        <f>IFERROR(IF(AND(OR(Table830[[#This Row],[Classification]]="Liabilities",Table830[[#This Row],[Classification]]="Owner´s Equity"),Table830[[#This Row],[Credit.]]&gt;Table830[[#This Row],[Debit\]]),Table830[[#This Row],[Credit.]]-Table830[[#This Row],[Debit\]],""),"")</f>
        <v/>
      </c>
    </row>
    <row r="101" spans="2:34" hidden="1" x14ac:dyDescent="0.25">
      <c r="B101" s="34"/>
      <c r="C101" s="45"/>
      <c r="D101" s="34"/>
      <c r="E101" s="34"/>
      <c r="G101" s="39"/>
      <c r="H101" s="43"/>
      <c r="I101" s="41"/>
      <c r="J101" s="41"/>
      <c r="L101" s="34">
        <v>94</v>
      </c>
      <c r="M101" s="35"/>
      <c r="N101" s="35"/>
      <c r="O101" s="34">
        <f>IFERROR(SUMIF(Table427[,],Table629[[#This Row],[Accounts Name]],Table427[,3]),"")</f>
        <v>0</v>
      </c>
      <c r="P101" s="34">
        <f>IFERROR(SUMIF(Table427[,],Table629[[#This Row],[Accounts Name]],Table427[,2]),"")</f>
        <v>0</v>
      </c>
      <c r="S101" s="36">
        <f t="shared" si="1"/>
        <v>94</v>
      </c>
      <c r="T101" s="34"/>
      <c r="U101" s="37"/>
      <c r="V101" s="34">
        <f>IFERROR(SUMIF(Table629[Sub-Accounts],Table830[[#This Row],[Update your chart of accounts here]],Table629[Debit]),"")</f>
        <v>0</v>
      </c>
      <c r="W101" s="34">
        <f>IFERROR(SUMIF(Table629[Sub-Accounts],Table830[[#This Row],[Update your chart of accounts here]],Table629[Credit]),"")</f>
        <v>0</v>
      </c>
      <c r="X101" s="34"/>
      <c r="Y101" s="34"/>
      <c r="Z101" s="34"/>
      <c r="AA101" s="34"/>
      <c r="AB101" s="34">
        <f>MAX(Table830[[#This Row],[Debit]]+Table830[[#This Row],[Debit -]]-Table830[[#This Row],[Credit]]-Table830[[#This Row],[Credit +]],0)</f>
        <v>0</v>
      </c>
      <c r="AC101" s="34">
        <f>MAX(Table830[[#This Row],[Credit]]-Table830[[#This Row],[Debit]]+Table830[[#This Row],[Credit +]]-Table830[[#This Row],[Debit -]],0)</f>
        <v>0</v>
      </c>
      <c r="AD101" s="34" t="str">
        <f>IFERROR(IF(AND(OR(Table830[[#This Row],[Classification]]="Expense",Table830[[#This Row],[Classification]]="Cost of Goods Sold"),Table830[[#This Row],[Debit\]]&gt;Table830[[#This Row],[Credit.]]),Table830[[#This Row],[Debit\]]-Table830[[#This Row],[Credit.]],""),"")</f>
        <v/>
      </c>
      <c r="AE101" s="34" t="str">
        <f>IFERROR(IF(AND(OR(Table830[[#This Row],[Classification]]="Income",Table830[[#This Row],[Classification]]="Cost of Goods Sold"),Table830[[#This Row],[Credit.]]&gt;Table830[[#This Row],[Debit\]]),Table830[[#This Row],[Credit.]]-Table830[[#This Row],[Debit\]],""),"")</f>
        <v/>
      </c>
      <c r="AF101" s="34"/>
      <c r="AG101" s="34" t="str">
        <f>IFERROR(IF(AND(Table830[[#This Row],[Classification]]="Assets",Table830[[#This Row],[Debit\]]-Table830[[#This Row],[Credit.]]),Table830[[#This Row],[Debit\]]-Table830[[#This Row],[Credit.]],""),"")</f>
        <v/>
      </c>
      <c r="AH101" s="34" t="str">
        <f>IFERROR(IF(AND(OR(Table830[[#This Row],[Classification]]="Liabilities",Table830[[#This Row],[Classification]]="Owner´s Equity"),Table830[[#This Row],[Credit.]]&gt;Table830[[#This Row],[Debit\]]),Table830[[#This Row],[Credit.]]-Table830[[#This Row],[Debit\]],""),"")</f>
        <v/>
      </c>
    </row>
    <row r="102" spans="2:34" hidden="1" x14ac:dyDescent="0.25">
      <c r="B102" s="34"/>
      <c r="C102" s="45"/>
      <c r="D102" s="34"/>
      <c r="E102" s="34"/>
      <c r="G102" s="39"/>
      <c r="H102" s="40"/>
      <c r="I102" s="41"/>
      <c r="J102" s="41"/>
      <c r="L102" s="34">
        <v>95</v>
      </c>
      <c r="M102" s="35"/>
      <c r="N102" s="35"/>
      <c r="O102" s="34">
        <f>IFERROR(SUMIF(Table427[,],Table629[[#This Row],[Accounts Name]],Table427[,3]),"")</f>
        <v>0</v>
      </c>
      <c r="P102" s="34">
        <f>IFERROR(SUMIF(Table427[,],Table629[[#This Row],[Accounts Name]],Table427[,2]),"")</f>
        <v>0</v>
      </c>
      <c r="S102" s="36">
        <f t="shared" si="1"/>
        <v>95</v>
      </c>
      <c r="T102" s="34"/>
      <c r="U102" s="37"/>
      <c r="V102" s="34">
        <f>IFERROR(SUMIF(Table629[Sub-Accounts],Table830[[#This Row],[Update your chart of accounts here]],Table629[Debit]),"")</f>
        <v>0</v>
      </c>
      <c r="W102" s="34">
        <f>IFERROR(SUMIF(Table629[Sub-Accounts],Table830[[#This Row],[Update your chart of accounts here]],Table629[Credit]),"")</f>
        <v>0</v>
      </c>
      <c r="X102" s="34"/>
      <c r="Y102" s="34"/>
      <c r="Z102" s="34"/>
      <c r="AA102" s="34"/>
      <c r="AB102" s="34">
        <f>MAX(Table830[[#This Row],[Debit]]+Table830[[#This Row],[Debit -]]-Table830[[#This Row],[Credit]]-Table830[[#This Row],[Credit +]],0)</f>
        <v>0</v>
      </c>
      <c r="AC102" s="34">
        <f>MAX(Table830[[#This Row],[Credit]]-Table830[[#This Row],[Debit]]+Table830[[#This Row],[Credit +]]-Table830[[#This Row],[Debit -]],0)</f>
        <v>0</v>
      </c>
      <c r="AD102" s="34" t="str">
        <f>IFERROR(IF(AND(OR(Table830[[#This Row],[Classification]]="Expense",Table830[[#This Row],[Classification]]="Cost of Goods Sold"),Table830[[#This Row],[Debit\]]&gt;Table830[[#This Row],[Credit.]]),Table830[[#This Row],[Debit\]]-Table830[[#This Row],[Credit.]],""),"")</f>
        <v/>
      </c>
      <c r="AE102" s="34" t="str">
        <f>IFERROR(IF(AND(OR(Table830[[#This Row],[Classification]]="Income",Table830[[#This Row],[Classification]]="Cost of Goods Sold"),Table830[[#This Row],[Credit.]]&gt;Table830[[#This Row],[Debit\]]),Table830[[#This Row],[Credit.]]-Table830[[#This Row],[Debit\]],""),"")</f>
        <v/>
      </c>
      <c r="AF102" s="34"/>
      <c r="AG102" s="34" t="str">
        <f>IFERROR(IF(AND(Table830[[#This Row],[Classification]]="Assets",Table830[[#This Row],[Debit\]]-Table830[[#This Row],[Credit.]]),Table830[[#This Row],[Debit\]]-Table830[[#This Row],[Credit.]],""),"")</f>
        <v/>
      </c>
      <c r="AH102" s="34" t="str">
        <f>IFERROR(IF(AND(OR(Table830[[#This Row],[Classification]]="Liabilities",Table830[[#This Row],[Classification]]="Owner´s Equity"),Table830[[#This Row],[Credit.]]&gt;Table830[[#This Row],[Debit\]]),Table830[[#This Row],[Credit.]]-Table830[[#This Row],[Debit\]],""),"")</f>
        <v/>
      </c>
    </row>
    <row r="103" spans="2:34" hidden="1" x14ac:dyDescent="0.25">
      <c r="B103" s="34"/>
      <c r="C103" s="45"/>
      <c r="D103" s="34"/>
      <c r="E103" s="34"/>
      <c r="G103" s="39"/>
      <c r="H103" s="40"/>
      <c r="I103" s="41"/>
      <c r="J103" s="41"/>
      <c r="L103" s="34">
        <v>96</v>
      </c>
      <c r="M103" s="35"/>
      <c r="N103" s="35"/>
      <c r="O103" s="34">
        <f>IFERROR(SUMIF(Table427[,],Table629[[#This Row],[Accounts Name]],Table427[,3]),"")</f>
        <v>0</v>
      </c>
      <c r="P103" s="34">
        <f>IFERROR(SUMIF(Table427[,],Table629[[#This Row],[Accounts Name]],Table427[,2]),"")</f>
        <v>0</v>
      </c>
      <c r="S103" s="36">
        <f t="shared" si="1"/>
        <v>96</v>
      </c>
      <c r="T103" s="34"/>
      <c r="U103" s="37"/>
      <c r="V103" s="34">
        <f>IFERROR(SUMIF(Table629[Sub-Accounts],Table830[[#This Row],[Update your chart of accounts here]],Table629[Debit]),"")</f>
        <v>0</v>
      </c>
      <c r="W103" s="34">
        <f>IFERROR(SUMIF(Table629[Sub-Accounts],Table830[[#This Row],[Update your chart of accounts here]],Table629[Credit]),"")</f>
        <v>0</v>
      </c>
      <c r="X103" s="34"/>
      <c r="Y103" s="34"/>
      <c r="Z103" s="34"/>
      <c r="AA103" s="34"/>
      <c r="AB103" s="34">
        <f>MAX(Table830[[#This Row],[Debit]]+Table830[[#This Row],[Debit -]]-Table830[[#This Row],[Credit]]-Table830[[#This Row],[Credit +]],0)</f>
        <v>0</v>
      </c>
      <c r="AC103" s="34">
        <f>MAX(Table830[[#This Row],[Credit]]-Table830[[#This Row],[Debit]]+Table830[[#This Row],[Credit +]]-Table830[[#This Row],[Debit -]],0)</f>
        <v>0</v>
      </c>
      <c r="AD103" s="34" t="str">
        <f>IFERROR(IF(AND(OR(Table830[[#This Row],[Classification]]="Expense",Table830[[#This Row],[Classification]]="Cost of Goods Sold"),Table830[[#This Row],[Debit\]]&gt;Table830[[#This Row],[Credit.]]),Table830[[#This Row],[Debit\]]-Table830[[#This Row],[Credit.]],""),"")</f>
        <v/>
      </c>
      <c r="AE103" s="34" t="str">
        <f>IFERROR(IF(AND(OR(Table830[[#This Row],[Classification]]="Income",Table830[[#This Row],[Classification]]="Cost of Goods Sold"),Table830[[#This Row],[Credit.]]&gt;Table830[[#This Row],[Debit\]]),Table830[[#This Row],[Credit.]]-Table830[[#This Row],[Debit\]],""),"")</f>
        <v/>
      </c>
      <c r="AF103" s="34"/>
      <c r="AG103" s="34" t="str">
        <f>IFERROR(IF(AND(Table830[[#This Row],[Classification]]="Assets",Table830[[#This Row],[Debit\]]-Table830[[#This Row],[Credit.]]),Table830[[#This Row],[Debit\]]-Table830[[#This Row],[Credit.]],""),"")</f>
        <v/>
      </c>
      <c r="AH103" s="34" t="str">
        <f>IFERROR(IF(AND(OR(Table830[[#This Row],[Classification]]="Liabilities",Table830[[#This Row],[Classification]]="Owner´s Equity"),Table830[[#This Row],[Credit.]]&gt;Table830[[#This Row],[Debit\]]),Table830[[#This Row],[Credit.]]-Table830[[#This Row],[Debit\]],""),"")</f>
        <v/>
      </c>
    </row>
    <row r="104" spans="2:34" hidden="1" x14ac:dyDescent="0.25">
      <c r="B104" s="34"/>
      <c r="C104" s="45"/>
      <c r="D104" s="34"/>
      <c r="E104" s="34"/>
      <c r="G104" s="39"/>
      <c r="H104" s="43"/>
      <c r="I104" s="41"/>
      <c r="J104" s="41"/>
      <c r="L104" s="34">
        <v>97</v>
      </c>
      <c r="M104" s="35"/>
      <c r="N104" s="35"/>
      <c r="O104" s="34">
        <f>IFERROR(SUMIF(Table427[,],Table629[[#This Row],[Accounts Name]],Table427[,3]),"")</f>
        <v>0</v>
      </c>
      <c r="P104" s="34">
        <f>IFERROR(SUMIF(Table427[,],Table629[[#This Row],[Accounts Name]],Table427[,2]),"")</f>
        <v>0</v>
      </c>
      <c r="S104" s="36">
        <f t="shared" si="1"/>
        <v>97</v>
      </c>
      <c r="T104" s="34"/>
      <c r="U104" s="37"/>
      <c r="V104" s="34">
        <f>IFERROR(SUMIF(Table629[Sub-Accounts],Table830[[#This Row],[Update your chart of accounts here]],Table629[Debit]),"")</f>
        <v>0</v>
      </c>
      <c r="W104" s="34">
        <f>IFERROR(SUMIF(Table629[Sub-Accounts],Table830[[#This Row],[Update your chart of accounts here]],Table629[Credit]),"")</f>
        <v>0</v>
      </c>
      <c r="X104" s="34"/>
      <c r="Y104" s="34"/>
      <c r="Z104" s="34"/>
      <c r="AA104" s="34"/>
      <c r="AB104" s="34">
        <f>MAX(Table830[[#This Row],[Debit]]+Table830[[#This Row],[Debit -]]-Table830[[#This Row],[Credit]]-Table830[[#This Row],[Credit +]],0)</f>
        <v>0</v>
      </c>
      <c r="AC104" s="34">
        <f>MAX(Table830[[#This Row],[Credit]]-Table830[[#This Row],[Debit]]+Table830[[#This Row],[Credit +]]-Table830[[#This Row],[Debit -]],0)</f>
        <v>0</v>
      </c>
      <c r="AD104" s="34" t="str">
        <f>IFERROR(IF(AND(OR(Table830[[#This Row],[Classification]]="Expense",Table830[[#This Row],[Classification]]="Cost of Goods Sold"),Table830[[#This Row],[Debit\]]&gt;Table830[[#This Row],[Credit.]]),Table830[[#This Row],[Debit\]]-Table830[[#This Row],[Credit.]],""),"")</f>
        <v/>
      </c>
      <c r="AE104" s="34" t="str">
        <f>IFERROR(IF(AND(OR(Table830[[#This Row],[Classification]]="Income",Table830[[#This Row],[Classification]]="Cost of Goods Sold"),Table830[[#This Row],[Credit.]]&gt;Table830[[#This Row],[Debit\]]),Table830[[#This Row],[Credit.]]-Table830[[#This Row],[Debit\]],""),"")</f>
        <v/>
      </c>
      <c r="AF104" s="34"/>
      <c r="AG104" s="34" t="str">
        <f>IFERROR(IF(AND(Table830[[#This Row],[Classification]]="Assets",Table830[[#This Row],[Debit\]]-Table830[[#This Row],[Credit.]]),Table830[[#This Row],[Debit\]]-Table830[[#This Row],[Credit.]],""),"")</f>
        <v/>
      </c>
      <c r="AH104" s="34" t="str">
        <f>IFERROR(IF(AND(OR(Table830[[#This Row],[Classification]]="Liabilities",Table830[[#This Row],[Classification]]="Owner´s Equity"),Table830[[#This Row],[Credit.]]&gt;Table830[[#This Row],[Debit\]]),Table830[[#This Row],[Credit.]]-Table830[[#This Row],[Debit\]],""),"")</f>
        <v/>
      </c>
    </row>
    <row r="105" spans="2:34" hidden="1" x14ac:dyDescent="0.25">
      <c r="B105" s="34"/>
      <c r="C105" s="45"/>
      <c r="D105" s="34"/>
      <c r="E105" s="34"/>
      <c r="G105" s="39"/>
      <c r="H105" s="40"/>
      <c r="I105" s="41"/>
      <c r="J105" s="41"/>
      <c r="L105" s="34">
        <v>98</v>
      </c>
      <c r="M105" s="35"/>
      <c r="N105" s="35"/>
      <c r="O105" s="34">
        <f>IFERROR(SUMIF(Table427[,],Table629[[#This Row],[Accounts Name]],Table427[,3]),"")</f>
        <v>0</v>
      </c>
      <c r="P105" s="34">
        <f>IFERROR(SUMIF(Table427[,],Table629[[#This Row],[Accounts Name]],Table427[,2]),"")</f>
        <v>0</v>
      </c>
      <c r="S105" s="36">
        <f t="shared" si="1"/>
        <v>98</v>
      </c>
      <c r="T105" s="34"/>
      <c r="U105" s="37"/>
      <c r="V105" s="34">
        <f>IFERROR(SUMIF(Table629[Sub-Accounts],Table830[[#This Row],[Update your chart of accounts here]],Table629[Debit]),"")</f>
        <v>0</v>
      </c>
      <c r="W105" s="34">
        <f>IFERROR(SUMIF(Table629[Sub-Accounts],Table830[[#This Row],[Update your chart of accounts here]],Table629[Credit]),"")</f>
        <v>0</v>
      </c>
      <c r="X105" s="34"/>
      <c r="Y105" s="34"/>
      <c r="Z105" s="34"/>
      <c r="AA105" s="34"/>
      <c r="AB105" s="34">
        <f>MAX(Table830[[#This Row],[Debit]]+Table830[[#This Row],[Debit -]]-Table830[[#This Row],[Credit]]-Table830[[#This Row],[Credit +]],0)</f>
        <v>0</v>
      </c>
      <c r="AC105" s="34">
        <f>MAX(Table830[[#This Row],[Credit]]-Table830[[#This Row],[Debit]]+Table830[[#This Row],[Credit +]]-Table830[[#This Row],[Debit -]],0)</f>
        <v>0</v>
      </c>
      <c r="AD105" s="34" t="str">
        <f>IFERROR(IF(AND(OR(Table830[[#This Row],[Classification]]="Expense",Table830[[#This Row],[Classification]]="Cost of Goods Sold"),Table830[[#This Row],[Debit\]]&gt;Table830[[#This Row],[Credit.]]),Table830[[#This Row],[Debit\]]-Table830[[#This Row],[Credit.]],""),"")</f>
        <v/>
      </c>
      <c r="AE105" s="34" t="str">
        <f>IFERROR(IF(AND(OR(Table830[[#This Row],[Classification]]="Income",Table830[[#This Row],[Classification]]="Cost of Goods Sold"),Table830[[#This Row],[Credit.]]&gt;Table830[[#This Row],[Debit\]]),Table830[[#This Row],[Credit.]]-Table830[[#This Row],[Debit\]],""),"")</f>
        <v/>
      </c>
      <c r="AF105" s="34"/>
      <c r="AG105" s="34" t="str">
        <f>IFERROR(IF(AND(Table830[[#This Row],[Classification]]="Assets",Table830[[#This Row],[Debit\]]-Table830[[#This Row],[Credit.]]),Table830[[#This Row],[Debit\]]-Table830[[#This Row],[Credit.]],""),"")</f>
        <v/>
      </c>
      <c r="AH105" s="34" t="str">
        <f>IFERROR(IF(AND(OR(Table830[[#This Row],[Classification]]="Liabilities",Table830[[#This Row],[Classification]]="Owner´s Equity"),Table830[[#This Row],[Credit.]]&gt;Table830[[#This Row],[Debit\]]),Table830[[#This Row],[Credit.]]-Table830[[#This Row],[Debit\]],""),"")</f>
        <v/>
      </c>
    </row>
    <row r="106" spans="2:34" hidden="1" x14ac:dyDescent="0.25">
      <c r="B106" s="34"/>
      <c r="C106" s="45"/>
      <c r="D106" s="34"/>
      <c r="E106" s="34"/>
      <c r="G106" s="39"/>
      <c r="H106" s="40"/>
      <c r="I106" s="41"/>
      <c r="J106" s="41"/>
      <c r="L106" s="34">
        <v>99</v>
      </c>
      <c r="M106" s="35"/>
      <c r="N106" s="35"/>
      <c r="O106" s="34">
        <f>IFERROR(SUMIF(Table427[,],Table629[[#This Row],[Accounts Name]],Table427[,3]),"")</f>
        <v>0</v>
      </c>
      <c r="P106" s="34">
        <f>IFERROR(SUMIF(Table427[,],Table629[[#This Row],[Accounts Name]],Table427[,2]),"")</f>
        <v>0</v>
      </c>
      <c r="S106" s="36">
        <f t="shared" si="1"/>
        <v>99</v>
      </c>
      <c r="T106" s="34"/>
      <c r="U106" s="37"/>
      <c r="V106" s="34">
        <f>IFERROR(SUMIF(Table629[Sub-Accounts],Table830[[#This Row],[Update your chart of accounts here]],Table629[Debit]),"")</f>
        <v>0</v>
      </c>
      <c r="W106" s="34">
        <f>IFERROR(SUMIF(Table629[Sub-Accounts],Table830[[#This Row],[Update your chart of accounts here]],Table629[Credit]),"")</f>
        <v>0</v>
      </c>
      <c r="X106" s="34"/>
      <c r="Y106" s="34"/>
      <c r="Z106" s="34"/>
      <c r="AA106" s="34"/>
      <c r="AB106" s="34">
        <f>MAX(Table830[[#This Row],[Debit]]+Table830[[#This Row],[Debit -]]-Table830[[#This Row],[Credit]]-Table830[[#This Row],[Credit +]],0)</f>
        <v>0</v>
      </c>
      <c r="AC106" s="34">
        <f>MAX(Table830[[#This Row],[Credit]]-Table830[[#This Row],[Debit]]+Table830[[#This Row],[Credit +]]-Table830[[#This Row],[Debit -]],0)</f>
        <v>0</v>
      </c>
      <c r="AD106" s="34" t="str">
        <f>IFERROR(IF(AND(OR(Table830[[#This Row],[Classification]]="Expense",Table830[[#This Row],[Classification]]="Cost of Goods Sold"),Table830[[#This Row],[Debit\]]&gt;Table830[[#This Row],[Credit.]]),Table830[[#This Row],[Debit\]]-Table830[[#This Row],[Credit.]],""),"")</f>
        <v/>
      </c>
      <c r="AE106" s="34" t="str">
        <f>IFERROR(IF(AND(OR(Table830[[#This Row],[Classification]]="Income",Table830[[#This Row],[Classification]]="Cost of Goods Sold"),Table830[[#This Row],[Credit.]]&gt;Table830[[#This Row],[Debit\]]),Table830[[#This Row],[Credit.]]-Table830[[#This Row],[Debit\]],""),"")</f>
        <v/>
      </c>
      <c r="AF106" s="34"/>
      <c r="AG106" s="34" t="str">
        <f>IFERROR(IF(AND(Table830[[#This Row],[Classification]]="Assets",Table830[[#This Row],[Debit\]]-Table830[[#This Row],[Credit.]]),Table830[[#This Row],[Debit\]]-Table830[[#This Row],[Credit.]],""),"")</f>
        <v/>
      </c>
      <c r="AH106" s="34" t="str">
        <f>IFERROR(IF(AND(OR(Table830[[#This Row],[Classification]]="Liabilities",Table830[[#This Row],[Classification]]="Owner´s Equity"),Table830[[#This Row],[Credit.]]&gt;Table830[[#This Row],[Debit\]]),Table830[[#This Row],[Credit.]]-Table830[[#This Row],[Debit\]],""),"")</f>
        <v/>
      </c>
    </row>
    <row r="107" spans="2:34" hidden="1" x14ac:dyDescent="0.25">
      <c r="B107" s="34"/>
      <c r="C107" s="45"/>
      <c r="D107" s="34"/>
      <c r="E107" s="34"/>
      <c r="G107" s="39"/>
      <c r="H107" s="43"/>
      <c r="I107" s="41"/>
      <c r="J107" s="41"/>
      <c r="L107" s="34">
        <v>100</v>
      </c>
      <c r="M107" s="35"/>
      <c r="N107" s="35"/>
      <c r="O107" s="34">
        <f>IFERROR(SUMIF(Table427[,],Table629[[#This Row],[Accounts Name]],Table427[,3]),"")</f>
        <v>0</v>
      </c>
      <c r="P107" s="34">
        <f>IFERROR(SUMIF(Table427[,],Table629[[#This Row],[Accounts Name]],Table427[,2]),"")</f>
        <v>0</v>
      </c>
      <c r="S107" s="36">
        <f t="shared" si="1"/>
        <v>100</v>
      </c>
      <c r="T107" s="34"/>
      <c r="U107" s="37"/>
      <c r="V107" s="34">
        <f>IFERROR(SUMIF(Table629[Sub-Accounts],Table830[[#This Row],[Update your chart of accounts here]],Table629[Debit]),"")</f>
        <v>0</v>
      </c>
      <c r="W107" s="34">
        <f>IFERROR(SUMIF(Table629[Sub-Accounts],Table830[[#This Row],[Update your chart of accounts here]],Table629[Credit]),"")</f>
        <v>0</v>
      </c>
      <c r="X107" s="34"/>
      <c r="Y107" s="34"/>
      <c r="Z107" s="34"/>
      <c r="AA107" s="34"/>
      <c r="AB107" s="34">
        <f>MAX(Table830[[#This Row],[Debit]]+Table830[[#This Row],[Debit -]]-Table830[[#This Row],[Credit]]-Table830[[#This Row],[Credit +]],0)</f>
        <v>0</v>
      </c>
      <c r="AC107" s="34">
        <f>MAX(Table830[[#This Row],[Credit]]-Table830[[#This Row],[Debit]]+Table830[[#This Row],[Credit +]]-Table830[[#This Row],[Debit -]],0)</f>
        <v>0</v>
      </c>
      <c r="AD107" s="34" t="str">
        <f>IFERROR(IF(AND(OR(Table830[[#This Row],[Classification]]="Expense",Table830[[#This Row],[Classification]]="Cost of Goods Sold"),Table830[[#This Row],[Debit\]]&gt;Table830[[#This Row],[Credit.]]),Table830[[#This Row],[Debit\]]-Table830[[#This Row],[Credit.]],""),"")</f>
        <v/>
      </c>
      <c r="AE107" s="34" t="str">
        <f>IFERROR(IF(AND(OR(Table830[[#This Row],[Classification]]="Income",Table830[[#This Row],[Classification]]="Cost of Goods Sold"),Table830[[#This Row],[Credit.]]&gt;Table830[[#This Row],[Debit\]]),Table830[[#This Row],[Credit.]]-Table830[[#This Row],[Debit\]],""),"")</f>
        <v/>
      </c>
      <c r="AF107" s="34"/>
      <c r="AG107" s="34" t="str">
        <f>IFERROR(IF(AND(Table830[[#This Row],[Classification]]="Assets",Table830[[#This Row],[Debit\]]-Table830[[#This Row],[Credit.]]),Table830[[#This Row],[Debit\]]-Table830[[#This Row],[Credit.]],""),"")</f>
        <v/>
      </c>
      <c r="AH107" s="34" t="str">
        <f>IFERROR(IF(AND(OR(Table830[[#This Row],[Classification]]="Liabilities",Table830[[#This Row],[Classification]]="Owner´s Equity"),Table830[[#This Row],[Credit.]]&gt;Table830[[#This Row],[Debit\]]),Table830[[#This Row],[Credit.]]-Table830[[#This Row],[Debit\]],""),"")</f>
        <v/>
      </c>
    </row>
    <row r="108" spans="2:34" hidden="1" x14ac:dyDescent="0.25">
      <c r="B108" s="34"/>
      <c r="C108" s="45"/>
      <c r="D108" s="34"/>
      <c r="E108" s="34"/>
      <c r="G108" s="39"/>
      <c r="H108" s="40"/>
      <c r="I108" s="41"/>
      <c r="J108" s="41"/>
      <c r="L108" s="34">
        <v>101</v>
      </c>
      <c r="M108" s="35"/>
      <c r="N108" s="35"/>
      <c r="O108" s="34">
        <f>IFERROR(SUMIF(Table427[,],Table629[[#This Row],[Accounts Name]],Table427[,3]),"")</f>
        <v>0</v>
      </c>
      <c r="P108" s="34">
        <f>IFERROR(SUMIF(Table427[,],Table629[[#This Row],[Accounts Name]],Table427[,2]),"")</f>
        <v>0</v>
      </c>
      <c r="S108" s="36">
        <f t="shared" si="1"/>
        <v>101</v>
      </c>
      <c r="T108" s="34"/>
      <c r="U108" s="37"/>
      <c r="V108" s="34">
        <f>IFERROR(SUMIF(Table629[Sub-Accounts],Table830[[#This Row],[Update your chart of accounts here]],Table629[Debit]),"")</f>
        <v>0</v>
      </c>
      <c r="W108" s="34">
        <f>IFERROR(SUMIF(Table629[Sub-Accounts],Table830[[#This Row],[Update your chart of accounts here]],Table629[Credit]),"")</f>
        <v>0</v>
      </c>
      <c r="X108" s="34"/>
      <c r="Y108" s="34"/>
      <c r="Z108" s="34"/>
      <c r="AA108" s="34"/>
      <c r="AB108" s="34">
        <f>MAX(Table830[[#This Row],[Debit]]+Table830[[#This Row],[Debit -]]-Table830[[#This Row],[Credit]]-Table830[[#This Row],[Credit +]],0)</f>
        <v>0</v>
      </c>
      <c r="AC108" s="34">
        <f>MAX(Table830[[#This Row],[Credit]]-Table830[[#This Row],[Debit]]+Table830[[#This Row],[Credit +]]-Table830[[#This Row],[Debit -]],0)</f>
        <v>0</v>
      </c>
      <c r="AD108" s="34" t="str">
        <f>IFERROR(IF(AND(OR(Table830[[#This Row],[Classification]]="Expense",Table830[[#This Row],[Classification]]="Cost of Goods Sold"),Table830[[#This Row],[Debit\]]&gt;Table830[[#This Row],[Credit.]]),Table830[[#This Row],[Debit\]]-Table830[[#This Row],[Credit.]],""),"")</f>
        <v/>
      </c>
      <c r="AE108" s="34" t="str">
        <f>IFERROR(IF(AND(OR(Table830[[#This Row],[Classification]]="Income",Table830[[#This Row],[Classification]]="Cost of Goods Sold"),Table830[[#This Row],[Credit.]]&gt;Table830[[#This Row],[Debit\]]),Table830[[#This Row],[Credit.]]-Table830[[#This Row],[Debit\]],""),"")</f>
        <v/>
      </c>
      <c r="AF108" s="34"/>
      <c r="AG108" s="34" t="str">
        <f>IFERROR(IF(AND(Table830[[#This Row],[Classification]]="Assets",Table830[[#This Row],[Debit\]]-Table830[[#This Row],[Credit.]]),Table830[[#This Row],[Debit\]]-Table830[[#This Row],[Credit.]],""),"")</f>
        <v/>
      </c>
      <c r="AH108" s="34" t="str">
        <f>IFERROR(IF(AND(OR(Table830[[#This Row],[Classification]]="Liabilities",Table830[[#This Row],[Classification]]="Owner´s Equity"),Table830[[#This Row],[Credit.]]&gt;Table830[[#This Row],[Debit\]]),Table830[[#This Row],[Credit.]]-Table830[[#This Row],[Debit\]],""),"")</f>
        <v/>
      </c>
    </row>
    <row r="109" spans="2:34" hidden="1" x14ac:dyDescent="0.25">
      <c r="B109" s="34"/>
      <c r="C109" s="45"/>
      <c r="D109" s="34"/>
      <c r="E109" s="34"/>
      <c r="G109" s="39"/>
      <c r="H109" s="40"/>
      <c r="I109" s="41"/>
      <c r="J109" s="41"/>
      <c r="L109" s="34">
        <v>102</v>
      </c>
      <c r="M109" s="35"/>
      <c r="N109" s="35"/>
      <c r="O109" s="34">
        <f>IFERROR(SUMIF(Table427[,],Table629[[#This Row],[Accounts Name]],Table427[,3]),"")</f>
        <v>0</v>
      </c>
      <c r="P109" s="34">
        <f>IFERROR(SUMIF(Table427[,],Table629[[#This Row],[Accounts Name]],Table427[,2]),"")</f>
        <v>0</v>
      </c>
      <c r="S109" s="36">
        <f t="shared" si="1"/>
        <v>102</v>
      </c>
      <c r="T109" s="34"/>
      <c r="U109" s="37"/>
      <c r="V109" s="34">
        <f>IFERROR(SUMIF(Table629[Sub-Accounts],Table830[[#This Row],[Update your chart of accounts here]],Table629[Debit]),"")</f>
        <v>0</v>
      </c>
      <c r="W109" s="34">
        <f>IFERROR(SUMIF(Table629[Sub-Accounts],Table830[[#This Row],[Update your chart of accounts here]],Table629[Credit]),"")</f>
        <v>0</v>
      </c>
      <c r="X109" s="34"/>
      <c r="Y109" s="34"/>
      <c r="Z109" s="34"/>
      <c r="AA109" s="34"/>
      <c r="AB109" s="34">
        <f>MAX(Table830[[#This Row],[Debit]]+Table830[[#This Row],[Debit -]]-Table830[[#This Row],[Credit]]-Table830[[#This Row],[Credit +]],0)</f>
        <v>0</v>
      </c>
      <c r="AC109" s="34">
        <f>MAX(Table830[[#This Row],[Credit]]-Table830[[#This Row],[Debit]]+Table830[[#This Row],[Credit +]]-Table830[[#This Row],[Debit -]],0)</f>
        <v>0</v>
      </c>
      <c r="AD109" s="34" t="str">
        <f>IFERROR(IF(AND(OR(Table830[[#This Row],[Classification]]="Expense",Table830[[#This Row],[Classification]]="Cost of Goods Sold"),Table830[[#This Row],[Debit\]]&gt;Table830[[#This Row],[Credit.]]),Table830[[#This Row],[Debit\]]-Table830[[#This Row],[Credit.]],""),"")</f>
        <v/>
      </c>
      <c r="AE109" s="34" t="str">
        <f>IFERROR(IF(AND(OR(Table830[[#This Row],[Classification]]="Income",Table830[[#This Row],[Classification]]="Cost of Goods Sold"),Table830[[#This Row],[Credit.]]&gt;Table830[[#This Row],[Debit\]]),Table830[[#This Row],[Credit.]]-Table830[[#This Row],[Debit\]],""),"")</f>
        <v/>
      </c>
      <c r="AF109" s="34"/>
      <c r="AG109" s="34" t="str">
        <f>IFERROR(IF(AND(Table830[[#This Row],[Classification]]="Assets",Table830[[#This Row],[Debit\]]-Table830[[#This Row],[Credit.]]),Table830[[#This Row],[Debit\]]-Table830[[#This Row],[Credit.]],""),"")</f>
        <v/>
      </c>
      <c r="AH109" s="34" t="str">
        <f>IFERROR(IF(AND(OR(Table830[[#This Row],[Classification]]="Liabilities",Table830[[#This Row],[Classification]]="Owner´s Equity"),Table830[[#This Row],[Credit.]]&gt;Table830[[#This Row],[Debit\]]),Table830[[#This Row],[Credit.]]-Table830[[#This Row],[Debit\]],""),"")</f>
        <v/>
      </c>
    </row>
    <row r="110" spans="2:34" hidden="1" x14ac:dyDescent="0.25">
      <c r="B110" s="34"/>
      <c r="C110" s="45"/>
      <c r="D110" s="34"/>
      <c r="E110" s="34"/>
      <c r="G110" s="39"/>
      <c r="H110" s="43"/>
      <c r="I110" s="41"/>
      <c r="J110" s="41"/>
      <c r="L110" s="34">
        <v>103</v>
      </c>
      <c r="M110" s="35"/>
      <c r="N110" s="35"/>
      <c r="O110" s="34">
        <f>IFERROR(SUMIF(Table427[,],Table629[[#This Row],[Accounts Name]],Table427[,3]),"")</f>
        <v>0</v>
      </c>
      <c r="P110" s="34">
        <f>IFERROR(SUMIF(Table427[,],Table629[[#This Row],[Accounts Name]],Table427[,2]),"")</f>
        <v>0</v>
      </c>
      <c r="S110" s="36">
        <f t="shared" si="1"/>
        <v>103</v>
      </c>
      <c r="T110" s="34"/>
      <c r="U110" s="37"/>
      <c r="V110" s="34">
        <f>IFERROR(SUMIF(Table629[Sub-Accounts],Table830[[#This Row],[Update your chart of accounts here]],Table629[Debit]),"")</f>
        <v>0</v>
      </c>
      <c r="W110" s="34">
        <f>IFERROR(SUMIF(Table629[Sub-Accounts],Table830[[#This Row],[Update your chart of accounts here]],Table629[Credit]),"")</f>
        <v>0</v>
      </c>
      <c r="X110" s="34"/>
      <c r="Y110" s="34"/>
      <c r="Z110" s="34"/>
      <c r="AA110" s="34"/>
      <c r="AB110" s="34">
        <f>MAX(Table830[[#This Row],[Debit]]+Table830[[#This Row],[Debit -]]-Table830[[#This Row],[Credit]]-Table830[[#This Row],[Credit +]],0)</f>
        <v>0</v>
      </c>
      <c r="AC110" s="34">
        <f>MAX(Table830[[#This Row],[Credit]]-Table830[[#This Row],[Debit]]+Table830[[#This Row],[Credit +]]-Table830[[#This Row],[Debit -]],0)</f>
        <v>0</v>
      </c>
      <c r="AD110" s="34" t="str">
        <f>IFERROR(IF(AND(OR(Table830[[#This Row],[Classification]]="Expense",Table830[[#This Row],[Classification]]="Cost of Goods Sold"),Table830[[#This Row],[Debit\]]&gt;Table830[[#This Row],[Credit.]]),Table830[[#This Row],[Debit\]]-Table830[[#This Row],[Credit.]],""),"")</f>
        <v/>
      </c>
      <c r="AE110" s="34" t="str">
        <f>IFERROR(IF(AND(OR(Table830[[#This Row],[Classification]]="Income",Table830[[#This Row],[Classification]]="Cost of Goods Sold"),Table830[[#This Row],[Credit.]]&gt;Table830[[#This Row],[Debit\]]),Table830[[#This Row],[Credit.]]-Table830[[#This Row],[Debit\]],""),"")</f>
        <v/>
      </c>
      <c r="AF110" s="34"/>
      <c r="AG110" s="34" t="str">
        <f>IFERROR(IF(AND(Table830[[#This Row],[Classification]]="Assets",Table830[[#This Row],[Debit\]]-Table830[[#This Row],[Credit.]]),Table830[[#This Row],[Debit\]]-Table830[[#This Row],[Credit.]],""),"")</f>
        <v/>
      </c>
      <c r="AH110" s="34" t="str">
        <f>IFERROR(IF(AND(OR(Table830[[#This Row],[Classification]]="Liabilities",Table830[[#This Row],[Classification]]="Owner´s Equity"),Table830[[#This Row],[Credit.]]&gt;Table830[[#This Row],[Debit\]]),Table830[[#This Row],[Credit.]]-Table830[[#This Row],[Debit\]],""),"")</f>
        <v/>
      </c>
    </row>
    <row r="111" spans="2:34" hidden="1" x14ac:dyDescent="0.25">
      <c r="B111" s="34"/>
      <c r="C111" s="45"/>
      <c r="D111" s="34"/>
      <c r="E111" s="34"/>
      <c r="G111" s="39"/>
      <c r="H111" s="40"/>
      <c r="I111" s="41"/>
      <c r="J111" s="41"/>
      <c r="L111" s="34">
        <v>104</v>
      </c>
      <c r="M111" s="35"/>
      <c r="N111" s="35"/>
      <c r="O111" s="34">
        <f>IFERROR(SUMIF(Table427[,],Table629[[#This Row],[Accounts Name]],Table427[,3]),"")</f>
        <v>0</v>
      </c>
      <c r="P111" s="34">
        <f>IFERROR(SUMIF(Table427[,],Table629[[#This Row],[Accounts Name]],Table427[,2]),"")</f>
        <v>0</v>
      </c>
      <c r="S111" s="36">
        <f t="shared" si="1"/>
        <v>104</v>
      </c>
      <c r="T111" s="34"/>
      <c r="U111" s="37"/>
      <c r="V111" s="34">
        <f>IFERROR(SUMIF(Table629[Sub-Accounts],Table830[[#This Row],[Update your chart of accounts here]],Table629[Debit]),"")</f>
        <v>0</v>
      </c>
      <c r="W111" s="34">
        <f>IFERROR(SUMIF(Table629[Sub-Accounts],Table830[[#This Row],[Update your chart of accounts here]],Table629[Credit]),"")</f>
        <v>0</v>
      </c>
      <c r="X111" s="34"/>
      <c r="Y111" s="34"/>
      <c r="Z111" s="34"/>
      <c r="AA111" s="34"/>
      <c r="AB111" s="34">
        <f>MAX(Table830[[#This Row],[Debit]]+Table830[[#This Row],[Debit -]]-Table830[[#This Row],[Credit]]-Table830[[#This Row],[Credit +]],0)</f>
        <v>0</v>
      </c>
      <c r="AC111" s="34">
        <f>MAX(Table830[[#This Row],[Credit]]-Table830[[#This Row],[Debit]]+Table830[[#This Row],[Credit +]]-Table830[[#This Row],[Debit -]],0)</f>
        <v>0</v>
      </c>
      <c r="AD111" s="34" t="str">
        <f>IFERROR(IF(AND(OR(Table830[[#This Row],[Classification]]="Expense",Table830[[#This Row],[Classification]]="Cost of Goods Sold"),Table830[[#This Row],[Debit\]]&gt;Table830[[#This Row],[Credit.]]),Table830[[#This Row],[Debit\]]-Table830[[#This Row],[Credit.]],""),"")</f>
        <v/>
      </c>
      <c r="AE111" s="34" t="str">
        <f>IFERROR(IF(AND(OR(Table830[[#This Row],[Classification]]="Income",Table830[[#This Row],[Classification]]="Cost of Goods Sold"),Table830[[#This Row],[Credit.]]&gt;Table830[[#This Row],[Debit\]]),Table830[[#This Row],[Credit.]]-Table830[[#This Row],[Debit\]],""),"")</f>
        <v/>
      </c>
      <c r="AF111" s="34"/>
      <c r="AG111" s="34" t="str">
        <f>IFERROR(IF(AND(Table830[[#This Row],[Classification]]="Assets",Table830[[#This Row],[Debit\]]-Table830[[#This Row],[Credit.]]),Table830[[#This Row],[Debit\]]-Table830[[#This Row],[Credit.]],""),"")</f>
        <v/>
      </c>
      <c r="AH111" s="34" t="str">
        <f>IFERROR(IF(AND(OR(Table830[[#This Row],[Classification]]="Liabilities",Table830[[#This Row],[Classification]]="Owner´s Equity"),Table830[[#This Row],[Credit.]]&gt;Table830[[#This Row],[Debit\]]),Table830[[#This Row],[Credit.]]-Table830[[#This Row],[Debit\]],""),"")</f>
        <v/>
      </c>
    </row>
    <row r="112" spans="2:34" hidden="1" x14ac:dyDescent="0.25">
      <c r="B112" s="34"/>
      <c r="C112" s="45"/>
      <c r="D112" s="34"/>
      <c r="E112" s="34"/>
      <c r="G112" s="39"/>
      <c r="H112" s="40"/>
      <c r="I112" s="41"/>
      <c r="J112" s="41"/>
      <c r="L112" s="34">
        <v>105</v>
      </c>
      <c r="M112" s="35"/>
      <c r="N112" s="35"/>
      <c r="O112" s="34">
        <f>IFERROR(SUMIF(Table427[,],Table629[[#This Row],[Accounts Name]],Table427[,3]),"")</f>
        <v>0</v>
      </c>
      <c r="P112" s="34">
        <f>IFERROR(SUMIF(Table427[,],Table629[[#This Row],[Accounts Name]],Table427[,2]),"")</f>
        <v>0</v>
      </c>
      <c r="S112" s="36">
        <f t="shared" si="1"/>
        <v>105</v>
      </c>
      <c r="T112" s="34"/>
      <c r="U112" s="37"/>
      <c r="V112" s="34">
        <f>IFERROR(SUMIF(Table629[Sub-Accounts],Table830[[#This Row],[Update your chart of accounts here]],Table629[Debit]),"")</f>
        <v>0</v>
      </c>
      <c r="W112" s="34">
        <f>IFERROR(SUMIF(Table629[Sub-Accounts],Table830[[#This Row],[Update your chart of accounts here]],Table629[Credit]),"")</f>
        <v>0</v>
      </c>
      <c r="X112" s="34"/>
      <c r="Y112" s="34"/>
      <c r="Z112" s="34"/>
      <c r="AA112" s="34"/>
      <c r="AB112" s="34">
        <f>MAX(Table830[[#This Row],[Debit]]+Table830[[#This Row],[Debit -]]-Table830[[#This Row],[Credit]]-Table830[[#This Row],[Credit +]],0)</f>
        <v>0</v>
      </c>
      <c r="AC112" s="34">
        <f>MAX(Table830[[#This Row],[Credit]]-Table830[[#This Row],[Debit]]+Table830[[#This Row],[Credit +]]-Table830[[#This Row],[Debit -]],0)</f>
        <v>0</v>
      </c>
      <c r="AD112" s="34" t="str">
        <f>IFERROR(IF(AND(OR(Table830[[#This Row],[Classification]]="Expense",Table830[[#This Row],[Classification]]="Cost of Goods Sold"),Table830[[#This Row],[Debit\]]&gt;Table830[[#This Row],[Credit.]]),Table830[[#This Row],[Debit\]]-Table830[[#This Row],[Credit.]],""),"")</f>
        <v/>
      </c>
      <c r="AE112" s="34" t="str">
        <f>IFERROR(IF(AND(OR(Table830[[#This Row],[Classification]]="Income",Table830[[#This Row],[Classification]]="Cost of Goods Sold"),Table830[[#This Row],[Credit.]]&gt;Table830[[#This Row],[Debit\]]),Table830[[#This Row],[Credit.]]-Table830[[#This Row],[Debit\]],""),"")</f>
        <v/>
      </c>
      <c r="AF112" s="34"/>
      <c r="AG112" s="34" t="str">
        <f>IFERROR(IF(AND(Table830[[#This Row],[Classification]]="Assets",Table830[[#This Row],[Debit\]]-Table830[[#This Row],[Credit.]]),Table830[[#This Row],[Debit\]]-Table830[[#This Row],[Credit.]],""),"")</f>
        <v/>
      </c>
      <c r="AH112" s="34" t="str">
        <f>IFERROR(IF(AND(OR(Table830[[#This Row],[Classification]]="Liabilities",Table830[[#This Row],[Classification]]="Owner´s Equity"),Table830[[#This Row],[Credit.]]&gt;Table830[[#This Row],[Debit\]]),Table830[[#This Row],[Credit.]]-Table830[[#This Row],[Debit\]],""),"")</f>
        <v/>
      </c>
    </row>
    <row r="113" spans="2:34" hidden="1" x14ac:dyDescent="0.25">
      <c r="B113" s="34"/>
      <c r="C113" s="45"/>
      <c r="D113" s="34"/>
      <c r="E113" s="34"/>
      <c r="G113" s="39"/>
      <c r="H113" s="43"/>
      <c r="I113" s="41"/>
      <c r="J113" s="41"/>
      <c r="L113" s="34">
        <v>106</v>
      </c>
      <c r="M113" s="35"/>
      <c r="N113" s="35"/>
      <c r="O113" s="34">
        <f>IFERROR(SUMIF(Table427[,],Table629[[#This Row],[Accounts Name]],Table427[,3]),"")</f>
        <v>0</v>
      </c>
      <c r="P113" s="34">
        <f>IFERROR(SUMIF(Table427[,],Table629[[#This Row],[Accounts Name]],Table427[,2]),"")</f>
        <v>0</v>
      </c>
      <c r="S113" s="36">
        <f t="shared" si="1"/>
        <v>106</v>
      </c>
      <c r="T113" s="34"/>
      <c r="U113" s="37"/>
      <c r="V113" s="34">
        <f>IFERROR(SUMIF(Table629[Sub-Accounts],Table830[[#This Row],[Update your chart of accounts here]],Table629[Debit]),"")</f>
        <v>0</v>
      </c>
      <c r="W113" s="34">
        <f>IFERROR(SUMIF(Table629[Sub-Accounts],Table830[[#This Row],[Update your chart of accounts here]],Table629[Credit]),"")</f>
        <v>0</v>
      </c>
      <c r="X113" s="34"/>
      <c r="Y113" s="34"/>
      <c r="Z113" s="34"/>
      <c r="AA113" s="34"/>
      <c r="AB113" s="34">
        <f>MAX(Table830[[#This Row],[Debit]]+Table830[[#This Row],[Debit -]]-Table830[[#This Row],[Credit]]-Table830[[#This Row],[Credit +]],0)</f>
        <v>0</v>
      </c>
      <c r="AC113" s="34">
        <f>MAX(Table830[[#This Row],[Credit]]-Table830[[#This Row],[Debit]]+Table830[[#This Row],[Credit +]]-Table830[[#This Row],[Debit -]],0)</f>
        <v>0</v>
      </c>
      <c r="AD113" s="34" t="str">
        <f>IFERROR(IF(AND(OR(Table830[[#This Row],[Classification]]="Expense",Table830[[#This Row],[Classification]]="Cost of Goods Sold"),Table830[[#This Row],[Debit\]]&gt;Table830[[#This Row],[Credit.]]),Table830[[#This Row],[Debit\]]-Table830[[#This Row],[Credit.]],""),"")</f>
        <v/>
      </c>
      <c r="AE113" s="34" t="str">
        <f>IFERROR(IF(AND(OR(Table830[[#This Row],[Classification]]="Income",Table830[[#This Row],[Classification]]="Cost of Goods Sold"),Table830[[#This Row],[Credit.]]&gt;Table830[[#This Row],[Debit\]]),Table830[[#This Row],[Credit.]]-Table830[[#This Row],[Debit\]],""),"")</f>
        <v/>
      </c>
      <c r="AF113" s="34"/>
      <c r="AG113" s="34" t="str">
        <f>IFERROR(IF(AND(Table830[[#This Row],[Classification]]="Assets",Table830[[#This Row],[Debit\]]-Table830[[#This Row],[Credit.]]),Table830[[#This Row],[Debit\]]-Table830[[#This Row],[Credit.]],""),"")</f>
        <v/>
      </c>
      <c r="AH113" s="34" t="str">
        <f>IFERROR(IF(AND(OR(Table830[[#This Row],[Classification]]="Liabilities",Table830[[#This Row],[Classification]]="Owner´s Equity"),Table830[[#This Row],[Credit.]]&gt;Table830[[#This Row],[Debit\]]),Table830[[#This Row],[Credit.]]-Table830[[#This Row],[Debit\]],""),"")</f>
        <v/>
      </c>
    </row>
    <row r="114" spans="2:34" hidden="1" x14ac:dyDescent="0.25">
      <c r="B114" s="34"/>
      <c r="C114" s="45"/>
      <c r="D114" s="34"/>
      <c r="E114" s="34"/>
      <c r="G114" s="39"/>
      <c r="H114" s="40"/>
      <c r="I114" s="41"/>
      <c r="J114" s="41"/>
      <c r="L114" s="34">
        <v>107</v>
      </c>
      <c r="M114" s="35"/>
      <c r="N114" s="35"/>
      <c r="O114" s="34">
        <f>IFERROR(SUMIF(Table427[,],Table629[[#This Row],[Accounts Name]],Table427[,3]),"")</f>
        <v>0</v>
      </c>
      <c r="P114" s="34">
        <f>IFERROR(SUMIF(Table427[,],Table629[[#This Row],[Accounts Name]],Table427[,2]),"")</f>
        <v>0</v>
      </c>
      <c r="S114" s="36">
        <f t="shared" si="1"/>
        <v>107</v>
      </c>
      <c r="T114" s="34"/>
      <c r="U114" s="37"/>
      <c r="V114" s="34">
        <f>IFERROR(SUMIF(Table629[Sub-Accounts],Table830[[#This Row],[Update your chart of accounts here]],Table629[Debit]),"")</f>
        <v>0</v>
      </c>
      <c r="W114" s="34">
        <f>IFERROR(SUMIF(Table629[Sub-Accounts],Table830[[#This Row],[Update your chart of accounts here]],Table629[Credit]),"")</f>
        <v>0</v>
      </c>
      <c r="X114" s="34"/>
      <c r="Y114" s="34"/>
      <c r="Z114" s="34"/>
      <c r="AA114" s="34"/>
      <c r="AB114" s="34">
        <f>MAX(Table830[[#This Row],[Debit]]+Table830[[#This Row],[Debit -]]-Table830[[#This Row],[Credit]]-Table830[[#This Row],[Credit +]],0)</f>
        <v>0</v>
      </c>
      <c r="AC114" s="34">
        <f>MAX(Table830[[#This Row],[Credit]]-Table830[[#This Row],[Debit]]+Table830[[#This Row],[Credit +]]-Table830[[#This Row],[Debit -]],0)</f>
        <v>0</v>
      </c>
      <c r="AD114" s="34" t="str">
        <f>IFERROR(IF(AND(OR(Table830[[#This Row],[Classification]]="Expense",Table830[[#This Row],[Classification]]="Cost of Goods Sold"),Table830[[#This Row],[Debit\]]&gt;Table830[[#This Row],[Credit.]]),Table830[[#This Row],[Debit\]]-Table830[[#This Row],[Credit.]],""),"")</f>
        <v/>
      </c>
      <c r="AE114" s="34" t="str">
        <f>IFERROR(IF(AND(OR(Table830[[#This Row],[Classification]]="Income",Table830[[#This Row],[Classification]]="Cost of Goods Sold"),Table830[[#This Row],[Credit.]]&gt;Table830[[#This Row],[Debit\]]),Table830[[#This Row],[Credit.]]-Table830[[#This Row],[Debit\]],""),"")</f>
        <v/>
      </c>
      <c r="AF114" s="34"/>
      <c r="AG114" s="34" t="str">
        <f>IFERROR(IF(AND(Table830[[#This Row],[Classification]]="Assets",Table830[[#This Row],[Debit\]]-Table830[[#This Row],[Credit.]]),Table830[[#This Row],[Debit\]]-Table830[[#This Row],[Credit.]],""),"")</f>
        <v/>
      </c>
      <c r="AH114" s="34" t="str">
        <f>IFERROR(IF(AND(OR(Table830[[#This Row],[Classification]]="Liabilities",Table830[[#This Row],[Classification]]="Owner´s Equity"),Table830[[#This Row],[Credit.]]&gt;Table830[[#This Row],[Debit\]]),Table830[[#This Row],[Credit.]]-Table830[[#This Row],[Debit\]],""),"")</f>
        <v/>
      </c>
    </row>
    <row r="115" spans="2:34" hidden="1" x14ac:dyDescent="0.25">
      <c r="B115" s="34"/>
      <c r="C115" s="45"/>
      <c r="D115" s="34"/>
      <c r="E115" s="34"/>
      <c r="G115" s="39"/>
      <c r="H115" s="40"/>
      <c r="I115" s="41"/>
      <c r="J115" s="41"/>
      <c r="L115" s="34">
        <v>108</v>
      </c>
      <c r="M115" s="35"/>
      <c r="N115" s="35"/>
      <c r="O115" s="34">
        <f>IFERROR(SUMIF(Table427[,],Table629[[#This Row],[Accounts Name]],Table427[,3]),"")</f>
        <v>0</v>
      </c>
      <c r="P115" s="34">
        <f>IFERROR(SUMIF(Table427[,],Table629[[#This Row],[Accounts Name]],Table427[,2]),"")</f>
        <v>0</v>
      </c>
      <c r="S115" s="36">
        <f t="shared" si="1"/>
        <v>108</v>
      </c>
      <c r="T115" s="34"/>
      <c r="U115" s="37"/>
      <c r="V115" s="34">
        <f>IFERROR(SUMIF(Table629[Sub-Accounts],Table830[[#This Row],[Update your chart of accounts here]],Table629[Debit]),"")</f>
        <v>0</v>
      </c>
      <c r="W115" s="34">
        <f>IFERROR(SUMIF(Table629[Sub-Accounts],Table830[[#This Row],[Update your chart of accounts here]],Table629[Credit]),"")</f>
        <v>0</v>
      </c>
      <c r="X115" s="34"/>
      <c r="Y115" s="34"/>
      <c r="Z115" s="34"/>
      <c r="AA115" s="34"/>
      <c r="AB115" s="34">
        <f>MAX(Table830[[#This Row],[Debit]]+Table830[[#This Row],[Debit -]]-Table830[[#This Row],[Credit]]-Table830[[#This Row],[Credit +]],0)</f>
        <v>0</v>
      </c>
      <c r="AC115" s="34">
        <f>MAX(Table830[[#This Row],[Credit]]-Table830[[#This Row],[Debit]]+Table830[[#This Row],[Credit +]]-Table830[[#This Row],[Debit -]],0)</f>
        <v>0</v>
      </c>
      <c r="AD115" s="34" t="str">
        <f>IFERROR(IF(AND(OR(Table830[[#This Row],[Classification]]="Expense",Table830[[#This Row],[Classification]]="Cost of Goods Sold"),Table830[[#This Row],[Debit\]]&gt;Table830[[#This Row],[Credit.]]),Table830[[#This Row],[Debit\]]-Table830[[#This Row],[Credit.]],""),"")</f>
        <v/>
      </c>
      <c r="AE115" s="34" t="str">
        <f>IFERROR(IF(AND(OR(Table830[[#This Row],[Classification]]="Income",Table830[[#This Row],[Classification]]="Cost of Goods Sold"),Table830[[#This Row],[Credit.]]&gt;Table830[[#This Row],[Debit\]]),Table830[[#This Row],[Credit.]]-Table830[[#This Row],[Debit\]],""),"")</f>
        <v/>
      </c>
      <c r="AF115" s="34"/>
      <c r="AG115" s="34" t="str">
        <f>IFERROR(IF(AND(Table830[[#This Row],[Classification]]="Assets",Table830[[#This Row],[Debit\]]-Table830[[#This Row],[Credit.]]),Table830[[#This Row],[Debit\]]-Table830[[#This Row],[Credit.]],""),"")</f>
        <v/>
      </c>
      <c r="AH115" s="34" t="str">
        <f>IFERROR(IF(AND(OR(Table830[[#This Row],[Classification]]="Liabilities",Table830[[#This Row],[Classification]]="Owner´s Equity"),Table830[[#This Row],[Credit.]]&gt;Table830[[#This Row],[Debit\]]),Table830[[#This Row],[Credit.]]-Table830[[#This Row],[Debit\]],""),"")</f>
        <v/>
      </c>
    </row>
    <row r="116" spans="2:34" hidden="1" x14ac:dyDescent="0.25">
      <c r="B116" s="34"/>
      <c r="C116" s="45"/>
      <c r="D116" s="34"/>
      <c r="E116" s="34"/>
      <c r="G116" s="39"/>
      <c r="H116" s="43"/>
      <c r="I116" s="41"/>
      <c r="J116" s="41"/>
      <c r="L116" s="34">
        <v>109</v>
      </c>
      <c r="M116" s="35"/>
      <c r="N116" s="35"/>
      <c r="O116" s="34">
        <f>IFERROR(SUMIF(Table427[,],Table629[[#This Row],[Accounts Name]],Table427[,3]),"")</f>
        <v>0</v>
      </c>
      <c r="P116" s="34">
        <f>IFERROR(SUMIF(Table427[,],Table629[[#This Row],[Accounts Name]],Table427[,2]),"")</f>
        <v>0</v>
      </c>
      <c r="S116" s="36">
        <f t="shared" si="1"/>
        <v>109</v>
      </c>
      <c r="T116" s="34"/>
      <c r="U116" s="37"/>
      <c r="V116" s="34">
        <f>IFERROR(SUMIF(Table629[Sub-Accounts],Table830[[#This Row],[Update your chart of accounts here]],Table629[Debit]),"")</f>
        <v>0</v>
      </c>
      <c r="W116" s="34">
        <f>IFERROR(SUMIF(Table629[Sub-Accounts],Table830[[#This Row],[Update your chart of accounts here]],Table629[Credit]),"")</f>
        <v>0</v>
      </c>
      <c r="X116" s="34"/>
      <c r="Y116" s="34"/>
      <c r="Z116" s="34"/>
      <c r="AA116" s="34"/>
      <c r="AB116" s="34">
        <f>MAX(Table830[[#This Row],[Debit]]+Table830[[#This Row],[Debit -]]-Table830[[#This Row],[Credit]]-Table830[[#This Row],[Credit +]],0)</f>
        <v>0</v>
      </c>
      <c r="AC116" s="34">
        <f>MAX(Table830[[#This Row],[Credit]]-Table830[[#This Row],[Debit]]+Table830[[#This Row],[Credit +]]-Table830[[#This Row],[Debit -]],0)</f>
        <v>0</v>
      </c>
      <c r="AD116" s="34" t="str">
        <f>IFERROR(IF(AND(OR(Table830[[#This Row],[Classification]]="Expense",Table830[[#This Row],[Classification]]="Cost of Goods Sold"),Table830[[#This Row],[Debit\]]&gt;Table830[[#This Row],[Credit.]]),Table830[[#This Row],[Debit\]]-Table830[[#This Row],[Credit.]],""),"")</f>
        <v/>
      </c>
      <c r="AE116" s="34" t="str">
        <f>IFERROR(IF(AND(OR(Table830[[#This Row],[Classification]]="Income",Table830[[#This Row],[Classification]]="Cost of Goods Sold"),Table830[[#This Row],[Credit.]]&gt;Table830[[#This Row],[Debit\]]),Table830[[#This Row],[Credit.]]-Table830[[#This Row],[Debit\]],""),"")</f>
        <v/>
      </c>
      <c r="AF116" s="34"/>
      <c r="AG116" s="34" t="str">
        <f>IFERROR(IF(AND(Table830[[#This Row],[Classification]]="Assets",Table830[[#This Row],[Debit\]]-Table830[[#This Row],[Credit.]]),Table830[[#This Row],[Debit\]]-Table830[[#This Row],[Credit.]],""),"")</f>
        <v/>
      </c>
      <c r="AH116" s="34" t="str">
        <f>IFERROR(IF(AND(OR(Table830[[#This Row],[Classification]]="Liabilities",Table830[[#This Row],[Classification]]="Owner´s Equity"),Table830[[#This Row],[Credit.]]&gt;Table830[[#This Row],[Debit\]]),Table830[[#This Row],[Credit.]]-Table830[[#This Row],[Debit\]],""),"")</f>
        <v/>
      </c>
    </row>
    <row r="117" spans="2:34" hidden="1" x14ac:dyDescent="0.25">
      <c r="B117" s="34"/>
      <c r="C117" s="45"/>
      <c r="D117" s="34"/>
      <c r="E117" s="34"/>
      <c r="G117" s="39"/>
      <c r="H117" s="40"/>
      <c r="I117" s="41"/>
      <c r="J117" s="41"/>
      <c r="L117" s="34">
        <v>110</v>
      </c>
      <c r="M117" s="35"/>
      <c r="N117" s="35"/>
      <c r="O117" s="34">
        <f>IFERROR(SUMIF(Table427[,],Table629[[#This Row],[Accounts Name]],Table427[,3]),"")</f>
        <v>0</v>
      </c>
      <c r="P117" s="34">
        <f>IFERROR(SUMIF(Table427[,],Table629[[#This Row],[Accounts Name]],Table427[,2]),"")</f>
        <v>0</v>
      </c>
      <c r="S117" s="36">
        <f t="shared" si="1"/>
        <v>110</v>
      </c>
      <c r="T117" s="34"/>
      <c r="U117" s="37"/>
      <c r="V117" s="34">
        <f>IFERROR(SUMIF(Table629[Sub-Accounts],Table830[[#This Row],[Update your chart of accounts here]],Table629[Debit]),"")</f>
        <v>0</v>
      </c>
      <c r="W117" s="34">
        <f>IFERROR(SUMIF(Table629[Sub-Accounts],Table830[[#This Row],[Update your chart of accounts here]],Table629[Credit]),"")</f>
        <v>0</v>
      </c>
      <c r="X117" s="34"/>
      <c r="Y117" s="34"/>
      <c r="Z117" s="34"/>
      <c r="AA117" s="34"/>
      <c r="AB117" s="34">
        <f>MAX(Table830[[#This Row],[Debit]]+Table830[[#This Row],[Debit -]]-Table830[[#This Row],[Credit]]-Table830[[#This Row],[Credit +]],0)</f>
        <v>0</v>
      </c>
      <c r="AC117" s="34">
        <f>MAX(Table830[[#This Row],[Credit]]-Table830[[#This Row],[Debit]]+Table830[[#This Row],[Credit +]]-Table830[[#This Row],[Debit -]],0)</f>
        <v>0</v>
      </c>
      <c r="AD117" s="34" t="str">
        <f>IFERROR(IF(AND(OR(Table830[[#This Row],[Classification]]="Expense",Table830[[#This Row],[Classification]]="Cost of Goods Sold"),Table830[[#This Row],[Debit\]]&gt;Table830[[#This Row],[Credit.]]),Table830[[#This Row],[Debit\]]-Table830[[#This Row],[Credit.]],""),"")</f>
        <v/>
      </c>
      <c r="AE117" s="34" t="str">
        <f>IFERROR(IF(AND(OR(Table830[[#This Row],[Classification]]="Income",Table830[[#This Row],[Classification]]="Cost of Goods Sold"),Table830[[#This Row],[Credit.]]&gt;Table830[[#This Row],[Debit\]]),Table830[[#This Row],[Credit.]]-Table830[[#This Row],[Debit\]],""),"")</f>
        <v/>
      </c>
      <c r="AF117" s="34"/>
      <c r="AG117" s="34" t="str">
        <f>IFERROR(IF(AND(Table830[[#This Row],[Classification]]="Assets",Table830[[#This Row],[Debit\]]-Table830[[#This Row],[Credit.]]),Table830[[#This Row],[Debit\]]-Table830[[#This Row],[Credit.]],""),"")</f>
        <v/>
      </c>
      <c r="AH117" s="34" t="str">
        <f>IFERROR(IF(AND(OR(Table830[[#This Row],[Classification]]="Liabilities",Table830[[#This Row],[Classification]]="Owner´s Equity"),Table830[[#This Row],[Credit.]]&gt;Table830[[#This Row],[Debit\]]),Table830[[#This Row],[Credit.]]-Table830[[#This Row],[Debit\]],""),"")</f>
        <v/>
      </c>
    </row>
    <row r="118" spans="2:34" hidden="1" x14ac:dyDescent="0.25">
      <c r="B118" s="34"/>
      <c r="C118" s="45"/>
      <c r="D118" s="34"/>
      <c r="E118" s="34"/>
      <c r="G118" s="39"/>
      <c r="H118" s="40"/>
      <c r="I118" s="41"/>
      <c r="J118" s="41"/>
      <c r="L118" s="34">
        <v>111</v>
      </c>
      <c r="M118" s="35"/>
      <c r="N118" s="35"/>
      <c r="O118" s="34">
        <f>IFERROR(SUMIF(Table427[,],Table629[[#This Row],[Accounts Name]],Table427[,3]),"")</f>
        <v>0</v>
      </c>
      <c r="P118" s="34">
        <f>IFERROR(SUMIF(Table427[,],Table629[[#This Row],[Accounts Name]],Table427[,2]),"")</f>
        <v>0</v>
      </c>
      <c r="S118" s="36">
        <f t="shared" si="1"/>
        <v>111</v>
      </c>
      <c r="T118" s="34"/>
      <c r="U118" s="37"/>
      <c r="V118" s="34">
        <f>IFERROR(SUMIF(Table629[Sub-Accounts],Table830[[#This Row],[Update your chart of accounts here]],Table629[Debit]),"")</f>
        <v>0</v>
      </c>
      <c r="W118" s="34">
        <f>IFERROR(SUMIF(Table629[Sub-Accounts],Table830[[#This Row],[Update your chart of accounts here]],Table629[Credit]),"")</f>
        <v>0</v>
      </c>
      <c r="X118" s="34"/>
      <c r="Y118" s="34"/>
      <c r="Z118" s="34"/>
      <c r="AA118" s="34"/>
      <c r="AB118" s="34">
        <f>MAX(Table830[[#This Row],[Debit]]+Table830[[#This Row],[Debit -]]-Table830[[#This Row],[Credit]]-Table830[[#This Row],[Credit +]],0)</f>
        <v>0</v>
      </c>
      <c r="AC118" s="34">
        <f>MAX(Table830[[#This Row],[Credit]]-Table830[[#This Row],[Debit]]+Table830[[#This Row],[Credit +]]-Table830[[#This Row],[Debit -]],0)</f>
        <v>0</v>
      </c>
      <c r="AD118" s="34" t="str">
        <f>IFERROR(IF(AND(OR(Table830[[#This Row],[Classification]]="Expense",Table830[[#This Row],[Classification]]="Cost of Goods Sold"),Table830[[#This Row],[Debit\]]&gt;Table830[[#This Row],[Credit.]]),Table830[[#This Row],[Debit\]]-Table830[[#This Row],[Credit.]],""),"")</f>
        <v/>
      </c>
      <c r="AE118" s="34" t="str">
        <f>IFERROR(IF(AND(OR(Table830[[#This Row],[Classification]]="Income",Table830[[#This Row],[Classification]]="Cost of Goods Sold"),Table830[[#This Row],[Credit.]]&gt;Table830[[#This Row],[Debit\]]),Table830[[#This Row],[Credit.]]-Table830[[#This Row],[Debit\]],""),"")</f>
        <v/>
      </c>
      <c r="AF118" s="34"/>
      <c r="AG118" s="34" t="str">
        <f>IFERROR(IF(AND(Table830[[#This Row],[Classification]]="Assets",Table830[[#This Row],[Debit\]]-Table830[[#This Row],[Credit.]]),Table830[[#This Row],[Debit\]]-Table830[[#This Row],[Credit.]],""),"")</f>
        <v/>
      </c>
      <c r="AH118" s="34" t="str">
        <f>IFERROR(IF(AND(OR(Table830[[#This Row],[Classification]]="Liabilities",Table830[[#This Row],[Classification]]="Owner´s Equity"),Table830[[#This Row],[Credit.]]&gt;Table830[[#This Row],[Debit\]]),Table830[[#This Row],[Credit.]]-Table830[[#This Row],[Debit\]],""),"")</f>
        <v/>
      </c>
    </row>
    <row r="119" spans="2:34" hidden="1" x14ac:dyDescent="0.25">
      <c r="B119" s="34"/>
      <c r="C119" s="45"/>
      <c r="D119" s="34"/>
      <c r="E119" s="34"/>
      <c r="G119" s="39"/>
      <c r="H119" s="43"/>
      <c r="I119" s="41"/>
      <c r="J119" s="41"/>
      <c r="L119" s="34">
        <v>112</v>
      </c>
      <c r="M119" s="35"/>
      <c r="N119" s="35"/>
      <c r="O119" s="34">
        <f>IFERROR(SUMIF(Table427[,],Table629[[#This Row],[Accounts Name]],Table427[,3]),"")</f>
        <v>0</v>
      </c>
      <c r="P119" s="34">
        <f>IFERROR(SUMIF(Table427[,],Table629[[#This Row],[Accounts Name]],Table427[,2]),"")</f>
        <v>0</v>
      </c>
      <c r="S119" s="36">
        <f t="shared" si="1"/>
        <v>112</v>
      </c>
      <c r="T119" s="34"/>
      <c r="U119" s="37"/>
      <c r="V119" s="34">
        <f>IFERROR(SUMIF(Table629[Sub-Accounts],Table830[[#This Row],[Update your chart of accounts here]],Table629[Debit]),"")</f>
        <v>0</v>
      </c>
      <c r="W119" s="34">
        <f>IFERROR(SUMIF(Table629[Sub-Accounts],Table830[[#This Row],[Update your chart of accounts here]],Table629[Credit]),"")</f>
        <v>0</v>
      </c>
      <c r="X119" s="34"/>
      <c r="Y119" s="34"/>
      <c r="Z119" s="34"/>
      <c r="AA119" s="34"/>
      <c r="AB119" s="34">
        <f>MAX(Table830[[#This Row],[Debit]]+Table830[[#This Row],[Debit -]]-Table830[[#This Row],[Credit]]-Table830[[#This Row],[Credit +]],0)</f>
        <v>0</v>
      </c>
      <c r="AC119" s="34">
        <f>MAX(Table830[[#This Row],[Credit]]-Table830[[#This Row],[Debit]]+Table830[[#This Row],[Credit +]]-Table830[[#This Row],[Debit -]],0)</f>
        <v>0</v>
      </c>
      <c r="AD119" s="34" t="str">
        <f>IFERROR(IF(AND(OR(Table830[[#This Row],[Classification]]="Expense",Table830[[#This Row],[Classification]]="Cost of Goods Sold"),Table830[[#This Row],[Debit\]]&gt;Table830[[#This Row],[Credit.]]),Table830[[#This Row],[Debit\]]-Table830[[#This Row],[Credit.]],""),"")</f>
        <v/>
      </c>
      <c r="AE119" s="34" t="str">
        <f>IFERROR(IF(AND(OR(Table830[[#This Row],[Classification]]="Income",Table830[[#This Row],[Classification]]="Cost of Goods Sold"),Table830[[#This Row],[Credit.]]&gt;Table830[[#This Row],[Debit\]]),Table830[[#This Row],[Credit.]]-Table830[[#This Row],[Debit\]],""),"")</f>
        <v/>
      </c>
      <c r="AF119" s="34"/>
      <c r="AG119" s="34" t="str">
        <f>IFERROR(IF(AND(Table830[[#This Row],[Classification]]="Assets",Table830[[#This Row],[Debit\]]-Table830[[#This Row],[Credit.]]),Table830[[#This Row],[Debit\]]-Table830[[#This Row],[Credit.]],""),"")</f>
        <v/>
      </c>
      <c r="AH119" s="34" t="str">
        <f>IFERROR(IF(AND(OR(Table830[[#This Row],[Classification]]="Liabilities",Table830[[#This Row],[Classification]]="Owner´s Equity"),Table830[[#This Row],[Credit.]]&gt;Table830[[#This Row],[Debit\]]),Table830[[#This Row],[Credit.]]-Table830[[#This Row],[Debit\]],""),"")</f>
        <v/>
      </c>
    </row>
    <row r="120" spans="2:34" hidden="1" x14ac:dyDescent="0.25">
      <c r="B120" s="34"/>
      <c r="C120" s="45"/>
      <c r="D120" s="34"/>
      <c r="E120" s="34"/>
      <c r="G120" s="39"/>
      <c r="H120" s="40"/>
      <c r="I120" s="41"/>
      <c r="J120" s="41"/>
      <c r="L120" s="34">
        <v>113</v>
      </c>
      <c r="M120" s="35"/>
      <c r="N120" s="35"/>
      <c r="O120" s="34">
        <f>IFERROR(SUMIF(Table427[,],Table629[[#This Row],[Accounts Name]],Table427[,3]),"")</f>
        <v>0</v>
      </c>
      <c r="P120" s="34">
        <f>IFERROR(SUMIF(Table427[,],Table629[[#This Row],[Accounts Name]],Table427[,2]),"")</f>
        <v>0</v>
      </c>
      <c r="S120" s="36">
        <f t="shared" si="1"/>
        <v>113</v>
      </c>
      <c r="T120" s="34"/>
      <c r="U120" s="37"/>
      <c r="V120" s="34">
        <f>IFERROR(SUMIF(Table629[Sub-Accounts],Table830[[#This Row],[Update your chart of accounts here]],Table629[Debit]),"")</f>
        <v>0</v>
      </c>
      <c r="W120" s="34">
        <f>IFERROR(SUMIF(Table629[Sub-Accounts],Table830[[#This Row],[Update your chart of accounts here]],Table629[Credit]),"")</f>
        <v>0</v>
      </c>
      <c r="X120" s="34"/>
      <c r="Y120" s="34"/>
      <c r="Z120" s="34"/>
      <c r="AA120" s="34"/>
      <c r="AB120" s="34">
        <f>MAX(Table830[[#This Row],[Debit]]+Table830[[#This Row],[Debit -]]-Table830[[#This Row],[Credit]]-Table830[[#This Row],[Credit +]],0)</f>
        <v>0</v>
      </c>
      <c r="AC120" s="34">
        <f>MAX(Table830[[#This Row],[Credit]]-Table830[[#This Row],[Debit]]+Table830[[#This Row],[Credit +]]-Table830[[#This Row],[Debit -]],0)</f>
        <v>0</v>
      </c>
      <c r="AD120" s="34" t="str">
        <f>IFERROR(IF(AND(OR(Table830[[#This Row],[Classification]]="Expense",Table830[[#This Row],[Classification]]="Cost of Goods Sold"),Table830[[#This Row],[Debit\]]&gt;Table830[[#This Row],[Credit.]]),Table830[[#This Row],[Debit\]]-Table830[[#This Row],[Credit.]],""),"")</f>
        <v/>
      </c>
      <c r="AE120" s="34" t="str">
        <f>IFERROR(IF(AND(OR(Table830[[#This Row],[Classification]]="Income",Table830[[#This Row],[Classification]]="Cost of Goods Sold"),Table830[[#This Row],[Credit.]]&gt;Table830[[#This Row],[Debit\]]),Table830[[#This Row],[Credit.]]-Table830[[#This Row],[Debit\]],""),"")</f>
        <v/>
      </c>
      <c r="AF120" s="34"/>
      <c r="AG120" s="34" t="str">
        <f>IFERROR(IF(AND(Table830[[#This Row],[Classification]]="Assets",Table830[[#This Row],[Debit\]]-Table830[[#This Row],[Credit.]]),Table830[[#This Row],[Debit\]]-Table830[[#This Row],[Credit.]],""),"")</f>
        <v/>
      </c>
      <c r="AH120" s="34" t="str">
        <f>IFERROR(IF(AND(OR(Table830[[#This Row],[Classification]]="Liabilities",Table830[[#This Row],[Classification]]="Owner´s Equity"),Table830[[#This Row],[Credit.]]&gt;Table830[[#This Row],[Debit\]]),Table830[[#This Row],[Credit.]]-Table830[[#This Row],[Debit\]],""),"")</f>
        <v/>
      </c>
    </row>
    <row r="121" spans="2:34" hidden="1" x14ac:dyDescent="0.25">
      <c r="B121" s="34"/>
      <c r="C121" s="45"/>
      <c r="D121" s="34"/>
      <c r="E121" s="34"/>
      <c r="G121" s="39"/>
      <c r="H121" s="40"/>
      <c r="I121" s="41"/>
      <c r="J121" s="41"/>
      <c r="L121" s="34">
        <v>114</v>
      </c>
      <c r="M121" s="35"/>
      <c r="N121" s="35"/>
      <c r="O121" s="34">
        <f>IFERROR(SUMIF(Table427[,],Table629[[#This Row],[Accounts Name]],Table427[,3]),"")</f>
        <v>0</v>
      </c>
      <c r="P121" s="34">
        <f>IFERROR(SUMIF(Table427[,],Table629[[#This Row],[Accounts Name]],Table427[,2]),"")</f>
        <v>0</v>
      </c>
      <c r="S121" s="36">
        <f t="shared" si="1"/>
        <v>114</v>
      </c>
      <c r="T121" s="34"/>
      <c r="U121" s="37"/>
      <c r="V121" s="34">
        <f>IFERROR(SUMIF(Table629[Sub-Accounts],Table830[[#This Row],[Update your chart of accounts here]],Table629[Debit]),"")</f>
        <v>0</v>
      </c>
      <c r="W121" s="34">
        <f>IFERROR(SUMIF(Table629[Sub-Accounts],Table830[[#This Row],[Update your chart of accounts here]],Table629[Credit]),"")</f>
        <v>0</v>
      </c>
      <c r="X121" s="34"/>
      <c r="Y121" s="34"/>
      <c r="Z121" s="34"/>
      <c r="AA121" s="34"/>
      <c r="AB121" s="34">
        <f>MAX(Table830[[#This Row],[Debit]]+Table830[[#This Row],[Debit -]]-Table830[[#This Row],[Credit]]-Table830[[#This Row],[Credit +]],0)</f>
        <v>0</v>
      </c>
      <c r="AC121" s="34">
        <f>MAX(Table830[[#This Row],[Credit]]-Table830[[#This Row],[Debit]]+Table830[[#This Row],[Credit +]]-Table830[[#This Row],[Debit -]],0)</f>
        <v>0</v>
      </c>
      <c r="AD121" s="34" t="str">
        <f>IFERROR(IF(AND(OR(Table830[[#This Row],[Classification]]="Expense",Table830[[#This Row],[Classification]]="Cost of Goods Sold"),Table830[[#This Row],[Debit\]]&gt;Table830[[#This Row],[Credit.]]),Table830[[#This Row],[Debit\]]-Table830[[#This Row],[Credit.]],""),"")</f>
        <v/>
      </c>
      <c r="AE121" s="34" t="str">
        <f>IFERROR(IF(AND(OR(Table830[[#This Row],[Classification]]="Income",Table830[[#This Row],[Classification]]="Cost of Goods Sold"),Table830[[#This Row],[Credit.]]&gt;Table830[[#This Row],[Debit\]]),Table830[[#This Row],[Credit.]]-Table830[[#This Row],[Debit\]],""),"")</f>
        <v/>
      </c>
      <c r="AF121" s="34"/>
      <c r="AG121" s="34" t="str">
        <f>IFERROR(IF(AND(Table830[[#This Row],[Classification]]="Assets",Table830[[#This Row],[Debit\]]-Table830[[#This Row],[Credit.]]),Table830[[#This Row],[Debit\]]-Table830[[#This Row],[Credit.]],""),"")</f>
        <v/>
      </c>
      <c r="AH121" s="34" t="str">
        <f>IFERROR(IF(AND(OR(Table830[[#This Row],[Classification]]="Liabilities",Table830[[#This Row],[Classification]]="Owner´s Equity"),Table830[[#This Row],[Credit.]]&gt;Table830[[#This Row],[Debit\]]),Table830[[#This Row],[Credit.]]-Table830[[#This Row],[Debit\]],""),"")</f>
        <v/>
      </c>
    </row>
    <row r="122" spans="2:34" hidden="1" x14ac:dyDescent="0.25">
      <c r="B122" s="34"/>
      <c r="C122" s="45"/>
      <c r="D122" s="34"/>
      <c r="E122" s="34"/>
      <c r="G122" s="39"/>
      <c r="H122" s="43"/>
      <c r="I122" s="41"/>
      <c r="J122" s="41"/>
      <c r="L122" s="34">
        <v>115</v>
      </c>
      <c r="M122" s="35"/>
      <c r="N122" s="35"/>
      <c r="O122" s="34">
        <f>IFERROR(SUMIF(Table427[,],Table629[[#This Row],[Accounts Name]],Table427[,3]),"")</f>
        <v>0</v>
      </c>
      <c r="P122" s="34">
        <f>IFERROR(SUMIF(Table427[,],Table629[[#This Row],[Accounts Name]],Table427[,2]),"")</f>
        <v>0</v>
      </c>
      <c r="S122" s="36">
        <f t="shared" si="1"/>
        <v>115</v>
      </c>
      <c r="T122" s="34"/>
      <c r="U122" s="37"/>
      <c r="V122" s="34">
        <f>IFERROR(SUMIF(Table629[Sub-Accounts],Table830[[#This Row],[Update your chart of accounts here]],Table629[Debit]),"")</f>
        <v>0</v>
      </c>
      <c r="W122" s="34">
        <f>IFERROR(SUMIF(Table629[Sub-Accounts],Table830[[#This Row],[Update your chart of accounts here]],Table629[Credit]),"")</f>
        <v>0</v>
      </c>
      <c r="X122" s="34"/>
      <c r="Y122" s="34"/>
      <c r="Z122" s="34"/>
      <c r="AA122" s="34"/>
      <c r="AB122" s="34">
        <f>MAX(Table830[[#This Row],[Debit]]+Table830[[#This Row],[Debit -]]-Table830[[#This Row],[Credit]]-Table830[[#This Row],[Credit +]],0)</f>
        <v>0</v>
      </c>
      <c r="AC122" s="34">
        <f>MAX(Table830[[#This Row],[Credit]]-Table830[[#This Row],[Debit]]+Table830[[#This Row],[Credit +]]-Table830[[#This Row],[Debit -]],0)</f>
        <v>0</v>
      </c>
      <c r="AD122" s="34" t="str">
        <f>IFERROR(IF(AND(OR(Table830[[#This Row],[Classification]]="Expense",Table830[[#This Row],[Classification]]="Cost of Goods Sold"),Table830[[#This Row],[Debit\]]&gt;Table830[[#This Row],[Credit.]]),Table830[[#This Row],[Debit\]]-Table830[[#This Row],[Credit.]],""),"")</f>
        <v/>
      </c>
      <c r="AE122" s="34" t="str">
        <f>IFERROR(IF(AND(OR(Table830[[#This Row],[Classification]]="Income",Table830[[#This Row],[Classification]]="Cost of Goods Sold"),Table830[[#This Row],[Credit.]]&gt;Table830[[#This Row],[Debit\]]),Table830[[#This Row],[Credit.]]-Table830[[#This Row],[Debit\]],""),"")</f>
        <v/>
      </c>
      <c r="AF122" s="34"/>
      <c r="AG122" s="34" t="str">
        <f>IFERROR(IF(AND(Table830[[#This Row],[Classification]]="Assets",Table830[[#This Row],[Debit\]]-Table830[[#This Row],[Credit.]]),Table830[[#This Row],[Debit\]]-Table830[[#This Row],[Credit.]],""),"")</f>
        <v/>
      </c>
      <c r="AH122" s="34" t="str">
        <f>IFERROR(IF(AND(OR(Table830[[#This Row],[Classification]]="Liabilities",Table830[[#This Row],[Classification]]="Owner´s Equity"),Table830[[#This Row],[Credit.]]&gt;Table830[[#This Row],[Debit\]]),Table830[[#This Row],[Credit.]]-Table830[[#This Row],[Debit\]],""),"")</f>
        <v/>
      </c>
    </row>
    <row r="123" spans="2:34" hidden="1" x14ac:dyDescent="0.25">
      <c r="B123" s="34"/>
      <c r="C123" s="45"/>
      <c r="D123" s="34"/>
      <c r="E123" s="34"/>
      <c r="G123" s="39"/>
      <c r="H123" s="40"/>
      <c r="I123" s="41"/>
      <c r="J123" s="41"/>
      <c r="L123" s="34">
        <v>116</v>
      </c>
      <c r="M123" s="35"/>
      <c r="N123" s="35"/>
      <c r="O123" s="34">
        <f>IFERROR(SUMIF(Table427[,],Table629[[#This Row],[Accounts Name]],Table427[,3]),"")</f>
        <v>0</v>
      </c>
      <c r="P123" s="34">
        <f>IFERROR(SUMIF(Table427[,],Table629[[#This Row],[Accounts Name]],Table427[,2]),"")</f>
        <v>0</v>
      </c>
      <c r="S123" s="36">
        <f t="shared" si="1"/>
        <v>116</v>
      </c>
      <c r="T123" s="34"/>
      <c r="U123" s="37"/>
      <c r="V123" s="34">
        <f>IFERROR(SUMIF(Table629[Sub-Accounts],Table830[[#This Row],[Update your chart of accounts here]],Table629[Debit]),"")</f>
        <v>0</v>
      </c>
      <c r="W123" s="34">
        <f>IFERROR(SUMIF(Table629[Sub-Accounts],Table830[[#This Row],[Update your chart of accounts here]],Table629[Credit]),"")</f>
        <v>0</v>
      </c>
      <c r="X123" s="34"/>
      <c r="Y123" s="34"/>
      <c r="Z123" s="34"/>
      <c r="AA123" s="34"/>
      <c r="AB123" s="34">
        <f>MAX(Table830[[#This Row],[Debit]]+Table830[[#This Row],[Debit -]]-Table830[[#This Row],[Credit]]-Table830[[#This Row],[Credit +]],0)</f>
        <v>0</v>
      </c>
      <c r="AC123" s="34">
        <f>MAX(Table830[[#This Row],[Credit]]-Table830[[#This Row],[Debit]]+Table830[[#This Row],[Credit +]]-Table830[[#This Row],[Debit -]],0)</f>
        <v>0</v>
      </c>
      <c r="AD123" s="34" t="str">
        <f>IFERROR(IF(AND(OR(Table830[[#This Row],[Classification]]="Expense",Table830[[#This Row],[Classification]]="Cost of Goods Sold"),Table830[[#This Row],[Debit\]]&gt;Table830[[#This Row],[Credit.]]),Table830[[#This Row],[Debit\]]-Table830[[#This Row],[Credit.]],""),"")</f>
        <v/>
      </c>
      <c r="AE123" s="34" t="str">
        <f>IFERROR(IF(AND(OR(Table830[[#This Row],[Classification]]="Income",Table830[[#This Row],[Classification]]="Cost of Goods Sold"),Table830[[#This Row],[Credit.]]&gt;Table830[[#This Row],[Debit\]]),Table830[[#This Row],[Credit.]]-Table830[[#This Row],[Debit\]],""),"")</f>
        <v/>
      </c>
      <c r="AF123" s="34"/>
      <c r="AG123" s="34" t="str">
        <f>IFERROR(IF(AND(Table830[[#This Row],[Classification]]="Assets",Table830[[#This Row],[Debit\]]-Table830[[#This Row],[Credit.]]),Table830[[#This Row],[Debit\]]-Table830[[#This Row],[Credit.]],""),"")</f>
        <v/>
      </c>
      <c r="AH123" s="34" t="str">
        <f>IFERROR(IF(AND(OR(Table830[[#This Row],[Classification]]="Liabilities",Table830[[#This Row],[Classification]]="Owner´s Equity"),Table830[[#This Row],[Credit.]]&gt;Table830[[#This Row],[Debit\]]),Table830[[#This Row],[Credit.]]-Table830[[#This Row],[Debit\]],""),"")</f>
        <v/>
      </c>
    </row>
    <row r="124" spans="2:34" hidden="1" x14ac:dyDescent="0.25">
      <c r="B124" s="34"/>
      <c r="C124" s="45"/>
      <c r="D124" s="34"/>
      <c r="E124" s="34"/>
      <c r="G124" s="39"/>
      <c r="H124" s="40"/>
      <c r="I124" s="41"/>
      <c r="J124" s="41"/>
      <c r="L124" s="34">
        <v>117</v>
      </c>
      <c r="M124" s="35"/>
      <c r="N124" s="35"/>
      <c r="O124" s="34">
        <f>IFERROR(SUMIF(Table427[,],Table629[[#This Row],[Accounts Name]],Table427[,3]),"")</f>
        <v>0</v>
      </c>
      <c r="P124" s="34">
        <f>IFERROR(SUMIF(Table427[,],Table629[[#This Row],[Accounts Name]],Table427[,2]),"")</f>
        <v>0</v>
      </c>
      <c r="S124" s="36">
        <f t="shared" si="1"/>
        <v>117</v>
      </c>
      <c r="T124" s="34"/>
      <c r="U124" s="37"/>
      <c r="V124" s="34">
        <f>IFERROR(SUMIF(Table629[Sub-Accounts],Table830[[#This Row],[Update your chart of accounts here]],Table629[Debit]),"")</f>
        <v>0</v>
      </c>
      <c r="W124" s="34">
        <f>IFERROR(SUMIF(Table629[Sub-Accounts],Table830[[#This Row],[Update your chart of accounts here]],Table629[Credit]),"")</f>
        <v>0</v>
      </c>
      <c r="X124" s="34"/>
      <c r="Y124" s="34"/>
      <c r="Z124" s="34"/>
      <c r="AA124" s="34"/>
      <c r="AB124" s="34">
        <f>MAX(Table830[[#This Row],[Debit]]+Table830[[#This Row],[Debit -]]-Table830[[#This Row],[Credit]]-Table830[[#This Row],[Credit +]],0)</f>
        <v>0</v>
      </c>
      <c r="AC124" s="34">
        <f>MAX(Table830[[#This Row],[Credit]]-Table830[[#This Row],[Debit]]+Table830[[#This Row],[Credit +]]-Table830[[#This Row],[Debit -]],0)</f>
        <v>0</v>
      </c>
      <c r="AD124" s="34" t="str">
        <f>IFERROR(IF(AND(OR(Table830[[#This Row],[Classification]]="Expense",Table830[[#This Row],[Classification]]="Cost of Goods Sold"),Table830[[#This Row],[Debit\]]&gt;Table830[[#This Row],[Credit.]]),Table830[[#This Row],[Debit\]]-Table830[[#This Row],[Credit.]],""),"")</f>
        <v/>
      </c>
      <c r="AE124" s="34" t="str">
        <f>IFERROR(IF(AND(OR(Table830[[#This Row],[Classification]]="Income",Table830[[#This Row],[Classification]]="Cost of Goods Sold"),Table830[[#This Row],[Credit.]]&gt;Table830[[#This Row],[Debit\]]),Table830[[#This Row],[Credit.]]-Table830[[#This Row],[Debit\]],""),"")</f>
        <v/>
      </c>
      <c r="AF124" s="34"/>
      <c r="AG124" s="34" t="str">
        <f>IFERROR(IF(AND(Table830[[#This Row],[Classification]]="Assets",Table830[[#This Row],[Debit\]]-Table830[[#This Row],[Credit.]]),Table830[[#This Row],[Debit\]]-Table830[[#This Row],[Credit.]],""),"")</f>
        <v/>
      </c>
      <c r="AH124" s="34" t="str">
        <f>IFERROR(IF(AND(OR(Table830[[#This Row],[Classification]]="Liabilities",Table830[[#This Row],[Classification]]="Owner´s Equity"),Table830[[#This Row],[Credit.]]&gt;Table830[[#This Row],[Debit\]]),Table830[[#This Row],[Credit.]]-Table830[[#This Row],[Debit\]],""),"")</f>
        <v/>
      </c>
    </row>
    <row r="125" spans="2:34" hidden="1" x14ac:dyDescent="0.25">
      <c r="B125" s="34"/>
      <c r="C125" s="45"/>
      <c r="D125" s="34"/>
      <c r="E125" s="34"/>
      <c r="G125" s="39"/>
      <c r="H125" s="43"/>
      <c r="I125" s="41"/>
      <c r="J125" s="41"/>
      <c r="L125" s="34">
        <v>118</v>
      </c>
      <c r="M125" s="35"/>
      <c r="N125" s="35"/>
      <c r="O125" s="34">
        <f>IFERROR(SUMIF(Table427[,],Table629[[#This Row],[Accounts Name]],Table427[,3]),"")</f>
        <v>0</v>
      </c>
      <c r="P125" s="34">
        <f>IFERROR(SUMIF(Table427[,],Table629[[#This Row],[Accounts Name]],Table427[,2]),"")</f>
        <v>0</v>
      </c>
      <c r="S125" s="36">
        <f t="shared" si="1"/>
        <v>118</v>
      </c>
      <c r="T125" s="34"/>
      <c r="U125" s="37"/>
      <c r="V125" s="34">
        <f>IFERROR(SUMIF(Table629[Sub-Accounts],Table830[[#This Row],[Update your chart of accounts here]],Table629[Debit]),"")</f>
        <v>0</v>
      </c>
      <c r="W125" s="34">
        <f>IFERROR(SUMIF(Table629[Sub-Accounts],Table830[[#This Row],[Update your chart of accounts here]],Table629[Credit]),"")</f>
        <v>0</v>
      </c>
      <c r="X125" s="34"/>
      <c r="Y125" s="34"/>
      <c r="Z125" s="34"/>
      <c r="AA125" s="34"/>
      <c r="AB125" s="34">
        <f>MAX(Table830[[#This Row],[Debit]]+Table830[[#This Row],[Debit -]]-Table830[[#This Row],[Credit]]-Table830[[#This Row],[Credit +]],0)</f>
        <v>0</v>
      </c>
      <c r="AC125" s="34">
        <f>MAX(Table830[[#This Row],[Credit]]-Table830[[#This Row],[Debit]]+Table830[[#This Row],[Credit +]]-Table830[[#This Row],[Debit -]],0)</f>
        <v>0</v>
      </c>
      <c r="AD125" s="34" t="str">
        <f>IFERROR(IF(AND(OR(Table830[[#This Row],[Classification]]="Expense",Table830[[#This Row],[Classification]]="Cost of Goods Sold"),Table830[[#This Row],[Debit\]]&gt;Table830[[#This Row],[Credit.]]),Table830[[#This Row],[Debit\]]-Table830[[#This Row],[Credit.]],""),"")</f>
        <v/>
      </c>
      <c r="AE125" s="34" t="str">
        <f>IFERROR(IF(AND(OR(Table830[[#This Row],[Classification]]="Income",Table830[[#This Row],[Classification]]="Cost of Goods Sold"),Table830[[#This Row],[Credit.]]&gt;Table830[[#This Row],[Debit\]]),Table830[[#This Row],[Credit.]]-Table830[[#This Row],[Debit\]],""),"")</f>
        <v/>
      </c>
      <c r="AF125" s="34"/>
      <c r="AG125" s="34" t="str">
        <f>IFERROR(IF(AND(Table830[[#This Row],[Classification]]="Assets",Table830[[#This Row],[Debit\]]-Table830[[#This Row],[Credit.]]),Table830[[#This Row],[Debit\]]-Table830[[#This Row],[Credit.]],""),"")</f>
        <v/>
      </c>
      <c r="AH125" s="34" t="str">
        <f>IFERROR(IF(AND(OR(Table830[[#This Row],[Classification]]="Liabilities",Table830[[#This Row],[Classification]]="Owner´s Equity"),Table830[[#This Row],[Credit.]]&gt;Table830[[#This Row],[Debit\]]),Table830[[#This Row],[Credit.]]-Table830[[#This Row],[Debit\]],""),"")</f>
        <v/>
      </c>
    </row>
    <row r="126" spans="2:34" hidden="1" x14ac:dyDescent="0.25">
      <c r="B126" s="34"/>
      <c r="C126" s="45"/>
      <c r="D126" s="34"/>
      <c r="E126" s="34"/>
      <c r="G126" s="39"/>
      <c r="H126" s="40"/>
      <c r="I126" s="41"/>
      <c r="J126" s="41"/>
      <c r="L126" s="34">
        <v>119</v>
      </c>
      <c r="M126" s="35"/>
      <c r="N126" s="35"/>
      <c r="O126" s="34">
        <f>IFERROR(SUMIF(Table427[,],Table629[[#This Row],[Accounts Name]],Table427[,3]),"")</f>
        <v>0</v>
      </c>
      <c r="P126" s="34">
        <f>IFERROR(SUMIF(Table427[,],Table629[[#This Row],[Accounts Name]],Table427[,2]),"")</f>
        <v>0</v>
      </c>
      <c r="S126" s="36">
        <f t="shared" si="1"/>
        <v>119</v>
      </c>
      <c r="T126" s="34"/>
      <c r="U126" s="37"/>
      <c r="V126" s="34">
        <f>IFERROR(SUMIF(Table629[Sub-Accounts],Table830[[#This Row],[Update your chart of accounts here]],Table629[Debit]),"")</f>
        <v>0</v>
      </c>
      <c r="W126" s="34">
        <f>IFERROR(SUMIF(Table629[Sub-Accounts],Table830[[#This Row],[Update your chart of accounts here]],Table629[Credit]),"")</f>
        <v>0</v>
      </c>
      <c r="X126" s="34"/>
      <c r="Y126" s="34"/>
      <c r="Z126" s="34"/>
      <c r="AA126" s="34"/>
      <c r="AB126" s="34">
        <f>MAX(Table830[[#This Row],[Debit]]+Table830[[#This Row],[Debit -]]-Table830[[#This Row],[Credit]]-Table830[[#This Row],[Credit +]],0)</f>
        <v>0</v>
      </c>
      <c r="AC126" s="34">
        <f>MAX(Table830[[#This Row],[Credit]]-Table830[[#This Row],[Debit]]+Table830[[#This Row],[Credit +]]-Table830[[#This Row],[Debit -]],0)</f>
        <v>0</v>
      </c>
      <c r="AD126" s="34" t="str">
        <f>IFERROR(IF(AND(OR(Table830[[#This Row],[Classification]]="Expense",Table830[[#This Row],[Classification]]="Cost of Goods Sold"),Table830[[#This Row],[Debit\]]&gt;Table830[[#This Row],[Credit.]]),Table830[[#This Row],[Debit\]]-Table830[[#This Row],[Credit.]],""),"")</f>
        <v/>
      </c>
      <c r="AE126" s="34" t="str">
        <f>IFERROR(IF(AND(OR(Table830[[#This Row],[Classification]]="Income",Table830[[#This Row],[Classification]]="Cost of Goods Sold"),Table830[[#This Row],[Credit.]]&gt;Table830[[#This Row],[Debit\]]),Table830[[#This Row],[Credit.]]-Table830[[#This Row],[Debit\]],""),"")</f>
        <v/>
      </c>
      <c r="AF126" s="34"/>
      <c r="AG126" s="34" t="str">
        <f>IFERROR(IF(AND(Table830[[#This Row],[Classification]]="Assets",Table830[[#This Row],[Debit\]]-Table830[[#This Row],[Credit.]]),Table830[[#This Row],[Debit\]]-Table830[[#This Row],[Credit.]],""),"")</f>
        <v/>
      </c>
      <c r="AH126" s="34" t="str">
        <f>IFERROR(IF(AND(OR(Table830[[#This Row],[Classification]]="Liabilities",Table830[[#This Row],[Classification]]="Owner´s Equity"),Table830[[#This Row],[Credit.]]&gt;Table830[[#This Row],[Debit\]]),Table830[[#This Row],[Credit.]]-Table830[[#This Row],[Debit\]],""),"")</f>
        <v/>
      </c>
    </row>
    <row r="127" spans="2:34" hidden="1" x14ac:dyDescent="0.25">
      <c r="B127" s="34"/>
      <c r="C127" s="45"/>
      <c r="D127" s="34"/>
      <c r="E127" s="34"/>
      <c r="G127" s="39"/>
      <c r="H127" s="40"/>
      <c r="I127" s="41"/>
      <c r="J127" s="41"/>
      <c r="L127" s="34">
        <v>120</v>
      </c>
      <c r="M127" s="35"/>
      <c r="N127" s="35"/>
      <c r="O127" s="34">
        <f>IFERROR(SUMIF(Table427[,],Table629[[#This Row],[Accounts Name]],Table427[,3]),"")</f>
        <v>0</v>
      </c>
      <c r="P127" s="34">
        <f>IFERROR(SUMIF(Table427[,],Table629[[#This Row],[Accounts Name]],Table427[,2]),"")</f>
        <v>0</v>
      </c>
      <c r="S127" s="36">
        <f t="shared" si="1"/>
        <v>120</v>
      </c>
      <c r="T127" s="34"/>
      <c r="U127" s="37"/>
      <c r="V127" s="34">
        <f>IFERROR(SUMIF(Table629[Sub-Accounts],Table830[[#This Row],[Update your chart of accounts here]],Table629[Debit]),"")</f>
        <v>0</v>
      </c>
      <c r="W127" s="34">
        <f>IFERROR(SUMIF(Table629[Sub-Accounts],Table830[[#This Row],[Update your chart of accounts here]],Table629[Credit]),"")</f>
        <v>0</v>
      </c>
      <c r="X127" s="34"/>
      <c r="Y127" s="34"/>
      <c r="Z127" s="34"/>
      <c r="AA127" s="34"/>
      <c r="AB127" s="34">
        <f>MAX(Table830[[#This Row],[Debit]]+Table830[[#This Row],[Debit -]]-Table830[[#This Row],[Credit]]-Table830[[#This Row],[Credit +]],0)</f>
        <v>0</v>
      </c>
      <c r="AC127" s="34">
        <f>MAX(Table830[[#This Row],[Credit]]-Table830[[#This Row],[Debit]]+Table830[[#This Row],[Credit +]]-Table830[[#This Row],[Debit -]],0)</f>
        <v>0</v>
      </c>
      <c r="AD127" s="34" t="str">
        <f>IFERROR(IF(AND(OR(Table830[[#This Row],[Classification]]="Expense",Table830[[#This Row],[Classification]]="Cost of Goods Sold"),Table830[[#This Row],[Debit\]]&gt;Table830[[#This Row],[Credit.]]),Table830[[#This Row],[Debit\]]-Table830[[#This Row],[Credit.]],""),"")</f>
        <v/>
      </c>
      <c r="AE127" s="34" t="str">
        <f>IFERROR(IF(AND(OR(Table830[[#This Row],[Classification]]="Income",Table830[[#This Row],[Classification]]="Cost of Goods Sold"),Table830[[#This Row],[Credit.]]&gt;Table830[[#This Row],[Debit\]]),Table830[[#This Row],[Credit.]]-Table830[[#This Row],[Debit\]],""),"")</f>
        <v/>
      </c>
      <c r="AF127" s="34"/>
      <c r="AG127" s="34" t="str">
        <f>IFERROR(IF(AND(Table830[[#This Row],[Classification]]="Assets",Table830[[#This Row],[Debit\]]-Table830[[#This Row],[Credit.]]),Table830[[#This Row],[Debit\]]-Table830[[#This Row],[Credit.]],""),"")</f>
        <v/>
      </c>
      <c r="AH127" s="34" t="str">
        <f>IFERROR(IF(AND(OR(Table830[[#This Row],[Classification]]="Liabilities",Table830[[#This Row],[Classification]]="Owner´s Equity"),Table830[[#This Row],[Credit.]]&gt;Table830[[#This Row],[Debit\]]),Table830[[#This Row],[Credit.]]-Table830[[#This Row],[Debit\]],""),"")</f>
        <v/>
      </c>
    </row>
    <row r="128" spans="2:34" hidden="1" x14ac:dyDescent="0.25">
      <c r="B128" s="34"/>
      <c r="C128" s="45"/>
      <c r="D128" s="34"/>
      <c r="E128" s="34"/>
      <c r="G128" s="39"/>
      <c r="H128" s="43"/>
      <c r="I128" s="41"/>
      <c r="J128" s="41"/>
      <c r="L128" s="34">
        <v>121</v>
      </c>
      <c r="M128" s="35"/>
      <c r="N128" s="35"/>
      <c r="O128" s="34">
        <f>IFERROR(SUMIF(Table427[,],Table629[[#This Row],[Accounts Name]],Table427[,3]),"")</f>
        <v>0</v>
      </c>
      <c r="P128" s="34">
        <f>IFERROR(SUMIF(Table427[,],Table629[[#This Row],[Accounts Name]],Table427[,2]),"")</f>
        <v>0</v>
      </c>
      <c r="S128" s="36">
        <f t="shared" si="1"/>
        <v>121</v>
      </c>
      <c r="T128" s="34"/>
      <c r="U128" s="37"/>
      <c r="V128" s="34">
        <f>IFERROR(SUMIF(Table629[Sub-Accounts],Table830[[#This Row],[Update your chart of accounts here]],Table629[Debit]),"")</f>
        <v>0</v>
      </c>
      <c r="W128" s="34">
        <f>IFERROR(SUMIF(Table629[Sub-Accounts],Table830[[#This Row],[Update your chart of accounts here]],Table629[Credit]),"")</f>
        <v>0</v>
      </c>
      <c r="X128" s="34"/>
      <c r="Y128" s="34"/>
      <c r="Z128" s="34"/>
      <c r="AA128" s="34"/>
      <c r="AB128" s="34">
        <f>MAX(Table830[[#This Row],[Debit]]+Table830[[#This Row],[Debit -]]-Table830[[#This Row],[Credit]]-Table830[[#This Row],[Credit +]],0)</f>
        <v>0</v>
      </c>
      <c r="AC128" s="34">
        <f>MAX(Table830[[#This Row],[Credit]]-Table830[[#This Row],[Debit]]+Table830[[#This Row],[Credit +]]-Table830[[#This Row],[Debit -]],0)</f>
        <v>0</v>
      </c>
      <c r="AD128" s="34" t="str">
        <f>IFERROR(IF(AND(OR(Table830[[#This Row],[Classification]]="Expense",Table830[[#This Row],[Classification]]="Cost of Goods Sold"),Table830[[#This Row],[Debit\]]&gt;Table830[[#This Row],[Credit.]]),Table830[[#This Row],[Debit\]]-Table830[[#This Row],[Credit.]],""),"")</f>
        <v/>
      </c>
      <c r="AE128" s="34" t="str">
        <f>IFERROR(IF(AND(OR(Table830[[#This Row],[Classification]]="Income",Table830[[#This Row],[Classification]]="Cost of Goods Sold"),Table830[[#This Row],[Credit.]]&gt;Table830[[#This Row],[Debit\]]),Table830[[#This Row],[Credit.]]-Table830[[#This Row],[Debit\]],""),"")</f>
        <v/>
      </c>
      <c r="AF128" s="34"/>
      <c r="AG128" s="34" t="str">
        <f>IFERROR(IF(AND(Table830[[#This Row],[Classification]]="Assets",Table830[[#This Row],[Debit\]]-Table830[[#This Row],[Credit.]]),Table830[[#This Row],[Debit\]]-Table830[[#This Row],[Credit.]],""),"")</f>
        <v/>
      </c>
      <c r="AH128" s="34" t="str">
        <f>IFERROR(IF(AND(OR(Table830[[#This Row],[Classification]]="Liabilities",Table830[[#This Row],[Classification]]="Owner´s Equity"),Table830[[#This Row],[Credit.]]&gt;Table830[[#This Row],[Debit\]]),Table830[[#This Row],[Credit.]]-Table830[[#This Row],[Debit\]],""),"")</f>
        <v/>
      </c>
    </row>
    <row r="129" spans="2:34" hidden="1" x14ac:dyDescent="0.25">
      <c r="B129" s="34"/>
      <c r="C129" s="45"/>
      <c r="D129" s="34"/>
      <c r="E129" s="34"/>
      <c r="G129" s="39"/>
      <c r="H129" s="40"/>
      <c r="I129" s="41"/>
      <c r="J129" s="41"/>
      <c r="L129" s="34">
        <v>122</v>
      </c>
      <c r="M129" s="35"/>
      <c r="N129" s="35"/>
      <c r="O129" s="34">
        <f>IFERROR(SUMIF(Table427[,],Table629[[#This Row],[Accounts Name]],Table427[,3]),"")</f>
        <v>0</v>
      </c>
      <c r="P129" s="34">
        <f>IFERROR(SUMIF(Table427[,],Table629[[#This Row],[Accounts Name]],Table427[,2]),"")</f>
        <v>0</v>
      </c>
      <c r="S129" s="36">
        <f t="shared" si="1"/>
        <v>122</v>
      </c>
      <c r="T129" s="34"/>
      <c r="U129" s="37"/>
      <c r="V129" s="34">
        <f>IFERROR(SUMIF(Table629[Sub-Accounts],Table830[[#This Row],[Update your chart of accounts here]],Table629[Debit]),"")</f>
        <v>0</v>
      </c>
      <c r="W129" s="34">
        <f>IFERROR(SUMIF(Table629[Sub-Accounts],Table830[[#This Row],[Update your chart of accounts here]],Table629[Credit]),"")</f>
        <v>0</v>
      </c>
      <c r="X129" s="34"/>
      <c r="Y129" s="34"/>
      <c r="Z129" s="34"/>
      <c r="AA129" s="34"/>
      <c r="AB129" s="34">
        <f>MAX(Table830[[#This Row],[Debit]]+Table830[[#This Row],[Debit -]]-Table830[[#This Row],[Credit]]-Table830[[#This Row],[Credit +]],0)</f>
        <v>0</v>
      </c>
      <c r="AC129" s="34">
        <f>MAX(Table830[[#This Row],[Credit]]-Table830[[#This Row],[Debit]]+Table830[[#This Row],[Credit +]]-Table830[[#This Row],[Debit -]],0)</f>
        <v>0</v>
      </c>
      <c r="AD129" s="34" t="str">
        <f>IFERROR(IF(AND(OR(Table830[[#This Row],[Classification]]="Expense",Table830[[#This Row],[Classification]]="Cost of Goods Sold"),Table830[[#This Row],[Debit\]]&gt;Table830[[#This Row],[Credit.]]),Table830[[#This Row],[Debit\]]-Table830[[#This Row],[Credit.]],""),"")</f>
        <v/>
      </c>
      <c r="AE129" s="34" t="str">
        <f>IFERROR(IF(AND(OR(Table830[[#This Row],[Classification]]="Income",Table830[[#This Row],[Classification]]="Cost of Goods Sold"),Table830[[#This Row],[Credit.]]&gt;Table830[[#This Row],[Debit\]]),Table830[[#This Row],[Credit.]]-Table830[[#This Row],[Debit\]],""),"")</f>
        <v/>
      </c>
      <c r="AF129" s="34"/>
      <c r="AG129" s="34" t="str">
        <f>IFERROR(IF(AND(Table830[[#This Row],[Classification]]="Assets",Table830[[#This Row],[Debit\]]-Table830[[#This Row],[Credit.]]),Table830[[#This Row],[Debit\]]-Table830[[#This Row],[Credit.]],""),"")</f>
        <v/>
      </c>
      <c r="AH129" s="34" t="str">
        <f>IFERROR(IF(AND(OR(Table830[[#This Row],[Classification]]="Liabilities",Table830[[#This Row],[Classification]]="Owner´s Equity"),Table830[[#This Row],[Credit.]]&gt;Table830[[#This Row],[Debit\]]),Table830[[#This Row],[Credit.]]-Table830[[#This Row],[Debit\]],""),"")</f>
        <v/>
      </c>
    </row>
    <row r="130" spans="2:34" hidden="1" x14ac:dyDescent="0.25">
      <c r="B130" s="34"/>
      <c r="C130" s="45"/>
      <c r="D130" s="34"/>
      <c r="E130" s="34"/>
      <c r="G130" s="39"/>
      <c r="H130" s="40"/>
      <c r="I130" s="41"/>
      <c r="J130" s="41"/>
      <c r="L130" s="34">
        <v>123</v>
      </c>
      <c r="M130" s="35"/>
      <c r="N130" s="35"/>
      <c r="O130" s="34">
        <f>IFERROR(SUMIF(Table427[,],Table629[[#This Row],[Accounts Name]],Table427[,3]),"")</f>
        <v>0</v>
      </c>
      <c r="P130" s="34">
        <f>IFERROR(SUMIF(Table427[,],Table629[[#This Row],[Accounts Name]],Table427[,2]),"")</f>
        <v>0</v>
      </c>
      <c r="S130" s="36">
        <f t="shared" si="1"/>
        <v>123</v>
      </c>
      <c r="T130" s="34"/>
      <c r="U130" s="37"/>
      <c r="V130" s="34">
        <f>IFERROR(SUMIF(Table629[Sub-Accounts],Table830[[#This Row],[Update your chart of accounts here]],Table629[Debit]),"")</f>
        <v>0</v>
      </c>
      <c r="W130" s="34">
        <f>IFERROR(SUMIF(Table629[Sub-Accounts],Table830[[#This Row],[Update your chart of accounts here]],Table629[Credit]),"")</f>
        <v>0</v>
      </c>
      <c r="X130" s="34"/>
      <c r="Y130" s="34"/>
      <c r="Z130" s="34"/>
      <c r="AA130" s="34"/>
      <c r="AB130" s="34">
        <f>MAX(Table830[[#This Row],[Debit]]+Table830[[#This Row],[Debit -]]-Table830[[#This Row],[Credit]]-Table830[[#This Row],[Credit +]],0)</f>
        <v>0</v>
      </c>
      <c r="AC130" s="34">
        <f>MAX(Table830[[#This Row],[Credit]]-Table830[[#This Row],[Debit]]+Table830[[#This Row],[Credit +]]-Table830[[#This Row],[Debit -]],0)</f>
        <v>0</v>
      </c>
      <c r="AD130" s="34" t="str">
        <f>IFERROR(IF(AND(OR(Table830[[#This Row],[Classification]]="Expense",Table830[[#This Row],[Classification]]="Cost of Goods Sold"),Table830[[#This Row],[Debit\]]&gt;Table830[[#This Row],[Credit.]]),Table830[[#This Row],[Debit\]]-Table830[[#This Row],[Credit.]],""),"")</f>
        <v/>
      </c>
      <c r="AE130" s="34" t="str">
        <f>IFERROR(IF(AND(OR(Table830[[#This Row],[Classification]]="Income",Table830[[#This Row],[Classification]]="Cost of Goods Sold"),Table830[[#This Row],[Credit.]]&gt;Table830[[#This Row],[Debit\]]),Table830[[#This Row],[Credit.]]-Table830[[#This Row],[Debit\]],""),"")</f>
        <v/>
      </c>
      <c r="AF130" s="34"/>
      <c r="AG130" s="34" t="str">
        <f>IFERROR(IF(AND(Table830[[#This Row],[Classification]]="Assets",Table830[[#This Row],[Debit\]]-Table830[[#This Row],[Credit.]]),Table830[[#This Row],[Debit\]]-Table830[[#This Row],[Credit.]],""),"")</f>
        <v/>
      </c>
      <c r="AH130" s="34" t="str">
        <f>IFERROR(IF(AND(OR(Table830[[#This Row],[Classification]]="Liabilities",Table830[[#This Row],[Classification]]="Owner´s Equity"),Table830[[#This Row],[Credit.]]&gt;Table830[[#This Row],[Debit\]]),Table830[[#This Row],[Credit.]]-Table830[[#This Row],[Debit\]],""),"")</f>
        <v/>
      </c>
    </row>
    <row r="131" spans="2:34" hidden="1" x14ac:dyDescent="0.25">
      <c r="B131" s="34"/>
      <c r="C131" s="45"/>
      <c r="D131" s="34"/>
      <c r="E131" s="34"/>
      <c r="G131" s="39"/>
      <c r="H131" s="43"/>
      <c r="I131" s="41"/>
      <c r="J131" s="41"/>
      <c r="L131" s="34">
        <v>124</v>
      </c>
      <c r="M131" s="35"/>
      <c r="N131" s="35"/>
      <c r="O131" s="34">
        <f>IFERROR(SUMIF(Table427[,],Table629[[#This Row],[Accounts Name]],Table427[,3]),"")</f>
        <v>0</v>
      </c>
      <c r="P131" s="34">
        <f>IFERROR(SUMIF(Table427[,],Table629[[#This Row],[Accounts Name]],Table427[,2]),"")</f>
        <v>0</v>
      </c>
      <c r="S131" s="36">
        <f t="shared" si="1"/>
        <v>124</v>
      </c>
      <c r="T131" s="34"/>
      <c r="U131" s="37"/>
      <c r="V131" s="34">
        <f>IFERROR(SUMIF(Table629[Sub-Accounts],Table830[[#This Row],[Update your chart of accounts here]],Table629[Debit]),"")</f>
        <v>0</v>
      </c>
      <c r="W131" s="34">
        <f>IFERROR(SUMIF(Table629[Sub-Accounts],Table830[[#This Row],[Update your chart of accounts here]],Table629[Credit]),"")</f>
        <v>0</v>
      </c>
      <c r="X131" s="34"/>
      <c r="Y131" s="34"/>
      <c r="Z131" s="34"/>
      <c r="AA131" s="34"/>
      <c r="AB131" s="34">
        <f>MAX(Table830[[#This Row],[Debit]]+Table830[[#This Row],[Debit -]]-Table830[[#This Row],[Credit]]-Table830[[#This Row],[Credit +]],0)</f>
        <v>0</v>
      </c>
      <c r="AC131" s="34">
        <f>MAX(Table830[[#This Row],[Credit]]-Table830[[#This Row],[Debit]]+Table830[[#This Row],[Credit +]]-Table830[[#This Row],[Debit -]],0)</f>
        <v>0</v>
      </c>
      <c r="AD131" s="34" t="str">
        <f>IFERROR(IF(AND(OR(Table830[[#This Row],[Classification]]="Expense",Table830[[#This Row],[Classification]]="Cost of Goods Sold"),Table830[[#This Row],[Debit\]]&gt;Table830[[#This Row],[Credit.]]),Table830[[#This Row],[Debit\]]-Table830[[#This Row],[Credit.]],""),"")</f>
        <v/>
      </c>
      <c r="AE131" s="34" t="str">
        <f>IFERROR(IF(AND(OR(Table830[[#This Row],[Classification]]="Income",Table830[[#This Row],[Classification]]="Cost of Goods Sold"),Table830[[#This Row],[Credit.]]&gt;Table830[[#This Row],[Debit\]]),Table830[[#This Row],[Credit.]]-Table830[[#This Row],[Debit\]],""),"")</f>
        <v/>
      </c>
      <c r="AF131" s="34"/>
      <c r="AG131" s="34" t="str">
        <f>IFERROR(IF(AND(Table830[[#This Row],[Classification]]="Assets",Table830[[#This Row],[Debit\]]-Table830[[#This Row],[Credit.]]),Table830[[#This Row],[Debit\]]-Table830[[#This Row],[Credit.]],""),"")</f>
        <v/>
      </c>
      <c r="AH131" s="34" t="str">
        <f>IFERROR(IF(AND(OR(Table830[[#This Row],[Classification]]="Liabilities",Table830[[#This Row],[Classification]]="Owner´s Equity"),Table830[[#This Row],[Credit.]]&gt;Table830[[#This Row],[Debit\]]),Table830[[#This Row],[Credit.]]-Table830[[#This Row],[Debit\]],""),"")</f>
        <v/>
      </c>
    </row>
    <row r="132" spans="2:34" hidden="1" x14ac:dyDescent="0.25">
      <c r="B132" s="34"/>
      <c r="C132" s="45"/>
      <c r="D132" s="34"/>
      <c r="E132" s="34"/>
      <c r="G132" s="39"/>
      <c r="H132" s="40"/>
      <c r="I132" s="41"/>
      <c r="J132" s="41"/>
      <c r="L132" s="34">
        <v>125</v>
      </c>
      <c r="M132" s="35"/>
      <c r="N132" s="35"/>
      <c r="O132" s="34">
        <f>IFERROR(SUMIF(Table427[,],Table629[[#This Row],[Accounts Name]],Table427[,3]),"")</f>
        <v>0</v>
      </c>
      <c r="P132" s="34">
        <f>IFERROR(SUMIF(Table427[,],Table629[[#This Row],[Accounts Name]],Table427[,2]),"")</f>
        <v>0</v>
      </c>
      <c r="S132" s="36">
        <f t="shared" si="1"/>
        <v>125</v>
      </c>
      <c r="T132" s="34"/>
      <c r="U132" s="37"/>
      <c r="V132" s="34">
        <f>IFERROR(SUMIF(Table629[Sub-Accounts],Table830[[#This Row],[Update your chart of accounts here]],Table629[Debit]),"")</f>
        <v>0</v>
      </c>
      <c r="W132" s="34">
        <f>IFERROR(SUMIF(Table629[Sub-Accounts],Table830[[#This Row],[Update your chart of accounts here]],Table629[Credit]),"")</f>
        <v>0</v>
      </c>
      <c r="X132" s="34"/>
      <c r="Y132" s="34"/>
      <c r="Z132" s="34"/>
      <c r="AA132" s="34"/>
      <c r="AB132" s="34">
        <f>MAX(Table830[[#This Row],[Debit]]+Table830[[#This Row],[Debit -]]-Table830[[#This Row],[Credit]]-Table830[[#This Row],[Credit +]],0)</f>
        <v>0</v>
      </c>
      <c r="AC132" s="34">
        <f>MAX(Table830[[#This Row],[Credit]]-Table830[[#This Row],[Debit]]+Table830[[#This Row],[Credit +]]-Table830[[#This Row],[Debit -]],0)</f>
        <v>0</v>
      </c>
      <c r="AD132" s="34" t="str">
        <f>IFERROR(IF(AND(OR(Table830[[#This Row],[Classification]]="Expense",Table830[[#This Row],[Classification]]="Cost of Goods Sold"),Table830[[#This Row],[Debit\]]&gt;Table830[[#This Row],[Credit.]]),Table830[[#This Row],[Debit\]]-Table830[[#This Row],[Credit.]],""),"")</f>
        <v/>
      </c>
      <c r="AE132" s="34" t="str">
        <f>IFERROR(IF(AND(OR(Table830[[#This Row],[Classification]]="Income",Table830[[#This Row],[Classification]]="Cost of Goods Sold"),Table830[[#This Row],[Credit.]]&gt;Table830[[#This Row],[Debit\]]),Table830[[#This Row],[Credit.]]-Table830[[#This Row],[Debit\]],""),"")</f>
        <v/>
      </c>
      <c r="AF132" s="34"/>
      <c r="AG132" s="34" t="str">
        <f>IFERROR(IF(AND(Table830[[#This Row],[Classification]]="Assets",Table830[[#This Row],[Debit\]]-Table830[[#This Row],[Credit.]]),Table830[[#This Row],[Debit\]]-Table830[[#This Row],[Credit.]],""),"")</f>
        <v/>
      </c>
      <c r="AH132" s="34" t="str">
        <f>IFERROR(IF(AND(OR(Table830[[#This Row],[Classification]]="Liabilities",Table830[[#This Row],[Classification]]="Owner´s Equity"),Table830[[#This Row],[Credit.]]&gt;Table830[[#This Row],[Debit\]]),Table830[[#This Row],[Credit.]]-Table830[[#This Row],[Debit\]],""),"")</f>
        <v/>
      </c>
    </row>
    <row r="133" spans="2:34" hidden="1" x14ac:dyDescent="0.25">
      <c r="B133" s="34"/>
      <c r="C133" s="45"/>
      <c r="D133" s="34"/>
      <c r="E133" s="34"/>
      <c r="G133" s="39"/>
      <c r="H133" s="40"/>
      <c r="I133" s="41"/>
      <c r="J133" s="41"/>
      <c r="L133" s="34">
        <v>126</v>
      </c>
      <c r="M133" s="35"/>
      <c r="N133" s="35"/>
      <c r="O133" s="34">
        <f>IFERROR(SUMIF(Table427[,],Table629[[#This Row],[Accounts Name]],Table427[,3]),"")</f>
        <v>0</v>
      </c>
      <c r="P133" s="34">
        <f>IFERROR(SUMIF(Table427[,],Table629[[#This Row],[Accounts Name]],Table427[,2]),"")</f>
        <v>0</v>
      </c>
      <c r="S133" s="36">
        <f t="shared" si="1"/>
        <v>126</v>
      </c>
      <c r="T133" s="34"/>
      <c r="U133" s="37"/>
      <c r="V133" s="34">
        <f>IFERROR(SUMIF(Table629[Sub-Accounts],Table830[[#This Row],[Update your chart of accounts here]],Table629[Debit]),"")</f>
        <v>0</v>
      </c>
      <c r="W133" s="34">
        <f>IFERROR(SUMIF(Table629[Sub-Accounts],Table830[[#This Row],[Update your chart of accounts here]],Table629[Credit]),"")</f>
        <v>0</v>
      </c>
      <c r="X133" s="34"/>
      <c r="Y133" s="34"/>
      <c r="Z133" s="34"/>
      <c r="AA133" s="34"/>
      <c r="AB133" s="34">
        <f>MAX(Table830[[#This Row],[Debit]]+Table830[[#This Row],[Debit -]]-Table830[[#This Row],[Credit]]-Table830[[#This Row],[Credit +]],0)</f>
        <v>0</v>
      </c>
      <c r="AC133" s="34">
        <f>MAX(Table830[[#This Row],[Credit]]-Table830[[#This Row],[Debit]]+Table830[[#This Row],[Credit +]]-Table830[[#This Row],[Debit -]],0)</f>
        <v>0</v>
      </c>
      <c r="AD133" s="34" t="str">
        <f>IFERROR(IF(AND(OR(Table830[[#This Row],[Classification]]="Expense",Table830[[#This Row],[Classification]]="Cost of Goods Sold"),Table830[[#This Row],[Debit\]]&gt;Table830[[#This Row],[Credit.]]),Table830[[#This Row],[Debit\]]-Table830[[#This Row],[Credit.]],""),"")</f>
        <v/>
      </c>
      <c r="AE133" s="34" t="str">
        <f>IFERROR(IF(AND(OR(Table830[[#This Row],[Classification]]="Income",Table830[[#This Row],[Classification]]="Cost of Goods Sold"),Table830[[#This Row],[Credit.]]&gt;Table830[[#This Row],[Debit\]]),Table830[[#This Row],[Credit.]]-Table830[[#This Row],[Debit\]],""),"")</f>
        <v/>
      </c>
      <c r="AF133" s="34"/>
      <c r="AG133" s="34" t="str">
        <f>IFERROR(IF(AND(Table830[[#This Row],[Classification]]="Assets",Table830[[#This Row],[Debit\]]-Table830[[#This Row],[Credit.]]),Table830[[#This Row],[Debit\]]-Table830[[#This Row],[Credit.]],""),"")</f>
        <v/>
      </c>
      <c r="AH133" s="34" t="str">
        <f>IFERROR(IF(AND(OR(Table830[[#This Row],[Classification]]="Liabilities",Table830[[#This Row],[Classification]]="Owner´s Equity"),Table830[[#This Row],[Credit.]]&gt;Table830[[#This Row],[Debit\]]),Table830[[#This Row],[Credit.]]-Table830[[#This Row],[Debit\]],""),"")</f>
        <v/>
      </c>
    </row>
    <row r="134" spans="2:34" hidden="1" x14ac:dyDescent="0.25">
      <c r="B134" s="34"/>
      <c r="C134" s="45"/>
      <c r="D134" s="34"/>
      <c r="E134" s="34"/>
      <c r="G134" s="39"/>
      <c r="H134" s="43"/>
      <c r="I134" s="41"/>
      <c r="J134" s="41"/>
      <c r="L134" s="34">
        <v>127</v>
      </c>
      <c r="M134" s="35"/>
      <c r="N134" s="35"/>
      <c r="O134" s="34">
        <f>IFERROR(SUMIF(Table427[,],Table629[[#This Row],[Accounts Name]],Table427[,3]),"")</f>
        <v>0</v>
      </c>
      <c r="P134" s="34">
        <f>IFERROR(SUMIF(Table427[,],Table629[[#This Row],[Accounts Name]],Table427[,2]),"")</f>
        <v>0</v>
      </c>
      <c r="S134" s="36">
        <f t="shared" si="1"/>
        <v>127</v>
      </c>
      <c r="T134" s="34"/>
      <c r="U134" s="37"/>
      <c r="V134" s="34">
        <f>IFERROR(SUMIF(Table629[Sub-Accounts],Table830[[#This Row],[Update your chart of accounts here]],Table629[Debit]),"")</f>
        <v>0</v>
      </c>
      <c r="W134" s="34">
        <f>IFERROR(SUMIF(Table629[Sub-Accounts],Table830[[#This Row],[Update your chart of accounts here]],Table629[Credit]),"")</f>
        <v>0</v>
      </c>
      <c r="X134" s="34"/>
      <c r="Y134" s="34"/>
      <c r="Z134" s="34"/>
      <c r="AA134" s="34"/>
      <c r="AB134" s="34">
        <f>MAX(Table830[[#This Row],[Debit]]+Table830[[#This Row],[Debit -]]-Table830[[#This Row],[Credit]]-Table830[[#This Row],[Credit +]],0)</f>
        <v>0</v>
      </c>
      <c r="AC134" s="34">
        <f>MAX(Table830[[#This Row],[Credit]]-Table830[[#This Row],[Debit]]+Table830[[#This Row],[Credit +]]-Table830[[#This Row],[Debit -]],0)</f>
        <v>0</v>
      </c>
      <c r="AD134" s="34" t="str">
        <f>IFERROR(IF(AND(OR(Table830[[#This Row],[Classification]]="Expense",Table830[[#This Row],[Classification]]="Cost of Goods Sold"),Table830[[#This Row],[Debit\]]&gt;Table830[[#This Row],[Credit.]]),Table830[[#This Row],[Debit\]]-Table830[[#This Row],[Credit.]],""),"")</f>
        <v/>
      </c>
      <c r="AE134" s="34" t="str">
        <f>IFERROR(IF(AND(OR(Table830[[#This Row],[Classification]]="Income",Table830[[#This Row],[Classification]]="Cost of Goods Sold"),Table830[[#This Row],[Credit.]]&gt;Table830[[#This Row],[Debit\]]),Table830[[#This Row],[Credit.]]-Table830[[#This Row],[Debit\]],""),"")</f>
        <v/>
      </c>
      <c r="AF134" s="34"/>
      <c r="AG134" s="34" t="str">
        <f>IFERROR(IF(AND(Table830[[#This Row],[Classification]]="Assets",Table830[[#This Row],[Debit\]]-Table830[[#This Row],[Credit.]]),Table830[[#This Row],[Debit\]]-Table830[[#This Row],[Credit.]],""),"")</f>
        <v/>
      </c>
      <c r="AH134" s="34" t="str">
        <f>IFERROR(IF(AND(OR(Table830[[#This Row],[Classification]]="Liabilities",Table830[[#This Row],[Classification]]="Owner´s Equity"),Table830[[#This Row],[Credit.]]&gt;Table830[[#This Row],[Debit\]]),Table830[[#This Row],[Credit.]]-Table830[[#This Row],[Debit\]],""),"")</f>
        <v/>
      </c>
    </row>
    <row r="135" spans="2:34" hidden="1" x14ac:dyDescent="0.25">
      <c r="B135" s="34"/>
      <c r="C135" s="45"/>
      <c r="D135" s="34"/>
      <c r="E135" s="34"/>
      <c r="G135" s="39"/>
      <c r="H135" s="40"/>
      <c r="I135" s="41"/>
      <c r="J135" s="41"/>
      <c r="L135" s="34">
        <v>128</v>
      </c>
      <c r="M135" s="35"/>
      <c r="N135" s="35"/>
      <c r="O135" s="34">
        <f>IFERROR(SUMIF(Table427[,],Table629[[#This Row],[Accounts Name]],Table427[,3]),"")</f>
        <v>0</v>
      </c>
      <c r="P135" s="34">
        <f>IFERROR(SUMIF(Table427[,],Table629[[#This Row],[Accounts Name]],Table427[,2]),"")</f>
        <v>0</v>
      </c>
      <c r="S135" s="36">
        <f t="shared" si="1"/>
        <v>128</v>
      </c>
      <c r="T135" s="34"/>
      <c r="U135" s="37"/>
      <c r="V135" s="34">
        <f>IFERROR(SUMIF(Table629[Sub-Accounts],Table830[[#This Row],[Update your chart of accounts here]],Table629[Debit]),"")</f>
        <v>0</v>
      </c>
      <c r="W135" s="34">
        <f>IFERROR(SUMIF(Table629[Sub-Accounts],Table830[[#This Row],[Update your chart of accounts here]],Table629[Credit]),"")</f>
        <v>0</v>
      </c>
      <c r="X135" s="34"/>
      <c r="Y135" s="34"/>
      <c r="Z135" s="34"/>
      <c r="AA135" s="34"/>
      <c r="AB135" s="34">
        <f>MAX(Table830[[#This Row],[Debit]]+Table830[[#This Row],[Debit -]]-Table830[[#This Row],[Credit]]-Table830[[#This Row],[Credit +]],0)</f>
        <v>0</v>
      </c>
      <c r="AC135" s="34">
        <f>MAX(Table830[[#This Row],[Credit]]-Table830[[#This Row],[Debit]]+Table830[[#This Row],[Credit +]]-Table830[[#This Row],[Debit -]],0)</f>
        <v>0</v>
      </c>
      <c r="AD135" s="34" t="str">
        <f>IFERROR(IF(AND(OR(Table830[[#This Row],[Classification]]="Expense",Table830[[#This Row],[Classification]]="Cost of Goods Sold"),Table830[[#This Row],[Debit\]]&gt;Table830[[#This Row],[Credit.]]),Table830[[#This Row],[Debit\]]-Table830[[#This Row],[Credit.]],""),"")</f>
        <v/>
      </c>
      <c r="AE135" s="34" t="str">
        <f>IFERROR(IF(AND(OR(Table830[[#This Row],[Classification]]="Income",Table830[[#This Row],[Classification]]="Cost of Goods Sold"),Table830[[#This Row],[Credit.]]&gt;Table830[[#This Row],[Debit\]]),Table830[[#This Row],[Credit.]]-Table830[[#This Row],[Debit\]],""),"")</f>
        <v/>
      </c>
      <c r="AF135" s="34"/>
      <c r="AG135" s="34" t="str">
        <f>IFERROR(IF(AND(Table830[[#This Row],[Classification]]="Assets",Table830[[#This Row],[Debit\]]-Table830[[#This Row],[Credit.]]),Table830[[#This Row],[Debit\]]-Table830[[#This Row],[Credit.]],""),"")</f>
        <v/>
      </c>
      <c r="AH135" s="34" t="str">
        <f>IFERROR(IF(AND(OR(Table830[[#This Row],[Classification]]="Liabilities",Table830[[#This Row],[Classification]]="Owner´s Equity"),Table830[[#This Row],[Credit.]]&gt;Table830[[#This Row],[Debit\]]),Table830[[#This Row],[Credit.]]-Table830[[#This Row],[Debit\]],""),"")</f>
        <v/>
      </c>
    </row>
    <row r="136" spans="2:34" hidden="1" x14ac:dyDescent="0.25">
      <c r="B136" s="34"/>
      <c r="C136" s="45"/>
      <c r="D136" s="34"/>
      <c r="E136" s="34"/>
      <c r="G136" s="39"/>
      <c r="H136" s="40"/>
      <c r="I136" s="41"/>
      <c r="J136" s="41"/>
      <c r="L136" s="34">
        <v>129</v>
      </c>
      <c r="M136" s="35"/>
      <c r="N136" s="35"/>
      <c r="O136" s="34">
        <f>IFERROR(SUMIF(Table427[,],Table629[[#This Row],[Accounts Name]],Table427[,3]),"")</f>
        <v>0</v>
      </c>
      <c r="P136" s="34">
        <f>IFERROR(SUMIF(Table427[,],Table629[[#This Row],[Accounts Name]],Table427[,2]),"")</f>
        <v>0</v>
      </c>
      <c r="S136" s="36">
        <f t="shared" si="1"/>
        <v>129</v>
      </c>
      <c r="T136" s="34"/>
      <c r="U136" s="37"/>
      <c r="V136" s="34">
        <f>IFERROR(SUMIF(Table629[Sub-Accounts],Table830[[#This Row],[Update your chart of accounts here]],Table629[Debit]),"")</f>
        <v>0</v>
      </c>
      <c r="W136" s="34">
        <f>IFERROR(SUMIF(Table629[Sub-Accounts],Table830[[#This Row],[Update your chart of accounts here]],Table629[Credit]),"")</f>
        <v>0</v>
      </c>
      <c r="X136" s="34"/>
      <c r="Y136" s="34"/>
      <c r="Z136" s="34"/>
      <c r="AA136" s="34"/>
      <c r="AB136" s="34">
        <f>MAX(Table830[[#This Row],[Debit]]+Table830[[#This Row],[Debit -]]-Table830[[#This Row],[Credit]]-Table830[[#This Row],[Credit +]],0)</f>
        <v>0</v>
      </c>
      <c r="AC136" s="34">
        <f>MAX(Table830[[#This Row],[Credit]]-Table830[[#This Row],[Debit]]+Table830[[#This Row],[Credit +]]-Table830[[#This Row],[Debit -]],0)</f>
        <v>0</v>
      </c>
      <c r="AD136" s="34" t="str">
        <f>IFERROR(IF(AND(OR(Table830[[#This Row],[Classification]]="Expense",Table830[[#This Row],[Classification]]="Cost of Goods Sold"),Table830[[#This Row],[Debit\]]&gt;Table830[[#This Row],[Credit.]]),Table830[[#This Row],[Debit\]]-Table830[[#This Row],[Credit.]],""),"")</f>
        <v/>
      </c>
      <c r="AE136" s="34" t="str">
        <f>IFERROR(IF(AND(OR(Table830[[#This Row],[Classification]]="Income",Table830[[#This Row],[Classification]]="Cost of Goods Sold"),Table830[[#This Row],[Credit.]]&gt;Table830[[#This Row],[Debit\]]),Table830[[#This Row],[Credit.]]-Table830[[#This Row],[Debit\]],""),"")</f>
        <v/>
      </c>
      <c r="AF136" s="34"/>
      <c r="AG136" s="34" t="str">
        <f>IFERROR(IF(AND(Table830[[#This Row],[Classification]]="Assets",Table830[[#This Row],[Debit\]]-Table830[[#This Row],[Credit.]]),Table830[[#This Row],[Debit\]]-Table830[[#This Row],[Credit.]],""),"")</f>
        <v/>
      </c>
      <c r="AH136" s="34" t="str">
        <f>IFERROR(IF(AND(OR(Table830[[#This Row],[Classification]]="Liabilities",Table830[[#This Row],[Classification]]="Owner´s Equity"),Table830[[#This Row],[Credit.]]&gt;Table830[[#This Row],[Debit\]]),Table830[[#This Row],[Credit.]]-Table830[[#This Row],[Debit\]],""),"")</f>
        <v/>
      </c>
    </row>
    <row r="137" spans="2:34" hidden="1" x14ac:dyDescent="0.25">
      <c r="B137" s="34"/>
      <c r="C137" s="45"/>
      <c r="D137" s="34"/>
      <c r="E137" s="34"/>
      <c r="G137" s="39"/>
      <c r="H137" s="43"/>
      <c r="I137" s="41"/>
      <c r="J137" s="41"/>
      <c r="L137" s="34">
        <v>130</v>
      </c>
      <c r="M137" s="35"/>
      <c r="N137" s="35"/>
      <c r="O137" s="34">
        <f>IFERROR(SUMIF(Table427[,],Table629[[#This Row],[Accounts Name]],Table427[,3]),"")</f>
        <v>0</v>
      </c>
      <c r="P137" s="34">
        <f>IFERROR(SUMIF(Table427[,],Table629[[#This Row],[Accounts Name]],Table427[,2]),"")</f>
        <v>0</v>
      </c>
      <c r="S137" s="36">
        <f t="shared" si="1"/>
        <v>130</v>
      </c>
      <c r="T137" s="34"/>
      <c r="U137" s="37"/>
      <c r="V137" s="34">
        <f>IFERROR(SUMIF(Table629[Sub-Accounts],Table830[[#This Row],[Update your chart of accounts here]],Table629[Debit]),"")</f>
        <v>0</v>
      </c>
      <c r="W137" s="34">
        <f>IFERROR(SUMIF(Table629[Sub-Accounts],Table830[[#This Row],[Update your chart of accounts here]],Table629[Credit]),"")</f>
        <v>0</v>
      </c>
      <c r="X137" s="34"/>
      <c r="Y137" s="34"/>
      <c r="Z137" s="34"/>
      <c r="AA137" s="34"/>
      <c r="AB137" s="34">
        <f>MAX(Table830[[#This Row],[Debit]]+Table830[[#This Row],[Debit -]]-Table830[[#This Row],[Credit]]-Table830[[#This Row],[Credit +]],0)</f>
        <v>0</v>
      </c>
      <c r="AC137" s="34">
        <f>MAX(Table830[[#This Row],[Credit]]-Table830[[#This Row],[Debit]]+Table830[[#This Row],[Credit +]]-Table830[[#This Row],[Debit -]],0)</f>
        <v>0</v>
      </c>
      <c r="AD137" s="34" t="str">
        <f>IFERROR(IF(AND(OR(Table830[[#This Row],[Classification]]="Expense",Table830[[#This Row],[Classification]]="Cost of Goods Sold"),Table830[[#This Row],[Debit\]]&gt;Table830[[#This Row],[Credit.]]),Table830[[#This Row],[Debit\]]-Table830[[#This Row],[Credit.]],""),"")</f>
        <v/>
      </c>
      <c r="AE137" s="34" t="str">
        <f>IFERROR(IF(AND(OR(Table830[[#This Row],[Classification]]="Income",Table830[[#This Row],[Classification]]="Cost of Goods Sold"),Table830[[#This Row],[Credit.]]&gt;Table830[[#This Row],[Debit\]]),Table830[[#This Row],[Credit.]]-Table830[[#This Row],[Debit\]],""),"")</f>
        <v/>
      </c>
      <c r="AF137" s="34"/>
      <c r="AG137" s="34" t="str">
        <f>IFERROR(IF(AND(Table830[[#This Row],[Classification]]="Assets",Table830[[#This Row],[Debit\]]-Table830[[#This Row],[Credit.]]),Table830[[#This Row],[Debit\]]-Table830[[#This Row],[Credit.]],""),"")</f>
        <v/>
      </c>
      <c r="AH137" s="34" t="str">
        <f>IFERROR(IF(AND(OR(Table830[[#This Row],[Classification]]="Liabilities",Table830[[#This Row],[Classification]]="Owner´s Equity"),Table830[[#This Row],[Credit.]]&gt;Table830[[#This Row],[Debit\]]),Table830[[#This Row],[Credit.]]-Table830[[#This Row],[Debit\]],""),"")</f>
        <v/>
      </c>
    </row>
    <row r="138" spans="2:34" hidden="1" x14ac:dyDescent="0.25">
      <c r="B138" s="34"/>
      <c r="C138" s="45"/>
      <c r="D138" s="34"/>
      <c r="E138" s="34"/>
      <c r="G138" s="39"/>
      <c r="H138" s="40"/>
      <c r="I138" s="41"/>
      <c r="J138" s="41"/>
      <c r="L138" s="34">
        <v>131</v>
      </c>
      <c r="M138" s="35"/>
      <c r="N138" s="35"/>
      <c r="O138" s="34">
        <f>IFERROR(SUMIF(Table427[,],Table629[[#This Row],[Accounts Name]],Table427[,3]),"")</f>
        <v>0</v>
      </c>
      <c r="P138" s="34">
        <f>IFERROR(SUMIF(Table427[,],Table629[[#This Row],[Accounts Name]],Table427[,2]),"")</f>
        <v>0</v>
      </c>
      <c r="S138" s="36">
        <f t="shared" ref="S138:S200" si="2">S137+1</f>
        <v>131</v>
      </c>
      <c r="T138" s="34"/>
      <c r="U138" s="37"/>
      <c r="V138" s="34">
        <f>IFERROR(SUMIF(Table629[Sub-Accounts],Table830[[#This Row],[Update your chart of accounts here]],Table629[Debit]),"")</f>
        <v>0</v>
      </c>
      <c r="W138" s="34">
        <f>IFERROR(SUMIF(Table629[Sub-Accounts],Table830[[#This Row],[Update your chart of accounts here]],Table629[Credit]),"")</f>
        <v>0</v>
      </c>
      <c r="X138" s="34"/>
      <c r="Y138" s="34"/>
      <c r="Z138" s="34"/>
      <c r="AA138" s="34"/>
      <c r="AB138" s="34">
        <f>MAX(Table830[[#This Row],[Debit]]+Table830[[#This Row],[Debit -]]-Table830[[#This Row],[Credit]]-Table830[[#This Row],[Credit +]],0)</f>
        <v>0</v>
      </c>
      <c r="AC138" s="34">
        <f>MAX(Table830[[#This Row],[Credit]]-Table830[[#This Row],[Debit]]+Table830[[#This Row],[Credit +]]-Table830[[#This Row],[Debit -]],0)</f>
        <v>0</v>
      </c>
      <c r="AD138" s="34" t="str">
        <f>IFERROR(IF(AND(OR(Table830[[#This Row],[Classification]]="Expense",Table830[[#This Row],[Classification]]="Cost of Goods Sold"),Table830[[#This Row],[Debit\]]&gt;Table830[[#This Row],[Credit.]]),Table830[[#This Row],[Debit\]]-Table830[[#This Row],[Credit.]],""),"")</f>
        <v/>
      </c>
      <c r="AE138" s="34" t="str">
        <f>IFERROR(IF(AND(OR(Table830[[#This Row],[Classification]]="Income",Table830[[#This Row],[Classification]]="Cost of Goods Sold"),Table830[[#This Row],[Credit.]]&gt;Table830[[#This Row],[Debit\]]),Table830[[#This Row],[Credit.]]-Table830[[#This Row],[Debit\]],""),"")</f>
        <v/>
      </c>
      <c r="AF138" s="34"/>
      <c r="AG138" s="34" t="str">
        <f>IFERROR(IF(AND(Table830[[#This Row],[Classification]]="Assets",Table830[[#This Row],[Debit\]]-Table830[[#This Row],[Credit.]]),Table830[[#This Row],[Debit\]]-Table830[[#This Row],[Credit.]],""),"")</f>
        <v/>
      </c>
      <c r="AH138" s="34" t="str">
        <f>IFERROR(IF(AND(OR(Table830[[#This Row],[Classification]]="Liabilities",Table830[[#This Row],[Classification]]="Owner´s Equity"),Table830[[#This Row],[Credit.]]&gt;Table830[[#This Row],[Debit\]]),Table830[[#This Row],[Credit.]]-Table830[[#This Row],[Debit\]],""),"")</f>
        <v/>
      </c>
    </row>
    <row r="139" spans="2:34" hidden="1" x14ac:dyDescent="0.25">
      <c r="B139" s="34"/>
      <c r="C139" s="45"/>
      <c r="D139" s="34"/>
      <c r="E139" s="34"/>
      <c r="G139" s="39"/>
      <c r="H139" s="40"/>
      <c r="I139" s="41"/>
      <c r="J139" s="41"/>
      <c r="L139" s="34">
        <v>132</v>
      </c>
      <c r="M139" s="35"/>
      <c r="N139" s="35"/>
      <c r="O139" s="34">
        <f>IFERROR(SUMIF(Table427[,],Table629[[#This Row],[Accounts Name]],Table427[,3]),"")</f>
        <v>0</v>
      </c>
      <c r="P139" s="34">
        <f>IFERROR(SUMIF(Table427[,],Table629[[#This Row],[Accounts Name]],Table427[,2]),"")</f>
        <v>0</v>
      </c>
      <c r="S139" s="36">
        <f t="shared" si="2"/>
        <v>132</v>
      </c>
      <c r="T139" s="34"/>
      <c r="U139" s="37"/>
      <c r="V139" s="34">
        <f>IFERROR(SUMIF(Table629[Sub-Accounts],Table830[[#This Row],[Update your chart of accounts here]],Table629[Debit]),"")</f>
        <v>0</v>
      </c>
      <c r="W139" s="34">
        <f>IFERROR(SUMIF(Table629[Sub-Accounts],Table830[[#This Row],[Update your chart of accounts here]],Table629[Credit]),"")</f>
        <v>0</v>
      </c>
      <c r="X139" s="34"/>
      <c r="Y139" s="34"/>
      <c r="Z139" s="34"/>
      <c r="AA139" s="34"/>
      <c r="AB139" s="34">
        <f>MAX(Table830[[#This Row],[Debit]]+Table830[[#This Row],[Debit -]]-Table830[[#This Row],[Credit]]-Table830[[#This Row],[Credit +]],0)</f>
        <v>0</v>
      </c>
      <c r="AC139" s="34">
        <f>MAX(Table830[[#This Row],[Credit]]-Table830[[#This Row],[Debit]]+Table830[[#This Row],[Credit +]]-Table830[[#This Row],[Debit -]],0)</f>
        <v>0</v>
      </c>
      <c r="AD139" s="34" t="str">
        <f>IFERROR(IF(AND(OR(Table830[[#This Row],[Classification]]="Expense",Table830[[#This Row],[Classification]]="Cost of Goods Sold"),Table830[[#This Row],[Debit\]]&gt;Table830[[#This Row],[Credit.]]),Table830[[#This Row],[Debit\]]-Table830[[#This Row],[Credit.]],""),"")</f>
        <v/>
      </c>
      <c r="AE139" s="34" t="str">
        <f>IFERROR(IF(AND(OR(Table830[[#This Row],[Classification]]="Income",Table830[[#This Row],[Classification]]="Cost of Goods Sold"),Table830[[#This Row],[Credit.]]&gt;Table830[[#This Row],[Debit\]]),Table830[[#This Row],[Credit.]]-Table830[[#This Row],[Debit\]],""),"")</f>
        <v/>
      </c>
      <c r="AF139" s="34"/>
      <c r="AG139" s="34" t="str">
        <f>IFERROR(IF(AND(Table830[[#This Row],[Classification]]="Assets",Table830[[#This Row],[Debit\]]-Table830[[#This Row],[Credit.]]),Table830[[#This Row],[Debit\]]-Table830[[#This Row],[Credit.]],""),"")</f>
        <v/>
      </c>
      <c r="AH139" s="34" t="str">
        <f>IFERROR(IF(AND(OR(Table830[[#This Row],[Classification]]="Liabilities",Table830[[#This Row],[Classification]]="Owner´s Equity"),Table830[[#This Row],[Credit.]]&gt;Table830[[#This Row],[Debit\]]),Table830[[#This Row],[Credit.]]-Table830[[#This Row],[Debit\]],""),"")</f>
        <v/>
      </c>
    </row>
    <row r="140" spans="2:34" hidden="1" x14ac:dyDescent="0.25">
      <c r="B140" s="34"/>
      <c r="C140" s="45"/>
      <c r="D140" s="34"/>
      <c r="E140" s="34"/>
      <c r="G140" s="39"/>
      <c r="H140" s="43"/>
      <c r="I140" s="41"/>
      <c r="J140" s="41"/>
      <c r="L140" s="34">
        <v>133</v>
      </c>
      <c r="M140" s="35"/>
      <c r="N140" s="35"/>
      <c r="O140" s="34">
        <f>IFERROR(SUMIF(Table427[,],Table629[[#This Row],[Accounts Name]],Table427[,3]),"")</f>
        <v>0</v>
      </c>
      <c r="P140" s="34">
        <f>IFERROR(SUMIF(Table427[,],Table629[[#This Row],[Accounts Name]],Table427[,2]),"")</f>
        <v>0</v>
      </c>
      <c r="S140" s="36">
        <f t="shared" si="2"/>
        <v>133</v>
      </c>
      <c r="T140" s="34"/>
      <c r="U140" s="37"/>
      <c r="V140" s="34">
        <f>IFERROR(SUMIF(Table629[Sub-Accounts],Table830[[#This Row],[Update your chart of accounts here]],Table629[Debit]),"")</f>
        <v>0</v>
      </c>
      <c r="W140" s="34">
        <f>IFERROR(SUMIF(Table629[Sub-Accounts],Table830[[#This Row],[Update your chart of accounts here]],Table629[Credit]),"")</f>
        <v>0</v>
      </c>
      <c r="X140" s="34"/>
      <c r="Y140" s="34"/>
      <c r="Z140" s="34"/>
      <c r="AA140" s="34"/>
      <c r="AB140" s="34">
        <f>MAX(Table830[[#This Row],[Debit]]+Table830[[#This Row],[Debit -]]-Table830[[#This Row],[Credit]]-Table830[[#This Row],[Credit +]],0)</f>
        <v>0</v>
      </c>
      <c r="AC140" s="34">
        <f>MAX(Table830[[#This Row],[Credit]]-Table830[[#This Row],[Debit]]+Table830[[#This Row],[Credit +]]-Table830[[#This Row],[Debit -]],0)</f>
        <v>0</v>
      </c>
      <c r="AD140" s="34" t="str">
        <f>IFERROR(IF(AND(OR(Table830[[#This Row],[Classification]]="Expense",Table830[[#This Row],[Classification]]="Cost of Goods Sold"),Table830[[#This Row],[Debit\]]&gt;Table830[[#This Row],[Credit.]]),Table830[[#This Row],[Debit\]]-Table830[[#This Row],[Credit.]],""),"")</f>
        <v/>
      </c>
      <c r="AE140" s="34" t="str">
        <f>IFERROR(IF(AND(OR(Table830[[#This Row],[Classification]]="Income",Table830[[#This Row],[Classification]]="Cost of Goods Sold"),Table830[[#This Row],[Credit.]]&gt;Table830[[#This Row],[Debit\]]),Table830[[#This Row],[Credit.]]-Table830[[#This Row],[Debit\]],""),"")</f>
        <v/>
      </c>
      <c r="AF140" s="34"/>
      <c r="AG140" s="34" t="str">
        <f>IFERROR(IF(AND(Table830[[#This Row],[Classification]]="Assets",Table830[[#This Row],[Debit\]]-Table830[[#This Row],[Credit.]]),Table830[[#This Row],[Debit\]]-Table830[[#This Row],[Credit.]],""),"")</f>
        <v/>
      </c>
      <c r="AH140" s="34" t="str">
        <f>IFERROR(IF(AND(OR(Table830[[#This Row],[Classification]]="Liabilities",Table830[[#This Row],[Classification]]="Owner´s Equity"),Table830[[#This Row],[Credit.]]&gt;Table830[[#This Row],[Debit\]]),Table830[[#This Row],[Credit.]]-Table830[[#This Row],[Debit\]],""),"")</f>
        <v/>
      </c>
    </row>
    <row r="141" spans="2:34" hidden="1" x14ac:dyDescent="0.25">
      <c r="B141" s="34"/>
      <c r="C141" s="45"/>
      <c r="D141" s="34"/>
      <c r="E141" s="34"/>
      <c r="G141" s="39"/>
      <c r="H141" s="40"/>
      <c r="I141" s="41"/>
      <c r="J141" s="41"/>
      <c r="L141" s="34">
        <v>134</v>
      </c>
      <c r="M141" s="35"/>
      <c r="N141" s="35"/>
      <c r="O141" s="34">
        <f>IFERROR(SUMIF(Table427[,],Table629[[#This Row],[Accounts Name]],Table427[,3]),"")</f>
        <v>0</v>
      </c>
      <c r="P141" s="34">
        <f>IFERROR(SUMIF(Table427[,],Table629[[#This Row],[Accounts Name]],Table427[,2]),"")</f>
        <v>0</v>
      </c>
      <c r="S141" s="36">
        <f t="shared" si="2"/>
        <v>134</v>
      </c>
      <c r="T141" s="34"/>
      <c r="U141" s="37"/>
      <c r="V141" s="34">
        <f>IFERROR(SUMIF(Table629[Sub-Accounts],Table830[[#This Row],[Update your chart of accounts here]],Table629[Debit]),"")</f>
        <v>0</v>
      </c>
      <c r="W141" s="34">
        <f>IFERROR(SUMIF(Table629[Sub-Accounts],Table830[[#This Row],[Update your chart of accounts here]],Table629[Credit]),"")</f>
        <v>0</v>
      </c>
      <c r="X141" s="34"/>
      <c r="Y141" s="34"/>
      <c r="Z141" s="34"/>
      <c r="AA141" s="34"/>
      <c r="AB141" s="34">
        <f>MAX(Table830[[#This Row],[Debit]]+Table830[[#This Row],[Debit -]]-Table830[[#This Row],[Credit]]-Table830[[#This Row],[Credit +]],0)</f>
        <v>0</v>
      </c>
      <c r="AC141" s="34">
        <f>MAX(Table830[[#This Row],[Credit]]-Table830[[#This Row],[Debit]]+Table830[[#This Row],[Credit +]]-Table830[[#This Row],[Debit -]],0)</f>
        <v>0</v>
      </c>
      <c r="AD141" s="34" t="str">
        <f>IFERROR(IF(AND(OR(Table830[[#This Row],[Classification]]="Expense",Table830[[#This Row],[Classification]]="Cost of Goods Sold"),Table830[[#This Row],[Debit\]]&gt;Table830[[#This Row],[Credit.]]),Table830[[#This Row],[Debit\]]-Table830[[#This Row],[Credit.]],""),"")</f>
        <v/>
      </c>
      <c r="AE141" s="34" t="str">
        <f>IFERROR(IF(AND(OR(Table830[[#This Row],[Classification]]="Income",Table830[[#This Row],[Classification]]="Cost of Goods Sold"),Table830[[#This Row],[Credit.]]&gt;Table830[[#This Row],[Debit\]]),Table830[[#This Row],[Credit.]]-Table830[[#This Row],[Debit\]],""),"")</f>
        <v/>
      </c>
      <c r="AF141" s="34"/>
      <c r="AG141" s="34" t="str">
        <f>IFERROR(IF(AND(Table830[[#This Row],[Classification]]="Assets",Table830[[#This Row],[Debit\]]-Table830[[#This Row],[Credit.]]),Table830[[#This Row],[Debit\]]-Table830[[#This Row],[Credit.]],""),"")</f>
        <v/>
      </c>
      <c r="AH141" s="34" t="str">
        <f>IFERROR(IF(AND(OR(Table830[[#This Row],[Classification]]="Liabilities",Table830[[#This Row],[Classification]]="Owner´s Equity"),Table830[[#This Row],[Credit.]]&gt;Table830[[#This Row],[Debit\]]),Table830[[#This Row],[Credit.]]-Table830[[#This Row],[Debit\]],""),"")</f>
        <v/>
      </c>
    </row>
    <row r="142" spans="2:34" hidden="1" x14ac:dyDescent="0.25">
      <c r="B142" s="34"/>
      <c r="C142" s="45"/>
      <c r="D142" s="34"/>
      <c r="E142" s="34"/>
      <c r="G142" s="39"/>
      <c r="H142" s="40"/>
      <c r="I142" s="41"/>
      <c r="J142" s="41"/>
      <c r="L142" s="34">
        <v>135</v>
      </c>
      <c r="M142" s="35"/>
      <c r="N142" s="35"/>
      <c r="O142" s="34">
        <f>IFERROR(SUMIF(Table427[,],Table629[[#This Row],[Accounts Name]],Table427[,3]),"")</f>
        <v>0</v>
      </c>
      <c r="P142" s="34">
        <f>IFERROR(SUMIF(Table427[,],Table629[[#This Row],[Accounts Name]],Table427[,2]),"")</f>
        <v>0</v>
      </c>
      <c r="S142" s="36">
        <f t="shared" si="2"/>
        <v>135</v>
      </c>
      <c r="T142" s="34"/>
      <c r="U142" s="37"/>
      <c r="V142" s="34">
        <f>IFERROR(SUMIF(Table629[Sub-Accounts],Table830[[#This Row],[Update your chart of accounts here]],Table629[Debit]),"")</f>
        <v>0</v>
      </c>
      <c r="W142" s="34">
        <f>IFERROR(SUMIF(Table629[Sub-Accounts],Table830[[#This Row],[Update your chart of accounts here]],Table629[Credit]),"")</f>
        <v>0</v>
      </c>
      <c r="X142" s="34"/>
      <c r="Y142" s="34"/>
      <c r="Z142" s="34"/>
      <c r="AA142" s="34"/>
      <c r="AB142" s="34">
        <f>MAX(Table830[[#This Row],[Debit]]+Table830[[#This Row],[Debit -]]-Table830[[#This Row],[Credit]]-Table830[[#This Row],[Credit +]],0)</f>
        <v>0</v>
      </c>
      <c r="AC142" s="34">
        <f>MAX(Table830[[#This Row],[Credit]]-Table830[[#This Row],[Debit]]+Table830[[#This Row],[Credit +]]-Table830[[#This Row],[Debit -]],0)</f>
        <v>0</v>
      </c>
      <c r="AD142" s="34" t="str">
        <f>IFERROR(IF(AND(OR(Table830[[#This Row],[Classification]]="Expense",Table830[[#This Row],[Classification]]="Cost of Goods Sold"),Table830[[#This Row],[Debit\]]&gt;Table830[[#This Row],[Credit.]]),Table830[[#This Row],[Debit\]]-Table830[[#This Row],[Credit.]],""),"")</f>
        <v/>
      </c>
      <c r="AE142" s="34" t="str">
        <f>IFERROR(IF(AND(OR(Table830[[#This Row],[Classification]]="Income",Table830[[#This Row],[Classification]]="Cost of Goods Sold"),Table830[[#This Row],[Credit.]]&gt;Table830[[#This Row],[Debit\]]),Table830[[#This Row],[Credit.]]-Table830[[#This Row],[Debit\]],""),"")</f>
        <v/>
      </c>
      <c r="AF142" s="34"/>
      <c r="AG142" s="34" t="str">
        <f>IFERROR(IF(AND(Table830[[#This Row],[Classification]]="Assets",Table830[[#This Row],[Debit\]]-Table830[[#This Row],[Credit.]]),Table830[[#This Row],[Debit\]]-Table830[[#This Row],[Credit.]],""),"")</f>
        <v/>
      </c>
      <c r="AH142" s="34" t="str">
        <f>IFERROR(IF(AND(OR(Table830[[#This Row],[Classification]]="Liabilities",Table830[[#This Row],[Classification]]="Owner´s Equity"),Table830[[#This Row],[Credit.]]&gt;Table830[[#This Row],[Debit\]]),Table830[[#This Row],[Credit.]]-Table830[[#This Row],[Debit\]],""),"")</f>
        <v/>
      </c>
    </row>
    <row r="143" spans="2:34" hidden="1" x14ac:dyDescent="0.25">
      <c r="B143" s="34"/>
      <c r="C143" s="45"/>
      <c r="D143" s="34"/>
      <c r="E143" s="34"/>
      <c r="G143" s="39"/>
      <c r="H143" s="43"/>
      <c r="I143" s="41"/>
      <c r="J143" s="41"/>
      <c r="L143" s="34">
        <v>136</v>
      </c>
      <c r="M143" s="35"/>
      <c r="N143" s="35"/>
      <c r="O143" s="34">
        <f>IFERROR(SUMIF(Table427[,],Table629[[#This Row],[Accounts Name]],Table427[,3]),"")</f>
        <v>0</v>
      </c>
      <c r="P143" s="34">
        <f>IFERROR(SUMIF(Table427[,],Table629[[#This Row],[Accounts Name]],Table427[,2]),"")</f>
        <v>0</v>
      </c>
      <c r="S143" s="36">
        <f t="shared" si="2"/>
        <v>136</v>
      </c>
      <c r="T143" s="34"/>
      <c r="U143" s="37"/>
      <c r="V143" s="34">
        <f>IFERROR(SUMIF(Table629[Sub-Accounts],Table830[[#This Row],[Update your chart of accounts here]],Table629[Debit]),"")</f>
        <v>0</v>
      </c>
      <c r="W143" s="34">
        <f>IFERROR(SUMIF(Table629[Sub-Accounts],Table830[[#This Row],[Update your chart of accounts here]],Table629[Credit]),"")</f>
        <v>0</v>
      </c>
      <c r="X143" s="34"/>
      <c r="Y143" s="34"/>
      <c r="Z143" s="34"/>
      <c r="AA143" s="34"/>
      <c r="AB143" s="34">
        <f>MAX(Table830[[#This Row],[Debit]]+Table830[[#This Row],[Debit -]]-Table830[[#This Row],[Credit]]-Table830[[#This Row],[Credit +]],0)</f>
        <v>0</v>
      </c>
      <c r="AC143" s="34">
        <f>MAX(Table830[[#This Row],[Credit]]-Table830[[#This Row],[Debit]]+Table830[[#This Row],[Credit +]]-Table830[[#This Row],[Debit -]],0)</f>
        <v>0</v>
      </c>
      <c r="AD143" s="34" t="str">
        <f>IFERROR(IF(AND(OR(Table830[[#This Row],[Classification]]="Expense",Table830[[#This Row],[Classification]]="Cost of Goods Sold"),Table830[[#This Row],[Debit\]]&gt;Table830[[#This Row],[Credit.]]),Table830[[#This Row],[Debit\]]-Table830[[#This Row],[Credit.]],""),"")</f>
        <v/>
      </c>
      <c r="AE143" s="34" t="str">
        <f>IFERROR(IF(AND(OR(Table830[[#This Row],[Classification]]="Income",Table830[[#This Row],[Classification]]="Cost of Goods Sold"),Table830[[#This Row],[Credit.]]&gt;Table830[[#This Row],[Debit\]]),Table830[[#This Row],[Credit.]]-Table830[[#This Row],[Debit\]],""),"")</f>
        <v/>
      </c>
      <c r="AF143" s="34"/>
      <c r="AG143" s="34" t="str">
        <f>IFERROR(IF(AND(Table830[[#This Row],[Classification]]="Assets",Table830[[#This Row],[Debit\]]-Table830[[#This Row],[Credit.]]),Table830[[#This Row],[Debit\]]-Table830[[#This Row],[Credit.]],""),"")</f>
        <v/>
      </c>
      <c r="AH143" s="34" t="str">
        <f>IFERROR(IF(AND(OR(Table830[[#This Row],[Classification]]="Liabilities",Table830[[#This Row],[Classification]]="Owner´s Equity"),Table830[[#This Row],[Credit.]]&gt;Table830[[#This Row],[Debit\]]),Table830[[#This Row],[Credit.]]-Table830[[#This Row],[Debit\]],""),"")</f>
        <v/>
      </c>
    </row>
    <row r="144" spans="2:34" hidden="1" x14ac:dyDescent="0.25">
      <c r="B144" s="34"/>
      <c r="C144" s="45"/>
      <c r="D144" s="34"/>
      <c r="E144" s="34"/>
      <c r="G144" s="39"/>
      <c r="H144" s="40"/>
      <c r="I144" s="41"/>
      <c r="J144" s="41"/>
      <c r="L144" s="34">
        <v>137</v>
      </c>
      <c r="M144" s="35"/>
      <c r="N144" s="35"/>
      <c r="O144" s="34">
        <f>IFERROR(SUMIF(Table427[,],Table629[[#This Row],[Accounts Name]],Table427[,3]),"")</f>
        <v>0</v>
      </c>
      <c r="P144" s="34">
        <f>IFERROR(SUMIF(Table427[,],Table629[[#This Row],[Accounts Name]],Table427[,2]),"")</f>
        <v>0</v>
      </c>
      <c r="S144" s="36">
        <f t="shared" si="2"/>
        <v>137</v>
      </c>
      <c r="T144" s="34"/>
      <c r="U144" s="37"/>
      <c r="V144" s="34">
        <f>IFERROR(SUMIF(Table629[Sub-Accounts],Table830[[#This Row],[Update your chart of accounts here]],Table629[Debit]),"")</f>
        <v>0</v>
      </c>
      <c r="W144" s="34">
        <f>IFERROR(SUMIF(Table629[Sub-Accounts],Table830[[#This Row],[Update your chart of accounts here]],Table629[Credit]),"")</f>
        <v>0</v>
      </c>
      <c r="X144" s="34"/>
      <c r="Y144" s="34"/>
      <c r="Z144" s="34"/>
      <c r="AA144" s="34"/>
      <c r="AB144" s="34">
        <f>MAX(Table830[[#This Row],[Debit]]+Table830[[#This Row],[Debit -]]-Table830[[#This Row],[Credit]]-Table830[[#This Row],[Credit +]],0)</f>
        <v>0</v>
      </c>
      <c r="AC144" s="34">
        <f>MAX(Table830[[#This Row],[Credit]]-Table830[[#This Row],[Debit]]+Table830[[#This Row],[Credit +]]-Table830[[#This Row],[Debit -]],0)</f>
        <v>0</v>
      </c>
      <c r="AD144" s="34" t="str">
        <f>IFERROR(IF(AND(OR(Table830[[#This Row],[Classification]]="Expense",Table830[[#This Row],[Classification]]="Cost of Goods Sold"),Table830[[#This Row],[Debit\]]&gt;Table830[[#This Row],[Credit.]]),Table830[[#This Row],[Debit\]]-Table830[[#This Row],[Credit.]],""),"")</f>
        <v/>
      </c>
      <c r="AE144" s="34" t="str">
        <f>IFERROR(IF(AND(OR(Table830[[#This Row],[Classification]]="Income",Table830[[#This Row],[Classification]]="Cost of Goods Sold"),Table830[[#This Row],[Credit.]]&gt;Table830[[#This Row],[Debit\]]),Table830[[#This Row],[Credit.]]-Table830[[#This Row],[Debit\]],""),"")</f>
        <v/>
      </c>
      <c r="AF144" s="34"/>
      <c r="AG144" s="34" t="str">
        <f>IFERROR(IF(AND(Table830[[#This Row],[Classification]]="Assets",Table830[[#This Row],[Debit\]]-Table830[[#This Row],[Credit.]]),Table830[[#This Row],[Debit\]]-Table830[[#This Row],[Credit.]],""),"")</f>
        <v/>
      </c>
      <c r="AH144" s="34" t="str">
        <f>IFERROR(IF(AND(OR(Table830[[#This Row],[Classification]]="Liabilities",Table830[[#This Row],[Classification]]="Owner´s Equity"),Table830[[#This Row],[Credit.]]&gt;Table830[[#This Row],[Debit\]]),Table830[[#This Row],[Credit.]]-Table830[[#This Row],[Debit\]],""),"")</f>
        <v/>
      </c>
    </row>
    <row r="145" spans="2:34" hidden="1" x14ac:dyDescent="0.25">
      <c r="B145" s="34"/>
      <c r="C145" s="45"/>
      <c r="D145" s="34"/>
      <c r="E145" s="34"/>
      <c r="G145" s="39"/>
      <c r="H145" s="40"/>
      <c r="I145" s="41"/>
      <c r="J145" s="41"/>
      <c r="L145" s="34">
        <v>138</v>
      </c>
      <c r="M145" s="35"/>
      <c r="N145" s="35"/>
      <c r="O145" s="34">
        <f>IFERROR(SUMIF(Table427[,],Table629[[#This Row],[Accounts Name]],Table427[,3]),"")</f>
        <v>0</v>
      </c>
      <c r="P145" s="34">
        <f>IFERROR(SUMIF(Table427[,],Table629[[#This Row],[Accounts Name]],Table427[,2]),"")</f>
        <v>0</v>
      </c>
      <c r="S145" s="36">
        <f t="shared" si="2"/>
        <v>138</v>
      </c>
      <c r="T145" s="34"/>
      <c r="U145" s="37"/>
      <c r="V145" s="34">
        <f>IFERROR(SUMIF(Table629[Sub-Accounts],Table830[[#This Row],[Update your chart of accounts here]],Table629[Debit]),"")</f>
        <v>0</v>
      </c>
      <c r="W145" s="34">
        <f>IFERROR(SUMIF(Table629[Sub-Accounts],Table830[[#This Row],[Update your chart of accounts here]],Table629[Credit]),"")</f>
        <v>0</v>
      </c>
      <c r="X145" s="34"/>
      <c r="Y145" s="34"/>
      <c r="Z145" s="34"/>
      <c r="AA145" s="34"/>
      <c r="AB145" s="34">
        <f>MAX(Table830[[#This Row],[Debit]]+Table830[[#This Row],[Debit -]]-Table830[[#This Row],[Credit]]-Table830[[#This Row],[Credit +]],0)</f>
        <v>0</v>
      </c>
      <c r="AC145" s="34">
        <f>MAX(Table830[[#This Row],[Credit]]-Table830[[#This Row],[Debit]]+Table830[[#This Row],[Credit +]]-Table830[[#This Row],[Debit -]],0)</f>
        <v>0</v>
      </c>
      <c r="AD145" s="34" t="str">
        <f>IFERROR(IF(AND(OR(Table830[[#This Row],[Classification]]="Expense",Table830[[#This Row],[Classification]]="Cost of Goods Sold"),Table830[[#This Row],[Debit\]]&gt;Table830[[#This Row],[Credit.]]),Table830[[#This Row],[Debit\]]-Table830[[#This Row],[Credit.]],""),"")</f>
        <v/>
      </c>
      <c r="AE145" s="34" t="str">
        <f>IFERROR(IF(AND(OR(Table830[[#This Row],[Classification]]="Income",Table830[[#This Row],[Classification]]="Cost of Goods Sold"),Table830[[#This Row],[Credit.]]&gt;Table830[[#This Row],[Debit\]]),Table830[[#This Row],[Credit.]]-Table830[[#This Row],[Debit\]],""),"")</f>
        <v/>
      </c>
      <c r="AF145" s="34"/>
      <c r="AG145" s="34" t="str">
        <f>IFERROR(IF(AND(Table830[[#This Row],[Classification]]="Assets",Table830[[#This Row],[Debit\]]-Table830[[#This Row],[Credit.]]),Table830[[#This Row],[Debit\]]-Table830[[#This Row],[Credit.]],""),"")</f>
        <v/>
      </c>
      <c r="AH145" s="34" t="str">
        <f>IFERROR(IF(AND(OR(Table830[[#This Row],[Classification]]="Liabilities",Table830[[#This Row],[Classification]]="Owner´s Equity"),Table830[[#This Row],[Credit.]]&gt;Table830[[#This Row],[Debit\]]),Table830[[#This Row],[Credit.]]-Table830[[#This Row],[Debit\]],""),"")</f>
        <v/>
      </c>
    </row>
    <row r="146" spans="2:34" hidden="1" x14ac:dyDescent="0.25">
      <c r="B146" s="34"/>
      <c r="C146" s="45"/>
      <c r="D146" s="34"/>
      <c r="E146" s="34"/>
      <c r="G146" s="39"/>
      <c r="H146" s="43"/>
      <c r="I146" s="41"/>
      <c r="J146" s="41"/>
      <c r="L146" s="34">
        <v>139</v>
      </c>
      <c r="M146" s="35"/>
      <c r="N146" s="35"/>
      <c r="O146" s="34">
        <f>IFERROR(SUMIF(Table427[,],Table629[[#This Row],[Accounts Name]],Table427[,3]),"")</f>
        <v>0</v>
      </c>
      <c r="P146" s="34">
        <f>IFERROR(SUMIF(Table427[,],Table629[[#This Row],[Accounts Name]],Table427[,2]),"")</f>
        <v>0</v>
      </c>
      <c r="S146" s="36">
        <f t="shared" si="2"/>
        <v>139</v>
      </c>
      <c r="T146" s="34"/>
      <c r="U146" s="37"/>
      <c r="V146" s="34">
        <f>IFERROR(SUMIF(Table629[Sub-Accounts],Table830[[#This Row],[Update your chart of accounts here]],Table629[Debit]),"")</f>
        <v>0</v>
      </c>
      <c r="W146" s="34">
        <f>IFERROR(SUMIF(Table629[Sub-Accounts],Table830[[#This Row],[Update your chart of accounts here]],Table629[Credit]),"")</f>
        <v>0</v>
      </c>
      <c r="X146" s="34"/>
      <c r="Y146" s="34"/>
      <c r="Z146" s="34"/>
      <c r="AA146" s="34"/>
      <c r="AB146" s="34">
        <f>MAX(Table830[[#This Row],[Debit]]+Table830[[#This Row],[Debit -]]-Table830[[#This Row],[Credit]]-Table830[[#This Row],[Credit +]],0)</f>
        <v>0</v>
      </c>
      <c r="AC146" s="34">
        <f>MAX(Table830[[#This Row],[Credit]]-Table830[[#This Row],[Debit]]+Table830[[#This Row],[Credit +]]-Table830[[#This Row],[Debit -]],0)</f>
        <v>0</v>
      </c>
      <c r="AD146" s="34" t="str">
        <f>IFERROR(IF(AND(OR(Table830[[#This Row],[Classification]]="Expense",Table830[[#This Row],[Classification]]="Cost of Goods Sold"),Table830[[#This Row],[Debit\]]&gt;Table830[[#This Row],[Credit.]]),Table830[[#This Row],[Debit\]]-Table830[[#This Row],[Credit.]],""),"")</f>
        <v/>
      </c>
      <c r="AE146" s="34" t="str">
        <f>IFERROR(IF(AND(OR(Table830[[#This Row],[Classification]]="Income",Table830[[#This Row],[Classification]]="Cost of Goods Sold"),Table830[[#This Row],[Credit.]]&gt;Table830[[#This Row],[Debit\]]),Table830[[#This Row],[Credit.]]-Table830[[#This Row],[Debit\]],""),"")</f>
        <v/>
      </c>
      <c r="AF146" s="34"/>
      <c r="AG146" s="34" t="str">
        <f>IFERROR(IF(AND(Table830[[#This Row],[Classification]]="Assets",Table830[[#This Row],[Debit\]]-Table830[[#This Row],[Credit.]]),Table830[[#This Row],[Debit\]]-Table830[[#This Row],[Credit.]],""),"")</f>
        <v/>
      </c>
      <c r="AH146" s="34" t="str">
        <f>IFERROR(IF(AND(OR(Table830[[#This Row],[Classification]]="Liabilities",Table830[[#This Row],[Classification]]="Owner´s Equity"),Table830[[#This Row],[Credit.]]&gt;Table830[[#This Row],[Debit\]]),Table830[[#This Row],[Credit.]]-Table830[[#This Row],[Debit\]],""),"")</f>
        <v/>
      </c>
    </row>
    <row r="147" spans="2:34" hidden="1" x14ac:dyDescent="0.25">
      <c r="B147" s="34"/>
      <c r="C147" s="45"/>
      <c r="D147" s="34"/>
      <c r="E147" s="34"/>
      <c r="G147" s="39"/>
      <c r="H147" s="40"/>
      <c r="I147" s="41"/>
      <c r="J147" s="41"/>
      <c r="L147" s="34">
        <v>140</v>
      </c>
      <c r="M147" s="35"/>
      <c r="N147" s="35"/>
      <c r="O147" s="34">
        <f>IFERROR(SUMIF(Table427[,],Table629[[#This Row],[Accounts Name]],Table427[,3]),"")</f>
        <v>0</v>
      </c>
      <c r="P147" s="34">
        <f>IFERROR(SUMIF(Table427[,],Table629[[#This Row],[Accounts Name]],Table427[,2]),"")</f>
        <v>0</v>
      </c>
      <c r="S147" s="36">
        <f t="shared" si="2"/>
        <v>140</v>
      </c>
      <c r="T147" s="34"/>
      <c r="U147" s="37"/>
      <c r="V147" s="34">
        <f>IFERROR(SUMIF(Table629[Sub-Accounts],Table830[[#This Row],[Update your chart of accounts here]],Table629[Debit]),"")</f>
        <v>0</v>
      </c>
      <c r="W147" s="34">
        <f>IFERROR(SUMIF(Table629[Sub-Accounts],Table830[[#This Row],[Update your chart of accounts here]],Table629[Credit]),"")</f>
        <v>0</v>
      </c>
      <c r="X147" s="34"/>
      <c r="Y147" s="34"/>
      <c r="Z147" s="34"/>
      <c r="AA147" s="34"/>
      <c r="AB147" s="34">
        <f>MAX(Table830[[#This Row],[Debit]]+Table830[[#This Row],[Debit -]]-Table830[[#This Row],[Credit]]-Table830[[#This Row],[Credit +]],0)</f>
        <v>0</v>
      </c>
      <c r="AC147" s="34">
        <f>MAX(Table830[[#This Row],[Credit]]-Table830[[#This Row],[Debit]]+Table830[[#This Row],[Credit +]]-Table830[[#This Row],[Debit -]],0)</f>
        <v>0</v>
      </c>
      <c r="AD147" s="34" t="str">
        <f>IFERROR(IF(AND(OR(Table830[[#This Row],[Classification]]="Expense",Table830[[#This Row],[Classification]]="Cost of Goods Sold"),Table830[[#This Row],[Debit\]]&gt;Table830[[#This Row],[Credit.]]),Table830[[#This Row],[Debit\]]-Table830[[#This Row],[Credit.]],""),"")</f>
        <v/>
      </c>
      <c r="AE147" s="34" t="str">
        <f>IFERROR(IF(AND(OR(Table830[[#This Row],[Classification]]="Income",Table830[[#This Row],[Classification]]="Cost of Goods Sold"),Table830[[#This Row],[Credit.]]&gt;Table830[[#This Row],[Debit\]]),Table830[[#This Row],[Credit.]]-Table830[[#This Row],[Debit\]],""),"")</f>
        <v/>
      </c>
      <c r="AF147" s="34"/>
      <c r="AG147" s="34" t="str">
        <f>IFERROR(IF(AND(Table830[[#This Row],[Classification]]="Assets",Table830[[#This Row],[Debit\]]-Table830[[#This Row],[Credit.]]),Table830[[#This Row],[Debit\]]-Table830[[#This Row],[Credit.]],""),"")</f>
        <v/>
      </c>
      <c r="AH147" s="34" t="str">
        <f>IFERROR(IF(AND(OR(Table830[[#This Row],[Classification]]="Liabilities",Table830[[#This Row],[Classification]]="Owner´s Equity"),Table830[[#This Row],[Credit.]]&gt;Table830[[#This Row],[Debit\]]),Table830[[#This Row],[Credit.]]-Table830[[#This Row],[Debit\]],""),"")</f>
        <v/>
      </c>
    </row>
    <row r="148" spans="2:34" hidden="1" x14ac:dyDescent="0.25">
      <c r="B148" s="34"/>
      <c r="C148" s="45"/>
      <c r="D148" s="34"/>
      <c r="E148" s="34"/>
      <c r="G148" s="39"/>
      <c r="H148" s="40"/>
      <c r="I148" s="41"/>
      <c r="J148" s="41"/>
      <c r="L148" s="34">
        <v>141</v>
      </c>
      <c r="M148" s="35"/>
      <c r="N148" s="35"/>
      <c r="O148" s="34">
        <f>IFERROR(SUMIF(Table427[,],Table629[[#This Row],[Accounts Name]],Table427[,3]),"")</f>
        <v>0</v>
      </c>
      <c r="P148" s="34">
        <f>IFERROR(SUMIF(Table427[,],Table629[[#This Row],[Accounts Name]],Table427[,2]),"")</f>
        <v>0</v>
      </c>
      <c r="S148" s="36">
        <f t="shared" si="2"/>
        <v>141</v>
      </c>
      <c r="T148" s="34"/>
      <c r="U148" s="37"/>
      <c r="V148" s="34">
        <f>IFERROR(SUMIF(Table629[Sub-Accounts],Table830[[#This Row],[Update your chart of accounts here]],Table629[Debit]),"")</f>
        <v>0</v>
      </c>
      <c r="W148" s="34">
        <f>IFERROR(SUMIF(Table629[Sub-Accounts],Table830[[#This Row],[Update your chart of accounts here]],Table629[Credit]),"")</f>
        <v>0</v>
      </c>
      <c r="X148" s="34"/>
      <c r="Y148" s="34"/>
      <c r="Z148" s="34"/>
      <c r="AA148" s="34"/>
      <c r="AB148" s="34">
        <f>MAX(Table830[[#This Row],[Debit]]+Table830[[#This Row],[Debit -]]-Table830[[#This Row],[Credit]]-Table830[[#This Row],[Credit +]],0)</f>
        <v>0</v>
      </c>
      <c r="AC148" s="34">
        <f>MAX(Table830[[#This Row],[Credit]]-Table830[[#This Row],[Debit]]+Table830[[#This Row],[Credit +]]-Table830[[#This Row],[Debit -]],0)</f>
        <v>0</v>
      </c>
      <c r="AD148" s="34" t="str">
        <f>IFERROR(IF(AND(OR(Table830[[#This Row],[Classification]]="Expense",Table830[[#This Row],[Classification]]="Cost of Goods Sold"),Table830[[#This Row],[Debit\]]&gt;Table830[[#This Row],[Credit.]]),Table830[[#This Row],[Debit\]]-Table830[[#This Row],[Credit.]],""),"")</f>
        <v/>
      </c>
      <c r="AE148" s="34" t="str">
        <f>IFERROR(IF(AND(OR(Table830[[#This Row],[Classification]]="Income",Table830[[#This Row],[Classification]]="Cost of Goods Sold"),Table830[[#This Row],[Credit.]]&gt;Table830[[#This Row],[Debit\]]),Table830[[#This Row],[Credit.]]-Table830[[#This Row],[Debit\]],""),"")</f>
        <v/>
      </c>
      <c r="AF148" s="34"/>
      <c r="AG148" s="34" t="str">
        <f>IFERROR(IF(AND(Table830[[#This Row],[Classification]]="Assets",Table830[[#This Row],[Debit\]]-Table830[[#This Row],[Credit.]]),Table830[[#This Row],[Debit\]]-Table830[[#This Row],[Credit.]],""),"")</f>
        <v/>
      </c>
      <c r="AH148" s="34" t="str">
        <f>IFERROR(IF(AND(OR(Table830[[#This Row],[Classification]]="Liabilities",Table830[[#This Row],[Classification]]="Owner´s Equity"),Table830[[#This Row],[Credit.]]&gt;Table830[[#This Row],[Debit\]]),Table830[[#This Row],[Credit.]]-Table830[[#This Row],[Debit\]],""),"")</f>
        <v/>
      </c>
    </row>
    <row r="149" spans="2:34" hidden="1" x14ac:dyDescent="0.25">
      <c r="B149" s="34"/>
      <c r="C149" s="45"/>
      <c r="D149" s="34"/>
      <c r="E149" s="34"/>
      <c r="G149" s="39"/>
      <c r="H149" s="43"/>
      <c r="I149" s="41"/>
      <c r="J149" s="41"/>
      <c r="L149" s="34">
        <v>142</v>
      </c>
      <c r="M149" s="35"/>
      <c r="N149" s="35"/>
      <c r="O149" s="34">
        <f>IFERROR(SUMIF(Table427[,],Table629[[#This Row],[Accounts Name]],Table427[,3]),"")</f>
        <v>0</v>
      </c>
      <c r="P149" s="34">
        <f>IFERROR(SUMIF(Table427[,],Table629[[#This Row],[Accounts Name]],Table427[,2]),"")</f>
        <v>0</v>
      </c>
      <c r="S149" s="36">
        <f t="shared" si="2"/>
        <v>142</v>
      </c>
      <c r="T149" s="34"/>
      <c r="U149" s="37"/>
      <c r="V149" s="34">
        <f>IFERROR(SUMIF(Table629[Sub-Accounts],Table830[[#This Row],[Update your chart of accounts here]],Table629[Debit]),"")</f>
        <v>0</v>
      </c>
      <c r="W149" s="34">
        <f>IFERROR(SUMIF(Table629[Sub-Accounts],Table830[[#This Row],[Update your chart of accounts here]],Table629[Credit]),"")</f>
        <v>0</v>
      </c>
      <c r="X149" s="34"/>
      <c r="Y149" s="34"/>
      <c r="Z149" s="34"/>
      <c r="AA149" s="34"/>
      <c r="AB149" s="34">
        <f>MAX(Table830[[#This Row],[Debit]]+Table830[[#This Row],[Debit -]]-Table830[[#This Row],[Credit]]-Table830[[#This Row],[Credit +]],0)</f>
        <v>0</v>
      </c>
      <c r="AC149" s="34">
        <f>MAX(Table830[[#This Row],[Credit]]-Table830[[#This Row],[Debit]]+Table830[[#This Row],[Credit +]]-Table830[[#This Row],[Debit -]],0)</f>
        <v>0</v>
      </c>
      <c r="AD149" s="34" t="str">
        <f>IFERROR(IF(AND(OR(Table830[[#This Row],[Classification]]="Expense",Table830[[#This Row],[Classification]]="Cost of Goods Sold"),Table830[[#This Row],[Debit\]]&gt;Table830[[#This Row],[Credit.]]),Table830[[#This Row],[Debit\]]-Table830[[#This Row],[Credit.]],""),"")</f>
        <v/>
      </c>
      <c r="AE149" s="34" t="str">
        <f>IFERROR(IF(AND(OR(Table830[[#This Row],[Classification]]="Income",Table830[[#This Row],[Classification]]="Cost of Goods Sold"),Table830[[#This Row],[Credit.]]&gt;Table830[[#This Row],[Debit\]]),Table830[[#This Row],[Credit.]]-Table830[[#This Row],[Debit\]],""),"")</f>
        <v/>
      </c>
      <c r="AF149" s="34"/>
      <c r="AG149" s="34" t="str">
        <f>IFERROR(IF(AND(Table830[[#This Row],[Classification]]="Assets",Table830[[#This Row],[Debit\]]-Table830[[#This Row],[Credit.]]),Table830[[#This Row],[Debit\]]-Table830[[#This Row],[Credit.]],""),"")</f>
        <v/>
      </c>
      <c r="AH149" s="34" t="str">
        <f>IFERROR(IF(AND(OR(Table830[[#This Row],[Classification]]="Liabilities",Table830[[#This Row],[Classification]]="Owner´s Equity"),Table830[[#This Row],[Credit.]]&gt;Table830[[#This Row],[Debit\]]),Table830[[#This Row],[Credit.]]-Table830[[#This Row],[Debit\]],""),"")</f>
        <v/>
      </c>
    </row>
    <row r="150" spans="2:34" hidden="1" x14ac:dyDescent="0.25">
      <c r="B150" s="34"/>
      <c r="C150" s="45"/>
      <c r="D150" s="34"/>
      <c r="E150" s="34"/>
      <c r="G150" s="39"/>
      <c r="H150" s="40"/>
      <c r="I150" s="41"/>
      <c r="J150" s="41"/>
      <c r="L150" s="34">
        <v>143</v>
      </c>
      <c r="M150" s="35"/>
      <c r="N150" s="35"/>
      <c r="O150" s="34">
        <f>IFERROR(SUMIF(Table427[,],Table629[[#This Row],[Accounts Name]],Table427[,3]),"")</f>
        <v>0</v>
      </c>
      <c r="P150" s="34">
        <f>IFERROR(SUMIF(Table427[,],Table629[[#This Row],[Accounts Name]],Table427[,2]),"")</f>
        <v>0</v>
      </c>
      <c r="S150" s="36">
        <f t="shared" si="2"/>
        <v>143</v>
      </c>
      <c r="T150" s="34"/>
      <c r="U150" s="37"/>
      <c r="V150" s="34">
        <f>IFERROR(SUMIF(Table629[Sub-Accounts],Table830[[#This Row],[Update your chart of accounts here]],Table629[Debit]),"")</f>
        <v>0</v>
      </c>
      <c r="W150" s="34">
        <f>IFERROR(SUMIF(Table629[Sub-Accounts],Table830[[#This Row],[Update your chart of accounts here]],Table629[Credit]),"")</f>
        <v>0</v>
      </c>
      <c r="X150" s="34"/>
      <c r="Y150" s="34"/>
      <c r="Z150" s="34"/>
      <c r="AA150" s="34"/>
      <c r="AB150" s="34">
        <f>MAX(Table830[[#This Row],[Debit]]+Table830[[#This Row],[Debit -]]-Table830[[#This Row],[Credit]]-Table830[[#This Row],[Credit +]],0)</f>
        <v>0</v>
      </c>
      <c r="AC150" s="34">
        <f>MAX(Table830[[#This Row],[Credit]]-Table830[[#This Row],[Debit]]+Table830[[#This Row],[Credit +]]-Table830[[#This Row],[Debit -]],0)</f>
        <v>0</v>
      </c>
      <c r="AD150" s="34" t="str">
        <f>IFERROR(IF(AND(OR(Table830[[#This Row],[Classification]]="Expense",Table830[[#This Row],[Classification]]="Cost of Goods Sold"),Table830[[#This Row],[Debit\]]&gt;Table830[[#This Row],[Credit.]]),Table830[[#This Row],[Debit\]]-Table830[[#This Row],[Credit.]],""),"")</f>
        <v/>
      </c>
      <c r="AE150" s="34" t="str">
        <f>IFERROR(IF(AND(OR(Table830[[#This Row],[Classification]]="Income",Table830[[#This Row],[Classification]]="Cost of Goods Sold"),Table830[[#This Row],[Credit.]]&gt;Table830[[#This Row],[Debit\]]),Table830[[#This Row],[Credit.]]-Table830[[#This Row],[Debit\]],""),"")</f>
        <v/>
      </c>
      <c r="AF150" s="34"/>
      <c r="AG150" s="34" t="str">
        <f>IFERROR(IF(AND(Table830[[#This Row],[Classification]]="Assets",Table830[[#This Row],[Debit\]]-Table830[[#This Row],[Credit.]]),Table830[[#This Row],[Debit\]]-Table830[[#This Row],[Credit.]],""),"")</f>
        <v/>
      </c>
      <c r="AH150" s="34" t="str">
        <f>IFERROR(IF(AND(OR(Table830[[#This Row],[Classification]]="Liabilities",Table830[[#This Row],[Classification]]="Owner´s Equity"),Table830[[#This Row],[Credit.]]&gt;Table830[[#This Row],[Debit\]]),Table830[[#This Row],[Credit.]]-Table830[[#This Row],[Debit\]],""),"")</f>
        <v/>
      </c>
    </row>
    <row r="151" spans="2:34" hidden="1" x14ac:dyDescent="0.25">
      <c r="B151" s="34"/>
      <c r="C151" s="45"/>
      <c r="D151" s="34"/>
      <c r="E151" s="34"/>
      <c r="G151" s="39"/>
      <c r="H151" s="40"/>
      <c r="I151" s="41"/>
      <c r="J151" s="41"/>
      <c r="L151" s="34">
        <v>144</v>
      </c>
      <c r="M151" s="35"/>
      <c r="N151" s="35"/>
      <c r="O151" s="34">
        <f>IFERROR(SUMIF(Table427[,],Table629[[#This Row],[Accounts Name]],Table427[,3]),"")</f>
        <v>0</v>
      </c>
      <c r="P151" s="34">
        <f>IFERROR(SUMIF(Table427[,],Table629[[#This Row],[Accounts Name]],Table427[,2]),"")</f>
        <v>0</v>
      </c>
      <c r="S151" s="36">
        <f t="shared" si="2"/>
        <v>144</v>
      </c>
      <c r="T151" s="34"/>
      <c r="U151" s="37"/>
      <c r="V151" s="34">
        <f>IFERROR(SUMIF(Table629[Sub-Accounts],Table830[[#This Row],[Update your chart of accounts here]],Table629[Debit]),"")</f>
        <v>0</v>
      </c>
      <c r="W151" s="34">
        <f>IFERROR(SUMIF(Table629[Sub-Accounts],Table830[[#This Row],[Update your chart of accounts here]],Table629[Credit]),"")</f>
        <v>0</v>
      </c>
      <c r="X151" s="34"/>
      <c r="Y151" s="34"/>
      <c r="Z151" s="34"/>
      <c r="AA151" s="34"/>
      <c r="AB151" s="34">
        <f>MAX(Table830[[#This Row],[Debit]]+Table830[[#This Row],[Debit -]]-Table830[[#This Row],[Credit]]-Table830[[#This Row],[Credit +]],0)</f>
        <v>0</v>
      </c>
      <c r="AC151" s="34">
        <f>MAX(Table830[[#This Row],[Credit]]-Table830[[#This Row],[Debit]]+Table830[[#This Row],[Credit +]]-Table830[[#This Row],[Debit -]],0)</f>
        <v>0</v>
      </c>
      <c r="AD151" s="34" t="str">
        <f>IFERROR(IF(AND(OR(Table830[[#This Row],[Classification]]="Expense",Table830[[#This Row],[Classification]]="Cost of Goods Sold"),Table830[[#This Row],[Debit\]]&gt;Table830[[#This Row],[Credit.]]),Table830[[#This Row],[Debit\]]-Table830[[#This Row],[Credit.]],""),"")</f>
        <v/>
      </c>
      <c r="AE151" s="34" t="str">
        <f>IFERROR(IF(AND(OR(Table830[[#This Row],[Classification]]="Income",Table830[[#This Row],[Classification]]="Cost of Goods Sold"),Table830[[#This Row],[Credit.]]&gt;Table830[[#This Row],[Debit\]]),Table830[[#This Row],[Credit.]]-Table830[[#This Row],[Debit\]],""),"")</f>
        <v/>
      </c>
      <c r="AF151" s="34"/>
      <c r="AG151" s="34" t="str">
        <f>IFERROR(IF(AND(Table830[[#This Row],[Classification]]="Assets",Table830[[#This Row],[Debit\]]-Table830[[#This Row],[Credit.]]),Table830[[#This Row],[Debit\]]-Table830[[#This Row],[Credit.]],""),"")</f>
        <v/>
      </c>
      <c r="AH151" s="34" t="str">
        <f>IFERROR(IF(AND(OR(Table830[[#This Row],[Classification]]="Liabilities",Table830[[#This Row],[Classification]]="Owner´s Equity"),Table830[[#This Row],[Credit.]]&gt;Table830[[#This Row],[Debit\]]),Table830[[#This Row],[Credit.]]-Table830[[#This Row],[Debit\]],""),"")</f>
        <v/>
      </c>
    </row>
    <row r="152" spans="2:34" hidden="1" x14ac:dyDescent="0.25">
      <c r="B152" s="34"/>
      <c r="C152" s="45"/>
      <c r="D152" s="34"/>
      <c r="E152" s="34"/>
      <c r="G152" s="39"/>
      <c r="H152" s="43"/>
      <c r="I152" s="41"/>
      <c r="J152" s="41"/>
      <c r="L152" s="34">
        <v>145</v>
      </c>
      <c r="M152" s="35"/>
      <c r="N152" s="35"/>
      <c r="O152" s="34">
        <f>IFERROR(SUMIF(Table427[,],Table629[[#This Row],[Accounts Name]],Table427[,3]),"")</f>
        <v>0</v>
      </c>
      <c r="P152" s="34">
        <f>IFERROR(SUMIF(Table427[,],Table629[[#This Row],[Accounts Name]],Table427[,2]),"")</f>
        <v>0</v>
      </c>
      <c r="S152" s="36">
        <f t="shared" si="2"/>
        <v>145</v>
      </c>
      <c r="T152" s="34"/>
      <c r="U152" s="37"/>
      <c r="V152" s="34">
        <f>IFERROR(SUMIF(Table629[Sub-Accounts],Table830[[#This Row],[Update your chart of accounts here]],Table629[Debit]),"")</f>
        <v>0</v>
      </c>
      <c r="W152" s="34">
        <f>IFERROR(SUMIF(Table629[Sub-Accounts],Table830[[#This Row],[Update your chart of accounts here]],Table629[Credit]),"")</f>
        <v>0</v>
      </c>
      <c r="X152" s="34"/>
      <c r="Y152" s="34"/>
      <c r="Z152" s="34"/>
      <c r="AA152" s="34"/>
      <c r="AB152" s="34">
        <f>MAX(Table830[[#This Row],[Debit]]+Table830[[#This Row],[Debit -]]-Table830[[#This Row],[Credit]]-Table830[[#This Row],[Credit +]],0)</f>
        <v>0</v>
      </c>
      <c r="AC152" s="34">
        <f>MAX(Table830[[#This Row],[Credit]]-Table830[[#This Row],[Debit]]+Table830[[#This Row],[Credit +]]-Table830[[#This Row],[Debit -]],0)</f>
        <v>0</v>
      </c>
      <c r="AD152" s="34" t="str">
        <f>IFERROR(IF(AND(OR(Table830[[#This Row],[Classification]]="Expense",Table830[[#This Row],[Classification]]="Cost of Goods Sold"),Table830[[#This Row],[Debit\]]&gt;Table830[[#This Row],[Credit.]]),Table830[[#This Row],[Debit\]]-Table830[[#This Row],[Credit.]],""),"")</f>
        <v/>
      </c>
      <c r="AE152" s="34" t="str">
        <f>IFERROR(IF(AND(OR(Table830[[#This Row],[Classification]]="Income",Table830[[#This Row],[Classification]]="Cost of Goods Sold"),Table830[[#This Row],[Credit.]]&gt;Table830[[#This Row],[Debit\]]),Table830[[#This Row],[Credit.]]-Table830[[#This Row],[Debit\]],""),"")</f>
        <v/>
      </c>
      <c r="AF152" s="34"/>
      <c r="AG152" s="34" t="str">
        <f>IFERROR(IF(AND(Table830[[#This Row],[Classification]]="Assets",Table830[[#This Row],[Debit\]]-Table830[[#This Row],[Credit.]]),Table830[[#This Row],[Debit\]]-Table830[[#This Row],[Credit.]],""),"")</f>
        <v/>
      </c>
      <c r="AH152" s="34" t="str">
        <f>IFERROR(IF(AND(OR(Table830[[#This Row],[Classification]]="Liabilities",Table830[[#This Row],[Classification]]="Owner´s Equity"),Table830[[#This Row],[Credit.]]&gt;Table830[[#This Row],[Debit\]]),Table830[[#This Row],[Credit.]]-Table830[[#This Row],[Debit\]],""),"")</f>
        <v/>
      </c>
    </row>
    <row r="153" spans="2:34" hidden="1" x14ac:dyDescent="0.25">
      <c r="B153" s="34"/>
      <c r="C153" s="45"/>
      <c r="D153" s="34"/>
      <c r="E153" s="34"/>
      <c r="G153" s="39"/>
      <c r="H153" s="40"/>
      <c r="I153" s="41"/>
      <c r="J153" s="41"/>
      <c r="L153" s="34">
        <v>146</v>
      </c>
      <c r="M153" s="35"/>
      <c r="N153" s="35"/>
      <c r="O153" s="34">
        <f>IFERROR(SUMIF(Table427[,],Table629[[#This Row],[Accounts Name]],Table427[,3]),"")</f>
        <v>0</v>
      </c>
      <c r="P153" s="34">
        <f>IFERROR(SUMIF(Table427[,],Table629[[#This Row],[Accounts Name]],Table427[,2]),"")</f>
        <v>0</v>
      </c>
      <c r="S153" s="36">
        <f t="shared" si="2"/>
        <v>146</v>
      </c>
      <c r="T153" s="34"/>
      <c r="U153" s="37"/>
      <c r="V153" s="34">
        <f>IFERROR(SUMIF(Table629[Sub-Accounts],Table830[[#This Row],[Update your chart of accounts here]],Table629[Debit]),"")</f>
        <v>0</v>
      </c>
      <c r="W153" s="34">
        <f>IFERROR(SUMIF(Table629[Sub-Accounts],Table830[[#This Row],[Update your chart of accounts here]],Table629[Credit]),"")</f>
        <v>0</v>
      </c>
      <c r="X153" s="34"/>
      <c r="Y153" s="34"/>
      <c r="Z153" s="34"/>
      <c r="AA153" s="34"/>
      <c r="AB153" s="34">
        <f>MAX(Table830[[#This Row],[Debit]]+Table830[[#This Row],[Debit -]]-Table830[[#This Row],[Credit]]-Table830[[#This Row],[Credit +]],0)</f>
        <v>0</v>
      </c>
      <c r="AC153" s="34">
        <f>MAX(Table830[[#This Row],[Credit]]-Table830[[#This Row],[Debit]]+Table830[[#This Row],[Credit +]]-Table830[[#This Row],[Debit -]],0)</f>
        <v>0</v>
      </c>
      <c r="AD153" s="34" t="str">
        <f>IFERROR(IF(AND(OR(Table830[[#This Row],[Classification]]="Expense",Table830[[#This Row],[Classification]]="Cost of Goods Sold"),Table830[[#This Row],[Debit\]]&gt;Table830[[#This Row],[Credit.]]),Table830[[#This Row],[Debit\]]-Table830[[#This Row],[Credit.]],""),"")</f>
        <v/>
      </c>
      <c r="AE153" s="34" t="str">
        <f>IFERROR(IF(AND(OR(Table830[[#This Row],[Classification]]="Income",Table830[[#This Row],[Classification]]="Cost of Goods Sold"),Table830[[#This Row],[Credit.]]&gt;Table830[[#This Row],[Debit\]]),Table830[[#This Row],[Credit.]]-Table830[[#This Row],[Debit\]],""),"")</f>
        <v/>
      </c>
      <c r="AF153" s="34"/>
      <c r="AG153" s="34" t="str">
        <f>IFERROR(IF(AND(Table830[[#This Row],[Classification]]="Assets",Table830[[#This Row],[Debit\]]-Table830[[#This Row],[Credit.]]),Table830[[#This Row],[Debit\]]-Table830[[#This Row],[Credit.]],""),"")</f>
        <v/>
      </c>
      <c r="AH153" s="34" t="str">
        <f>IFERROR(IF(AND(OR(Table830[[#This Row],[Classification]]="Liabilities",Table830[[#This Row],[Classification]]="Owner´s Equity"),Table830[[#This Row],[Credit.]]&gt;Table830[[#This Row],[Debit\]]),Table830[[#This Row],[Credit.]]-Table830[[#This Row],[Debit\]],""),"")</f>
        <v/>
      </c>
    </row>
    <row r="154" spans="2:34" hidden="1" x14ac:dyDescent="0.25">
      <c r="B154" s="34"/>
      <c r="C154" s="45"/>
      <c r="D154" s="34"/>
      <c r="E154" s="34"/>
      <c r="G154" s="39"/>
      <c r="H154" s="40"/>
      <c r="I154" s="41"/>
      <c r="J154" s="41"/>
      <c r="L154" s="34">
        <v>147</v>
      </c>
      <c r="M154" s="35"/>
      <c r="N154" s="35"/>
      <c r="O154" s="34">
        <f>IFERROR(SUMIF(Table427[,],Table629[[#This Row],[Accounts Name]],Table427[,3]),"")</f>
        <v>0</v>
      </c>
      <c r="P154" s="34">
        <f>IFERROR(SUMIF(Table427[,],Table629[[#This Row],[Accounts Name]],Table427[,2]),"")</f>
        <v>0</v>
      </c>
      <c r="S154" s="36">
        <f t="shared" si="2"/>
        <v>147</v>
      </c>
      <c r="T154" s="34"/>
      <c r="U154" s="37"/>
      <c r="V154" s="34">
        <f>IFERROR(SUMIF(Table629[Sub-Accounts],Table830[[#This Row],[Update your chart of accounts here]],Table629[Debit]),"")</f>
        <v>0</v>
      </c>
      <c r="W154" s="34">
        <f>IFERROR(SUMIF(Table629[Sub-Accounts],Table830[[#This Row],[Update your chart of accounts here]],Table629[Credit]),"")</f>
        <v>0</v>
      </c>
      <c r="X154" s="34"/>
      <c r="Y154" s="34"/>
      <c r="Z154" s="34"/>
      <c r="AA154" s="34"/>
      <c r="AB154" s="34">
        <f>MAX(Table830[[#This Row],[Debit]]+Table830[[#This Row],[Debit -]]-Table830[[#This Row],[Credit]]-Table830[[#This Row],[Credit +]],0)</f>
        <v>0</v>
      </c>
      <c r="AC154" s="34">
        <f>MAX(Table830[[#This Row],[Credit]]-Table830[[#This Row],[Debit]]+Table830[[#This Row],[Credit +]]-Table830[[#This Row],[Debit -]],0)</f>
        <v>0</v>
      </c>
      <c r="AD154" s="34" t="str">
        <f>IFERROR(IF(AND(OR(Table830[[#This Row],[Classification]]="Expense",Table830[[#This Row],[Classification]]="Cost of Goods Sold"),Table830[[#This Row],[Debit\]]&gt;Table830[[#This Row],[Credit.]]),Table830[[#This Row],[Debit\]]-Table830[[#This Row],[Credit.]],""),"")</f>
        <v/>
      </c>
      <c r="AE154" s="34" t="str">
        <f>IFERROR(IF(AND(OR(Table830[[#This Row],[Classification]]="Income",Table830[[#This Row],[Classification]]="Cost of Goods Sold"),Table830[[#This Row],[Credit.]]&gt;Table830[[#This Row],[Debit\]]),Table830[[#This Row],[Credit.]]-Table830[[#This Row],[Debit\]],""),"")</f>
        <v/>
      </c>
      <c r="AF154" s="34"/>
      <c r="AG154" s="34" t="str">
        <f>IFERROR(IF(AND(Table830[[#This Row],[Classification]]="Assets",Table830[[#This Row],[Debit\]]-Table830[[#This Row],[Credit.]]),Table830[[#This Row],[Debit\]]-Table830[[#This Row],[Credit.]],""),"")</f>
        <v/>
      </c>
      <c r="AH154" s="34" t="str">
        <f>IFERROR(IF(AND(OR(Table830[[#This Row],[Classification]]="Liabilities",Table830[[#This Row],[Classification]]="Owner´s Equity"),Table830[[#This Row],[Credit.]]&gt;Table830[[#This Row],[Debit\]]),Table830[[#This Row],[Credit.]]-Table830[[#This Row],[Debit\]],""),"")</f>
        <v/>
      </c>
    </row>
    <row r="155" spans="2:34" hidden="1" x14ac:dyDescent="0.25">
      <c r="B155" s="34"/>
      <c r="C155" s="45"/>
      <c r="D155" s="34"/>
      <c r="E155" s="34"/>
      <c r="G155" s="39"/>
      <c r="H155" s="43"/>
      <c r="I155" s="41"/>
      <c r="J155" s="41"/>
      <c r="L155" s="34">
        <v>148</v>
      </c>
      <c r="M155" s="35"/>
      <c r="N155" s="35"/>
      <c r="O155" s="34">
        <f>IFERROR(SUMIF(Table427[,],Table629[[#This Row],[Accounts Name]],Table427[,3]),"")</f>
        <v>0</v>
      </c>
      <c r="P155" s="34">
        <f>IFERROR(SUMIF(Table427[,],Table629[[#This Row],[Accounts Name]],Table427[,2]),"")</f>
        <v>0</v>
      </c>
      <c r="S155" s="36">
        <f t="shared" si="2"/>
        <v>148</v>
      </c>
      <c r="T155" s="34"/>
      <c r="U155" s="37"/>
      <c r="V155" s="34">
        <f>IFERROR(SUMIF(Table629[Sub-Accounts],Table830[[#This Row],[Update your chart of accounts here]],Table629[Debit]),"")</f>
        <v>0</v>
      </c>
      <c r="W155" s="34">
        <f>IFERROR(SUMIF(Table629[Sub-Accounts],Table830[[#This Row],[Update your chart of accounts here]],Table629[Credit]),"")</f>
        <v>0</v>
      </c>
      <c r="X155" s="34"/>
      <c r="Y155" s="34"/>
      <c r="Z155" s="34"/>
      <c r="AA155" s="34"/>
      <c r="AB155" s="34">
        <f>MAX(Table830[[#This Row],[Debit]]+Table830[[#This Row],[Debit -]]-Table830[[#This Row],[Credit]]-Table830[[#This Row],[Credit +]],0)</f>
        <v>0</v>
      </c>
      <c r="AC155" s="34">
        <f>MAX(Table830[[#This Row],[Credit]]-Table830[[#This Row],[Debit]]+Table830[[#This Row],[Credit +]]-Table830[[#This Row],[Debit -]],0)</f>
        <v>0</v>
      </c>
      <c r="AD155" s="34" t="str">
        <f>IFERROR(IF(AND(OR(Table830[[#This Row],[Classification]]="Expense",Table830[[#This Row],[Classification]]="Cost of Goods Sold"),Table830[[#This Row],[Debit\]]&gt;Table830[[#This Row],[Credit.]]),Table830[[#This Row],[Debit\]]-Table830[[#This Row],[Credit.]],""),"")</f>
        <v/>
      </c>
      <c r="AE155" s="34" t="str">
        <f>IFERROR(IF(AND(OR(Table830[[#This Row],[Classification]]="Income",Table830[[#This Row],[Classification]]="Cost of Goods Sold"),Table830[[#This Row],[Credit.]]&gt;Table830[[#This Row],[Debit\]]),Table830[[#This Row],[Credit.]]-Table830[[#This Row],[Debit\]],""),"")</f>
        <v/>
      </c>
      <c r="AF155" s="34"/>
      <c r="AG155" s="34" t="str">
        <f>IFERROR(IF(AND(Table830[[#This Row],[Classification]]="Assets",Table830[[#This Row],[Debit\]]-Table830[[#This Row],[Credit.]]),Table830[[#This Row],[Debit\]]-Table830[[#This Row],[Credit.]],""),"")</f>
        <v/>
      </c>
      <c r="AH155" s="34" t="str">
        <f>IFERROR(IF(AND(OR(Table830[[#This Row],[Classification]]="Liabilities",Table830[[#This Row],[Classification]]="Owner´s Equity"),Table830[[#This Row],[Credit.]]&gt;Table830[[#This Row],[Debit\]]),Table830[[#This Row],[Credit.]]-Table830[[#This Row],[Debit\]],""),"")</f>
        <v/>
      </c>
    </row>
    <row r="156" spans="2:34" hidden="1" x14ac:dyDescent="0.25">
      <c r="B156" s="34"/>
      <c r="C156" s="45"/>
      <c r="D156" s="34"/>
      <c r="E156" s="34"/>
      <c r="G156" s="39"/>
      <c r="H156" s="40"/>
      <c r="I156" s="41"/>
      <c r="J156" s="41"/>
      <c r="L156" s="34">
        <v>149</v>
      </c>
      <c r="M156" s="35"/>
      <c r="N156" s="35"/>
      <c r="O156" s="34">
        <f>IFERROR(SUMIF(Table427[,],Table629[[#This Row],[Accounts Name]],Table427[,3]),"")</f>
        <v>0</v>
      </c>
      <c r="P156" s="34">
        <f>IFERROR(SUMIF(Table427[,],Table629[[#This Row],[Accounts Name]],Table427[,2]),"")</f>
        <v>0</v>
      </c>
      <c r="S156" s="36">
        <f t="shared" si="2"/>
        <v>149</v>
      </c>
      <c r="T156" s="34"/>
      <c r="U156" s="37"/>
      <c r="V156" s="34">
        <f>IFERROR(SUMIF(Table629[Sub-Accounts],Table830[[#This Row],[Update your chart of accounts here]],Table629[Debit]),"")</f>
        <v>0</v>
      </c>
      <c r="W156" s="34">
        <f>IFERROR(SUMIF(Table629[Sub-Accounts],Table830[[#This Row],[Update your chart of accounts here]],Table629[Credit]),"")</f>
        <v>0</v>
      </c>
      <c r="X156" s="34"/>
      <c r="Y156" s="34"/>
      <c r="Z156" s="34"/>
      <c r="AA156" s="34"/>
      <c r="AB156" s="34">
        <f>MAX(Table830[[#This Row],[Debit]]+Table830[[#This Row],[Debit -]]-Table830[[#This Row],[Credit]]-Table830[[#This Row],[Credit +]],0)</f>
        <v>0</v>
      </c>
      <c r="AC156" s="34">
        <f>MAX(Table830[[#This Row],[Credit]]-Table830[[#This Row],[Debit]]+Table830[[#This Row],[Credit +]]-Table830[[#This Row],[Debit -]],0)</f>
        <v>0</v>
      </c>
      <c r="AD156" s="34" t="str">
        <f>IFERROR(IF(AND(OR(Table830[[#This Row],[Classification]]="Expense",Table830[[#This Row],[Classification]]="Cost of Goods Sold"),Table830[[#This Row],[Debit\]]&gt;Table830[[#This Row],[Credit.]]),Table830[[#This Row],[Debit\]]-Table830[[#This Row],[Credit.]],""),"")</f>
        <v/>
      </c>
      <c r="AE156" s="34" t="str">
        <f>IFERROR(IF(AND(OR(Table830[[#This Row],[Classification]]="Income",Table830[[#This Row],[Classification]]="Cost of Goods Sold"),Table830[[#This Row],[Credit.]]&gt;Table830[[#This Row],[Debit\]]),Table830[[#This Row],[Credit.]]-Table830[[#This Row],[Debit\]],""),"")</f>
        <v/>
      </c>
      <c r="AF156" s="34"/>
      <c r="AG156" s="34" t="str">
        <f>IFERROR(IF(AND(Table830[[#This Row],[Classification]]="Assets",Table830[[#This Row],[Debit\]]-Table830[[#This Row],[Credit.]]),Table830[[#This Row],[Debit\]]-Table830[[#This Row],[Credit.]],""),"")</f>
        <v/>
      </c>
      <c r="AH156" s="34" t="str">
        <f>IFERROR(IF(AND(OR(Table830[[#This Row],[Classification]]="Liabilities",Table830[[#This Row],[Classification]]="Owner´s Equity"),Table830[[#This Row],[Credit.]]&gt;Table830[[#This Row],[Debit\]]),Table830[[#This Row],[Credit.]]-Table830[[#This Row],[Debit\]],""),"")</f>
        <v/>
      </c>
    </row>
    <row r="157" spans="2:34" hidden="1" x14ac:dyDescent="0.25">
      <c r="B157" s="34"/>
      <c r="C157" s="45"/>
      <c r="D157" s="34"/>
      <c r="E157" s="34"/>
      <c r="G157" s="39"/>
      <c r="H157" s="40"/>
      <c r="I157" s="41"/>
      <c r="J157" s="41"/>
      <c r="L157" s="34">
        <v>150</v>
      </c>
      <c r="M157" s="35"/>
      <c r="N157" s="35"/>
      <c r="O157" s="34">
        <f>IFERROR(SUMIF(Table427[,],Table629[[#This Row],[Accounts Name]],Table427[,3]),"")</f>
        <v>0</v>
      </c>
      <c r="P157" s="34">
        <f>IFERROR(SUMIF(Table427[,],Table629[[#This Row],[Accounts Name]],Table427[,2]),"")</f>
        <v>0</v>
      </c>
      <c r="S157" s="36">
        <f t="shared" si="2"/>
        <v>150</v>
      </c>
      <c r="T157" s="34"/>
      <c r="U157" s="37"/>
      <c r="V157" s="34">
        <f>IFERROR(SUMIF(Table629[Sub-Accounts],Table830[[#This Row],[Update your chart of accounts here]],Table629[Debit]),"")</f>
        <v>0</v>
      </c>
      <c r="W157" s="34">
        <f>IFERROR(SUMIF(Table629[Sub-Accounts],Table830[[#This Row],[Update your chart of accounts here]],Table629[Credit]),"")</f>
        <v>0</v>
      </c>
      <c r="X157" s="34"/>
      <c r="Y157" s="34"/>
      <c r="Z157" s="34"/>
      <c r="AA157" s="34"/>
      <c r="AB157" s="34">
        <f>MAX(Table830[[#This Row],[Debit]]+Table830[[#This Row],[Debit -]]-Table830[[#This Row],[Credit]]-Table830[[#This Row],[Credit +]],0)</f>
        <v>0</v>
      </c>
      <c r="AC157" s="34">
        <f>MAX(Table830[[#This Row],[Credit]]-Table830[[#This Row],[Debit]]+Table830[[#This Row],[Credit +]]-Table830[[#This Row],[Debit -]],0)</f>
        <v>0</v>
      </c>
      <c r="AD157" s="34" t="str">
        <f>IFERROR(IF(AND(OR(Table830[[#This Row],[Classification]]="Expense",Table830[[#This Row],[Classification]]="Cost of Goods Sold"),Table830[[#This Row],[Debit\]]&gt;Table830[[#This Row],[Credit.]]),Table830[[#This Row],[Debit\]]-Table830[[#This Row],[Credit.]],""),"")</f>
        <v/>
      </c>
      <c r="AE157" s="34" t="str">
        <f>IFERROR(IF(AND(OR(Table830[[#This Row],[Classification]]="Income",Table830[[#This Row],[Classification]]="Cost of Goods Sold"),Table830[[#This Row],[Credit.]]&gt;Table830[[#This Row],[Debit\]]),Table830[[#This Row],[Credit.]]-Table830[[#This Row],[Debit\]],""),"")</f>
        <v/>
      </c>
      <c r="AF157" s="34"/>
      <c r="AG157" s="34" t="str">
        <f>IFERROR(IF(AND(Table830[[#This Row],[Classification]]="Assets",Table830[[#This Row],[Debit\]]-Table830[[#This Row],[Credit.]]),Table830[[#This Row],[Debit\]]-Table830[[#This Row],[Credit.]],""),"")</f>
        <v/>
      </c>
      <c r="AH157" s="34" t="str">
        <f>IFERROR(IF(AND(OR(Table830[[#This Row],[Classification]]="Liabilities",Table830[[#This Row],[Classification]]="Owner´s Equity"),Table830[[#This Row],[Credit.]]&gt;Table830[[#This Row],[Debit\]]),Table830[[#This Row],[Credit.]]-Table830[[#This Row],[Debit\]],""),"")</f>
        <v/>
      </c>
    </row>
    <row r="158" spans="2:34" hidden="1" x14ac:dyDescent="0.25">
      <c r="B158" s="34"/>
      <c r="C158" s="45"/>
      <c r="D158" s="34"/>
      <c r="E158" s="34"/>
      <c r="G158" s="39"/>
      <c r="H158" s="43"/>
      <c r="I158" s="41"/>
      <c r="J158" s="41"/>
      <c r="L158" s="34">
        <v>151</v>
      </c>
      <c r="M158" s="35"/>
      <c r="N158" s="35"/>
      <c r="O158" s="34">
        <f>IFERROR(SUMIF(Table427[,],Table629[[#This Row],[Accounts Name]],Table427[,3]),"")</f>
        <v>0</v>
      </c>
      <c r="P158" s="34">
        <f>IFERROR(SUMIF(Table427[,],Table629[[#This Row],[Accounts Name]],Table427[,2]),"")</f>
        <v>0</v>
      </c>
      <c r="S158" s="36">
        <f t="shared" si="2"/>
        <v>151</v>
      </c>
      <c r="T158" s="34"/>
      <c r="U158" s="37"/>
      <c r="V158" s="34">
        <f>IFERROR(SUMIF(Table629[Sub-Accounts],Table830[[#This Row],[Update your chart of accounts here]],Table629[Debit]),"")</f>
        <v>0</v>
      </c>
      <c r="W158" s="34">
        <f>IFERROR(SUMIF(Table629[Sub-Accounts],Table830[[#This Row],[Update your chart of accounts here]],Table629[Credit]),"")</f>
        <v>0</v>
      </c>
      <c r="X158" s="34"/>
      <c r="Y158" s="34"/>
      <c r="Z158" s="34"/>
      <c r="AA158" s="34"/>
      <c r="AB158" s="34">
        <f>MAX(Table830[[#This Row],[Debit]]+Table830[[#This Row],[Debit -]]-Table830[[#This Row],[Credit]]-Table830[[#This Row],[Credit +]],0)</f>
        <v>0</v>
      </c>
      <c r="AC158" s="34">
        <f>MAX(Table830[[#This Row],[Credit]]-Table830[[#This Row],[Debit]]+Table830[[#This Row],[Credit +]]-Table830[[#This Row],[Debit -]],0)</f>
        <v>0</v>
      </c>
      <c r="AD158" s="34" t="str">
        <f>IFERROR(IF(AND(OR(Table830[[#This Row],[Classification]]="Expense",Table830[[#This Row],[Classification]]="Cost of Goods Sold"),Table830[[#This Row],[Debit\]]&gt;Table830[[#This Row],[Credit.]]),Table830[[#This Row],[Debit\]]-Table830[[#This Row],[Credit.]],""),"")</f>
        <v/>
      </c>
      <c r="AE158" s="34" t="str">
        <f>IFERROR(IF(AND(OR(Table830[[#This Row],[Classification]]="Income",Table830[[#This Row],[Classification]]="Cost of Goods Sold"),Table830[[#This Row],[Credit.]]&gt;Table830[[#This Row],[Debit\]]),Table830[[#This Row],[Credit.]]-Table830[[#This Row],[Debit\]],""),"")</f>
        <v/>
      </c>
      <c r="AF158" s="34"/>
      <c r="AG158" s="34" t="str">
        <f>IFERROR(IF(AND(Table830[[#This Row],[Classification]]="Assets",Table830[[#This Row],[Debit\]]-Table830[[#This Row],[Credit.]]),Table830[[#This Row],[Debit\]]-Table830[[#This Row],[Credit.]],""),"")</f>
        <v/>
      </c>
      <c r="AH158" s="34" t="str">
        <f>IFERROR(IF(AND(OR(Table830[[#This Row],[Classification]]="Liabilities",Table830[[#This Row],[Classification]]="Owner´s Equity"),Table830[[#This Row],[Credit.]]&gt;Table830[[#This Row],[Debit\]]),Table830[[#This Row],[Credit.]]-Table830[[#This Row],[Debit\]],""),"")</f>
        <v/>
      </c>
    </row>
    <row r="159" spans="2:34" hidden="1" x14ac:dyDescent="0.25">
      <c r="B159" s="34"/>
      <c r="C159" s="45"/>
      <c r="D159" s="34"/>
      <c r="E159" s="34"/>
      <c r="G159" s="39"/>
      <c r="H159" s="40"/>
      <c r="I159" s="41"/>
      <c r="J159" s="41"/>
      <c r="L159" s="34">
        <v>152</v>
      </c>
      <c r="M159" s="35"/>
      <c r="N159" s="35"/>
      <c r="O159" s="34">
        <f>IFERROR(SUMIF(Table427[,],Table629[[#This Row],[Accounts Name]],Table427[,3]),"")</f>
        <v>0</v>
      </c>
      <c r="P159" s="34">
        <f>IFERROR(SUMIF(Table427[,],Table629[[#This Row],[Accounts Name]],Table427[,2]),"")</f>
        <v>0</v>
      </c>
      <c r="S159" s="36">
        <f t="shared" si="2"/>
        <v>152</v>
      </c>
      <c r="T159" s="34"/>
      <c r="U159" s="37"/>
      <c r="V159" s="34">
        <f>IFERROR(SUMIF(Table629[Sub-Accounts],Table830[[#This Row],[Update your chart of accounts here]],Table629[Debit]),"")</f>
        <v>0</v>
      </c>
      <c r="W159" s="34">
        <f>IFERROR(SUMIF(Table629[Sub-Accounts],Table830[[#This Row],[Update your chart of accounts here]],Table629[Credit]),"")</f>
        <v>0</v>
      </c>
      <c r="X159" s="34"/>
      <c r="Y159" s="34"/>
      <c r="Z159" s="34"/>
      <c r="AA159" s="34"/>
      <c r="AB159" s="34">
        <f>MAX(Table830[[#This Row],[Debit]]+Table830[[#This Row],[Debit -]]-Table830[[#This Row],[Credit]]-Table830[[#This Row],[Credit +]],0)</f>
        <v>0</v>
      </c>
      <c r="AC159" s="34">
        <f>MAX(Table830[[#This Row],[Credit]]-Table830[[#This Row],[Debit]]+Table830[[#This Row],[Credit +]]-Table830[[#This Row],[Debit -]],0)</f>
        <v>0</v>
      </c>
      <c r="AD159" s="34" t="str">
        <f>IFERROR(IF(AND(OR(Table830[[#This Row],[Classification]]="Expense",Table830[[#This Row],[Classification]]="Cost of Goods Sold"),Table830[[#This Row],[Debit\]]&gt;Table830[[#This Row],[Credit.]]),Table830[[#This Row],[Debit\]]-Table830[[#This Row],[Credit.]],""),"")</f>
        <v/>
      </c>
      <c r="AE159" s="34" t="str">
        <f>IFERROR(IF(AND(OR(Table830[[#This Row],[Classification]]="Income",Table830[[#This Row],[Classification]]="Cost of Goods Sold"),Table830[[#This Row],[Credit.]]&gt;Table830[[#This Row],[Debit\]]),Table830[[#This Row],[Credit.]]-Table830[[#This Row],[Debit\]],""),"")</f>
        <v/>
      </c>
      <c r="AF159" s="34"/>
      <c r="AG159" s="34" t="str">
        <f>IFERROR(IF(AND(Table830[[#This Row],[Classification]]="Assets",Table830[[#This Row],[Debit\]]-Table830[[#This Row],[Credit.]]),Table830[[#This Row],[Debit\]]-Table830[[#This Row],[Credit.]],""),"")</f>
        <v/>
      </c>
      <c r="AH159" s="34" t="str">
        <f>IFERROR(IF(AND(OR(Table830[[#This Row],[Classification]]="Liabilities",Table830[[#This Row],[Classification]]="Owner´s Equity"),Table830[[#This Row],[Credit.]]&gt;Table830[[#This Row],[Debit\]]),Table830[[#This Row],[Credit.]]-Table830[[#This Row],[Debit\]],""),"")</f>
        <v/>
      </c>
    </row>
    <row r="160" spans="2:34" hidden="1" x14ac:dyDescent="0.25">
      <c r="B160" s="34"/>
      <c r="C160" s="45"/>
      <c r="D160" s="34"/>
      <c r="E160" s="34"/>
      <c r="G160" s="39"/>
      <c r="H160" s="40"/>
      <c r="I160" s="41"/>
      <c r="J160" s="41"/>
      <c r="L160" s="34">
        <v>153</v>
      </c>
      <c r="M160" s="35"/>
      <c r="N160" s="35"/>
      <c r="O160" s="34">
        <f>IFERROR(SUMIF(Table427[,],Table629[[#This Row],[Accounts Name]],Table427[,3]),"")</f>
        <v>0</v>
      </c>
      <c r="P160" s="34">
        <f>IFERROR(SUMIF(Table427[,],Table629[[#This Row],[Accounts Name]],Table427[,2]),"")</f>
        <v>0</v>
      </c>
      <c r="S160" s="36">
        <f t="shared" si="2"/>
        <v>153</v>
      </c>
      <c r="T160" s="34"/>
      <c r="U160" s="37"/>
      <c r="V160" s="34">
        <f>IFERROR(SUMIF(Table629[Sub-Accounts],Table830[[#This Row],[Update your chart of accounts here]],Table629[Debit]),"")</f>
        <v>0</v>
      </c>
      <c r="W160" s="34">
        <f>IFERROR(SUMIF(Table629[Sub-Accounts],Table830[[#This Row],[Update your chart of accounts here]],Table629[Credit]),"")</f>
        <v>0</v>
      </c>
      <c r="X160" s="34"/>
      <c r="Y160" s="34"/>
      <c r="Z160" s="34"/>
      <c r="AA160" s="34"/>
      <c r="AB160" s="34">
        <f>MAX(Table830[[#This Row],[Debit]]+Table830[[#This Row],[Debit -]]-Table830[[#This Row],[Credit]]-Table830[[#This Row],[Credit +]],0)</f>
        <v>0</v>
      </c>
      <c r="AC160" s="34">
        <f>MAX(Table830[[#This Row],[Credit]]-Table830[[#This Row],[Debit]]+Table830[[#This Row],[Credit +]]-Table830[[#This Row],[Debit -]],0)</f>
        <v>0</v>
      </c>
      <c r="AD160" s="34" t="str">
        <f>IFERROR(IF(AND(OR(Table830[[#This Row],[Classification]]="Expense",Table830[[#This Row],[Classification]]="Cost of Goods Sold"),Table830[[#This Row],[Debit\]]&gt;Table830[[#This Row],[Credit.]]),Table830[[#This Row],[Debit\]]-Table830[[#This Row],[Credit.]],""),"")</f>
        <v/>
      </c>
      <c r="AE160" s="34" t="str">
        <f>IFERROR(IF(AND(OR(Table830[[#This Row],[Classification]]="Income",Table830[[#This Row],[Classification]]="Cost of Goods Sold"),Table830[[#This Row],[Credit.]]&gt;Table830[[#This Row],[Debit\]]),Table830[[#This Row],[Credit.]]-Table830[[#This Row],[Debit\]],""),"")</f>
        <v/>
      </c>
      <c r="AF160" s="34"/>
      <c r="AG160" s="34" t="str">
        <f>IFERROR(IF(AND(Table830[[#This Row],[Classification]]="Assets",Table830[[#This Row],[Debit\]]-Table830[[#This Row],[Credit.]]),Table830[[#This Row],[Debit\]]-Table830[[#This Row],[Credit.]],""),"")</f>
        <v/>
      </c>
      <c r="AH160" s="34" t="str">
        <f>IFERROR(IF(AND(OR(Table830[[#This Row],[Classification]]="Liabilities",Table830[[#This Row],[Classification]]="Owner´s Equity"),Table830[[#This Row],[Credit.]]&gt;Table830[[#This Row],[Debit\]]),Table830[[#This Row],[Credit.]]-Table830[[#This Row],[Debit\]],""),"")</f>
        <v/>
      </c>
    </row>
    <row r="161" spans="2:34" hidden="1" x14ac:dyDescent="0.25">
      <c r="B161" s="34"/>
      <c r="C161" s="45"/>
      <c r="D161" s="34"/>
      <c r="E161" s="34"/>
      <c r="G161" s="39"/>
      <c r="H161" s="43"/>
      <c r="I161" s="41"/>
      <c r="J161" s="41"/>
      <c r="L161" s="34">
        <v>154</v>
      </c>
      <c r="M161" s="35"/>
      <c r="N161" s="35"/>
      <c r="O161" s="34">
        <f>IFERROR(SUMIF(Table427[,],Table629[[#This Row],[Accounts Name]],Table427[,3]),"")</f>
        <v>0</v>
      </c>
      <c r="P161" s="34">
        <f>IFERROR(SUMIF(Table427[,],Table629[[#This Row],[Accounts Name]],Table427[,2]),"")</f>
        <v>0</v>
      </c>
      <c r="S161" s="36">
        <f t="shared" si="2"/>
        <v>154</v>
      </c>
      <c r="T161" s="34"/>
      <c r="U161" s="37"/>
      <c r="V161" s="34">
        <f>IFERROR(SUMIF(Table629[Sub-Accounts],Table830[[#This Row],[Update your chart of accounts here]],Table629[Debit]),"")</f>
        <v>0</v>
      </c>
      <c r="W161" s="34">
        <f>IFERROR(SUMIF(Table629[Sub-Accounts],Table830[[#This Row],[Update your chart of accounts here]],Table629[Credit]),"")</f>
        <v>0</v>
      </c>
      <c r="X161" s="34"/>
      <c r="Y161" s="34"/>
      <c r="Z161" s="34"/>
      <c r="AA161" s="34"/>
      <c r="AB161" s="34">
        <f>MAX(Table830[[#This Row],[Debit]]+Table830[[#This Row],[Debit -]]-Table830[[#This Row],[Credit]]-Table830[[#This Row],[Credit +]],0)</f>
        <v>0</v>
      </c>
      <c r="AC161" s="34">
        <f>MAX(Table830[[#This Row],[Credit]]-Table830[[#This Row],[Debit]]+Table830[[#This Row],[Credit +]]-Table830[[#This Row],[Debit -]],0)</f>
        <v>0</v>
      </c>
      <c r="AD161" s="34" t="str">
        <f>IFERROR(IF(AND(OR(Table830[[#This Row],[Classification]]="Expense",Table830[[#This Row],[Classification]]="Cost of Goods Sold"),Table830[[#This Row],[Debit\]]&gt;Table830[[#This Row],[Credit.]]),Table830[[#This Row],[Debit\]]-Table830[[#This Row],[Credit.]],""),"")</f>
        <v/>
      </c>
      <c r="AE161" s="34" t="str">
        <f>IFERROR(IF(AND(OR(Table830[[#This Row],[Classification]]="Income",Table830[[#This Row],[Classification]]="Cost of Goods Sold"),Table830[[#This Row],[Credit.]]&gt;Table830[[#This Row],[Debit\]]),Table830[[#This Row],[Credit.]]-Table830[[#This Row],[Debit\]],""),"")</f>
        <v/>
      </c>
      <c r="AF161" s="34"/>
      <c r="AG161" s="34" t="str">
        <f>IFERROR(IF(AND(Table830[[#This Row],[Classification]]="Assets",Table830[[#This Row],[Debit\]]-Table830[[#This Row],[Credit.]]),Table830[[#This Row],[Debit\]]-Table830[[#This Row],[Credit.]],""),"")</f>
        <v/>
      </c>
      <c r="AH161" s="34" t="str">
        <f>IFERROR(IF(AND(OR(Table830[[#This Row],[Classification]]="Liabilities",Table830[[#This Row],[Classification]]="Owner´s Equity"),Table830[[#This Row],[Credit.]]&gt;Table830[[#This Row],[Debit\]]),Table830[[#This Row],[Credit.]]-Table830[[#This Row],[Debit\]],""),"")</f>
        <v/>
      </c>
    </row>
    <row r="162" spans="2:34" hidden="1" x14ac:dyDescent="0.25">
      <c r="B162" s="34"/>
      <c r="C162" s="45"/>
      <c r="D162" s="34"/>
      <c r="E162" s="34"/>
      <c r="G162" s="39"/>
      <c r="H162" s="40"/>
      <c r="I162" s="41"/>
      <c r="J162" s="41"/>
      <c r="L162" s="34">
        <v>155</v>
      </c>
      <c r="M162" s="35"/>
      <c r="N162" s="35"/>
      <c r="O162" s="34">
        <f>IFERROR(SUMIF(Table427[,],Table629[[#This Row],[Accounts Name]],Table427[,3]),"")</f>
        <v>0</v>
      </c>
      <c r="P162" s="34">
        <f>IFERROR(SUMIF(Table427[,],Table629[[#This Row],[Accounts Name]],Table427[,2]),"")</f>
        <v>0</v>
      </c>
      <c r="S162" s="36">
        <f t="shared" si="2"/>
        <v>155</v>
      </c>
      <c r="T162" s="34"/>
      <c r="U162" s="37"/>
      <c r="V162" s="34">
        <f>IFERROR(SUMIF(Table629[Sub-Accounts],Table830[[#This Row],[Update your chart of accounts here]],Table629[Debit]),"")</f>
        <v>0</v>
      </c>
      <c r="W162" s="34">
        <f>IFERROR(SUMIF(Table629[Sub-Accounts],Table830[[#This Row],[Update your chart of accounts here]],Table629[Credit]),"")</f>
        <v>0</v>
      </c>
      <c r="X162" s="34"/>
      <c r="Y162" s="34"/>
      <c r="Z162" s="34"/>
      <c r="AA162" s="34"/>
      <c r="AB162" s="34">
        <f>MAX(Table830[[#This Row],[Debit]]+Table830[[#This Row],[Debit -]]-Table830[[#This Row],[Credit]]-Table830[[#This Row],[Credit +]],0)</f>
        <v>0</v>
      </c>
      <c r="AC162" s="34">
        <f>MAX(Table830[[#This Row],[Credit]]-Table830[[#This Row],[Debit]]+Table830[[#This Row],[Credit +]]-Table830[[#This Row],[Debit -]],0)</f>
        <v>0</v>
      </c>
      <c r="AD162" s="34" t="str">
        <f>IFERROR(IF(AND(OR(Table830[[#This Row],[Classification]]="Expense",Table830[[#This Row],[Classification]]="Cost of Goods Sold"),Table830[[#This Row],[Debit\]]&gt;Table830[[#This Row],[Credit.]]),Table830[[#This Row],[Debit\]]-Table830[[#This Row],[Credit.]],""),"")</f>
        <v/>
      </c>
      <c r="AE162" s="34" t="str">
        <f>IFERROR(IF(AND(OR(Table830[[#This Row],[Classification]]="Income",Table830[[#This Row],[Classification]]="Cost of Goods Sold"),Table830[[#This Row],[Credit.]]&gt;Table830[[#This Row],[Debit\]]),Table830[[#This Row],[Credit.]]-Table830[[#This Row],[Debit\]],""),"")</f>
        <v/>
      </c>
      <c r="AF162" s="34"/>
      <c r="AG162" s="34" t="str">
        <f>IFERROR(IF(AND(Table830[[#This Row],[Classification]]="Assets",Table830[[#This Row],[Debit\]]-Table830[[#This Row],[Credit.]]),Table830[[#This Row],[Debit\]]-Table830[[#This Row],[Credit.]],""),"")</f>
        <v/>
      </c>
      <c r="AH162" s="34" t="str">
        <f>IFERROR(IF(AND(OR(Table830[[#This Row],[Classification]]="Liabilities",Table830[[#This Row],[Classification]]="Owner´s Equity"),Table830[[#This Row],[Credit.]]&gt;Table830[[#This Row],[Debit\]]),Table830[[#This Row],[Credit.]]-Table830[[#This Row],[Debit\]],""),"")</f>
        <v/>
      </c>
    </row>
    <row r="163" spans="2:34" hidden="1" x14ac:dyDescent="0.25">
      <c r="B163" s="34"/>
      <c r="C163" s="45"/>
      <c r="D163" s="34"/>
      <c r="E163" s="34"/>
      <c r="G163" s="39"/>
      <c r="H163" s="40"/>
      <c r="I163" s="41"/>
      <c r="J163" s="41"/>
      <c r="L163" s="34">
        <v>156</v>
      </c>
      <c r="M163" s="35"/>
      <c r="N163" s="35"/>
      <c r="O163" s="34">
        <f>IFERROR(SUMIF(Table427[,],Table629[[#This Row],[Accounts Name]],Table427[,3]),"")</f>
        <v>0</v>
      </c>
      <c r="P163" s="34">
        <f>IFERROR(SUMIF(Table427[,],Table629[[#This Row],[Accounts Name]],Table427[,2]),"")</f>
        <v>0</v>
      </c>
      <c r="S163" s="36">
        <f t="shared" si="2"/>
        <v>156</v>
      </c>
      <c r="T163" s="34"/>
      <c r="U163" s="37"/>
      <c r="V163" s="34">
        <f>IFERROR(SUMIF(Table629[Sub-Accounts],Table830[[#This Row],[Update your chart of accounts here]],Table629[Debit]),"")</f>
        <v>0</v>
      </c>
      <c r="W163" s="34">
        <f>IFERROR(SUMIF(Table629[Sub-Accounts],Table830[[#This Row],[Update your chart of accounts here]],Table629[Credit]),"")</f>
        <v>0</v>
      </c>
      <c r="X163" s="34"/>
      <c r="Y163" s="34"/>
      <c r="Z163" s="34"/>
      <c r="AA163" s="34"/>
      <c r="AB163" s="34">
        <f>MAX(Table830[[#This Row],[Debit]]+Table830[[#This Row],[Debit -]]-Table830[[#This Row],[Credit]]-Table830[[#This Row],[Credit +]],0)</f>
        <v>0</v>
      </c>
      <c r="AC163" s="34">
        <f>MAX(Table830[[#This Row],[Credit]]-Table830[[#This Row],[Debit]]+Table830[[#This Row],[Credit +]]-Table830[[#This Row],[Debit -]],0)</f>
        <v>0</v>
      </c>
      <c r="AD163" s="34" t="str">
        <f>IFERROR(IF(AND(OR(Table830[[#This Row],[Classification]]="Expense",Table830[[#This Row],[Classification]]="Cost of Goods Sold"),Table830[[#This Row],[Debit\]]&gt;Table830[[#This Row],[Credit.]]),Table830[[#This Row],[Debit\]]-Table830[[#This Row],[Credit.]],""),"")</f>
        <v/>
      </c>
      <c r="AE163" s="34" t="str">
        <f>IFERROR(IF(AND(OR(Table830[[#This Row],[Classification]]="Income",Table830[[#This Row],[Classification]]="Cost of Goods Sold"),Table830[[#This Row],[Credit.]]&gt;Table830[[#This Row],[Debit\]]),Table830[[#This Row],[Credit.]]-Table830[[#This Row],[Debit\]],""),"")</f>
        <v/>
      </c>
      <c r="AF163" s="34"/>
      <c r="AG163" s="34" t="str">
        <f>IFERROR(IF(AND(Table830[[#This Row],[Classification]]="Assets",Table830[[#This Row],[Debit\]]-Table830[[#This Row],[Credit.]]),Table830[[#This Row],[Debit\]]-Table830[[#This Row],[Credit.]],""),"")</f>
        <v/>
      </c>
      <c r="AH163" s="34" t="str">
        <f>IFERROR(IF(AND(OR(Table830[[#This Row],[Classification]]="Liabilities",Table830[[#This Row],[Classification]]="Owner´s Equity"),Table830[[#This Row],[Credit.]]&gt;Table830[[#This Row],[Debit\]]),Table830[[#This Row],[Credit.]]-Table830[[#This Row],[Debit\]],""),"")</f>
        <v/>
      </c>
    </row>
    <row r="164" spans="2:34" hidden="1" x14ac:dyDescent="0.25">
      <c r="B164" s="34"/>
      <c r="C164" s="45"/>
      <c r="D164" s="34"/>
      <c r="E164" s="34"/>
      <c r="G164" s="39"/>
      <c r="H164" s="43"/>
      <c r="I164" s="41"/>
      <c r="J164" s="41"/>
      <c r="L164" s="34">
        <v>157</v>
      </c>
      <c r="M164" s="35"/>
      <c r="N164" s="35"/>
      <c r="O164" s="34">
        <f>IFERROR(SUMIF(Table427[,],Table629[[#This Row],[Accounts Name]],Table427[,3]),"")</f>
        <v>0</v>
      </c>
      <c r="P164" s="34">
        <f>IFERROR(SUMIF(Table427[,],Table629[[#This Row],[Accounts Name]],Table427[,2]),"")</f>
        <v>0</v>
      </c>
      <c r="S164" s="36">
        <f t="shared" si="2"/>
        <v>157</v>
      </c>
      <c r="T164" s="34"/>
      <c r="U164" s="37"/>
      <c r="V164" s="34">
        <f>IFERROR(SUMIF(Table629[Sub-Accounts],Table830[[#This Row],[Update your chart of accounts here]],Table629[Debit]),"")</f>
        <v>0</v>
      </c>
      <c r="W164" s="34">
        <f>IFERROR(SUMIF(Table629[Sub-Accounts],Table830[[#This Row],[Update your chart of accounts here]],Table629[Credit]),"")</f>
        <v>0</v>
      </c>
      <c r="X164" s="34"/>
      <c r="Y164" s="34"/>
      <c r="Z164" s="34"/>
      <c r="AA164" s="34"/>
      <c r="AB164" s="34">
        <f>MAX(Table830[[#This Row],[Debit]]+Table830[[#This Row],[Debit -]]-Table830[[#This Row],[Credit]]-Table830[[#This Row],[Credit +]],0)</f>
        <v>0</v>
      </c>
      <c r="AC164" s="34">
        <f>MAX(Table830[[#This Row],[Credit]]-Table830[[#This Row],[Debit]]+Table830[[#This Row],[Credit +]]-Table830[[#This Row],[Debit -]],0)</f>
        <v>0</v>
      </c>
      <c r="AD164" s="34" t="str">
        <f>IFERROR(IF(AND(OR(Table830[[#This Row],[Classification]]="Expense",Table830[[#This Row],[Classification]]="Cost of Goods Sold"),Table830[[#This Row],[Debit\]]&gt;Table830[[#This Row],[Credit.]]),Table830[[#This Row],[Debit\]]-Table830[[#This Row],[Credit.]],""),"")</f>
        <v/>
      </c>
      <c r="AE164" s="34" t="str">
        <f>IFERROR(IF(AND(OR(Table830[[#This Row],[Classification]]="Income",Table830[[#This Row],[Classification]]="Cost of Goods Sold"),Table830[[#This Row],[Credit.]]&gt;Table830[[#This Row],[Debit\]]),Table830[[#This Row],[Credit.]]-Table830[[#This Row],[Debit\]],""),"")</f>
        <v/>
      </c>
      <c r="AF164" s="34"/>
      <c r="AG164" s="34" t="str">
        <f>IFERROR(IF(AND(Table830[[#This Row],[Classification]]="Assets",Table830[[#This Row],[Debit\]]-Table830[[#This Row],[Credit.]]),Table830[[#This Row],[Debit\]]-Table830[[#This Row],[Credit.]],""),"")</f>
        <v/>
      </c>
      <c r="AH164" s="34" t="str">
        <f>IFERROR(IF(AND(OR(Table830[[#This Row],[Classification]]="Liabilities",Table830[[#This Row],[Classification]]="Owner´s Equity"),Table830[[#This Row],[Credit.]]&gt;Table830[[#This Row],[Debit\]]),Table830[[#This Row],[Credit.]]-Table830[[#This Row],[Debit\]],""),"")</f>
        <v/>
      </c>
    </row>
    <row r="165" spans="2:34" hidden="1" x14ac:dyDescent="0.25">
      <c r="B165" s="34"/>
      <c r="C165" s="45"/>
      <c r="D165" s="34"/>
      <c r="E165" s="34"/>
      <c r="G165" s="39"/>
      <c r="H165" s="40"/>
      <c r="I165" s="41"/>
      <c r="J165" s="41"/>
      <c r="L165" s="34">
        <v>158</v>
      </c>
      <c r="M165" s="35"/>
      <c r="N165" s="35"/>
      <c r="O165" s="34">
        <f>IFERROR(SUMIF(Table427[,],Table629[[#This Row],[Accounts Name]],Table427[,3]),"")</f>
        <v>0</v>
      </c>
      <c r="P165" s="34">
        <f>IFERROR(SUMIF(Table427[,],Table629[[#This Row],[Accounts Name]],Table427[,2]),"")</f>
        <v>0</v>
      </c>
      <c r="S165" s="36">
        <f t="shared" si="2"/>
        <v>158</v>
      </c>
      <c r="T165" s="34"/>
      <c r="U165" s="37"/>
      <c r="V165" s="34">
        <f>IFERROR(SUMIF(Table629[Sub-Accounts],Table830[[#This Row],[Update your chart of accounts here]],Table629[Debit]),"")</f>
        <v>0</v>
      </c>
      <c r="W165" s="34">
        <f>IFERROR(SUMIF(Table629[Sub-Accounts],Table830[[#This Row],[Update your chart of accounts here]],Table629[Credit]),"")</f>
        <v>0</v>
      </c>
      <c r="X165" s="34"/>
      <c r="Y165" s="34"/>
      <c r="Z165" s="34"/>
      <c r="AA165" s="34"/>
      <c r="AB165" s="34">
        <f>MAX(Table830[[#This Row],[Debit]]+Table830[[#This Row],[Debit -]]-Table830[[#This Row],[Credit]]-Table830[[#This Row],[Credit +]],0)</f>
        <v>0</v>
      </c>
      <c r="AC165" s="34">
        <f>MAX(Table830[[#This Row],[Credit]]-Table830[[#This Row],[Debit]]+Table830[[#This Row],[Credit +]]-Table830[[#This Row],[Debit -]],0)</f>
        <v>0</v>
      </c>
      <c r="AD165" s="34" t="str">
        <f>IFERROR(IF(AND(OR(Table830[[#This Row],[Classification]]="Expense",Table830[[#This Row],[Classification]]="Cost of Goods Sold"),Table830[[#This Row],[Debit\]]&gt;Table830[[#This Row],[Credit.]]),Table830[[#This Row],[Debit\]]-Table830[[#This Row],[Credit.]],""),"")</f>
        <v/>
      </c>
      <c r="AE165" s="34" t="str">
        <f>IFERROR(IF(AND(OR(Table830[[#This Row],[Classification]]="Income",Table830[[#This Row],[Classification]]="Cost of Goods Sold"),Table830[[#This Row],[Credit.]]&gt;Table830[[#This Row],[Debit\]]),Table830[[#This Row],[Credit.]]-Table830[[#This Row],[Debit\]],""),"")</f>
        <v/>
      </c>
      <c r="AF165" s="34"/>
      <c r="AG165" s="34" t="str">
        <f>IFERROR(IF(AND(Table830[[#This Row],[Classification]]="Assets",Table830[[#This Row],[Debit\]]-Table830[[#This Row],[Credit.]]),Table830[[#This Row],[Debit\]]-Table830[[#This Row],[Credit.]],""),"")</f>
        <v/>
      </c>
      <c r="AH165" s="34" t="str">
        <f>IFERROR(IF(AND(OR(Table830[[#This Row],[Classification]]="Liabilities",Table830[[#This Row],[Classification]]="Owner´s Equity"),Table830[[#This Row],[Credit.]]&gt;Table830[[#This Row],[Debit\]]),Table830[[#This Row],[Credit.]]-Table830[[#This Row],[Debit\]],""),"")</f>
        <v/>
      </c>
    </row>
    <row r="166" spans="2:34" hidden="1" x14ac:dyDescent="0.25">
      <c r="B166" s="34"/>
      <c r="C166" s="45"/>
      <c r="D166" s="34"/>
      <c r="E166" s="34"/>
      <c r="G166" s="39"/>
      <c r="H166" s="40"/>
      <c r="I166" s="41"/>
      <c r="J166" s="41"/>
      <c r="L166" s="34">
        <v>159</v>
      </c>
      <c r="M166" s="35"/>
      <c r="N166" s="35"/>
      <c r="O166" s="34">
        <f>IFERROR(SUMIF(Table427[,],Table629[[#This Row],[Accounts Name]],Table427[,3]),"")</f>
        <v>0</v>
      </c>
      <c r="P166" s="34">
        <f>IFERROR(SUMIF(Table427[,],Table629[[#This Row],[Accounts Name]],Table427[,2]),"")</f>
        <v>0</v>
      </c>
      <c r="S166" s="36">
        <f t="shared" si="2"/>
        <v>159</v>
      </c>
      <c r="T166" s="34"/>
      <c r="U166" s="37"/>
      <c r="V166" s="34">
        <f>IFERROR(SUMIF(Table629[Sub-Accounts],Table830[[#This Row],[Update your chart of accounts here]],Table629[Debit]),"")</f>
        <v>0</v>
      </c>
      <c r="W166" s="34">
        <f>IFERROR(SUMIF(Table629[Sub-Accounts],Table830[[#This Row],[Update your chart of accounts here]],Table629[Credit]),"")</f>
        <v>0</v>
      </c>
      <c r="X166" s="34"/>
      <c r="Y166" s="34"/>
      <c r="Z166" s="34"/>
      <c r="AA166" s="34"/>
      <c r="AB166" s="34">
        <f>MAX(Table830[[#This Row],[Debit]]+Table830[[#This Row],[Debit -]]-Table830[[#This Row],[Credit]]-Table830[[#This Row],[Credit +]],0)</f>
        <v>0</v>
      </c>
      <c r="AC166" s="34">
        <f>MAX(Table830[[#This Row],[Credit]]-Table830[[#This Row],[Debit]]+Table830[[#This Row],[Credit +]]-Table830[[#This Row],[Debit -]],0)</f>
        <v>0</v>
      </c>
      <c r="AD166" s="34" t="str">
        <f>IFERROR(IF(AND(OR(Table830[[#This Row],[Classification]]="Expense",Table830[[#This Row],[Classification]]="Cost of Goods Sold"),Table830[[#This Row],[Debit\]]&gt;Table830[[#This Row],[Credit.]]),Table830[[#This Row],[Debit\]]-Table830[[#This Row],[Credit.]],""),"")</f>
        <v/>
      </c>
      <c r="AE166" s="34" t="str">
        <f>IFERROR(IF(AND(OR(Table830[[#This Row],[Classification]]="Income",Table830[[#This Row],[Classification]]="Cost of Goods Sold"),Table830[[#This Row],[Credit.]]&gt;Table830[[#This Row],[Debit\]]),Table830[[#This Row],[Credit.]]-Table830[[#This Row],[Debit\]],""),"")</f>
        <v/>
      </c>
      <c r="AF166" s="34"/>
      <c r="AG166" s="34" t="str">
        <f>IFERROR(IF(AND(Table830[[#This Row],[Classification]]="Assets",Table830[[#This Row],[Debit\]]-Table830[[#This Row],[Credit.]]),Table830[[#This Row],[Debit\]]-Table830[[#This Row],[Credit.]],""),"")</f>
        <v/>
      </c>
      <c r="AH166" s="34" t="str">
        <f>IFERROR(IF(AND(OR(Table830[[#This Row],[Classification]]="Liabilities",Table830[[#This Row],[Classification]]="Owner´s Equity"),Table830[[#This Row],[Credit.]]&gt;Table830[[#This Row],[Debit\]]),Table830[[#This Row],[Credit.]]-Table830[[#This Row],[Debit\]],""),"")</f>
        <v/>
      </c>
    </row>
    <row r="167" spans="2:34" hidden="1" x14ac:dyDescent="0.25">
      <c r="B167" s="34"/>
      <c r="C167" s="45"/>
      <c r="D167" s="34"/>
      <c r="E167" s="34"/>
      <c r="G167" s="39"/>
      <c r="H167" s="43"/>
      <c r="I167" s="41"/>
      <c r="J167" s="41"/>
      <c r="L167" s="34">
        <v>160</v>
      </c>
      <c r="M167" s="35"/>
      <c r="N167" s="35"/>
      <c r="O167" s="34">
        <f>IFERROR(SUMIF(Table427[,],Table629[[#This Row],[Accounts Name]],Table427[,3]),"")</f>
        <v>0</v>
      </c>
      <c r="P167" s="34">
        <f>IFERROR(SUMIF(Table427[,],Table629[[#This Row],[Accounts Name]],Table427[,2]),"")</f>
        <v>0</v>
      </c>
      <c r="S167" s="36">
        <f t="shared" si="2"/>
        <v>160</v>
      </c>
      <c r="T167" s="34"/>
      <c r="U167" s="37"/>
      <c r="V167" s="34">
        <f>IFERROR(SUMIF(Table629[Sub-Accounts],Table830[[#This Row],[Update your chart of accounts here]],Table629[Debit]),"")</f>
        <v>0</v>
      </c>
      <c r="W167" s="34">
        <f>IFERROR(SUMIF(Table629[Sub-Accounts],Table830[[#This Row],[Update your chart of accounts here]],Table629[Credit]),"")</f>
        <v>0</v>
      </c>
      <c r="X167" s="34"/>
      <c r="Y167" s="34"/>
      <c r="Z167" s="34"/>
      <c r="AA167" s="34"/>
      <c r="AB167" s="34">
        <f>MAX(Table830[[#This Row],[Debit]]+Table830[[#This Row],[Debit -]]-Table830[[#This Row],[Credit]]-Table830[[#This Row],[Credit +]],0)</f>
        <v>0</v>
      </c>
      <c r="AC167" s="34">
        <f>MAX(Table830[[#This Row],[Credit]]-Table830[[#This Row],[Debit]]+Table830[[#This Row],[Credit +]]-Table830[[#This Row],[Debit -]],0)</f>
        <v>0</v>
      </c>
      <c r="AD167" s="34" t="str">
        <f>IFERROR(IF(AND(OR(Table830[[#This Row],[Classification]]="Expense",Table830[[#This Row],[Classification]]="Cost of Goods Sold"),Table830[[#This Row],[Debit\]]&gt;Table830[[#This Row],[Credit.]]),Table830[[#This Row],[Debit\]]-Table830[[#This Row],[Credit.]],""),"")</f>
        <v/>
      </c>
      <c r="AE167" s="34" t="str">
        <f>IFERROR(IF(AND(OR(Table830[[#This Row],[Classification]]="Income",Table830[[#This Row],[Classification]]="Cost of Goods Sold"),Table830[[#This Row],[Credit.]]&gt;Table830[[#This Row],[Debit\]]),Table830[[#This Row],[Credit.]]-Table830[[#This Row],[Debit\]],""),"")</f>
        <v/>
      </c>
      <c r="AF167" s="34"/>
      <c r="AG167" s="34" t="str">
        <f>IFERROR(IF(AND(Table830[[#This Row],[Classification]]="Assets",Table830[[#This Row],[Debit\]]-Table830[[#This Row],[Credit.]]),Table830[[#This Row],[Debit\]]-Table830[[#This Row],[Credit.]],""),"")</f>
        <v/>
      </c>
      <c r="AH167" s="34" t="str">
        <f>IFERROR(IF(AND(OR(Table830[[#This Row],[Classification]]="Liabilities",Table830[[#This Row],[Classification]]="Owner´s Equity"),Table830[[#This Row],[Credit.]]&gt;Table830[[#This Row],[Debit\]]),Table830[[#This Row],[Credit.]]-Table830[[#This Row],[Debit\]],""),"")</f>
        <v/>
      </c>
    </row>
    <row r="168" spans="2:34" hidden="1" x14ac:dyDescent="0.25">
      <c r="B168" s="34"/>
      <c r="C168" s="45"/>
      <c r="D168" s="34"/>
      <c r="E168" s="34"/>
      <c r="G168" s="39"/>
      <c r="H168" s="40"/>
      <c r="I168" s="41"/>
      <c r="J168" s="41"/>
      <c r="L168" s="34">
        <v>161</v>
      </c>
      <c r="M168" s="35"/>
      <c r="N168" s="35"/>
      <c r="O168" s="34">
        <f>IFERROR(SUMIF(Table427[,],Table629[[#This Row],[Accounts Name]],Table427[,3]),"")</f>
        <v>0</v>
      </c>
      <c r="P168" s="34">
        <f>IFERROR(SUMIF(Table427[,],Table629[[#This Row],[Accounts Name]],Table427[,2]),"")</f>
        <v>0</v>
      </c>
      <c r="S168" s="36">
        <f t="shared" si="2"/>
        <v>161</v>
      </c>
      <c r="T168" s="34"/>
      <c r="U168" s="37"/>
      <c r="V168" s="34">
        <f>IFERROR(SUMIF(Table629[Sub-Accounts],Table830[[#This Row],[Update your chart of accounts here]],Table629[Debit]),"")</f>
        <v>0</v>
      </c>
      <c r="W168" s="34">
        <f>IFERROR(SUMIF(Table629[Sub-Accounts],Table830[[#This Row],[Update your chart of accounts here]],Table629[Credit]),"")</f>
        <v>0</v>
      </c>
      <c r="X168" s="34"/>
      <c r="Y168" s="34"/>
      <c r="Z168" s="34"/>
      <c r="AA168" s="34"/>
      <c r="AB168" s="34">
        <f>MAX(Table830[[#This Row],[Debit]]+Table830[[#This Row],[Debit -]]-Table830[[#This Row],[Credit]]-Table830[[#This Row],[Credit +]],0)</f>
        <v>0</v>
      </c>
      <c r="AC168" s="34">
        <f>MAX(Table830[[#This Row],[Credit]]-Table830[[#This Row],[Debit]]+Table830[[#This Row],[Credit +]]-Table830[[#This Row],[Debit -]],0)</f>
        <v>0</v>
      </c>
      <c r="AD168" s="34" t="str">
        <f>IFERROR(IF(AND(OR(Table830[[#This Row],[Classification]]="Expense",Table830[[#This Row],[Classification]]="Cost of Goods Sold"),Table830[[#This Row],[Debit\]]&gt;Table830[[#This Row],[Credit.]]),Table830[[#This Row],[Debit\]]-Table830[[#This Row],[Credit.]],""),"")</f>
        <v/>
      </c>
      <c r="AE168" s="34" t="str">
        <f>IFERROR(IF(AND(OR(Table830[[#This Row],[Classification]]="Income",Table830[[#This Row],[Classification]]="Cost of Goods Sold"),Table830[[#This Row],[Credit.]]&gt;Table830[[#This Row],[Debit\]]),Table830[[#This Row],[Credit.]]-Table830[[#This Row],[Debit\]],""),"")</f>
        <v/>
      </c>
      <c r="AF168" s="34"/>
      <c r="AG168" s="34" t="str">
        <f>IFERROR(IF(AND(Table830[[#This Row],[Classification]]="Assets",Table830[[#This Row],[Debit\]]-Table830[[#This Row],[Credit.]]),Table830[[#This Row],[Debit\]]-Table830[[#This Row],[Credit.]],""),"")</f>
        <v/>
      </c>
      <c r="AH168" s="34" t="str">
        <f>IFERROR(IF(AND(OR(Table830[[#This Row],[Classification]]="Liabilities",Table830[[#This Row],[Classification]]="Owner´s Equity"),Table830[[#This Row],[Credit.]]&gt;Table830[[#This Row],[Debit\]]),Table830[[#This Row],[Credit.]]-Table830[[#This Row],[Debit\]],""),"")</f>
        <v/>
      </c>
    </row>
    <row r="169" spans="2:34" hidden="1" x14ac:dyDescent="0.25">
      <c r="B169" s="34"/>
      <c r="C169" s="45"/>
      <c r="D169" s="34"/>
      <c r="E169" s="34"/>
      <c r="G169" s="39"/>
      <c r="H169" s="40"/>
      <c r="I169" s="41"/>
      <c r="J169" s="41"/>
      <c r="L169" s="34">
        <v>162</v>
      </c>
      <c r="M169" s="35"/>
      <c r="N169" s="35"/>
      <c r="O169" s="34">
        <f>IFERROR(SUMIF(Table427[,],Table629[[#This Row],[Accounts Name]],Table427[,3]),"")</f>
        <v>0</v>
      </c>
      <c r="P169" s="34">
        <f>IFERROR(SUMIF(Table427[,],Table629[[#This Row],[Accounts Name]],Table427[,2]),"")</f>
        <v>0</v>
      </c>
      <c r="S169" s="36">
        <f t="shared" si="2"/>
        <v>162</v>
      </c>
      <c r="T169" s="34"/>
      <c r="U169" s="37"/>
      <c r="V169" s="34">
        <f>IFERROR(SUMIF(Table629[Sub-Accounts],Table830[[#This Row],[Update your chart of accounts here]],Table629[Debit]),"")</f>
        <v>0</v>
      </c>
      <c r="W169" s="34">
        <f>IFERROR(SUMIF(Table629[Sub-Accounts],Table830[[#This Row],[Update your chart of accounts here]],Table629[Credit]),"")</f>
        <v>0</v>
      </c>
      <c r="X169" s="34"/>
      <c r="Y169" s="34"/>
      <c r="Z169" s="34"/>
      <c r="AA169" s="34"/>
      <c r="AB169" s="34">
        <f>MAX(Table830[[#This Row],[Debit]]+Table830[[#This Row],[Debit -]]-Table830[[#This Row],[Credit]]-Table830[[#This Row],[Credit +]],0)</f>
        <v>0</v>
      </c>
      <c r="AC169" s="34">
        <f>MAX(Table830[[#This Row],[Credit]]-Table830[[#This Row],[Debit]]+Table830[[#This Row],[Credit +]]-Table830[[#This Row],[Debit -]],0)</f>
        <v>0</v>
      </c>
      <c r="AD169" s="34" t="str">
        <f>IFERROR(IF(AND(OR(Table830[[#This Row],[Classification]]="Expense",Table830[[#This Row],[Classification]]="Cost of Goods Sold"),Table830[[#This Row],[Debit\]]&gt;Table830[[#This Row],[Credit.]]),Table830[[#This Row],[Debit\]]-Table830[[#This Row],[Credit.]],""),"")</f>
        <v/>
      </c>
      <c r="AE169" s="34" t="str">
        <f>IFERROR(IF(AND(OR(Table830[[#This Row],[Classification]]="Income",Table830[[#This Row],[Classification]]="Cost of Goods Sold"),Table830[[#This Row],[Credit.]]&gt;Table830[[#This Row],[Debit\]]),Table830[[#This Row],[Credit.]]-Table830[[#This Row],[Debit\]],""),"")</f>
        <v/>
      </c>
      <c r="AF169" s="34"/>
      <c r="AG169" s="34" t="str">
        <f>IFERROR(IF(AND(Table830[[#This Row],[Classification]]="Assets",Table830[[#This Row],[Debit\]]-Table830[[#This Row],[Credit.]]),Table830[[#This Row],[Debit\]]-Table830[[#This Row],[Credit.]],""),"")</f>
        <v/>
      </c>
      <c r="AH169" s="34" t="str">
        <f>IFERROR(IF(AND(OR(Table830[[#This Row],[Classification]]="Liabilities",Table830[[#This Row],[Classification]]="Owner´s Equity"),Table830[[#This Row],[Credit.]]&gt;Table830[[#This Row],[Debit\]]),Table830[[#This Row],[Credit.]]-Table830[[#This Row],[Debit\]],""),"")</f>
        <v/>
      </c>
    </row>
    <row r="170" spans="2:34" hidden="1" x14ac:dyDescent="0.25">
      <c r="B170" s="34"/>
      <c r="C170" s="45"/>
      <c r="D170" s="34"/>
      <c r="E170" s="34"/>
      <c r="G170" s="39"/>
      <c r="H170" s="43"/>
      <c r="I170" s="41"/>
      <c r="J170" s="41"/>
      <c r="L170" s="34">
        <v>163</v>
      </c>
      <c r="M170" s="35"/>
      <c r="N170" s="35"/>
      <c r="O170" s="34">
        <f>IFERROR(SUMIF(Table427[,],Table629[[#This Row],[Accounts Name]],Table427[,3]),"")</f>
        <v>0</v>
      </c>
      <c r="P170" s="34">
        <f>IFERROR(SUMIF(Table427[,],Table629[[#This Row],[Accounts Name]],Table427[,2]),"")</f>
        <v>0</v>
      </c>
      <c r="S170" s="36">
        <f t="shared" si="2"/>
        <v>163</v>
      </c>
      <c r="T170" s="34"/>
      <c r="U170" s="37"/>
      <c r="V170" s="34">
        <f>IFERROR(SUMIF(Table629[Sub-Accounts],Table830[[#This Row],[Update your chart of accounts here]],Table629[Debit]),"")</f>
        <v>0</v>
      </c>
      <c r="W170" s="34">
        <f>IFERROR(SUMIF(Table629[Sub-Accounts],Table830[[#This Row],[Update your chart of accounts here]],Table629[Credit]),"")</f>
        <v>0</v>
      </c>
      <c r="X170" s="34"/>
      <c r="Y170" s="34"/>
      <c r="Z170" s="34"/>
      <c r="AA170" s="34"/>
      <c r="AB170" s="34">
        <f>MAX(Table830[[#This Row],[Debit]]+Table830[[#This Row],[Debit -]]-Table830[[#This Row],[Credit]]-Table830[[#This Row],[Credit +]],0)</f>
        <v>0</v>
      </c>
      <c r="AC170" s="34">
        <f>MAX(Table830[[#This Row],[Credit]]-Table830[[#This Row],[Debit]]+Table830[[#This Row],[Credit +]]-Table830[[#This Row],[Debit -]],0)</f>
        <v>0</v>
      </c>
      <c r="AD170" s="34" t="str">
        <f>IFERROR(IF(AND(OR(Table830[[#This Row],[Classification]]="Expense",Table830[[#This Row],[Classification]]="Cost of Goods Sold"),Table830[[#This Row],[Debit\]]&gt;Table830[[#This Row],[Credit.]]),Table830[[#This Row],[Debit\]]-Table830[[#This Row],[Credit.]],""),"")</f>
        <v/>
      </c>
      <c r="AE170" s="34" t="str">
        <f>IFERROR(IF(AND(OR(Table830[[#This Row],[Classification]]="Income",Table830[[#This Row],[Classification]]="Cost of Goods Sold"),Table830[[#This Row],[Credit.]]&gt;Table830[[#This Row],[Debit\]]),Table830[[#This Row],[Credit.]]-Table830[[#This Row],[Debit\]],""),"")</f>
        <v/>
      </c>
      <c r="AF170" s="34"/>
      <c r="AG170" s="34" t="str">
        <f>IFERROR(IF(AND(Table830[[#This Row],[Classification]]="Assets",Table830[[#This Row],[Debit\]]-Table830[[#This Row],[Credit.]]),Table830[[#This Row],[Debit\]]-Table830[[#This Row],[Credit.]],""),"")</f>
        <v/>
      </c>
      <c r="AH170" s="34" t="str">
        <f>IFERROR(IF(AND(OR(Table830[[#This Row],[Classification]]="Liabilities",Table830[[#This Row],[Classification]]="Owner´s Equity"),Table830[[#This Row],[Credit.]]&gt;Table830[[#This Row],[Debit\]]),Table830[[#This Row],[Credit.]]-Table830[[#This Row],[Debit\]],""),"")</f>
        <v/>
      </c>
    </row>
    <row r="171" spans="2:34" hidden="1" x14ac:dyDescent="0.25">
      <c r="B171" s="34"/>
      <c r="C171" s="45"/>
      <c r="D171" s="34"/>
      <c r="E171" s="34"/>
      <c r="G171" s="39"/>
      <c r="H171" s="40"/>
      <c r="I171" s="41"/>
      <c r="J171" s="41"/>
      <c r="L171" s="34">
        <v>164</v>
      </c>
      <c r="M171" s="35"/>
      <c r="N171" s="35"/>
      <c r="O171" s="34">
        <f>IFERROR(SUMIF(Table427[,],Table629[[#This Row],[Accounts Name]],Table427[,3]),"")</f>
        <v>0</v>
      </c>
      <c r="P171" s="34">
        <f>IFERROR(SUMIF(Table427[,],Table629[[#This Row],[Accounts Name]],Table427[,2]),"")</f>
        <v>0</v>
      </c>
      <c r="S171" s="36">
        <f t="shared" si="2"/>
        <v>164</v>
      </c>
      <c r="T171" s="34"/>
      <c r="U171" s="37"/>
      <c r="V171" s="34">
        <f>IFERROR(SUMIF(Table629[Sub-Accounts],Table830[[#This Row],[Update your chart of accounts here]],Table629[Debit]),"")</f>
        <v>0</v>
      </c>
      <c r="W171" s="34">
        <f>IFERROR(SUMIF(Table629[Sub-Accounts],Table830[[#This Row],[Update your chart of accounts here]],Table629[Credit]),"")</f>
        <v>0</v>
      </c>
      <c r="X171" s="34"/>
      <c r="Y171" s="34"/>
      <c r="Z171" s="34"/>
      <c r="AA171" s="34"/>
      <c r="AB171" s="34">
        <f>MAX(Table830[[#This Row],[Debit]]+Table830[[#This Row],[Debit -]]-Table830[[#This Row],[Credit]]-Table830[[#This Row],[Credit +]],0)</f>
        <v>0</v>
      </c>
      <c r="AC171" s="34">
        <f>MAX(Table830[[#This Row],[Credit]]-Table830[[#This Row],[Debit]]+Table830[[#This Row],[Credit +]]-Table830[[#This Row],[Debit -]],0)</f>
        <v>0</v>
      </c>
      <c r="AD171" s="34" t="str">
        <f>IFERROR(IF(AND(OR(Table830[[#This Row],[Classification]]="Expense",Table830[[#This Row],[Classification]]="Cost of Goods Sold"),Table830[[#This Row],[Debit\]]&gt;Table830[[#This Row],[Credit.]]),Table830[[#This Row],[Debit\]]-Table830[[#This Row],[Credit.]],""),"")</f>
        <v/>
      </c>
      <c r="AE171" s="34" t="str">
        <f>IFERROR(IF(AND(OR(Table830[[#This Row],[Classification]]="Income",Table830[[#This Row],[Classification]]="Cost of Goods Sold"),Table830[[#This Row],[Credit.]]&gt;Table830[[#This Row],[Debit\]]),Table830[[#This Row],[Credit.]]-Table830[[#This Row],[Debit\]],""),"")</f>
        <v/>
      </c>
      <c r="AF171" s="34"/>
      <c r="AG171" s="34" t="str">
        <f>IFERROR(IF(AND(Table830[[#This Row],[Classification]]="Assets",Table830[[#This Row],[Debit\]]-Table830[[#This Row],[Credit.]]),Table830[[#This Row],[Debit\]]-Table830[[#This Row],[Credit.]],""),"")</f>
        <v/>
      </c>
      <c r="AH171" s="34" t="str">
        <f>IFERROR(IF(AND(OR(Table830[[#This Row],[Classification]]="Liabilities",Table830[[#This Row],[Classification]]="Owner´s Equity"),Table830[[#This Row],[Credit.]]&gt;Table830[[#This Row],[Debit\]]),Table830[[#This Row],[Credit.]]-Table830[[#This Row],[Debit\]],""),"")</f>
        <v/>
      </c>
    </row>
    <row r="172" spans="2:34" hidden="1" x14ac:dyDescent="0.25">
      <c r="B172" s="34"/>
      <c r="C172" s="45"/>
      <c r="D172" s="34"/>
      <c r="E172" s="34"/>
      <c r="G172" s="39"/>
      <c r="H172" s="40"/>
      <c r="I172" s="41"/>
      <c r="J172" s="41"/>
      <c r="L172" s="34">
        <v>165</v>
      </c>
      <c r="M172" s="35"/>
      <c r="N172" s="35"/>
      <c r="O172" s="34">
        <f>IFERROR(SUMIF(Table427[,],Table629[[#This Row],[Accounts Name]],Table427[,3]),"")</f>
        <v>0</v>
      </c>
      <c r="P172" s="34">
        <f>IFERROR(SUMIF(Table427[,],Table629[[#This Row],[Accounts Name]],Table427[,2]),"")</f>
        <v>0</v>
      </c>
      <c r="S172" s="36">
        <f t="shared" si="2"/>
        <v>165</v>
      </c>
      <c r="T172" s="34"/>
      <c r="U172" s="37"/>
      <c r="V172" s="34">
        <f>IFERROR(SUMIF(Table629[Sub-Accounts],Table830[[#This Row],[Update your chart of accounts here]],Table629[Debit]),"")</f>
        <v>0</v>
      </c>
      <c r="W172" s="34">
        <f>IFERROR(SUMIF(Table629[Sub-Accounts],Table830[[#This Row],[Update your chart of accounts here]],Table629[Credit]),"")</f>
        <v>0</v>
      </c>
      <c r="X172" s="34"/>
      <c r="Y172" s="34"/>
      <c r="Z172" s="34"/>
      <c r="AA172" s="34"/>
      <c r="AB172" s="34">
        <f>MAX(Table830[[#This Row],[Debit]]+Table830[[#This Row],[Debit -]]-Table830[[#This Row],[Credit]]-Table830[[#This Row],[Credit +]],0)</f>
        <v>0</v>
      </c>
      <c r="AC172" s="34">
        <f>MAX(Table830[[#This Row],[Credit]]-Table830[[#This Row],[Debit]]+Table830[[#This Row],[Credit +]]-Table830[[#This Row],[Debit -]],0)</f>
        <v>0</v>
      </c>
      <c r="AD172" s="34" t="str">
        <f>IFERROR(IF(AND(OR(Table830[[#This Row],[Classification]]="Expense",Table830[[#This Row],[Classification]]="Cost of Goods Sold"),Table830[[#This Row],[Debit\]]&gt;Table830[[#This Row],[Credit.]]),Table830[[#This Row],[Debit\]]-Table830[[#This Row],[Credit.]],""),"")</f>
        <v/>
      </c>
      <c r="AE172" s="34" t="str">
        <f>IFERROR(IF(AND(OR(Table830[[#This Row],[Classification]]="Income",Table830[[#This Row],[Classification]]="Cost of Goods Sold"),Table830[[#This Row],[Credit.]]&gt;Table830[[#This Row],[Debit\]]),Table830[[#This Row],[Credit.]]-Table830[[#This Row],[Debit\]],""),"")</f>
        <v/>
      </c>
      <c r="AF172" s="34"/>
      <c r="AG172" s="34" t="str">
        <f>IFERROR(IF(AND(Table830[[#This Row],[Classification]]="Assets",Table830[[#This Row],[Debit\]]-Table830[[#This Row],[Credit.]]),Table830[[#This Row],[Debit\]]-Table830[[#This Row],[Credit.]],""),"")</f>
        <v/>
      </c>
      <c r="AH172" s="34" t="str">
        <f>IFERROR(IF(AND(OR(Table830[[#This Row],[Classification]]="Liabilities",Table830[[#This Row],[Classification]]="Owner´s Equity"),Table830[[#This Row],[Credit.]]&gt;Table830[[#This Row],[Debit\]]),Table830[[#This Row],[Credit.]]-Table830[[#This Row],[Debit\]],""),"")</f>
        <v/>
      </c>
    </row>
    <row r="173" spans="2:34" hidden="1" x14ac:dyDescent="0.25">
      <c r="B173" s="34"/>
      <c r="C173" s="45"/>
      <c r="D173" s="34"/>
      <c r="E173" s="34"/>
      <c r="G173" s="39"/>
      <c r="H173" s="43"/>
      <c r="I173" s="41"/>
      <c r="J173" s="41"/>
      <c r="L173" s="34">
        <v>166</v>
      </c>
      <c r="M173" s="35"/>
      <c r="N173" s="35"/>
      <c r="O173" s="34">
        <f>IFERROR(SUMIF(Table427[,],Table629[[#This Row],[Accounts Name]],Table427[,3]),"")</f>
        <v>0</v>
      </c>
      <c r="P173" s="34">
        <f>IFERROR(SUMIF(Table427[,],Table629[[#This Row],[Accounts Name]],Table427[,2]),"")</f>
        <v>0</v>
      </c>
      <c r="S173" s="36">
        <f t="shared" si="2"/>
        <v>166</v>
      </c>
      <c r="T173" s="34"/>
      <c r="U173" s="37"/>
      <c r="V173" s="34">
        <f>IFERROR(SUMIF(Table629[Sub-Accounts],Table830[[#This Row],[Update your chart of accounts here]],Table629[Debit]),"")</f>
        <v>0</v>
      </c>
      <c r="W173" s="34">
        <f>IFERROR(SUMIF(Table629[Sub-Accounts],Table830[[#This Row],[Update your chart of accounts here]],Table629[Credit]),"")</f>
        <v>0</v>
      </c>
      <c r="X173" s="34"/>
      <c r="Y173" s="34"/>
      <c r="Z173" s="34"/>
      <c r="AA173" s="34"/>
      <c r="AB173" s="34">
        <f>MAX(Table830[[#This Row],[Debit]]+Table830[[#This Row],[Debit -]]-Table830[[#This Row],[Credit]]-Table830[[#This Row],[Credit +]],0)</f>
        <v>0</v>
      </c>
      <c r="AC173" s="34">
        <f>MAX(Table830[[#This Row],[Credit]]-Table830[[#This Row],[Debit]]+Table830[[#This Row],[Credit +]]-Table830[[#This Row],[Debit -]],0)</f>
        <v>0</v>
      </c>
      <c r="AD173" s="34" t="str">
        <f>IFERROR(IF(AND(OR(Table830[[#This Row],[Classification]]="Expense",Table830[[#This Row],[Classification]]="Cost of Goods Sold"),Table830[[#This Row],[Debit\]]&gt;Table830[[#This Row],[Credit.]]),Table830[[#This Row],[Debit\]]-Table830[[#This Row],[Credit.]],""),"")</f>
        <v/>
      </c>
      <c r="AE173" s="34" t="str">
        <f>IFERROR(IF(AND(OR(Table830[[#This Row],[Classification]]="Income",Table830[[#This Row],[Classification]]="Cost of Goods Sold"),Table830[[#This Row],[Credit.]]&gt;Table830[[#This Row],[Debit\]]),Table830[[#This Row],[Credit.]]-Table830[[#This Row],[Debit\]],""),"")</f>
        <v/>
      </c>
      <c r="AF173" s="34"/>
      <c r="AG173" s="34" t="str">
        <f>IFERROR(IF(AND(Table830[[#This Row],[Classification]]="Assets",Table830[[#This Row],[Debit\]]-Table830[[#This Row],[Credit.]]),Table830[[#This Row],[Debit\]]-Table830[[#This Row],[Credit.]],""),"")</f>
        <v/>
      </c>
      <c r="AH173" s="34" t="str">
        <f>IFERROR(IF(AND(OR(Table830[[#This Row],[Classification]]="Liabilities",Table830[[#This Row],[Classification]]="Owner´s Equity"),Table830[[#This Row],[Credit.]]&gt;Table830[[#This Row],[Debit\]]),Table830[[#This Row],[Credit.]]-Table830[[#This Row],[Debit\]],""),"")</f>
        <v/>
      </c>
    </row>
    <row r="174" spans="2:34" hidden="1" x14ac:dyDescent="0.25">
      <c r="B174" s="34"/>
      <c r="C174" s="45"/>
      <c r="D174" s="34"/>
      <c r="E174" s="34"/>
      <c r="G174" s="39"/>
      <c r="H174" s="40"/>
      <c r="I174" s="41"/>
      <c r="J174" s="41"/>
      <c r="L174" s="34">
        <v>167</v>
      </c>
      <c r="M174" s="35"/>
      <c r="N174" s="35"/>
      <c r="O174" s="34">
        <f>IFERROR(SUMIF(Table427[,],Table629[[#This Row],[Accounts Name]],Table427[,3]),"")</f>
        <v>0</v>
      </c>
      <c r="P174" s="34">
        <f>IFERROR(SUMIF(Table427[,],Table629[[#This Row],[Accounts Name]],Table427[,2]),"")</f>
        <v>0</v>
      </c>
      <c r="S174" s="36">
        <f t="shared" si="2"/>
        <v>167</v>
      </c>
      <c r="T174" s="34"/>
      <c r="U174" s="37"/>
      <c r="V174" s="34">
        <f>IFERROR(SUMIF(Table629[Sub-Accounts],Table830[[#This Row],[Update your chart of accounts here]],Table629[Debit]),"")</f>
        <v>0</v>
      </c>
      <c r="W174" s="34">
        <f>IFERROR(SUMIF(Table629[Sub-Accounts],Table830[[#This Row],[Update your chart of accounts here]],Table629[Credit]),"")</f>
        <v>0</v>
      </c>
      <c r="X174" s="34"/>
      <c r="Y174" s="34"/>
      <c r="Z174" s="34"/>
      <c r="AA174" s="34"/>
      <c r="AB174" s="34">
        <f>MAX(Table830[[#This Row],[Debit]]+Table830[[#This Row],[Debit -]]-Table830[[#This Row],[Credit]]-Table830[[#This Row],[Credit +]],0)</f>
        <v>0</v>
      </c>
      <c r="AC174" s="34">
        <f>MAX(Table830[[#This Row],[Credit]]-Table830[[#This Row],[Debit]]+Table830[[#This Row],[Credit +]]-Table830[[#This Row],[Debit -]],0)</f>
        <v>0</v>
      </c>
      <c r="AD174" s="34" t="str">
        <f>IFERROR(IF(AND(OR(Table830[[#This Row],[Classification]]="Expense",Table830[[#This Row],[Classification]]="Cost of Goods Sold"),Table830[[#This Row],[Debit\]]&gt;Table830[[#This Row],[Credit.]]),Table830[[#This Row],[Debit\]]-Table830[[#This Row],[Credit.]],""),"")</f>
        <v/>
      </c>
      <c r="AE174" s="34" t="str">
        <f>IFERROR(IF(AND(OR(Table830[[#This Row],[Classification]]="Income",Table830[[#This Row],[Classification]]="Cost of Goods Sold"),Table830[[#This Row],[Credit.]]&gt;Table830[[#This Row],[Debit\]]),Table830[[#This Row],[Credit.]]-Table830[[#This Row],[Debit\]],""),"")</f>
        <v/>
      </c>
      <c r="AF174" s="34"/>
      <c r="AG174" s="34" t="str">
        <f>IFERROR(IF(AND(Table830[[#This Row],[Classification]]="Assets",Table830[[#This Row],[Debit\]]-Table830[[#This Row],[Credit.]]),Table830[[#This Row],[Debit\]]-Table830[[#This Row],[Credit.]],""),"")</f>
        <v/>
      </c>
      <c r="AH174" s="34" t="str">
        <f>IFERROR(IF(AND(OR(Table830[[#This Row],[Classification]]="Liabilities",Table830[[#This Row],[Classification]]="Owner´s Equity"),Table830[[#This Row],[Credit.]]&gt;Table830[[#This Row],[Debit\]]),Table830[[#This Row],[Credit.]]-Table830[[#This Row],[Debit\]],""),"")</f>
        <v/>
      </c>
    </row>
    <row r="175" spans="2:34" hidden="1" x14ac:dyDescent="0.25">
      <c r="B175" s="34"/>
      <c r="C175" s="45"/>
      <c r="D175" s="34"/>
      <c r="E175" s="34"/>
      <c r="G175" s="39"/>
      <c r="H175" s="40"/>
      <c r="I175" s="41"/>
      <c r="J175" s="41"/>
      <c r="L175" s="34">
        <v>168</v>
      </c>
      <c r="M175" s="35"/>
      <c r="N175" s="35"/>
      <c r="O175" s="34">
        <f>IFERROR(SUMIF(Table427[,],Table629[[#This Row],[Accounts Name]],Table427[,3]),"")</f>
        <v>0</v>
      </c>
      <c r="P175" s="34">
        <f>IFERROR(SUMIF(Table427[,],Table629[[#This Row],[Accounts Name]],Table427[,2]),"")</f>
        <v>0</v>
      </c>
      <c r="S175" s="36">
        <f t="shared" si="2"/>
        <v>168</v>
      </c>
      <c r="T175" s="34"/>
      <c r="U175" s="37"/>
      <c r="V175" s="34">
        <f>IFERROR(SUMIF(Table629[Sub-Accounts],Table830[[#This Row],[Update your chart of accounts here]],Table629[Debit]),"")</f>
        <v>0</v>
      </c>
      <c r="W175" s="34">
        <f>IFERROR(SUMIF(Table629[Sub-Accounts],Table830[[#This Row],[Update your chart of accounts here]],Table629[Credit]),"")</f>
        <v>0</v>
      </c>
      <c r="X175" s="34"/>
      <c r="Y175" s="34"/>
      <c r="Z175" s="34"/>
      <c r="AA175" s="34"/>
      <c r="AB175" s="34">
        <f>MAX(Table830[[#This Row],[Debit]]+Table830[[#This Row],[Debit -]]-Table830[[#This Row],[Credit]]-Table830[[#This Row],[Credit +]],0)</f>
        <v>0</v>
      </c>
      <c r="AC175" s="34">
        <f>MAX(Table830[[#This Row],[Credit]]-Table830[[#This Row],[Debit]]+Table830[[#This Row],[Credit +]]-Table830[[#This Row],[Debit -]],0)</f>
        <v>0</v>
      </c>
      <c r="AD175" s="34" t="str">
        <f>IFERROR(IF(AND(OR(Table830[[#This Row],[Classification]]="Expense",Table830[[#This Row],[Classification]]="Cost of Goods Sold"),Table830[[#This Row],[Debit\]]&gt;Table830[[#This Row],[Credit.]]),Table830[[#This Row],[Debit\]]-Table830[[#This Row],[Credit.]],""),"")</f>
        <v/>
      </c>
      <c r="AE175" s="34" t="str">
        <f>IFERROR(IF(AND(OR(Table830[[#This Row],[Classification]]="Income",Table830[[#This Row],[Classification]]="Cost of Goods Sold"),Table830[[#This Row],[Credit.]]&gt;Table830[[#This Row],[Debit\]]),Table830[[#This Row],[Credit.]]-Table830[[#This Row],[Debit\]],""),"")</f>
        <v/>
      </c>
      <c r="AF175" s="34"/>
      <c r="AG175" s="34" t="str">
        <f>IFERROR(IF(AND(Table830[[#This Row],[Classification]]="Assets",Table830[[#This Row],[Debit\]]-Table830[[#This Row],[Credit.]]),Table830[[#This Row],[Debit\]]-Table830[[#This Row],[Credit.]],""),"")</f>
        <v/>
      </c>
      <c r="AH175" s="34" t="str">
        <f>IFERROR(IF(AND(OR(Table830[[#This Row],[Classification]]="Liabilities",Table830[[#This Row],[Classification]]="Owner´s Equity"),Table830[[#This Row],[Credit.]]&gt;Table830[[#This Row],[Debit\]]),Table830[[#This Row],[Credit.]]-Table830[[#This Row],[Debit\]],""),"")</f>
        <v/>
      </c>
    </row>
    <row r="176" spans="2:34" hidden="1" x14ac:dyDescent="0.25">
      <c r="B176" s="34"/>
      <c r="C176" s="45"/>
      <c r="D176" s="34"/>
      <c r="E176" s="34"/>
      <c r="G176" s="39"/>
      <c r="H176" s="43"/>
      <c r="I176" s="41"/>
      <c r="J176" s="41"/>
      <c r="L176" s="34">
        <v>169</v>
      </c>
      <c r="M176" s="35"/>
      <c r="N176" s="35"/>
      <c r="O176" s="34">
        <f>IFERROR(SUMIF(Table427[,],Table629[[#This Row],[Accounts Name]],Table427[,3]),"")</f>
        <v>0</v>
      </c>
      <c r="P176" s="34">
        <f>IFERROR(SUMIF(Table427[,],Table629[[#This Row],[Accounts Name]],Table427[,2]),"")</f>
        <v>0</v>
      </c>
      <c r="S176" s="36">
        <f t="shared" si="2"/>
        <v>169</v>
      </c>
      <c r="T176" s="34"/>
      <c r="U176" s="37"/>
      <c r="V176" s="34">
        <f>IFERROR(SUMIF(Table629[Sub-Accounts],Table830[[#This Row],[Update your chart of accounts here]],Table629[Debit]),"")</f>
        <v>0</v>
      </c>
      <c r="W176" s="34">
        <f>IFERROR(SUMIF(Table629[Sub-Accounts],Table830[[#This Row],[Update your chart of accounts here]],Table629[Credit]),"")</f>
        <v>0</v>
      </c>
      <c r="X176" s="34"/>
      <c r="Y176" s="34"/>
      <c r="Z176" s="34"/>
      <c r="AA176" s="34"/>
      <c r="AB176" s="34">
        <f>MAX(Table830[[#This Row],[Debit]]+Table830[[#This Row],[Debit -]]-Table830[[#This Row],[Credit]]-Table830[[#This Row],[Credit +]],0)</f>
        <v>0</v>
      </c>
      <c r="AC176" s="34">
        <f>MAX(Table830[[#This Row],[Credit]]-Table830[[#This Row],[Debit]]+Table830[[#This Row],[Credit +]]-Table830[[#This Row],[Debit -]],0)</f>
        <v>0</v>
      </c>
      <c r="AD176" s="34" t="str">
        <f>IFERROR(IF(AND(OR(Table830[[#This Row],[Classification]]="Expense",Table830[[#This Row],[Classification]]="Cost of Goods Sold"),Table830[[#This Row],[Debit\]]&gt;Table830[[#This Row],[Credit.]]),Table830[[#This Row],[Debit\]]-Table830[[#This Row],[Credit.]],""),"")</f>
        <v/>
      </c>
      <c r="AE176" s="34" t="str">
        <f>IFERROR(IF(AND(OR(Table830[[#This Row],[Classification]]="Income",Table830[[#This Row],[Classification]]="Cost of Goods Sold"),Table830[[#This Row],[Credit.]]&gt;Table830[[#This Row],[Debit\]]),Table830[[#This Row],[Credit.]]-Table830[[#This Row],[Debit\]],""),"")</f>
        <v/>
      </c>
      <c r="AF176" s="34"/>
      <c r="AG176" s="34" t="str">
        <f>IFERROR(IF(AND(Table830[[#This Row],[Classification]]="Assets",Table830[[#This Row],[Debit\]]-Table830[[#This Row],[Credit.]]),Table830[[#This Row],[Debit\]]-Table830[[#This Row],[Credit.]],""),"")</f>
        <v/>
      </c>
      <c r="AH176" s="34" t="str">
        <f>IFERROR(IF(AND(OR(Table830[[#This Row],[Classification]]="Liabilities",Table830[[#This Row],[Classification]]="Owner´s Equity"),Table830[[#This Row],[Credit.]]&gt;Table830[[#This Row],[Debit\]]),Table830[[#This Row],[Credit.]]-Table830[[#This Row],[Debit\]],""),"")</f>
        <v/>
      </c>
    </row>
    <row r="177" spans="2:34" hidden="1" x14ac:dyDescent="0.25">
      <c r="B177" s="34"/>
      <c r="C177" s="45"/>
      <c r="D177" s="34"/>
      <c r="E177" s="34"/>
      <c r="G177" s="39"/>
      <c r="H177" s="40"/>
      <c r="I177" s="41"/>
      <c r="J177" s="41"/>
      <c r="L177" s="34">
        <v>170</v>
      </c>
      <c r="M177" s="35"/>
      <c r="N177" s="35"/>
      <c r="O177" s="34">
        <f>IFERROR(SUMIF(Table427[,],Table629[[#This Row],[Accounts Name]],Table427[,3]),"")</f>
        <v>0</v>
      </c>
      <c r="P177" s="34">
        <f>IFERROR(SUMIF(Table427[,],Table629[[#This Row],[Accounts Name]],Table427[,2]),"")</f>
        <v>0</v>
      </c>
      <c r="S177" s="36">
        <f t="shared" si="2"/>
        <v>170</v>
      </c>
      <c r="T177" s="34"/>
      <c r="U177" s="37"/>
      <c r="V177" s="34">
        <f>IFERROR(SUMIF(Table629[Sub-Accounts],Table830[[#This Row],[Update your chart of accounts here]],Table629[Debit]),"")</f>
        <v>0</v>
      </c>
      <c r="W177" s="34">
        <f>IFERROR(SUMIF(Table629[Sub-Accounts],Table830[[#This Row],[Update your chart of accounts here]],Table629[Credit]),"")</f>
        <v>0</v>
      </c>
      <c r="X177" s="34"/>
      <c r="Y177" s="34"/>
      <c r="Z177" s="34"/>
      <c r="AA177" s="34"/>
      <c r="AB177" s="34">
        <f>MAX(Table830[[#This Row],[Debit]]+Table830[[#This Row],[Debit -]]-Table830[[#This Row],[Credit]]-Table830[[#This Row],[Credit +]],0)</f>
        <v>0</v>
      </c>
      <c r="AC177" s="34">
        <f>MAX(Table830[[#This Row],[Credit]]-Table830[[#This Row],[Debit]]+Table830[[#This Row],[Credit +]]-Table830[[#This Row],[Debit -]],0)</f>
        <v>0</v>
      </c>
      <c r="AD177" s="34" t="str">
        <f>IFERROR(IF(AND(OR(Table830[[#This Row],[Classification]]="Expense",Table830[[#This Row],[Classification]]="Cost of Goods Sold"),Table830[[#This Row],[Debit\]]&gt;Table830[[#This Row],[Credit.]]),Table830[[#This Row],[Debit\]]-Table830[[#This Row],[Credit.]],""),"")</f>
        <v/>
      </c>
      <c r="AE177" s="34" t="str">
        <f>IFERROR(IF(AND(OR(Table830[[#This Row],[Classification]]="Income",Table830[[#This Row],[Classification]]="Cost of Goods Sold"),Table830[[#This Row],[Credit.]]&gt;Table830[[#This Row],[Debit\]]),Table830[[#This Row],[Credit.]]-Table830[[#This Row],[Debit\]],""),"")</f>
        <v/>
      </c>
      <c r="AF177" s="34"/>
      <c r="AG177" s="34" t="str">
        <f>IFERROR(IF(AND(Table830[[#This Row],[Classification]]="Assets",Table830[[#This Row],[Debit\]]-Table830[[#This Row],[Credit.]]),Table830[[#This Row],[Debit\]]-Table830[[#This Row],[Credit.]],""),"")</f>
        <v/>
      </c>
      <c r="AH177" s="34" t="str">
        <f>IFERROR(IF(AND(OR(Table830[[#This Row],[Classification]]="Liabilities",Table830[[#This Row],[Classification]]="Owner´s Equity"),Table830[[#This Row],[Credit.]]&gt;Table830[[#This Row],[Debit\]]),Table830[[#This Row],[Credit.]]-Table830[[#This Row],[Debit\]],""),"")</f>
        <v/>
      </c>
    </row>
    <row r="178" spans="2:34" hidden="1" x14ac:dyDescent="0.25">
      <c r="B178" s="34"/>
      <c r="C178" s="45"/>
      <c r="D178" s="34"/>
      <c r="E178" s="34"/>
      <c r="G178" s="39"/>
      <c r="H178" s="40"/>
      <c r="I178" s="41"/>
      <c r="J178" s="41"/>
      <c r="L178" s="34">
        <v>171</v>
      </c>
      <c r="M178" s="35"/>
      <c r="N178" s="35"/>
      <c r="O178" s="34">
        <f>IFERROR(SUMIF(Table427[,],Table629[[#This Row],[Accounts Name]],Table427[,3]),"")</f>
        <v>0</v>
      </c>
      <c r="P178" s="34">
        <f>IFERROR(SUMIF(Table427[,],Table629[[#This Row],[Accounts Name]],Table427[,2]),"")</f>
        <v>0</v>
      </c>
      <c r="S178" s="36">
        <f t="shared" si="2"/>
        <v>171</v>
      </c>
      <c r="T178" s="34"/>
      <c r="U178" s="37"/>
      <c r="V178" s="34">
        <f>IFERROR(SUMIF(Table629[Sub-Accounts],Table830[[#This Row],[Update your chart of accounts here]],Table629[Debit]),"")</f>
        <v>0</v>
      </c>
      <c r="W178" s="34">
        <f>IFERROR(SUMIF(Table629[Sub-Accounts],Table830[[#This Row],[Update your chart of accounts here]],Table629[Credit]),"")</f>
        <v>0</v>
      </c>
      <c r="X178" s="34"/>
      <c r="Y178" s="34"/>
      <c r="Z178" s="34"/>
      <c r="AA178" s="34"/>
      <c r="AB178" s="34">
        <f>MAX(Table830[[#This Row],[Debit]]+Table830[[#This Row],[Debit -]]-Table830[[#This Row],[Credit]]-Table830[[#This Row],[Credit +]],0)</f>
        <v>0</v>
      </c>
      <c r="AC178" s="34">
        <f>MAX(Table830[[#This Row],[Credit]]-Table830[[#This Row],[Debit]]+Table830[[#This Row],[Credit +]]-Table830[[#This Row],[Debit -]],0)</f>
        <v>0</v>
      </c>
      <c r="AD178" s="34" t="str">
        <f>IFERROR(IF(AND(OR(Table830[[#This Row],[Classification]]="Expense",Table830[[#This Row],[Classification]]="Cost of Goods Sold"),Table830[[#This Row],[Debit\]]&gt;Table830[[#This Row],[Credit.]]),Table830[[#This Row],[Debit\]]-Table830[[#This Row],[Credit.]],""),"")</f>
        <v/>
      </c>
      <c r="AE178" s="34" t="str">
        <f>IFERROR(IF(AND(OR(Table830[[#This Row],[Classification]]="Income",Table830[[#This Row],[Classification]]="Cost of Goods Sold"),Table830[[#This Row],[Credit.]]&gt;Table830[[#This Row],[Debit\]]),Table830[[#This Row],[Credit.]]-Table830[[#This Row],[Debit\]],""),"")</f>
        <v/>
      </c>
      <c r="AF178" s="34"/>
      <c r="AG178" s="34" t="str">
        <f>IFERROR(IF(AND(Table830[[#This Row],[Classification]]="Assets",Table830[[#This Row],[Debit\]]-Table830[[#This Row],[Credit.]]),Table830[[#This Row],[Debit\]]-Table830[[#This Row],[Credit.]],""),"")</f>
        <v/>
      </c>
      <c r="AH178" s="34" t="str">
        <f>IFERROR(IF(AND(OR(Table830[[#This Row],[Classification]]="Liabilities",Table830[[#This Row],[Classification]]="Owner´s Equity"),Table830[[#This Row],[Credit.]]&gt;Table830[[#This Row],[Debit\]]),Table830[[#This Row],[Credit.]]-Table830[[#This Row],[Debit\]],""),"")</f>
        <v/>
      </c>
    </row>
    <row r="179" spans="2:34" hidden="1" x14ac:dyDescent="0.25">
      <c r="B179" s="34"/>
      <c r="C179" s="45"/>
      <c r="D179" s="34"/>
      <c r="E179" s="34"/>
      <c r="G179" s="39"/>
      <c r="H179" s="43"/>
      <c r="I179" s="41"/>
      <c r="J179" s="41"/>
      <c r="L179" s="34">
        <v>172</v>
      </c>
      <c r="M179" s="35"/>
      <c r="N179" s="35"/>
      <c r="O179" s="34">
        <f>IFERROR(SUMIF(Table427[,],Table629[[#This Row],[Accounts Name]],Table427[,3]),"")</f>
        <v>0</v>
      </c>
      <c r="P179" s="34">
        <f>IFERROR(SUMIF(Table427[,],Table629[[#This Row],[Accounts Name]],Table427[,2]),"")</f>
        <v>0</v>
      </c>
      <c r="S179" s="36">
        <f t="shared" si="2"/>
        <v>172</v>
      </c>
      <c r="T179" s="34"/>
      <c r="U179" s="37"/>
      <c r="V179" s="34">
        <f>IFERROR(SUMIF(Table629[Sub-Accounts],Table830[[#This Row],[Update your chart of accounts here]],Table629[Debit]),"")</f>
        <v>0</v>
      </c>
      <c r="W179" s="34">
        <f>IFERROR(SUMIF(Table629[Sub-Accounts],Table830[[#This Row],[Update your chart of accounts here]],Table629[Credit]),"")</f>
        <v>0</v>
      </c>
      <c r="X179" s="34"/>
      <c r="Y179" s="34"/>
      <c r="Z179" s="34"/>
      <c r="AA179" s="34"/>
      <c r="AB179" s="34">
        <f>MAX(Table830[[#This Row],[Debit]]+Table830[[#This Row],[Debit -]]-Table830[[#This Row],[Credit]]-Table830[[#This Row],[Credit +]],0)</f>
        <v>0</v>
      </c>
      <c r="AC179" s="34">
        <f>MAX(Table830[[#This Row],[Credit]]-Table830[[#This Row],[Debit]]+Table830[[#This Row],[Credit +]]-Table830[[#This Row],[Debit -]],0)</f>
        <v>0</v>
      </c>
      <c r="AD179" s="34" t="str">
        <f>IFERROR(IF(AND(OR(Table830[[#This Row],[Classification]]="Expense",Table830[[#This Row],[Classification]]="Cost of Goods Sold"),Table830[[#This Row],[Debit\]]&gt;Table830[[#This Row],[Credit.]]),Table830[[#This Row],[Debit\]]-Table830[[#This Row],[Credit.]],""),"")</f>
        <v/>
      </c>
      <c r="AE179" s="34" t="str">
        <f>IFERROR(IF(AND(OR(Table830[[#This Row],[Classification]]="Income",Table830[[#This Row],[Classification]]="Cost of Goods Sold"),Table830[[#This Row],[Credit.]]&gt;Table830[[#This Row],[Debit\]]),Table830[[#This Row],[Credit.]]-Table830[[#This Row],[Debit\]],""),"")</f>
        <v/>
      </c>
      <c r="AF179" s="34"/>
      <c r="AG179" s="34" t="str">
        <f>IFERROR(IF(AND(Table830[[#This Row],[Classification]]="Assets",Table830[[#This Row],[Debit\]]-Table830[[#This Row],[Credit.]]),Table830[[#This Row],[Debit\]]-Table830[[#This Row],[Credit.]],""),"")</f>
        <v/>
      </c>
      <c r="AH179" s="34" t="str">
        <f>IFERROR(IF(AND(OR(Table830[[#This Row],[Classification]]="Liabilities",Table830[[#This Row],[Classification]]="Owner´s Equity"),Table830[[#This Row],[Credit.]]&gt;Table830[[#This Row],[Debit\]]),Table830[[#This Row],[Credit.]]-Table830[[#This Row],[Debit\]],""),"")</f>
        <v/>
      </c>
    </row>
    <row r="180" spans="2:34" hidden="1" x14ac:dyDescent="0.25">
      <c r="B180" s="34"/>
      <c r="C180" s="45"/>
      <c r="D180" s="34"/>
      <c r="E180" s="34"/>
      <c r="G180" s="39"/>
      <c r="H180" s="40"/>
      <c r="I180" s="41"/>
      <c r="J180" s="41"/>
      <c r="L180" s="34">
        <v>173</v>
      </c>
      <c r="M180" s="35"/>
      <c r="N180" s="35"/>
      <c r="O180" s="34">
        <f>IFERROR(SUMIF(Table427[,],Table629[[#This Row],[Accounts Name]],Table427[,3]),"")</f>
        <v>0</v>
      </c>
      <c r="P180" s="34">
        <f>IFERROR(SUMIF(Table427[,],Table629[[#This Row],[Accounts Name]],Table427[,2]),"")</f>
        <v>0</v>
      </c>
      <c r="S180" s="36">
        <f t="shared" si="2"/>
        <v>173</v>
      </c>
      <c r="T180" s="34"/>
      <c r="U180" s="37"/>
      <c r="V180" s="34">
        <f>IFERROR(SUMIF(Table629[Sub-Accounts],Table830[[#This Row],[Update your chart of accounts here]],Table629[Debit]),"")</f>
        <v>0</v>
      </c>
      <c r="W180" s="34">
        <f>IFERROR(SUMIF(Table629[Sub-Accounts],Table830[[#This Row],[Update your chart of accounts here]],Table629[Credit]),"")</f>
        <v>0</v>
      </c>
      <c r="X180" s="34"/>
      <c r="Y180" s="34"/>
      <c r="Z180" s="34"/>
      <c r="AA180" s="34"/>
      <c r="AB180" s="34">
        <f>MAX(Table830[[#This Row],[Debit]]+Table830[[#This Row],[Debit -]]-Table830[[#This Row],[Credit]]-Table830[[#This Row],[Credit +]],0)</f>
        <v>0</v>
      </c>
      <c r="AC180" s="34">
        <f>MAX(Table830[[#This Row],[Credit]]-Table830[[#This Row],[Debit]]+Table830[[#This Row],[Credit +]]-Table830[[#This Row],[Debit -]],0)</f>
        <v>0</v>
      </c>
      <c r="AD180" s="34" t="str">
        <f>IFERROR(IF(AND(OR(Table830[[#This Row],[Classification]]="Expense",Table830[[#This Row],[Classification]]="Cost of Goods Sold"),Table830[[#This Row],[Debit\]]&gt;Table830[[#This Row],[Credit.]]),Table830[[#This Row],[Debit\]]-Table830[[#This Row],[Credit.]],""),"")</f>
        <v/>
      </c>
      <c r="AE180" s="34" t="str">
        <f>IFERROR(IF(AND(OR(Table830[[#This Row],[Classification]]="Income",Table830[[#This Row],[Classification]]="Cost of Goods Sold"),Table830[[#This Row],[Credit.]]&gt;Table830[[#This Row],[Debit\]]),Table830[[#This Row],[Credit.]]-Table830[[#This Row],[Debit\]],""),"")</f>
        <v/>
      </c>
      <c r="AF180" s="34"/>
      <c r="AG180" s="34" t="str">
        <f>IFERROR(IF(AND(Table830[[#This Row],[Classification]]="Assets",Table830[[#This Row],[Debit\]]-Table830[[#This Row],[Credit.]]),Table830[[#This Row],[Debit\]]-Table830[[#This Row],[Credit.]],""),"")</f>
        <v/>
      </c>
      <c r="AH180" s="34" t="str">
        <f>IFERROR(IF(AND(OR(Table830[[#This Row],[Classification]]="Liabilities",Table830[[#This Row],[Classification]]="Owner´s Equity"),Table830[[#This Row],[Credit.]]&gt;Table830[[#This Row],[Debit\]]),Table830[[#This Row],[Credit.]]-Table830[[#This Row],[Debit\]],""),"")</f>
        <v/>
      </c>
    </row>
    <row r="181" spans="2:34" hidden="1" x14ac:dyDescent="0.25">
      <c r="B181" s="34"/>
      <c r="C181" s="45"/>
      <c r="D181" s="34"/>
      <c r="E181" s="34"/>
      <c r="G181" s="39"/>
      <c r="H181" s="40"/>
      <c r="I181" s="41"/>
      <c r="J181" s="41"/>
      <c r="L181" s="34">
        <v>174</v>
      </c>
      <c r="M181" s="35"/>
      <c r="N181" s="35"/>
      <c r="O181" s="34">
        <f>IFERROR(SUMIF(Table427[,],Table629[[#This Row],[Accounts Name]],Table427[,3]),"")</f>
        <v>0</v>
      </c>
      <c r="P181" s="34">
        <f>IFERROR(SUMIF(Table427[,],Table629[[#This Row],[Accounts Name]],Table427[,2]),"")</f>
        <v>0</v>
      </c>
      <c r="S181" s="36">
        <f t="shared" si="2"/>
        <v>174</v>
      </c>
      <c r="T181" s="34"/>
      <c r="U181" s="37"/>
      <c r="V181" s="34">
        <f>IFERROR(SUMIF(Table629[Sub-Accounts],Table830[[#This Row],[Update your chart of accounts here]],Table629[Debit]),"")</f>
        <v>0</v>
      </c>
      <c r="W181" s="34">
        <f>IFERROR(SUMIF(Table629[Sub-Accounts],Table830[[#This Row],[Update your chart of accounts here]],Table629[Credit]),"")</f>
        <v>0</v>
      </c>
      <c r="X181" s="34"/>
      <c r="Y181" s="34"/>
      <c r="Z181" s="34"/>
      <c r="AA181" s="34"/>
      <c r="AB181" s="34">
        <f>MAX(Table830[[#This Row],[Debit]]+Table830[[#This Row],[Debit -]]-Table830[[#This Row],[Credit]]-Table830[[#This Row],[Credit +]],0)</f>
        <v>0</v>
      </c>
      <c r="AC181" s="34">
        <f>MAX(Table830[[#This Row],[Credit]]-Table830[[#This Row],[Debit]]+Table830[[#This Row],[Credit +]]-Table830[[#This Row],[Debit -]],0)</f>
        <v>0</v>
      </c>
      <c r="AD181" s="34" t="str">
        <f>IFERROR(IF(AND(OR(Table830[[#This Row],[Classification]]="Expense",Table830[[#This Row],[Classification]]="Cost of Goods Sold"),Table830[[#This Row],[Debit\]]&gt;Table830[[#This Row],[Credit.]]),Table830[[#This Row],[Debit\]]-Table830[[#This Row],[Credit.]],""),"")</f>
        <v/>
      </c>
      <c r="AE181" s="34" t="str">
        <f>IFERROR(IF(AND(OR(Table830[[#This Row],[Classification]]="Income",Table830[[#This Row],[Classification]]="Cost of Goods Sold"),Table830[[#This Row],[Credit.]]&gt;Table830[[#This Row],[Debit\]]),Table830[[#This Row],[Credit.]]-Table830[[#This Row],[Debit\]],""),"")</f>
        <v/>
      </c>
      <c r="AF181" s="34"/>
      <c r="AG181" s="34" t="str">
        <f>IFERROR(IF(AND(Table830[[#This Row],[Classification]]="Assets",Table830[[#This Row],[Debit\]]-Table830[[#This Row],[Credit.]]),Table830[[#This Row],[Debit\]]-Table830[[#This Row],[Credit.]],""),"")</f>
        <v/>
      </c>
      <c r="AH181" s="34" t="str">
        <f>IFERROR(IF(AND(OR(Table830[[#This Row],[Classification]]="Liabilities",Table830[[#This Row],[Classification]]="Owner´s Equity"),Table830[[#This Row],[Credit.]]&gt;Table830[[#This Row],[Debit\]]),Table830[[#This Row],[Credit.]]-Table830[[#This Row],[Debit\]],""),"")</f>
        <v/>
      </c>
    </row>
    <row r="182" spans="2:34" hidden="1" x14ac:dyDescent="0.25">
      <c r="B182" s="34"/>
      <c r="C182" s="45"/>
      <c r="D182" s="34"/>
      <c r="E182" s="34"/>
      <c r="G182" s="39"/>
      <c r="H182" s="43"/>
      <c r="I182" s="41"/>
      <c r="J182" s="41"/>
      <c r="L182" s="34">
        <v>175</v>
      </c>
      <c r="M182" s="35"/>
      <c r="N182" s="35"/>
      <c r="O182" s="34">
        <f>IFERROR(SUMIF(Table427[,],Table629[[#This Row],[Accounts Name]],Table427[,3]),"")</f>
        <v>0</v>
      </c>
      <c r="P182" s="34">
        <f>IFERROR(SUMIF(Table427[,],Table629[[#This Row],[Accounts Name]],Table427[,2]),"")</f>
        <v>0</v>
      </c>
      <c r="S182" s="36">
        <f t="shared" si="2"/>
        <v>175</v>
      </c>
      <c r="T182" s="34"/>
      <c r="U182" s="37"/>
      <c r="V182" s="34">
        <f>IFERROR(SUMIF(Table629[Sub-Accounts],Table830[[#This Row],[Update your chart of accounts here]],Table629[Debit]),"")</f>
        <v>0</v>
      </c>
      <c r="W182" s="34">
        <f>IFERROR(SUMIF(Table629[Sub-Accounts],Table830[[#This Row],[Update your chart of accounts here]],Table629[Credit]),"")</f>
        <v>0</v>
      </c>
      <c r="X182" s="34"/>
      <c r="Y182" s="34"/>
      <c r="Z182" s="34"/>
      <c r="AA182" s="34"/>
      <c r="AB182" s="34">
        <f>MAX(Table830[[#This Row],[Debit]]+Table830[[#This Row],[Debit -]]-Table830[[#This Row],[Credit]]-Table830[[#This Row],[Credit +]],0)</f>
        <v>0</v>
      </c>
      <c r="AC182" s="34">
        <f>MAX(Table830[[#This Row],[Credit]]-Table830[[#This Row],[Debit]]+Table830[[#This Row],[Credit +]]-Table830[[#This Row],[Debit -]],0)</f>
        <v>0</v>
      </c>
      <c r="AD182" s="34" t="str">
        <f>IFERROR(IF(AND(OR(Table830[[#This Row],[Classification]]="Expense",Table830[[#This Row],[Classification]]="Cost of Goods Sold"),Table830[[#This Row],[Debit\]]&gt;Table830[[#This Row],[Credit.]]),Table830[[#This Row],[Debit\]]-Table830[[#This Row],[Credit.]],""),"")</f>
        <v/>
      </c>
      <c r="AE182" s="34" t="str">
        <f>IFERROR(IF(AND(OR(Table830[[#This Row],[Classification]]="Income",Table830[[#This Row],[Classification]]="Cost of Goods Sold"),Table830[[#This Row],[Credit.]]&gt;Table830[[#This Row],[Debit\]]),Table830[[#This Row],[Credit.]]-Table830[[#This Row],[Debit\]],""),"")</f>
        <v/>
      </c>
      <c r="AF182" s="34"/>
      <c r="AG182" s="34" t="str">
        <f>IFERROR(IF(AND(Table830[[#This Row],[Classification]]="Assets",Table830[[#This Row],[Debit\]]-Table830[[#This Row],[Credit.]]),Table830[[#This Row],[Debit\]]-Table830[[#This Row],[Credit.]],""),"")</f>
        <v/>
      </c>
      <c r="AH182" s="34" t="str">
        <f>IFERROR(IF(AND(OR(Table830[[#This Row],[Classification]]="Liabilities",Table830[[#This Row],[Classification]]="Owner´s Equity"),Table830[[#This Row],[Credit.]]&gt;Table830[[#This Row],[Debit\]]),Table830[[#This Row],[Credit.]]-Table830[[#This Row],[Debit\]],""),"")</f>
        <v/>
      </c>
    </row>
    <row r="183" spans="2:34" hidden="1" x14ac:dyDescent="0.25">
      <c r="B183" s="34"/>
      <c r="C183" s="45"/>
      <c r="D183" s="34"/>
      <c r="E183" s="34"/>
      <c r="G183" s="39"/>
      <c r="H183" s="40"/>
      <c r="I183" s="41"/>
      <c r="J183" s="41"/>
      <c r="L183" s="34">
        <v>176</v>
      </c>
      <c r="M183" s="35"/>
      <c r="N183" s="35"/>
      <c r="O183" s="34">
        <f>IFERROR(SUMIF(Table427[,],Table629[[#This Row],[Accounts Name]],Table427[,3]),"")</f>
        <v>0</v>
      </c>
      <c r="P183" s="34">
        <f>IFERROR(SUMIF(Table427[,],Table629[[#This Row],[Accounts Name]],Table427[,2]),"")</f>
        <v>0</v>
      </c>
      <c r="S183" s="36">
        <f t="shared" si="2"/>
        <v>176</v>
      </c>
      <c r="T183" s="34"/>
      <c r="U183" s="37"/>
      <c r="V183" s="34">
        <f>IFERROR(SUMIF(Table629[Sub-Accounts],Table830[[#This Row],[Update your chart of accounts here]],Table629[Debit]),"")</f>
        <v>0</v>
      </c>
      <c r="W183" s="34">
        <f>IFERROR(SUMIF(Table629[Sub-Accounts],Table830[[#This Row],[Update your chart of accounts here]],Table629[Credit]),"")</f>
        <v>0</v>
      </c>
      <c r="X183" s="34"/>
      <c r="Y183" s="34"/>
      <c r="Z183" s="34"/>
      <c r="AA183" s="34"/>
      <c r="AB183" s="34">
        <f>MAX(Table830[[#This Row],[Debit]]+Table830[[#This Row],[Debit -]]-Table830[[#This Row],[Credit]]-Table830[[#This Row],[Credit +]],0)</f>
        <v>0</v>
      </c>
      <c r="AC183" s="34">
        <f>MAX(Table830[[#This Row],[Credit]]-Table830[[#This Row],[Debit]]+Table830[[#This Row],[Credit +]]-Table830[[#This Row],[Debit -]],0)</f>
        <v>0</v>
      </c>
      <c r="AD183" s="34" t="str">
        <f>IFERROR(IF(AND(OR(Table830[[#This Row],[Classification]]="Expense",Table830[[#This Row],[Classification]]="Cost of Goods Sold"),Table830[[#This Row],[Debit\]]&gt;Table830[[#This Row],[Credit.]]),Table830[[#This Row],[Debit\]]-Table830[[#This Row],[Credit.]],""),"")</f>
        <v/>
      </c>
      <c r="AE183" s="34" t="str">
        <f>IFERROR(IF(AND(OR(Table830[[#This Row],[Classification]]="Income",Table830[[#This Row],[Classification]]="Cost of Goods Sold"),Table830[[#This Row],[Credit.]]&gt;Table830[[#This Row],[Debit\]]),Table830[[#This Row],[Credit.]]-Table830[[#This Row],[Debit\]],""),"")</f>
        <v/>
      </c>
      <c r="AF183" s="34"/>
      <c r="AG183" s="34" t="str">
        <f>IFERROR(IF(AND(Table830[[#This Row],[Classification]]="Assets",Table830[[#This Row],[Debit\]]-Table830[[#This Row],[Credit.]]),Table830[[#This Row],[Debit\]]-Table830[[#This Row],[Credit.]],""),"")</f>
        <v/>
      </c>
      <c r="AH183" s="34" t="str">
        <f>IFERROR(IF(AND(OR(Table830[[#This Row],[Classification]]="Liabilities",Table830[[#This Row],[Classification]]="Owner´s Equity"),Table830[[#This Row],[Credit.]]&gt;Table830[[#This Row],[Debit\]]),Table830[[#This Row],[Credit.]]-Table830[[#This Row],[Debit\]],""),"")</f>
        <v/>
      </c>
    </row>
    <row r="184" spans="2:34" hidden="1" x14ac:dyDescent="0.25">
      <c r="B184" s="34"/>
      <c r="C184" s="45"/>
      <c r="D184" s="34"/>
      <c r="E184" s="34"/>
      <c r="G184" s="39"/>
      <c r="H184" s="40"/>
      <c r="I184" s="41"/>
      <c r="J184" s="41"/>
      <c r="L184" s="34">
        <v>177</v>
      </c>
      <c r="M184" s="35"/>
      <c r="N184" s="35"/>
      <c r="O184" s="34">
        <f>IFERROR(SUMIF(Table427[,],Table629[[#This Row],[Accounts Name]],Table427[,3]),"")</f>
        <v>0</v>
      </c>
      <c r="P184" s="34">
        <f>IFERROR(SUMIF(Table427[,],Table629[[#This Row],[Accounts Name]],Table427[,2]),"")</f>
        <v>0</v>
      </c>
      <c r="S184" s="36">
        <f t="shared" si="2"/>
        <v>177</v>
      </c>
      <c r="T184" s="34"/>
      <c r="U184" s="37"/>
      <c r="V184" s="34">
        <f>IFERROR(SUMIF(Table629[Sub-Accounts],Table830[[#This Row],[Update your chart of accounts here]],Table629[Debit]),"")</f>
        <v>0</v>
      </c>
      <c r="W184" s="34">
        <f>IFERROR(SUMIF(Table629[Sub-Accounts],Table830[[#This Row],[Update your chart of accounts here]],Table629[Credit]),"")</f>
        <v>0</v>
      </c>
      <c r="X184" s="34"/>
      <c r="Y184" s="34"/>
      <c r="Z184" s="34"/>
      <c r="AA184" s="34"/>
      <c r="AB184" s="34">
        <f>MAX(Table830[[#This Row],[Debit]]+Table830[[#This Row],[Debit -]]-Table830[[#This Row],[Credit]]-Table830[[#This Row],[Credit +]],0)</f>
        <v>0</v>
      </c>
      <c r="AC184" s="34">
        <f>MAX(Table830[[#This Row],[Credit]]-Table830[[#This Row],[Debit]]+Table830[[#This Row],[Credit +]]-Table830[[#This Row],[Debit -]],0)</f>
        <v>0</v>
      </c>
      <c r="AD184" s="34" t="str">
        <f>IFERROR(IF(AND(OR(Table830[[#This Row],[Classification]]="Expense",Table830[[#This Row],[Classification]]="Cost of Goods Sold"),Table830[[#This Row],[Debit\]]&gt;Table830[[#This Row],[Credit.]]),Table830[[#This Row],[Debit\]]-Table830[[#This Row],[Credit.]],""),"")</f>
        <v/>
      </c>
      <c r="AE184" s="34" t="str">
        <f>IFERROR(IF(AND(OR(Table830[[#This Row],[Classification]]="Income",Table830[[#This Row],[Classification]]="Cost of Goods Sold"),Table830[[#This Row],[Credit.]]&gt;Table830[[#This Row],[Debit\]]),Table830[[#This Row],[Credit.]]-Table830[[#This Row],[Debit\]],""),"")</f>
        <v/>
      </c>
      <c r="AF184" s="34"/>
      <c r="AG184" s="34" t="str">
        <f>IFERROR(IF(AND(Table830[[#This Row],[Classification]]="Assets",Table830[[#This Row],[Debit\]]-Table830[[#This Row],[Credit.]]),Table830[[#This Row],[Debit\]]-Table830[[#This Row],[Credit.]],""),"")</f>
        <v/>
      </c>
      <c r="AH184" s="34" t="str">
        <f>IFERROR(IF(AND(OR(Table830[[#This Row],[Classification]]="Liabilities",Table830[[#This Row],[Classification]]="Owner´s Equity"),Table830[[#This Row],[Credit.]]&gt;Table830[[#This Row],[Debit\]]),Table830[[#This Row],[Credit.]]-Table830[[#This Row],[Debit\]],""),"")</f>
        <v/>
      </c>
    </row>
    <row r="185" spans="2:34" hidden="1" x14ac:dyDescent="0.25">
      <c r="B185" s="34"/>
      <c r="C185" s="45"/>
      <c r="D185" s="34"/>
      <c r="E185" s="34"/>
      <c r="G185" s="39"/>
      <c r="H185" s="43"/>
      <c r="I185" s="41"/>
      <c r="J185" s="41"/>
      <c r="L185" s="34">
        <v>178</v>
      </c>
      <c r="M185" s="35"/>
      <c r="N185" s="35"/>
      <c r="O185" s="34">
        <f>IFERROR(SUMIF(Table427[,],Table629[[#This Row],[Accounts Name]],Table427[,3]),"")</f>
        <v>0</v>
      </c>
      <c r="P185" s="34">
        <f>IFERROR(SUMIF(Table427[,],Table629[[#This Row],[Accounts Name]],Table427[,2]),"")</f>
        <v>0</v>
      </c>
      <c r="S185" s="36">
        <f t="shared" si="2"/>
        <v>178</v>
      </c>
      <c r="T185" s="34"/>
      <c r="U185" s="37"/>
      <c r="V185" s="34">
        <f>IFERROR(SUMIF(Table629[Sub-Accounts],Table830[[#This Row],[Update your chart of accounts here]],Table629[Debit]),"")</f>
        <v>0</v>
      </c>
      <c r="W185" s="34">
        <f>IFERROR(SUMIF(Table629[Sub-Accounts],Table830[[#This Row],[Update your chart of accounts here]],Table629[Credit]),"")</f>
        <v>0</v>
      </c>
      <c r="X185" s="34"/>
      <c r="Y185" s="34"/>
      <c r="Z185" s="34"/>
      <c r="AA185" s="34"/>
      <c r="AB185" s="34">
        <f>MAX(Table830[[#This Row],[Debit]]+Table830[[#This Row],[Debit -]]-Table830[[#This Row],[Credit]]-Table830[[#This Row],[Credit +]],0)</f>
        <v>0</v>
      </c>
      <c r="AC185" s="34">
        <f>MAX(Table830[[#This Row],[Credit]]-Table830[[#This Row],[Debit]]+Table830[[#This Row],[Credit +]]-Table830[[#This Row],[Debit -]],0)</f>
        <v>0</v>
      </c>
      <c r="AD185" s="34" t="str">
        <f>IFERROR(IF(AND(OR(Table830[[#This Row],[Classification]]="Expense",Table830[[#This Row],[Classification]]="Cost of Goods Sold"),Table830[[#This Row],[Debit\]]&gt;Table830[[#This Row],[Credit.]]),Table830[[#This Row],[Debit\]]-Table830[[#This Row],[Credit.]],""),"")</f>
        <v/>
      </c>
      <c r="AE185" s="34" t="str">
        <f>IFERROR(IF(AND(OR(Table830[[#This Row],[Classification]]="Income",Table830[[#This Row],[Classification]]="Cost of Goods Sold"),Table830[[#This Row],[Credit.]]&gt;Table830[[#This Row],[Debit\]]),Table830[[#This Row],[Credit.]]-Table830[[#This Row],[Debit\]],""),"")</f>
        <v/>
      </c>
      <c r="AF185" s="34"/>
      <c r="AG185" s="34" t="str">
        <f>IFERROR(IF(AND(Table830[[#This Row],[Classification]]="Assets",Table830[[#This Row],[Debit\]]-Table830[[#This Row],[Credit.]]),Table830[[#This Row],[Debit\]]-Table830[[#This Row],[Credit.]],""),"")</f>
        <v/>
      </c>
      <c r="AH185" s="34" t="str">
        <f>IFERROR(IF(AND(OR(Table830[[#This Row],[Classification]]="Liabilities",Table830[[#This Row],[Classification]]="Owner´s Equity"),Table830[[#This Row],[Credit.]]&gt;Table830[[#This Row],[Debit\]]),Table830[[#This Row],[Credit.]]-Table830[[#This Row],[Debit\]],""),"")</f>
        <v/>
      </c>
    </row>
    <row r="186" spans="2:34" hidden="1" x14ac:dyDescent="0.25">
      <c r="B186" s="34"/>
      <c r="C186" s="45"/>
      <c r="D186" s="34"/>
      <c r="E186" s="34"/>
      <c r="G186" s="39"/>
      <c r="H186" s="40"/>
      <c r="I186" s="41"/>
      <c r="J186" s="41"/>
      <c r="L186" s="34">
        <v>179</v>
      </c>
      <c r="M186" s="35"/>
      <c r="N186" s="35"/>
      <c r="O186" s="34">
        <f>IFERROR(SUMIF(Table427[,],Table629[[#This Row],[Accounts Name]],Table427[,3]),"")</f>
        <v>0</v>
      </c>
      <c r="P186" s="34">
        <f>IFERROR(SUMIF(Table427[,],Table629[[#This Row],[Accounts Name]],Table427[,2]),"")</f>
        <v>0</v>
      </c>
      <c r="S186" s="36">
        <f t="shared" si="2"/>
        <v>179</v>
      </c>
      <c r="T186" s="34"/>
      <c r="U186" s="37"/>
      <c r="V186" s="34">
        <f>IFERROR(SUMIF(Table629[Sub-Accounts],Table830[[#This Row],[Update your chart of accounts here]],Table629[Debit]),"")</f>
        <v>0</v>
      </c>
      <c r="W186" s="34">
        <f>IFERROR(SUMIF(Table629[Sub-Accounts],Table830[[#This Row],[Update your chart of accounts here]],Table629[Credit]),"")</f>
        <v>0</v>
      </c>
      <c r="X186" s="34"/>
      <c r="Y186" s="34"/>
      <c r="Z186" s="34"/>
      <c r="AA186" s="34"/>
      <c r="AB186" s="34">
        <f>MAX(Table830[[#This Row],[Debit]]+Table830[[#This Row],[Debit -]]-Table830[[#This Row],[Credit]]-Table830[[#This Row],[Credit +]],0)</f>
        <v>0</v>
      </c>
      <c r="AC186" s="34">
        <f>MAX(Table830[[#This Row],[Credit]]-Table830[[#This Row],[Debit]]+Table830[[#This Row],[Credit +]]-Table830[[#This Row],[Debit -]],0)</f>
        <v>0</v>
      </c>
      <c r="AD186" s="34" t="str">
        <f>IFERROR(IF(AND(OR(Table830[[#This Row],[Classification]]="Expense",Table830[[#This Row],[Classification]]="Cost of Goods Sold"),Table830[[#This Row],[Debit\]]&gt;Table830[[#This Row],[Credit.]]),Table830[[#This Row],[Debit\]]-Table830[[#This Row],[Credit.]],""),"")</f>
        <v/>
      </c>
      <c r="AE186" s="34" t="str">
        <f>IFERROR(IF(AND(OR(Table830[[#This Row],[Classification]]="Income",Table830[[#This Row],[Classification]]="Cost of Goods Sold"),Table830[[#This Row],[Credit.]]&gt;Table830[[#This Row],[Debit\]]),Table830[[#This Row],[Credit.]]-Table830[[#This Row],[Debit\]],""),"")</f>
        <v/>
      </c>
      <c r="AF186" s="34"/>
      <c r="AG186" s="34" t="str">
        <f>IFERROR(IF(AND(Table830[[#This Row],[Classification]]="Assets",Table830[[#This Row],[Debit\]]-Table830[[#This Row],[Credit.]]),Table830[[#This Row],[Debit\]]-Table830[[#This Row],[Credit.]],""),"")</f>
        <v/>
      </c>
      <c r="AH186" s="34" t="str">
        <f>IFERROR(IF(AND(OR(Table830[[#This Row],[Classification]]="Liabilities",Table830[[#This Row],[Classification]]="Owner´s Equity"),Table830[[#This Row],[Credit.]]&gt;Table830[[#This Row],[Debit\]]),Table830[[#This Row],[Credit.]]-Table830[[#This Row],[Debit\]],""),"")</f>
        <v/>
      </c>
    </row>
    <row r="187" spans="2:34" hidden="1" x14ac:dyDescent="0.25">
      <c r="B187" s="34"/>
      <c r="C187" s="45"/>
      <c r="D187" s="34"/>
      <c r="E187" s="34"/>
      <c r="G187" s="39"/>
      <c r="H187" s="40"/>
      <c r="I187" s="41"/>
      <c r="J187" s="41"/>
      <c r="L187" s="34">
        <v>180</v>
      </c>
      <c r="M187" s="35"/>
      <c r="N187" s="35"/>
      <c r="O187" s="34">
        <f>IFERROR(SUMIF(Table427[,],Table629[[#This Row],[Accounts Name]],Table427[,3]),"")</f>
        <v>0</v>
      </c>
      <c r="P187" s="34">
        <f>IFERROR(SUMIF(Table427[,],Table629[[#This Row],[Accounts Name]],Table427[,2]),"")</f>
        <v>0</v>
      </c>
      <c r="S187" s="36">
        <f t="shared" si="2"/>
        <v>180</v>
      </c>
      <c r="T187" s="34"/>
      <c r="U187" s="37"/>
      <c r="V187" s="34">
        <f>IFERROR(SUMIF(Table629[Sub-Accounts],Table830[[#This Row],[Update your chart of accounts here]],Table629[Debit]),"")</f>
        <v>0</v>
      </c>
      <c r="W187" s="34">
        <f>IFERROR(SUMIF(Table629[Sub-Accounts],Table830[[#This Row],[Update your chart of accounts here]],Table629[Credit]),"")</f>
        <v>0</v>
      </c>
      <c r="X187" s="34"/>
      <c r="Y187" s="34"/>
      <c r="Z187" s="34"/>
      <c r="AA187" s="34"/>
      <c r="AB187" s="34">
        <f>MAX(Table830[[#This Row],[Debit]]+Table830[[#This Row],[Debit -]]-Table830[[#This Row],[Credit]]-Table830[[#This Row],[Credit +]],0)</f>
        <v>0</v>
      </c>
      <c r="AC187" s="34">
        <f>MAX(Table830[[#This Row],[Credit]]-Table830[[#This Row],[Debit]]+Table830[[#This Row],[Credit +]]-Table830[[#This Row],[Debit -]],0)</f>
        <v>0</v>
      </c>
      <c r="AD187" s="34" t="str">
        <f>IFERROR(IF(AND(OR(Table830[[#This Row],[Classification]]="Expense",Table830[[#This Row],[Classification]]="Cost of Goods Sold"),Table830[[#This Row],[Debit\]]&gt;Table830[[#This Row],[Credit.]]),Table830[[#This Row],[Debit\]]-Table830[[#This Row],[Credit.]],""),"")</f>
        <v/>
      </c>
      <c r="AE187" s="34" t="str">
        <f>IFERROR(IF(AND(OR(Table830[[#This Row],[Classification]]="Income",Table830[[#This Row],[Classification]]="Cost of Goods Sold"),Table830[[#This Row],[Credit.]]&gt;Table830[[#This Row],[Debit\]]),Table830[[#This Row],[Credit.]]-Table830[[#This Row],[Debit\]],""),"")</f>
        <v/>
      </c>
      <c r="AF187" s="34"/>
      <c r="AG187" s="34" t="str">
        <f>IFERROR(IF(AND(Table830[[#This Row],[Classification]]="Assets",Table830[[#This Row],[Debit\]]-Table830[[#This Row],[Credit.]]),Table830[[#This Row],[Debit\]]-Table830[[#This Row],[Credit.]],""),"")</f>
        <v/>
      </c>
      <c r="AH187" s="34" t="str">
        <f>IFERROR(IF(AND(OR(Table830[[#This Row],[Classification]]="Liabilities",Table830[[#This Row],[Classification]]="Owner´s Equity"),Table830[[#This Row],[Credit.]]&gt;Table830[[#This Row],[Debit\]]),Table830[[#This Row],[Credit.]]-Table830[[#This Row],[Debit\]],""),"")</f>
        <v/>
      </c>
    </row>
    <row r="188" spans="2:34" hidden="1" x14ac:dyDescent="0.25">
      <c r="B188" s="34"/>
      <c r="C188" s="45"/>
      <c r="D188" s="34"/>
      <c r="E188" s="34"/>
      <c r="G188" s="39"/>
      <c r="H188" s="43"/>
      <c r="I188" s="41"/>
      <c r="J188" s="41"/>
      <c r="L188" s="34">
        <v>181</v>
      </c>
      <c r="M188" s="35"/>
      <c r="N188" s="35"/>
      <c r="O188" s="34">
        <f>IFERROR(SUMIF(Table427[,],Table629[[#This Row],[Accounts Name]],Table427[,3]),"")</f>
        <v>0</v>
      </c>
      <c r="P188" s="34">
        <f>IFERROR(SUMIF(Table427[,],Table629[[#This Row],[Accounts Name]],Table427[,2]),"")</f>
        <v>0</v>
      </c>
      <c r="S188" s="36">
        <f t="shared" si="2"/>
        <v>181</v>
      </c>
      <c r="T188" s="34"/>
      <c r="U188" s="37"/>
      <c r="V188" s="34">
        <f>IFERROR(SUMIF(Table629[Sub-Accounts],Table830[[#This Row],[Update your chart of accounts here]],Table629[Debit]),"")</f>
        <v>0</v>
      </c>
      <c r="W188" s="34">
        <f>IFERROR(SUMIF(Table629[Sub-Accounts],Table830[[#This Row],[Update your chart of accounts here]],Table629[Credit]),"")</f>
        <v>0</v>
      </c>
      <c r="X188" s="34"/>
      <c r="Y188" s="34"/>
      <c r="Z188" s="34"/>
      <c r="AA188" s="34"/>
      <c r="AB188" s="34">
        <f>MAX(Table830[[#This Row],[Debit]]+Table830[[#This Row],[Debit -]]-Table830[[#This Row],[Credit]]-Table830[[#This Row],[Credit +]],0)</f>
        <v>0</v>
      </c>
      <c r="AC188" s="34">
        <f>MAX(Table830[[#This Row],[Credit]]-Table830[[#This Row],[Debit]]+Table830[[#This Row],[Credit +]]-Table830[[#This Row],[Debit -]],0)</f>
        <v>0</v>
      </c>
      <c r="AD188" s="34" t="str">
        <f>IFERROR(IF(AND(OR(Table830[[#This Row],[Classification]]="Expense",Table830[[#This Row],[Classification]]="Cost of Goods Sold"),Table830[[#This Row],[Debit\]]&gt;Table830[[#This Row],[Credit.]]),Table830[[#This Row],[Debit\]]-Table830[[#This Row],[Credit.]],""),"")</f>
        <v/>
      </c>
      <c r="AE188" s="34" t="str">
        <f>IFERROR(IF(AND(OR(Table830[[#This Row],[Classification]]="Income",Table830[[#This Row],[Classification]]="Cost of Goods Sold"),Table830[[#This Row],[Credit.]]&gt;Table830[[#This Row],[Debit\]]),Table830[[#This Row],[Credit.]]-Table830[[#This Row],[Debit\]],""),"")</f>
        <v/>
      </c>
      <c r="AF188" s="34"/>
      <c r="AG188" s="34" t="str">
        <f>IFERROR(IF(AND(Table830[[#This Row],[Classification]]="Assets",Table830[[#This Row],[Debit\]]-Table830[[#This Row],[Credit.]]),Table830[[#This Row],[Debit\]]-Table830[[#This Row],[Credit.]],""),"")</f>
        <v/>
      </c>
      <c r="AH188" s="34" t="str">
        <f>IFERROR(IF(AND(OR(Table830[[#This Row],[Classification]]="Liabilities",Table830[[#This Row],[Classification]]="Owner´s Equity"),Table830[[#This Row],[Credit.]]&gt;Table830[[#This Row],[Debit\]]),Table830[[#This Row],[Credit.]]-Table830[[#This Row],[Debit\]],""),"")</f>
        <v/>
      </c>
    </row>
    <row r="189" spans="2:34" hidden="1" x14ac:dyDescent="0.25">
      <c r="B189" s="34"/>
      <c r="C189" s="45"/>
      <c r="D189" s="34"/>
      <c r="E189" s="34"/>
      <c r="G189" s="39"/>
      <c r="H189" s="40"/>
      <c r="I189" s="41"/>
      <c r="J189" s="41"/>
      <c r="L189" s="34">
        <v>182</v>
      </c>
      <c r="M189" s="35"/>
      <c r="N189" s="35"/>
      <c r="O189" s="34">
        <f>IFERROR(SUMIF(Table427[,],Table629[[#This Row],[Accounts Name]],Table427[,3]),"")</f>
        <v>0</v>
      </c>
      <c r="P189" s="34">
        <f>IFERROR(SUMIF(Table427[,],Table629[[#This Row],[Accounts Name]],Table427[,2]),"")</f>
        <v>0</v>
      </c>
      <c r="S189" s="36">
        <f t="shared" si="2"/>
        <v>182</v>
      </c>
      <c r="T189" s="34"/>
      <c r="U189" s="37"/>
      <c r="V189" s="34">
        <f>IFERROR(SUMIF(Table629[Sub-Accounts],Table830[[#This Row],[Update your chart of accounts here]],Table629[Debit]),"")</f>
        <v>0</v>
      </c>
      <c r="W189" s="34">
        <f>IFERROR(SUMIF(Table629[Sub-Accounts],Table830[[#This Row],[Update your chart of accounts here]],Table629[Credit]),"")</f>
        <v>0</v>
      </c>
      <c r="X189" s="34"/>
      <c r="Y189" s="34"/>
      <c r="Z189" s="34"/>
      <c r="AA189" s="34"/>
      <c r="AB189" s="34">
        <f>MAX(Table830[[#This Row],[Debit]]+Table830[[#This Row],[Debit -]]-Table830[[#This Row],[Credit]]-Table830[[#This Row],[Credit +]],0)</f>
        <v>0</v>
      </c>
      <c r="AC189" s="34">
        <f>MAX(Table830[[#This Row],[Credit]]-Table830[[#This Row],[Debit]]+Table830[[#This Row],[Credit +]]-Table830[[#This Row],[Debit -]],0)</f>
        <v>0</v>
      </c>
      <c r="AD189" s="34" t="str">
        <f>IFERROR(IF(AND(OR(Table830[[#This Row],[Classification]]="Expense",Table830[[#This Row],[Classification]]="Cost of Goods Sold"),Table830[[#This Row],[Debit\]]&gt;Table830[[#This Row],[Credit.]]),Table830[[#This Row],[Debit\]]-Table830[[#This Row],[Credit.]],""),"")</f>
        <v/>
      </c>
      <c r="AE189" s="34" t="str">
        <f>IFERROR(IF(AND(OR(Table830[[#This Row],[Classification]]="Income",Table830[[#This Row],[Classification]]="Cost of Goods Sold"),Table830[[#This Row],[Credit.]]&gt;Table830[[#This Row],[Debit\]]),Table830[[#This Row],[Credit.]]-Table830[[#This Row],[Debit\]],""),"")</f>
        <v/>
      </c>
      <c r="AF189" s="34"/>
      <c r="AG189" s="34" t="str">
        <f>IFERROR(IF(AND(Table830[[#This Row],[Classification]]="Assets",Table830[[#This Row],[Debit\]]-Table830[[#This Row],[Credit.]]),Table830[[#This Row],[Debit\]]-Table830[[#This Row],[Credit.]],""),"")</f>
        <v/>
      </c>
      <c r="AH189" s="34" t="str">
        <f>IFERROR(IF(AND(OR(Table830[[#This Row],[Classification]]="Liabilities",Table830[[#This Row],[Classification]]="Owner´s Equity"),Table830[[#This Row],[Credit.]]&gt;Table830[[#This Row],[Debit\]]),Table830[[#This Row],[Credit.]]-Table830[[#This Row],[Debit\]],""),"")</f>
        <v/>
      </c>
    </row>
    <row r="190" spans="2:34" hidden="1" x14ac:dyDescent="0.25">
      <c r="B190" s="34"/>
      <c r="C190" s="45"/>
      <c r="D190" s="34"/>
      <c r="E190" s="34"/>
      <c r="G190" s="39"/>
      <c r="H190" s="40"/>
      <c r="I190" s="41"/>
      <c r="J190" s="41"/>
      <c r="L190" s="34">
        <v>183</v>
      </c>
      <c r="M190" s="35"/>
      <c r="N190" s="35"/>
      <c r="O190" s="34">
        <f>IFERROR(SUMIF(Table427[,],Table629[[#This Row],[Accounts Name]],Table427[,3]),"")</f>
        <v>0</v>
      </c>
      <c r="P190" s="34">
        <f>IFERROR(SUMIF(Table427[,],Table629[[#This Row],[Accounts Name]],Table427[,2]),"")</f>
        <v>0</v>
      </c>
      <c r="S190" s="36">
        <f t="shared" si="2"/>
        <v>183</v>
      </c>
      <c r="T190" s="34"/>
      <c r="U190" s="37"/>
      <c r="V190" s="34">
        <f>IFERROR(SUMIF(Table629[Sub-Accounts],Table830[[#This Row],[Update your chart of accounts here]],Table629[Debit]),"")</f>
        <v>0</v>
      </c>
      <c r="W190" s="34">
        <f>IFERROR(SUMIF(Table629[Sub-Accounts],Table830[[#This Row],[Update your chart of accounts here]],Table629[Credit]),"")</f>
        <v>0</v>
      </c>
      <c r="X190" s="34"/>
      <c r="Y190" s="34"/>
      <c r="Z190" s="34"/>
      <c r="AA190" s="34"/>
      <c r="AB190" s="34">
        <f>MAX(Table830[[#This Row],[Debit]]+Table830[[#This Row],[Debit -]]-Table830[[#This Row],[Credit]]-Table830[[#This Row],[Credit +]],0)</f>
        <v>0</v>
      </c>
      <c r="AC190" s="34">
        <f>MAX(Table830[[#This Row],[Credit]]-Table830[[#This Row],[Debit]]+Table830[[#This Row],[Credit +]]-Table830[[#This Row],[Debit -]],0)</f>
        <v>0</v>
      </c>
      <c r="AD190" s="34" t="str">
        <f>IFERROR(IF(AND(OR(Table830[[#This Row],[Classification]]="Expense",Table830[[#This Row],[Classification]]="Cost of Goods Sold"),Table830[[#This Row],[Debit\]]&gt;Table830[[#This Row],[Credit.]]),Table830[[#This Row],[Debit\]]-Table830[[#This Row],[Credit.]],""),"")</f>
        <v/>
      </c>
      <c r="AE190" s="34" t="str">
        <f>IFERROR(IF(AND(OR(Table830[[#This Row],[Classification]]="Income",Table830[[#This Row],[Classification]]="Cost of Goods Sold"),Table830[[#This Row],[Credit.]]&gt;Table830[[#This Row],[Debit\]]),Table830[[#This Row],[Credit.]]-Table830[[#This Row],[Debit\]],""),"")</f>
        <v/>
      </c>
      <c r="AF190" s="34"/>
      <c r="AG190" s="34" t="str">
        <f>IFERROR(IF(AND(Table830[[#This Row],[Classification]]="Assets",Table830[[#This Row],[Debit\]]-Table830[[#This Row],[Credit.]]),Table830[[#This Row],[Debit\]]-Table830[[#This Row],[Credit.]],""),"")</f>
        <v/>
      </c>
      <c r="AH190" s="34" t="str">
        <f>IFERROR(IF(AND(OR(Table830[[#This Row],[Classification]]="Liabilities",Table830[[#This Row],[Classification]]="Owner´s Equity"),Table830[[#This Row],[Credit.]]&gt;Table830[[#This Row],[Debit\]]),Table830[[#This Row],[Credit.]]-Table830[[#This Row],[Debit\]],""),"")</f>
        <v/>
      </c>
    </row>
    <row r="191" spans="2:34" hidden="1" x14ac:dyDescent="0.25">
      <c r="B191" s="34"/>
      <c r="C191" s="45"/>
      <c r="D191" s="34"/>
      <c r="E191" s="34"/>
      <c r="G191" s="39"/>
      <c r="H191" s="43"/>
      <c r="I191" s="41"/>
      <c r="J191" s="41"/>
      <c r="L191" s="34">
        <v>184</v>
      </c>
      <c r="M191" s="35"/>
      <c r="N191" s="35"/>
      <c r="O191" s="34">
        <f>IFERROR(SUMIF(Table427[,],Table629[[#This Row],[Accounts Name]],Table427[,3]),"")</f>
        <v>0</v>
      </c>
      <c r="P191" s="34">
        <f>IFERROR(SUMIF(Table427[,],Table629[[#This Row],[Accounts Name]],Table427[,2]),"")</f>
        <v>0</v>
      </c>
      <c r="S191" s="36">
        <f t="shared" si="2"/>
        <v>184</v>
      </c>
      <c r="T191" s="34"/>
      <c r="U191" s="37"/>
      <c r="V191" s="34">
        <f>IFERROR(SUMIF(Table629[Sub-Accounts],Table830[[#This Row],[Update your chart of accounts here]],Table629[Debit]),"")</f>
        <v>0</v>
      </c>
      <c r="W191" s="34">
        <f>IFERROR(SUMIF(Table629[Sub-Accounts],Table830[[#This Row],[Update your chart of accounts here]],Table629[Credit]),"")</f>
        <v>0</v>
      </c>
      <c r="X191" s="34"/>
      <c r="Y191" s="34"/>
      <c r="Z191" s="34"/>
      <c r="AA191" s="34"/>
      <c r="AB191" s="34">
        <f>MAX(Table830[[#This Row],[Debit]]+Table830[[#This Row],[Debit -]]-Table830[[#This Row],[Credit]]-Table830[[#This Row],[Credit +]],0)</f>
        <v>0</v>
      </c>
      <c r="AC191" s="34">
        <f>MAX(Table830[[#This Row],[Credit]]-Table830[[#This Row],[Debit]]+Table830[[#This Row],[Credit +]]-Table830[[#This Row],[Debit -]],0)</f>
        <v>0</v>
      </c>
      <c r="AD191" s="34" t="str">
        <f>IFERROR(IF(AND(OR(Table830[[#This Row],[Classification]]="Expense",Table830[[#This Row],[Classification]]="Cost of Goods Sold"),Table830[[#This Row],[Debit\]]&gt;Table830[[#This Row],[Credit.]]),Table830[[#This Row],[Debit\]]-Table830[[#This Row],[Credit.]],""),"")</f>
        <v/>
      </c>
      <c r="AE191" s="34" t="str">
        <f>IFERROR(IF(AND(OR(Table830[[#This Row],[Classification]]="Income",Table830[[#This Row],[Classification]]="Cost of Goods Sold"),Table830[[#This Row],[Credit.]]&gt;Table830[[#This Row],[Debit\]]),Table830[[#This Row],[Credit.]]-Table830[[#This Row],[Debit\]],""),"")</f>
        <v/>
      </c>
      <c r="AF191" s="34"/>
      <c r="AG191" s="34" t="str">
        <f>IFERROR(IF(AND(Table830[[#This Row],[Classification]]="Assets",Table830[[#This Row],[Debit\]]-Table830[[#This Row],[Credit.]]),Table830[[#This Row],[Debit\]]-Table830[[#This Row],[Credit.]],""),"")</f>
        <v/>
      </c>
      <c r="AH191" s="34" t="str">
        <f>IFERROR(IF(AND(OR(Table830[[#This Row],[Classification]]="Liabilities",Table830[[#This Row],[Classification]]="Owner´s Equity"),Table830[[#This Row],[Credit.]]&gt;Table830[[#This Row],[Debit\]]),Table830[[#This Row],[Credit.]]-Table830[[#This Row],[Debit\]],""),"")</f>
        <v/>
      </c>
    </row>
    <row r="192" spans="2:34" hidden="1" x14ac:dyDescent="0.25">
      <c r="B192" s="34"/>
      <c r="C192" s="45"/>
      <c r="D192" s="34"/>
      <c r="E192" s="34"/>
      <c r="G192" s="39"/>
      <c r="H192" s="40"/>
      <c r="I192" s="41"/>
      <c r="J192" s="41"/>
      <c r="L192" s="34">
        <v>185</v>
      </c>
      <c r="M192" s="35"/>
      <c r="N192" s="35"/>
      <c r="O192" s="34">
        <f>IFERROR(SUMIF(Table427[,],Table629[[#This Row],[Accounts Name]],Table427[,3]),"")</f>
        <v>0</v>
      </c>
      <c r="P192" s="34">
        <f>IFERROR(SUMIF(Table427[,],Table629[[#This Row],[Accounts Name]],Table427[,2]),"")</f>
        <v>0</v>
      </c>
      <c r="S192" s="36">
        <f t="shared" si="2"/>
        <v>185</v>
      </c>
      <c r="T192" s="34"/>
      <c r="U192" s="37"/>
      <c r="V192" s="34">
        <f>IFERROR(SUMIF(Table629[Sub-Accounts],Table830[[#This Row],[Update your chart of accounts here]],Table629[Debit]),"")</f>
        <v>0</v>
      </c>
      <c r="W192" s="34">
        <f>IFERROR(SUMIF(Table629[Sub-Accounts],Table830[[#This Row],[Update your chart of accounts here]],Table629[Credit]),"")</f>
        <v>0</v>
      </c>
      <c r="X192" s="34"/>
      <c r="Y192" s="34"/>
      <c r="Z192" s="34"/>
      <c r="AA192" s="34"/>
      <c r="AB192" s="34">
        <f>MAX(Table830[[#This Row],[Debit]]+Table830[[#This Row],[Debit -]]-Table830[[#This Row],[Credit]]-Table830[[#This Row],[Credit +]],0)</f>
        <v>0</v>
      </c>
      <c r="AC192" s="34">
        <f>MAX(Table830[[#This Row],[Credit]]-Table830[[#This Row],[Debit]]+Table830[[#This Row],[Credit +]]-Table830[[#This Row],[Debit -]],0)</f>
        <v>0</v>
      </c>
      <c r="AD192" s="34" t="str">
        <f>IFERROR(IF(AND(OR(Table830[[#This Row],[Classification]]="Expense",Table830[[#This Row],[Classification]]="Cost of Goods Sold"),Table830[[#This Row],[Debit\]]&gt;Table830[[#This Row],[Credit.]]),Table830[[#This Row],[Debit\]]-Table830[[#This Row],[Credit.]],""),"")</f>
        <v/>
      </c>
      <c r="AE192" s="34" t="str">
        <f>IFERROR(IF(AND(OR(Table830[[#This Row],[Classification]]="Income",Table830[[#This Row],[Classification]]="Cost of Goods Sold"),Table830[[#This Row],[Credit.]]&gt;Table830[[#This Row],[Debit\]]),Table830[[#This Row],[Credit.]]-Table830[[#This Row],[Debit\]],""),"")</f>
        <v/>
      </c>
      <c r="AF192" s="34"/>
      <c r="AG192" s="34" t="str">
        <f>IFERROR(IF(AND(Table830[[#This Row],[Classification]]="Assets",Table830[[#This Row],[Debit\]]-Table830[[#This Row],[Credit.]]),Table830[[#This Row],[Debit\]]-Table830[[#This Row],[Credit.]],""),"")</f>
        <v/>
      </c>
      <c r="AH192" s="34" t="str">
        <f>IFERROR(IF(AND(OR(Table830[[#This Row],[Classification]]="Liabilities",Table830[[#This Row],[Classification]]="Owner´s Equity"),Table830[[#This Row],[Credit.]]&gt;Table830[[#This Row],[Debit\]]),Table830[[#This Row],[Credit.]]-Table830[[#This Row],[Debit\]],""),"")</f>
        <v/>
      </c>
    </row>
    <row r="193" spans="2:38" hidden="1" x14ac:dyDescent="0.25">
      <c r="B193" s="34"/>
      <c r="C193" s="45"/>
      <c r="D193" s="34"/>
      <c r="E193" s="34"/>
      <c r="G193" s="39"/>
      <c r="H193" s="40"/>
      <c r="I193" s="41"/>
      <c r="J193" s="41"/>
      <c r="L193" s="34">
        <v>186</v>
      </c>
      <c r="M193" s="35"/>
      <c r="N193" s="35"/>
      <c r="O193" s="34">
        <f>IFERROR(SUMIF(Table427[,],Table629[[#This Row],[Accounts Name]],Table427[,3]),"")</f>
        <v>0</v>
      </c>
      <c r="P193" s="34">
        <f>IFERROR(SUMIF(Table427[,],Table629[[#This Row],[Accounts Name]],Table427[,2]),"")</f>
        <v>0</v>
      </c>
      <c r="S193" s="36">
        <f t="shared" si="2"/>
        <v>186</v>
      </c>
      <c r="T193" s="34"/>
      <c r="U193" s="37"/>
      <c r="V193" s="34">
        <f>IFERROR(SUMIF(Table629[Sub-Accounts],Table830[[#This Row],[Update your chart of accounts here]],Table629[Debit]),"")</f>
        <v>0</v>
      </c>
      <c r="W193" s="34">
        <f>IFERROR(SUMIF(Table629[Sub-Accounts],Table830[[#This Row],[Update your chart of accounts here]],Table629[Credit]),"")</f>
        <v>0</v>
      </c>
      <c r="X193" s="34"/>
      <c r="Y193" s="34"/>
      <c r="Z193" s="34"/>
      <c r="AA193" s="34"/>
      <c r="AB193" s="34">
        <f>MAX(Table830[[#This Row],[Debit]]+Table830[[#This Row],[Debit -]]-Table830[[#This Row],[Credit]]-Table830[[#This Row],[Credit +]],0)</f>
        <v>0</v>
      </c>
      <c r="AC193" s="34">
        <f>MAX(Table830[[#This Row],[Credit]]-Table830[[#This Row],[Debit]]+Table830[[#This Row],[Credit +]]-Table830[[#This Row],[Debit -]],0)</f>
        <v>0</v>
      </c>
      <c r="AD193" s="34" t="str">
        <f>IFERROR(IF(AND(OR(Table830[[#This Row],[Classification]]="Expense",Table830[[#This Row],[Classification]]="Cost of Goods Sold"),Table830[[#This Row],[Debit\]]&gt;Table830[[#This Row],[Credit.]]),Table830[[#This Row],[Debit\]]-Table830[[#This Row],[Credit.]],""),"")</f>
        <v/>
      </c>
      <c r="AE193" s="34" t="str">
        <f>IFERROR(IF(AND(OR(Table830[[#This Row],[Classification]]="Income",Table830[[#This Row],[Classification]]="Cost of Goods Sold"),Table830[[#This Row],[Credit.]]&gt;Table830[[#This Row],[Debit\]]),Table830[[#This Row],[Credit.]]-Table830[[#This Row],[Debit\]],""),"")</f>
        <v/>
      </c>
      <c r="AF193" s="34"/>
      <c r="AG193" s="34" t="str">
        <f>IFERROR(IF(AND(Table830[[#This Row],[Classification]]="Assets",Table830[[#This Row],[Debit\]]-Table830[[#This Row],[Credit.]]),Table830[[#This Row],[Debit\]]-Table830[[#This Row],[Credit.]],""),"")</f>
        <v/>
      </c>
      <c r="AH193" s="34" t="str">
        <f>IFERROR(IF(AND(OR(Table830[[#This Row],[Classification]]="Liabilities",Table830[[#This Row],[Classification]]="Owner´s Equity"),Table830[[#This Row],[Credit.]]&gt;Table830[[#This Row],[Debit\]]),Table830[[#This Row],[Credit.]]-Table830[[#This Row],[Debit\]],""),"")</f>
        <v/>
      </c>
    </row>
    <row r="194" spans="2:38" hidden="1" x14ac:dyDescent="0.25">
      <c r="B194" s="34"/>
      <c r="C194" s="45"/>
      <c r="D194" s="34"/>
      <c r="E194" s="34"/>
      <c r="G194" s="39"/>
      <c r="H194" s="43"/>
      <c r="I194" s="41"/>
      <c r="J194" s="41"/>
      <c r="L194" s="34">
        <v>187</v>
      </c>
      <c r="M194" s="35"/>
      <c r="N194" s="35"/>
      <c r="O194" s="34">
        <f>IFERROR(SUMIF(Table427[,],Table629[[#This Row],[Accounts Name]],Table427[,3]),"")</f>
        <v>0</v>
      </c>
      <c r="P194" s="34">
        <f>IFERROR(SUMIF(Table427[,],Table629[[#This Row],[Accounts Name]],Table427[,2]),"")</f>
        <v>0</v>
      </c>
      <c r="S194" s="36">
        <f t="shared" si="2"/>
        <v>187</v>
      </c>
      <c r="T194" s="34"/>
      <c r="U194" s="37"/>
      <c r="V194" s="34">
        <f>IFERROR(SUMIF(Table629[Sub-Accounts],Table830[[#This Row],[Update your chart of accounts here]],Table629[Debit]),"")</f>
        <v>0</v>
      </c>
      <c r="W194" s="34">
        <f>IFERROR(SUMIF(Table629[Sub-Accounts],Table830[[#This Row],[Update your chart of accounts here]],Table629[Credit]),"")</f>
        <v>0</v>
      </c>
      <c r="X194" s="34"/>
      <c r="Y194" s="34"/>
      <c r="Z194" s="34"/>
      <c r="AA194" s="34"/>
      <c r="AB194" s="34">
        <f>MAX(Table830[[#This Row],[Debit]]+Table830[[#This Row],[Debit -]]-Table830[[#This Row],[Credit]]-Table830[[#This Row],[Credit +]],0)</f>
        <v>0</v>
      </c>
      <c r="AC194" s="34">
        <f>MAX(Table830[[#This Row],[Credit]]-Table830[[#This Row],[Debit]]+Table830[[#This Row],[Credit +]]-Table830[[#This Row],[Debit -]],0)</f>
        <v>0</v>
      </c>
      <c r="AD194" s="34" t="str">
        <f>IFERROR(IF(AND(OR(Table830[[#This Row],[Classification]]="Expense",Table830[[#This Row],[Classification]]="Cost of Goods Sold"),Table830[[#This Row],[Debit\]]&gt;Table830[[#This Row],[Credit.]]),Table830[[#This Row],[Debit\]]-Table830[[#This Row],[Credit.]],""),"")</f>
        <v/>
      </c>
      <c r="AE194" s="34" t="str">
        <f>IFERROR(IF(AND(OR(Table830[[#This Row],[Classification]]="Income",Table830[[#This Row],[Classification]]="Cost of Goods Sold"),Table830[[#This Row],[Credit.]]&gt;Table830[[#This Row],[Debit\]]),Table830[[#This Row],[Credit.]]-Table830[[#This Row],[Debit\]],""),"")</f>
        <v/>
      </c>
      <c r="AF194" s="34"/>
      <c r="AG194" s="34" t="str">
        <f>IFERROR(IF(AND(Table830[[#This Row],[Classification]]="Assets",Table830[[#This Row],[Debit\]]-Table830[[#This Row],[Credit.]]),Table830[[#This Row],[Debit\]]-Table830[[#This Row],[Credit.]],""),"")</f>
        <v/>
      </c>
      <c r="AH194" s="34" t="str">
        <f>IFERROR(IF(AND(OR(Table830[[#This Row],[Classification]]="Liabilities",Table830[[#This Row],[Classification]]="Owner´s Equity"),Table830[[#This Row],[Credit.]]&gt;Table830[[#This Row],[Debit\]]),Table830[[#This Row],[Credit.]]-Table830[[#This Row],[Debit\]],""),"")</f>
        <v/>
      </c>
    </row>
    <row r="195" spans="2:38" hidden="1" x14ac:dyDescent="0.25">
      <c r="B195" s="34"/>
      <c r="C195" s="45"/>
      <c r="D195" s="34"/>
      <c r="E195" s="34"/>
      <c r="G195" s="39"/>
      <c r="H195" s="40"/>
      <c r="I195" s="41"/>
      <c r="J195" s="41"/>
      <c r="L195" s="34">
        <v>188</v>
      </c>
      <c r="M195" s="35"/>
      <c r="N195" s="35"/>
      <c r="O195" s="34">
        <f>IFERROR(SUMIF(Table427[,],Table629[[#This Row],[Accounts Name]],Table427[,3]),"")</f>
        <v>0</v>
      </c>
      <c r="P195" s="34">
        <f>IFERROR(SUMIF(Table427[,],Table629[[#This Row],[Accounts Name]],Table427[,2]),"")</f>
        <v>0</v>
      </c>
      <c r="S195" s="36">
        <f t="shared" si="2"/>
        <v>188</v>
      </c>
      <c r="T195" s="34"/>
      <c r="U195" s="37"/>
      <c r="V195" s="34">
        <f>IFERROR(SUMIF(Table629[Sub-Accounts],Table830[[#This Row],[Update your chart of accounts here]],Table629[Debit]),"")</f>
        <v>0</v>
      </c>
      <c r="W195" s="34">
        <f>IFERROR(SUMIF(Table629[Sub-Accounts],Table830[[#This Row],[Update your chart of accounts here]],Table629[Credit]),"")</f>
        <v>0</v>
      </c>
      <c r="X195" s="34"/>
      <c r="Y195" s="34"/>
      <c r="Z195" s="34"/>
      <c r="AA195" s="34"/>
      <c r="AB195" s="34">
        <f>MAX(Table830[[#This Row],[Debit]]+Table830[[#This Row],[Debit -]]-Table830[[#This Row],[Credit]]-Table830[[#This Row],[Credit +]],0)</f>
        <v>0</v>
      </c>
      <c r="AC195" s="34">
        <f>MAX(Table830[[#This Row],[Credit]]-Table830[[#This Row],[Debit]]+Table830[[#This Row],[Credit +]]-Table830[[#This Row],[Debit -]],0)</f>
        <v>0</v>
      </c>
      <c r="AD195" s="34" t="str">
        <f>IFERROR(IF(AND(OR(Table830[[#This Row],[Classification]]="Expense",Table830[[#This Row],[Classification]]="Cost of Goods Sold"),Table830[[#This Row],[Debit\]]&gt;Table830[[#This Row],[Credit.]]),Table830[[#This Row],[Debit\]]-Table830[[#This Row],[Credit.]],""),"")</f>
        <v/>
      </c>
      <c r="AE195" s="34" t="str">
        <f>IFERROR(IF(AND(OR(Table830[[#This Row],[Classification]]="Income",Table830[[#This Row],[Classification]]="Cost of Goods Sold"),Table830[[#This Row],[Credit.]]&gt;Table830[[#This Row],[Debit\]]),Table830[[#This Row],[Credit.]]-Table830[[#This Row],[Debit\]],""),"")</f>
        <v/>
      </c>
      <c r="AF195" s="34"/>
      <c r="AG195" s="34" t="str">
        <f>IFERROR(IF(AND(Table830[[#This Row],[Classification]]="Assets",Table830[[#This Row],[Debit\]]-Table830[[#This Row],[Credit.]]),Table830[[#This Row],[Debit\]]-Table830[[#This Row],[Credit.]],""),"")</f>
        <v/>
      </c>
      <c r="AH195" s="34" t="str">
        <f>IFERROR(IF(AND(OR(Table830[[#This Row],[Classification]]="Liabilities",Table830[[#This Row],[Classification]]="Owner´s Equity"),Table830[[#This Row],[Credit.]]&gt;Table830[[#This Row],[Debit\]]),Table830[[#This Row],[Credit.]]-Table830[[#This Row],[Debit\]],""),"")</f>
        <v/>
      </c>
    </row>
    <row r="196" spans="2:38" hidden="1" x14ac:dyDescent="0.25">
      <c r="B196" s="34"/>
      <c r="C196" s="45"/>
      <c r="D196" s="34"/>
      <c r="E196" s="34"/>
      <c r="G196" s="39"/>
      <c r="H196" s="40"/>
      <c r="I196" s="41"/>
      <c r="J196" s="41"/>
      <c r="L196" s="34">
        <v>189</v>
      </c>
      <c r="M196" s="35"/>
      <c r="N196" s="35"/>
      <c r="O196" s="34">
        <f>IFERROR(SUMIF(Table427[,],Table629[[#This Row],[Accounts Name]],Table427[,3]),"")</f>
        <v>0</v>
      </c>
      <c r="P196" s="34">
        <f>IFERROR(SUMIF(Table427[,],Table629[[#This Row],[Accounts Name]],Table427[,2]),"")</f>
        <v>0</v>
      </c>
      <c r="S196" s="36">
        <f t="shared" si="2"/>
        <v>189</v>
      </c>
      <c r="T196" s="34"/>
      <c r="U196" s="37"/>
      <c r="V196" s="34">
        <f>IFERROR(SUMIF(Table629[Sub-Accounts],Table830[[#This Row],[Update your chart of accounts here]],Table629[Debit]),"")</f>
        <v>0</v>
      </c>
      <c r="W196" s="34">
        <f>IFERROR(SUMIF(Table629[Sub-Accounts],Table830[[#This Row],[Update your chart of accounts here]],Table629[Credit]),"")</f>
        <v>0</v>
      </c>
      <c r="X196" s="34"/>
      <c r="Y196" s="34"/>
      <c r="Z196" s="34"/>
      <c r="AA196" s="34"/>
      <c r="AB196" s="34">
        <f>MAX(Table830[[#This Row],[Debit]]+Table830[[#This Row],[Debit -]]-Table830[[#This Row],[Credit]]-Table830[[#This Row],[Credit +]],0)</f>
        <v>0</v>
      </c>
      <c r="AC196" s="34">
        <f>MAX(Table830[[#This Row],[Credit]]-Table830[[#This Row],[Debit]]+Table830[[#This Row],[Credit +]]-Table830[[#This Row],[Debit -]],0)</f>
        <v>0</v>
      </c>
      <c r="AD196" s="34" t="str">
        <f>IFERROR(IF(AND(OR(Table830[[#This Row],[Classification]]="Expense",Table830[[#This Row],[Classification]]="Cost of Goods Sold"),Table830[[#This Row],[Debit\]]&gt;Table830[[#This Row],[Credit.]]),Table830[[#This Row],[Debit\]]-Table830[[#This Row],[Credit.]],""),"")</f>
        <v/>
      </c>
      <c r="AE196" s="34" t="str">
        <f>IFERROR(IF(AND(OR(Table830[[#This Row],[Classification]]="Income",Table830[[#This Row],[Classification]]="Cost of Goods Sold"),Table830[[#This Row],[Credit.]]&gt;Table830[[#This Row],[Debit\]]),Table830[[#This Row],[Credit.]]-Table830[[#This Row],[Debit\]],""),"")</f>
        <v/>
      </c>
      <c r="AF196" s="34"/>
      <c r="AG196" s="34" t="str">
        <f>IFERROR(IF(AND(Table830[[#This Row],[Classification]]="Assets",Table830[[#This Row],[Debit\]]-Table830[[#This Row],[Credit.]]),Table830[[#This Row],[Debit\]]-Table830[[#This Row],[Credit.]],""),"")</f>
        <v/>
      </c>
      <c r="AH196" s="34" t="str">
        <f>IFERROR(IF(AND(OR(Table830[[#This Row],[Classification]]="Liabilities",Table830[[#This Row],[Classification]]="Owner´s Equity"),Table830[[#This Row],[Credit.]]&gt;Table830[[#This Row],[Debit\]]),Table830[[#This Row],[Credit.]]-Table830[[#This Row],[Debit\]],""),"")</f>
        <v/>
      </c>
    </row>
    <row r="197" spans="2:38" hidden="1" x14ac:dyDescent="0.25">
      <c r="B197" s="34"/>
      <c r="C197" s="45"/>
      <c r="D197" s="34"/>
      <c r="E197" s="34"/>
      <c r="G197" s="39"/>
      <c r="H197" s="43"/>
      <c r="I197" s="41"/>
      <c r="J197" s="41"/>
      <c r="L197" s="34">
        <v>190</v>
      </c>
      <c r="M197" s="35"/>
      <c r="N197" s="35"/>
      <c r="O197" s="34">
        <f>IFERROR(SUMIF(Table427[,],Table629[[#This Row],[Accounts Name]],Table427[,3]),"")</f>
        <v>0</v>
      </c>
      <c r="P197" s="34">
        <f>IFERROR(SUMIF(Table427[,],Table629[[#This Row],[Accounts Name]],Table427[,2]),"")</f>
        <v>0</v>
      </c>
      <c r="S197" s="36">
        <f t="shared" si="2"/>
        <v>190</v>
      </c>
      <c r="T197" s="34"/>
      <c r="U197" s="37"/>
      <c r="V197" s="34">
        <f>IFERROR(SUMIF(Table629[Sub-Accounts],Table830[[#This Row],[Update your chart of accounts here]],Table629[Debit]),"")</f>
        <v>0</v>
      </c>
      <c r="W197" s="34">
        <f>IFERROR(SUMIF(Table629[Sub-Accounts],Table830[[#This Row],[Update your chart of accounts here]],Table629[Credit]),"")</f>
        <v>0</v>
      </c>
      <c r="X197" s="34"/>
      <c r="Y197" s="34"/>
      <c r="Z197" s="34"/>
      <c r="AA197" s="34"/>
      <c r="AB197" s="34">
        <f>MAX(Table830[[#This Row],[Debit]]+Table830[[#This Row],[Debit -]]-Table830[[#This Row],[Credit]]-Table830[[#This Row],[Credit +]],0)</f>
        <v>0</v>
      </c>
      <c r="AC197" s="34">
        <f>MAX(Table830[[#This Row],[Credit]]-Table830[[#This Row],[Debit]]+Table830[[#This Row],[Credit +]]-Table830[[#This Row],[Debit -]],0)</f>
        <v>0</v>
      </c>
      <c r="AD197" s="34" t="str">
        <f>IFERROR(IF(AND(OR(Table830[[#This Row],[Classification]]="Expense",Table830[[#This Row],[Classification]]="Cost of Goods Sold"),Table830[[#This Row],[Debit\]]&gt;Table830[[#This Row],[Credit.]]),Table830[[#This Row],[Debit\]]-Table830[[#This Row],[Credit.]],""),"")</f>
        <v/>
      </c>
      <c r="AE197" s="34" t="str">
        <f>IFERROR(IF(AND(OR(Table830[[#This Row],[Classification]]="Income",Table830[[#This Row],[Classification]]="Cost of Goods Sold"),Table830[[#This Row],[Credit.]]&gt;Table830[[#This Row],[Debit\]]),Table830[[#This Row],[Credit.]]-Table830[[#This Row],[Debit\]],""),"")</f>
        <v/>
      </c>
      <c r="AF197" s="34"/>
      <c r="AG197" s="34" t="str">
        <f>IFERROR(IF(AND(Table830[[#This Row],[Classification]]="Assets",Table830[[#This Row],[Debit\]]-Table830[[#This Row],[Credit.]]),Table830[[#This Row],[Debit\]]-Table830[[#This Row],[Credit.]],""),"")</f>
        <v/>
      </c>
      <c r="AH197" s="34" t="str">
        <f>IFERROR(IF(AND(OR(Table830[[#This Row],[Classification]]="Liabilities",Table830[[#This Row],[Classification]]="Owner´s Equity"),Table830[[#This Row],[Credit.]]&gt;Table830[[#This Row],[Debit\]]),Table830[[#This Row],[Credit.]]-Table830[[#This Row],[Debit\]],""),"")</f>
        <v/>
      </c>
    </row>
    <row r="198" spans="2:38" hidden="1" x14ac:dyDescent="0.25">
      <c r="B198" s="34"/>
      <c r="C198" s="45"/>
      <c r="D198" s="34"/>
      <c r="E198" s="34"/>
      <c r="G198" s="39"/>
      <c r="H198" s="40"/>
      <c r="I198" s="41"/>
      <c r="J198" s="41"/>
      <c r="L198" s="34">
        <v>191</v>
      </c>
      <c r="M198" s="35"/>
      <c r="N198" s="35"/>
      <c r="O198" s="34">
        <f>IFERROR(SUMIF(Table427[,],Table629[[#This Row],[Accounts Name]],Table427[,3]),"")</f>
        <v>0</v>
      </c>
      <c r="P198" s="34">
        <f>IFERROR(SUMIF(Table427[,],Table629[[#This Row],[Accounts Name]],Table427[,2]),"")</f>
        <v>0</v>
      </c>
      <c r="S198" s="36">
        <f t="shared" si="2"/>
        <v>191</v>
      </c>
      <c r="T198" s="34"/>
      <c r="U198" s="37"/>
      <c r="V198" s="34">
        <f>IFERROR(SUMIF(Table629[Sub-Accounts],Table830[[#This Row],[Update your chart of accounts here]],Table629[Debit]),"")</f>
        <v>0</v>
      </c>
      <c r="W198" s="34">
        <f>IFERROR(SUMIF(Table629[Sub-Accounts],Table830[[#This Row],[Update your chart of accounts here]],Table629[Credit]),"")</f>
        <v>0</v>
      </c>
      <c r="X198" s="34"/>
      <c r="Y198" s="34"/>
      <c r="Z198" s="34"/>
      <c r="AA198" s="34"/>
      <c r="AB198" s="34">
        <f>MAX(Table830[[#This Row],[Debit]]+Table830[[#This Row],[Debit -]]-Table830[[#This Row],[Credit]]-Table830[[#This Row],[Credit +]],0)</f>
        <v>0</v>
      </c>
      <c r="AC198" s="34">
        <f>MAX(Table830[[#This Row],[Credit]]-Table830[[#This Row],[Debit]]+Table830[[#This Row],[Credit +]]-Table830[[#This Row],[Debit -]],0)</f>
        <v>0</v>
      </c>
      <c r="AD198" s="34" t="str">
        <f>IFERROR(IF(AND(OR(Table830[[#This Row],[Classification]]="Expense",Table830[[#This Row],[Classification]]="Cost of Goods Sold"),Table830[[#This Row],[Debit\]]&gt;Table830[[#This Row],[Credit.]]),Table830[[#This Row],[Debit\]]-Table830[[#This Row],[Credit.]],""),"")</f>
        <v/>
      </c>
      <c r="AE198" s="34" t="str">
        <f>IFERROR(IF(AND(OR(Table830[[#This Row],[Classification]]="Income",Table830[[#This Row],[Classification]]="Cost of Goods Sold"),Table830[[#This Row],[Credit.]]&gt;Table830[[#This Row],[Debit\]]),Table830[[#This Row],[Credit.]]-Table830[[#This Row],[Debit\]],""),"")</f>
        <v/>
      </c>
      <c r="AF198" s="34"/>
      <c r="AG198" s="34" t="str">
        <f>IFERROR(IF(AND(Table830[[#This Row],[Classification]]="Assets",Table830[[#This Row],[Debit\]]-Table830[[#This Row],[Credit.]]),Table830[[#This Row],[Debit\]]-Table830[[#This Row],[Credit.]],""),"")</f>
        <v/>
      </c>
      <c r="AH198" s="34" t="str">
        <f>IFERROR(IF(AND(OR(Table830[[#This Row],[Classification]]="Liabilities",Table830[[#This Row],[Classification]]="Owner´s Equity"),Table830[[#This Row],[Credit.]]&gt;Table830[[#This Row],[Debit\]]),Table830[[#This Row],[Credit.]]-Table830[[#This Row],[Debit\]],""),"")</f>
        <v/>
      </c>
    </row>
    <row r="199" spans="2:38" hidden="1" x14ac:dyDescent="0.25">
      <c r="B199" s="34"/>
      <c r="C199" s="45"/>
      <c r="D199" s="34"/>
      <c r="E199" s="34"/>
      <c r="G199" s="39"/>
      <c r="H199" s="40"/>
      <c r="I199" s="41"/>
      <c r="J199" s="41"/>
      <c r="L199" s="34">
        <v>192</v>
      </c>
      <c r="M199" s="35"/>
      <c r="N199" s="35"/>
      <c r="O199" s="34">
        <f>IFERROR(SUMIF(Table427[,],Table629[[#This Row],[Accounts Name]],Table427[,3]),"")</f>
        <v>0</v>
      </c>
      <c r="P199" s="34">
        <f>IFERROR(SUMIF(Table427[,],Table629[[#This Row],[Accounts Name]],Table427[,2]),"")</f>
        <v>0</v>
      </c>
      <c r="S199" s="36">
        <f t="shared" si="2"/>
        <v>192</v>
      </c>
      <c r="T199" s="34"/>
      <c r="U199" s="46"/>
      <c r="V199" s="34">
        <f>IFERROR(SUMIF(Table629[Sub-Accounts],Table830[[#This Row],[Update your chart of accounts here]],Table629[Debit]),"")</f>
        <v>0</v>
      </c>
      <c r="W199" s="34">
        <f>IFERROR(SUMIF(Table629[Sub-Accounts],Table830[[#This Row],[Update your chart of accounts here]],Table629[Credit]),"")</f>
        <v>0</v>
      </c>
      <c r="X199" s="34"/>
      <c r="Y199" s="34"/>
      <c r="Z199" s="34"/>
      <c r="AA199" s="34"/>
      <c r="AB199" s="34">
        <f>MAX(Table830[[#This Row],[Debit]]+Table830[[#This Row],[Debit -]]-Table830[[#This Row],[Credit]]-Table830[[#This Row],[Credit +]],0)</f>
        <v>0</v>
      </c>
      <c r="AC199" s="34">
        <f>MAX(Table830[[#This Row],[Credit]]-Table830[[#This Row],[Debit]]+Table830[[#This Row],[Credit +]]-Table830[[#This Row],[Debit -]],0)</f>
        <v>0</v>
      </c>
      <c r="AD199" s="34" t="str">
        <f>IFERROR(IF(AND(OR(Table830[[#This Row],[Classification]]="Expense",Table830[[#This Row],[Classification]]="Cost of Goods Sold"),Table830[[#This Row],[Debit\]]&gt;Table830[[#This Row],[Credit.]]),Table830[[#This Row],[Debit\]]-Table830[[#This Row],[Credit.]],""),"")</f>
        <v/>
      </c>
      <c r="AE199" s="34" t="str">
        <f>IFERROR(IF(AND(OR(Table830[[#This Row],[Classification]]="Income",Table830[[#This Row],[Classification]]="Cost of Goods Sold"),Table830[[#This Row],[Credit.]]&gt;Table830[[#This Row],[Debit\]]),Table830[[#This Row],[Credit.]]-Table830[[#This Row],[Debit\]],""),"")</f>
        <v/>
      </c>
      <c r="AF199" s="34"/>
      <c r="AG199" s="34" t="str">
        <f>IFERROR(IF(AND(Table830[[#This Row],[Classification]]="Assets",Table830[[#This Row],[Debit\]]-Table830[[#This Row],[Credit.]]),Table830[[#This Row],[Debit\]]-Table830[[#This Row],[Credit.]],""),"")</f>
        <v/>
      </c>
      <c r="AH199" s="34" t="str">
        <f>IFERROR(IF(AND(OR(Table830[[#This Row],[Classification]]="Liabilities",Table830[[#This Row],[Classification]]="Owner´s Equity"),Table830[[#This Row],[Credit.]]&gt;Table830[[#This Row],[Debit\]]),Table830[[#This Row],[Credit.]]-Table830[[#This Row],[Debit\]],""),"")</f>
        <v/>
      </c>
    </row>
    <row r="200" spans="2:38" hidden="1" x14ac:dyDescent="0.25">
      <c r="B200" s="34"/>
      <c r="C200" s="45"/>
      <c r="D200" s="34"/>
      <c r="E200" s="34"/>
      <c r="G200" s="39"/>
      <c r="H200" s="43"/>
      <c r="I200" s="41"/>
      <c r="J200" s="41"/>
      <c r="L200" s="34">
        <v>193</v>
      </c>
      <c r="M200" s="35"/>
      <c r="N200" s="35"/>
      <c r="O200" s="34">
        <f>IFERROR(SUMIF(Table427[,],Table629[[#This Row],[Accounts Name]],Table427[,3]),"")</f>
        <v>0</v>
      </c>
      <c r="P200" s="34">
        <f>IFERROR(SUMIF(Table427[,],Table629[[#This Row],[Accounts Name]],Table427[,2]),"")</f>
        <v>0</v>
      </c>
      <c r="S200" s="36">
        <f t="shared" si="2"/>
        <v>193</v>
      </c>
      <c r="T200" s="34"/>
      <c r="U200" s="47"/>
      <c r="V200" s="34">
        <f>IFERROR(SUMIF(Table629[Sub-Accounts],Table830[[#This Row],[Update your chart of accounts here]],Table629[Debit]),"")</f>
        <v>0</v>
      </c>
      <c r="W200" s="34">
        <f>IFERROR(SUMIF(Table629[Sub-Accounts],Table830[[#This Row],[Update your chart of accounts here]],Table629[Credit]),"")</f>
        <v>0</v>
      </c>
      <c r="X200" s="34"/>
      <c r="Y200" s="34"/>
      <c r="Z200" s="34"/>
      <c r="AA200" s="34"/>
      <c r="AB200" s="34">
        <f>MAX(Table830[[#This Row],[Debit]]+Table830[[#This Row],[Debit -]]-Table830[[#This Row],[Credit]]-Table830[[#This Row],[Credit +]],0)</f>
        <v>0</v>
      </c>
      <c r="AC200" s="34">
        <f>MAX(Table830[[#This Row],[Credit]]-Table830[[#This Row],[Debit]]+Table830[[#This Row],[Credit +]]-Table830[[#This Row],[Debit -]],0)</f>
        <v>0</v>
      </c>
      <c r="AD200" s="34" t="str">
        <f>IFERROR(IF(AND(OR(Table830[[#This Row],[Classification]]="Expense",Table830[[#This Row],[Classification]]="Cost of Goods Sold"),Table830[[#This Row],[Debit\]]&gt;Table830[[#This Row],[Credit.]]),Table830[[#This Row],[Debit\]]-Table830[[#This Row],[Credit.]],""),"")</f>
        <v/>
      </c>
      <c r="AE200" s="34" t="str">
        <f>IFERROR(IF(AND(OR(Table830[[#This Row],[Classification]]="Income",Table830[[#This Row],[Classification]]="Cost of Goods Sold"),Table830[[#This Row],[Credit.]]&gt;Table830[[#This Row],[Debit\]]),Table830[[#This Row],[Credit.]]-Table830[[#This Row],[Debit\]],""),"")</f>
        <v/>
      </c>
      <c r="AF200" s="34"/>
      <c r="AG200" s="34" t="str">
        <f>IFERROR(IF(AND(Table830[[#This Row],[Classification]]="Assets",Table830[[#This Row],[Debit\]]-Table830[[#This Row],[Credit.]]),Table830[[#This Row],[Debit\]]-Table830[[#This Row],[Credit.]],""),"")</f>
        <v/>
      </c>
      <c r="AH200" s="34" t="str">
        <f>IFERROR(IF(AND(OR(Table830[[#This Row],[Classification]]="Liabilities",Table830[[#This Row],[Classification]]="Owner´s Equity"),Table830[[#This Row],[Credit.]]&gt;Table830[[#This Row],[Debit\]]),Table830[[#This Row],[Credit.]]-Table830[[#This Row],[Debit\]],""),"")</f>
        <v/>
      </c>
      <c r="AI200" s="20" t="b">
        <f>Table830[[#Totals],[Debit .]]=Table830[[#Totals],[Credit'']]</f>
        <v>0</v>
      </c>
      <c r="AL200" s="20">
        <f>Table830[[#Totals],[Debit .]]-Table830[[#Totals],[Credit'']]</f>
        <v>0</v>
      </c>
    </row>
    <row r="201" spans="2:38" ht="15.75" thickBot="1" x14ac:dyDescent="0.3">
      <c r="B201" s="20" t="s">
        <v>60</v>
      </c>
      <c r="D201" s="57">
        <f>SUBTOTAL(109,Table427[,3])</f>
        <v>6373139.6100000003</v>
      </c>
      <c r="E201" s="57">
        <f>SUBTOTAL(109,Table427[,2])</f>
        <v>12625152.699999999</v>
      </c>
      <c r="G201" s="39"/>
      <c r="H201" s="40"/>
      <c r="I201" s="41"/>
      <c r="J201" s="41"/>
      <c r="L201" s="49" t="s">
        <v>60</v>
      </c>
      <c r="M201" s="35"/>
      <c r="N201" s="35"/>
      <c r="O201" s="48">
        <f>SUBTOTAL(109,Table629[Debit])</f>
        <v>8568388.6600000001</v>
      </c>
      <c r="P201" s="48">
        <f>SUBTOTAL(109,Table629[Credit])</f>
        <v>4047608.7</v>
      </c>
      <c r="S201" s="62" t="s">
        <v>60</v>
      </c>
      <c r="T201" s="63"/>
      <c r="U201" s="64"/>
      <c r="V201" s="63">
        <f>SUBTOTAL(109,Table830[Debit])</f>
        <v>33634688.240000002</v>
      </c>
      <c r="W201" s="63">
        <f>SUBTOTAL(109,Table830[Credit])</f>
        <v>33587719.600000001</v>
      </c>
      <c r="X201" s="63"/>
      <c r="Y201" s="63"/>
      <c r="Z201" s="63"/>
      <c r="AA201" s="63"/>
      <c r="AB201" s="63">
        <f>SUBTOTAL(109,Table830[Debit\])</f>
        <v>38476056.723225519</v>
      </c>
      <c r="AC201" s="63">
        <f>SUBTOTAL(109,Table830[Credit.])</f>
        <v>38476056.723225571</v>
      </c>
      <c r="AD201" s="63">
        <f>SUBTOTAL(109,Table830[[Debit ]])</f>
        <v>0</v>
      </c>
      <c r="AE201" s="63">
        <f>SUBTOTAL(109,Table830[Credit,])</f>
        <v>0</v>
      </c>
      <c r="AF201" s="63"/>
      <c r="AG201" s="63">
        <f>SUBTOTAL(109,Table830[Debit .])</f>
        <v>38476056.723225519</v>
      </c>
      <c r="AH201" s="63">
        <f>SUBTOTAL(109,Table830[Credit''])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70" priority="8">
      <formula>"Balanced"</formula>
    </cfRule>
  </conditionalFormatting>
  <dataValidations count="3">
    <dataValidation type="list" allowBlank="1" showInputMessage="1" showErrorMessage="1" sqref="T8:T200" xr:uid="{00000000-0002-0000-0B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B00-000001000000}">
      <formula1>P_LSub_Group</formula1>
    </dataValidation>
    <dataValidation type="list" allowBlank="1" showInputMessage="1" showErrorMessage="1" sqref="N8:N200" xr:uid="{00000000-0002-0000-0B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6D517770-6A9E-402B-958E-ECBF8321897A}">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767CDC45-E96F-4164-93AC-0BC5954D865E}">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763DE8EB-3C69-4635-9AD2-D4B6E9490EC4}">
            <xm:f>NOT(ISERROR(SEARCH($T$407,T8)))</xm:f>
            <xm:f>$T$407</xm:f>
            <x14:dxf>
              <fill>
                <patternFill>
                  <bgColor rgb="FF7030A0"/>
                </patternFill>
              </fill>
            </x14:dxf>
          </x14:cfRule>
          <x14:cfRule type="containsText" priority="2" operator="containsText" id="{FA1DFBA6-238E-4B59-BA79-10918F47CDA4}">
            <xm:f>NOT(ISERROR(SEARCH($T$406,T8)))</xm:f>
            <xm:f>$T$406</xm:f>
            <x14:dxf>
              <fill>
                <patternFill>
                  <bgColor rgb="FFFFFF00"/>
                </patternFill>
              </fill>
            </x14:dxf>
          </x14:cfRule>
          <x14:cfRule type="containsText" priority="3" operator="containsText" id="{70B66FD3-981C-4EAB-B60A-655251968740}">
            <xm:f>NOT(ISERROR(SEARCH($T$405,T8)))</xm:f>
            <xm:f>$T$405</xm:f>
            <x14:dxf>
              <fill>
                <patternFill>
                  <bgColor rgb="FF00B050"/>
                </patternFill>
              </fill>
            </x14:dxf>
          </x14:cfRule>
          <x14:cfRule type="containsText" priority="4" operator="containsText" id="{7F04B4DB-1082-4C81-A25A-0B009AC2E0EF}">
            <xm:f>NOT(ISERROR(SEARCH($T$404,T8)))</xm:f>
            <xm:f>$T$404</xm:f>
            <x14:dxf>
              <fill>
                <patternFill>
                  <bgColor theme="0"/>
                </patternFill>
              </fill>
            </x14:dxf>
          </x14:cfRule>
          <x14:cfRule type="containsText" priority="5" operator="containsText" id="{F93B096D-FBCF-4C65-84AF-A422F89C0347}">
            <xm:f>NOT(ISERROR(SEARCH($T$403,T8)))</xm:f>
            <xm:f>$T$403</xm:f>
            <x14:dxf>
              <fill>
                <patternFill>
                  <bgColor rgb="FFFF0000"/>
                </patternFill>
              </fill>
            </x14:dxf>
          </x14:cfRule>
          <x14:cfRule type="containsText" priority="6" operator="containsText" id="{914478A9-A9EB-44FE-BAA7-E77EB8105BE9}">
            <xm:f>NOT(ISERROR(SEARCH($T$402,T8)))</xm:f>
            <xm:f>$T$402</xm:f>
            <x14:dxf>
              <fill>
                <patternFill>
                  <bgColor theme="8" tint="-0.24994659260841701"/>
                </patternFill>
              </fill>
            </x14:dxf>
          </x14:cfRule>
          <xm:sqref>T8:T200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B1:AN407"/>
  <sheetViews>
    <sheetView showGridLines="0" workbookViewId="0">
      <selection activeCell="U17" sqref="U17"/>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IFERROR(SUMIF(Table431[,],Table633[[#This Row],[Accounts Name]],Table431[,3]),"")</f>
        <v>3977142.74</v>
      </c>
      <c r="P8" s="34">
        <f>IFERROR(SUMIF(Table431[,],Table633[[#This Row],[Accounts Name]],Table431[,2]),"")</f>
        <v>0</v>
      </c>
      <c r="S8" s="36">
        <v>1</v>
      </c>
      <c r="T8" s="34" t="s">
        <v>11</v>
      </c>
      <c r="U8" s="37" t="s">
        <v>138</v>
      </c>
      <c r="V8" s="34">
        <f>IFERROR(SUMIF(Table633[Sub-Accounts],Table834[[#This Row],[Update your chart of accounts here]],Table633[Debit]),"")</f>
        <v>5942202.0100000007</v>
      </c>
      <c r="W8" s="34">
        <f>IFERROR(SUMIF(Table633[Sub-Accounts],Table834[[#This Row],[Update your chart of accounts here]],Table633[Credit]),"")</f>
        <v>0</v>
      </c>
      <c r="X8" s="34"/>
      <c r="Y8" s="34" t="s">
        <v>228</v>
      </c>
      <c r="Z8" s="34"/>
      <c r="AA8" s="34">
        <f>J25</f>
        <v>21</v>
      </c>
      <c r="AB8" s="34">
        <f>MAX(Table834[[#This Row],[Debit]]+Table834[[#This Row],[Debit -]]-Table834[[#This Row],[Credit]]-Table834[[#This Row],[Credit +]],0)</f>
        <v>5942181.0100000007</v>
      </c>
      <c r="AC8" s="34">
        <f>MAX(Table834[[#This Row],[Credit]]-Table834[[#This Row],[Debit]]+Table834[[#This Row],[Credit +]]-Table834[[#This Row],[Debit -]],0)</f>
        <v>0</v>
      </c>
      <c r="AD8" s="34" t="str">
        <f>IFERROR(IF(AND(OR(Table834[[#This Row],[Classification]]="Expense",Table834[[#This Row],[Classification]]="Cost of Goods Sold"),Table834[[#This Row],[Debit\]]&gt;Table834[[#This Row],[Credit.]]),Table834[[#This Row],[Debit\]]-Table834[[#This Row],[Credit.]],""),"")</f>
        <v/>
      </c>
      <c r="AE8" s="34" t="str">
        <f>IFERROR(IF(AND(OR(Table834[[#This Row],[Classification]]="Income",Table834[[#This Row],[Classification]]="Cost of Goods Sold"),Table834[[#This Row],[Credit.]]&gt;Table834[[#This Row],[Debit\]]),Table834[[#This Row],[Credit.]]-Table834[[#This Row],[Debit\]],""),"")</f>
        <v/>
      </c>
      <c r="AF8" s="34"/>
      <c r="AG8" s="34">
        <f>IFERROR(IF(AND(Table834[[#This Row],[Classification]]="Assets",Table834[[#This Row],[Debit\]]-Table834[[#This Row],[Credit.]]),Table834[[#This Row],[Debit\]]-Table834[[#This Row],[Credit.]],""),"")</f>
        <v>5942181.0100000007</v>
      </c>
      <c r="AH8" s="34" t="str">
        <f>IFERROR(IF(AND(OR(Table834[[#This Row],[Classification]]="Liabilities",Table834[[#This Row],[Classification]]="Owner´s Equity"),Table834[[#This Row],[Credit.]]&gt;Table834[[#This Row],[Debit\]]),Table834[[#This Row],[Credit.]]-Table834[[#This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IFERROR(SUMIF(Table431[,],Table633[[#This Row],[Accounts Name]],Table431[,3]),"")</f>
        <v>0</v>
      </c>
      <c r="P9" s="34">
        <f>IFERROR(SUMIF(Table431[,],Table633[[#This Row],[Accounts Name]],Table431[,2]),"")</f>
        <v>1699952.7</v>
      </c>
      <c r="S9" s="36">
        <f>S8+1</f>
        <v>2</v>
      </c>
      <c r="T9" s="34" t="s">
        <v>12</v>
      </c>
      <c r="U9" s="37" t="s">
        <v>139</v>
      </c>
      <c r="V9" s="34">
        <f>IFERROR(SUMIF(Table633[Sub-Accounts],Table834[[#This Row],[Update your chart of accounts here]],Table633[Debit]),"")</f>
        <v>0</v>
      </c>
      <c r="W9" s="34">
        <f>IFERROR(SUMIF(Table633[Sub-Accounts],Table834[[#This Row],[Update your chart of accounts here]],Table633[Credit]),"")</f>
        <v>3699952.7</v>
      </c>
      <c r="X9" s="34"/>
      <c r="Y9" s="34"/>
      <c r="Z9" s="34"/>
      <c r="AA9" s="34"/>
      <c r="AB9" s="34">
        <f>MAX(Table834[[#This Row],[Debit]]+Table834[[#This Row],[Debit -]]-Table834[[#This Row],[Credit]]-Table834[[#This Row],[Credit +]],0)</f>
        <v>0</v>
      </c>
      <c r="AC9" s="34">
        <f>MAX(Table834[[#This Row],[Credit]]-Table834[[#This Row],[Debit]]+Table834[[#This Row],[Credit +]]-Table834[[#This Row],[Debit -]],0)</f>
        <v>3699952.7</v>
      </c>
      <c r="AD9" s="34" t="str">
        <f>IFERROR(IF(AND(OR(Table834[[#This Row],[Classification]]="Expense",Table834[[#This Row],[Classification]]="Cost of Goods Sold"),Table834[[#This Row],[Debit\]]&gt;Table834[[#This Row],[Credit.]]),Table834[[#This Row],[Debit\]]-Table834[[#This Row],[Credit.]],""),"")</f>
        <v/>
      </c>
      <c r="AE9" s="34" t="str">
        <f>IFERROR(IF(AND(OR(Table834[[#This Row],[Classification]]="Income",Table834[[#This Row],[Classification]]="Cost of Goods Sold"),Table834[[#This Row],[Credit.]]&gt;Table834[[#This Row],[Debit\]]),Table834[[#This Row],[Credit.]]-Table834[[#This Row],[Debit\]],""),"")</f>
        <v/>
      </c>
      <c r="AF9" s="34"/>
      <c r="AG9" s="34" t="str">
        <f>IFERROR(IF(AND(Table834[[#This Row],[Classification]]="Assets",Table834[[#This Row],[Debit\]]-Table834[[#This Row],[Credit.]]),Table834[[#This Row],[Debit\]]-Table834[[#This Row],[Credit.]],""),"")</f>
        <v/>
      </c>
      <c r="AH9" s="34">
        <f>IFERROR(IF(AND(OR(Table834[[#This Row],[Classification]]="Liabilities",Table834[[#This Row],[Classification]]="Owner´s Equity"),Table834[[#This Row],[Credit.]]&gt;Table834[[#This Row],[Debit\]]),Table834[[#This Row],[Credit.]]-Table834[[#This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IFERROR(SUMIF(Table431[,],Table633[[#This Row],[Accounts Name]],Table431[,3]),"")</f>
        <v>0</v>
      </c>
      <c r="P10" s="34">
        <f>IFERROR(SUMIF(Table431[,],Table633[[#This Row],[Accounts Name]],Table431[,2]),"")</f>
        <v>2000000</v>
      </c>
      <c r="S10" s="36">
        <f t="shared" ref="S10:S73" si="0">S9+1</f>
        <v>3</v>
      </c>
      <c r="T10" s="34" t="s">
        <v>11</v>
      </c>
      <c r="U10" s="37" t="s">
        <v>172</v>
      </c>
      <c r="V10" s="34">
        <f>IFERROR(SUMIF(Table633[Sub-Accounts],Table834[[#This Row],[Update your chart of accounts here]],Table633[Debit]),"")</f>
        <v>4355552.28</v>
      </c>
      <c r="W10" s="34">
        <f>IFERROR(SUMIF(Table633[Sub-Accounts],Table834[[#This Row],[Update your chart of accounts here]],Table633[Credit]),"")</f>
        <v>2517904</v>
      </c>
      <c r="X10" s="34"/>
      <c r="Y10" s="34" t="s">
        <v>224</v>
      </c>
      <c r="Z10" s="34">
        <f>I12</f>
        <v>251563</v>
      </c>
      <c r="AA10" s="34">
        <f>Table532[[#This Row],[,2]]</f>
        <v>409278.51677448238</v>
      </c>
      <c r="AB10" s="34">
        <f>MAX(Table834[[#This Row],[Debit]]+Table834[[#This Row],[Debit -]]-Table834[[#This Row],[Credit]]-Table834[[#This Row],[Credit +]],0)</f>
        <v>1679932.7632255179</v>
      </c>
      <c r="AC10" s="34">
        <f>MAX(Table834[[#This Row],[Credit]]-Table834[[#This Row],[Debit]]+Table834[[#This Row],[Credit +]]-Table834[[#This Row],[Debit -]],0)</f>
        <v>0</v>
      </c>
      <c r="AD10" s="34" t="str">
        <f>IFERROR(IF(AND(OR(Table834[[#This Row],[Classification]]="Expense",Table834[[#This Row],[Classification]]="Cost of Goods Sold"),Table834[[#This Row],[Debit\]]&gt;Table834[[#This Row],[Credit.]]),Table834[[#This Row],[Debit\]]-Table834[[#This Row],[Credit.]],""),"")</f>
        <v/>
      </c>
      <c r="AE10" s="34" t="str">
        <f>IFERROR(IF(AND(OR(Table834[[#This Row],[Classification]]="Income",Table834[[#This Row],[Classification]]="Cost of Goods Sold"),Table834[[#This Row],[Credit.]]&gt;Table834[[#This Row],[Debit\]]),Table834[[#This Row],[Credit.]]-Table834[[#This Row],[Debit\]],""),"")</f>
        <v/>
      </c>
      <c r="AF10" s="34"/>
      <c r="AG10" s="34">
        <f>IFERROR(IF(AND(Table834[[#This Row],[Classification]]="Assets",Table834[[#This Row],[Debit\]]-Table834[[#This Row],[Credit.]]),Table834[[#This Row],[Debit\]]-Table834[[#This Row],[Credit.]],""),"")</f>
        <v>1679932.7632255179</v>
      </c>
      <c r="AH10" s="34" t="str">
        <f>IFERROR(IF(AND(OR(Table834[[#This Row],[Classification]]="Liabilities",Table834[[#This Row],[Classification]]="Owner´s Equity"),Table834[[#This Row],[Credit.]]&gt;Table834[[#This Row],[Debit\]]),Table834[[#This Row],[Credit.]]-Table834[[#This Row],[Debit\]],""),"")</f>
        <v/>
      </c>
    </row>
    <row r="11" spans="2:40" x14ac:dyDescent="0.25">
      <c r="B11" s="34"/>
      <c r="C11" s="42" t="s">
        <v>65</v>
      </c>
      <c r="D11" s="34"/>
      <c r="E11" s="34">
        <v>2000000</v>
      </c>
      <c r="G11" s="39"/>
      <c r="H11" s="43" t="s">
        <v>180</v>
      </c>
      <c r="I11" s="41"/>
      <c r="J11" s="41"/>
      <c r="L11" s="34">
        <v>4</v>
      </c>
      <c r="M11" s="35" t="s">
        <v>138</v>
      </c>
      <c r="N11" s="35" t="s">
        <v>66</v>
      </c>
      <c r="O11" s="34">
        <f>IFERROR(SUMIF(Table431[,],Table633[[#This Row],[Accounts Name]],Table431[,3]),"")</f>
        <v>219779.97</v>
      </c>
      <c r="P11" s="34">
        <f>IFERROR(SUMIF(Table431[,],Table633[[#This Row],[Accounts Name]],Table431[,2]),"")</f>
        <v>0</v>
      </c>
      <c r="S11" s="36">
        <f t="shared" si="0"/>
        <v>4</v>
      </c>
      <c r="T11" s="34" t="s">
        <v>11</v>
      </c>
      <c r="U11" s="37" t="s">
        <v>140</v>
      </c>
      <c r="V11" s="34">
        <f>IFERROR(SUMIF(Table633[Sub-Accounts],Table834[[#This Row],[Update your chart of accounts here]],Table633[Debit]),"")</f>
        <v>21108825.949999999</v>
      </c>
      <c r="W11" s="34">
        <f>IFERROR(SUMIF(Table633[Sub-Accounts],Table834[[#This Row],[Update your chart of accounts here]],Table633[Credit]),"")</f>
        <v>0</v>
      </c>
      <c r="X11" s="34"/>
      <c r="Y11" s="34" t="s">
        <v>231</v>
      </c>
      <c r="Z11" s="34"/>
      <c r="AA11" s="34">
        <f>J31</f>
        <v>2551250</v>
      </c>
      <c r="AB11" s="34">
        <f>MAX(Table834[[#This Row],[Debit]]+Table834[[#This Row],[Debit -]]-Table834[[#This Row],[Credit]]-Table834[[#This Row],[Credit +]],0)</f>
        <v>18557575.949999999</v>
      </c>
      <c r="AC11" s="34">
        <f>MAX(Table834[[#This Row],[Credit]]-Table834[[#This Row],[Debit]]+Table834[[#This Row],[Credit +]]-Table834[[#This Row],[Debit -]],0)</f>
        <v>0</v>
      </c>
      <c r="AD11" s="34" t="str">
        <f>IFERROR(IF(AND(OR(Table834[[#This Row],[Classification]]="Expense",Table834[[#This Row],[Classification]]="Cost of Goods Sold"),Table834[[#This Row],[Debit\]]&gt;Table834[[#This Row],[Credit.]]),Table834[[#This Row],[Debit\]]-Table834[[#This Row],[Credit.]],""),"")</f>
        <v/>
      </c>
      <c r="AE11" s="34" t="str">
        <f>IFERROR(IF(AND(OR(Table834[[#This Row],[Classification]]="Income",Table834[[#This Row],[Classification]]="Cost of Goods Sold"),Table834[[#This Row],[Credit.]]&gt;Table834[[#This Row],[Debit\]]),Table834[[#This Row],[Credit.]]-Table834[[#This Row],[Debit\]],""),"")</f>
        <v/>
      </c>
      <c r="AF11" s="34"/>
      <c r="AG11" s="34">
        <f>IFERROR(IF(AND(Table834[[#This Row],[Classification]]="Assets",Table834[[#This Row],[Debit\]]-Table834[[#This Row],[Credit.]]),Table834[[#This Row],[Debit\]]-Table834[[#This Row],[Credit.]],""),"")</f>
        <v>18557575.949999999</v>
      </c>
      <c r="AH11" s="34" t="str">
        <f>IFERROR(IF(AND(OR(Table834[[#This Row],[Classification]]="Liabilities",Table834[[#This Row],[Classification]]="Owner´s Equity"),Table834[[#This Row],[Credit.]]&gt;Table834[[#This Row],[Debit\]]),Table834[[#This Row],[Credit.]]-Table834[[#This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IFERROR(SUMIF(Table431[,],Table633[[#This Row],[Accounts Name]],Table431[,3]),"")</f>
        <v>1054457.3500000001</v>
      </c>
      <c r="P12" s="34">
        <f>IFERROR(SUMIF(Table431[,],Table633[[#This Row],[Accounts Name]],Table431[,2]),"")</f>
        <v>0</v>
      </c>
      <c r="S12" s="36">
        <f t="shared" si="0"/>
        <v>5</v>
      </c>
      <c r="T12" s="34" t="s">
        <v>61</v>
      </c>
      <c r="U12" s="37" t="s">
        <v>207</v>
      </c>
      <c r="V12" s="34">
        <f>IFERROR(SUMIF(Table633[Sub-Accounts],Table834[[#This Row],[Update your chart of accounts here]],Table633[Debit]),"")</f>
        <v>0</v>
      </c>
      <c r="W12" s="34">
        <f>IFERROR(SUMIF(Table633[Sub-Accounts],Table834[[#This Row],[Update your chart of accounts here]],Table633[Credit]),"")</f>
        <v>0</v>
      </c>
      <c r="X12" s="34"/>
      <c r="Y12" s="34"/>
      <c r="Z12" s="34">
        <f>AN7</f>
        <v>8341041.1232255697</v>
      </c>
      <c r="AA12" s="34">
        <f>AU6</f>
        <v>0</v>
      </c>
      <c r="AB12" s="34">
        <f>MAX(Table834[[#This Row],[Debit]]+Table834[[#This Row],[Debit -]]-Table834[[#This Row],[Credit]]-Table834[[#This Row],[Credit +]],0)</f>
        <v>8341041.1232255697</v>
      </c>
      <c r="AC12" s="34">
        <f>MAX(Table834[[#This Row],[Credit]]-Table834[[#This Row],[Debit]]+Table834[[#This Row],[Credit +]]-Table834[[#This Row],[Debit -]],0)</f>
        <v>0</v>
      </c>
      <c r="AD12" s="34">
        <f>IFERROR(IF(AND(OR(Table834[[#This Row],[Classification]]="Expense",Table834[[#This Row],[Classification]]="Cost of Goods Sold"),Table834[[#This Row],[Debit\]]&gt;Table834[[#This Row],[Credit.]]),Table834[[#This Row],[Debit\]]-Table834[[#This Row],[Credit.]],""),"")</f>
        <v>8341041.1232255697</v>
      </c>
      <c r="AE12" s="34" t="str">
        <f>IFERROR(IF(AND(OR(Table834[[#This Row],[Classification]]="Income",Table834[[#This Row],[Classification]]="Cost of Goods Sold"),Table834[[#This Row],[Credit.]]&gt;Table834[[#This Row],[Debit\]]),Table834[[#This Row],[Credit.]]-Table834[[#This Row],[Debit\]],""),"")</f>
        <v/>
      </c>
      <c r="AF12" s="34"/>
      <c r="AG12" s="34" t="str">
        <f>IFERROR(IF(AND(Table834[[#This Row],[Classification]]="Assets",Table834[[#This Row],[Debit\]]-Table834[[#This Row],[Credit.]]),Table834[[#This Row],[Debit\]]-Table834[[#This Row],[Credit.]],""),"")</f>
        <v/>
      </c>
      <c r="AH12" s="34" t="str">
        <f>IFERROR(IF(AND(OR(Table834[[#This Row],[Classification]]="Liabilities",Table834[[#This Row],[Classification]]="Owner´s Equity"),Table834[[#This Row],[Credit.]]&gt;Table834[[#This Row],[Debit\]]),Table834[[#This Row],[Credit.]]-Table834[[#This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IFERROR(SUMIF(Table431[,],Table633[[#This Row],[Accounts Name]],Table431[,3]),"")</f>
        <v>230653</v>
      </c>
      <c r="P13" s="34">
        <f>IFERROR(SUMIF(Table431[,],Table633[[#This Row],[Accounts Name]],Table431[,2]),"")</f>
        <v>0</v>
      </c>
      <c r="S13" s="36">
        <f t="shared" si="0"/>
        <v>6</v>
      </c>
      <c r="T13" s="34" t="s">
        <v>6</v>
      </c>
      <c r="U13" s="37" t="s">
        <v>142</v>
      </c>
      <c r="V13" s="34">
        <f>IFERROR(SUMIF(Table633[Sub-Accounts],Table834[[#This Row],[Update your chart of accounts here]],Table633[Debit]),"")</f>
        <v>3296400</v>
      </c>
      <c r="W13" s="34">
        <f>IFERROR(SUMIF(Table633[Sub-Accounts],Table834[[#This Row],[Update your chart of accounts here]],Table633[Credit]),"")</f>
        <v>0</v>
      </c>
      <c r="X13" s="34"/>
      <c r="Y13" s="34" t="s">
        <v>227</v>
      </c>
      <c r="Z13" s="65"/>
      <c r="AA13" s="34"/>
      <c r="AB13" s="34">
        <f>MAX(Table834[[#This Row],[Debit]]+Table834[[#This Row],[Debit -]]-Table834[[#This Row],[Credit]]-Table834[[#This Row],[Credit +]],0)</f>
        <v>3296400</v>
      </c>
      <c r="AC13" s="34">
        <f>MAX(Table834[[#This Row],[Credit]]-Table834[[#This Row],[Debit]]+Table834[[#This Row],[Credit +]]-Table834[[#This Row],[Debit -]],0)</f>
        <v>0</v>
      </c>
      <c r="AD13" s="34">
        <f>IFERROR(IF(AND(OR(Table834[[#This Row],[Classification]]="Expense",Table834[[#This Row],[Classification]]="Cost of Goods Sold"),Table834[[#This Row],[Debit\]]&gt;Table834[[#This Row],[Credit.]]),Table834[[#This Row],[Debit\]]-Table834[[#This Row],[Credit.]],""),"")</f>
        <v>3296400</v>
      </c>
      <c r="AE13" s="34" t="str">
        <f>IFERROR(IF(AND(OR(Table834[[#This Row],[Classification]]="Income",Table834[[#This Row],[Classification]]="Cost of Goods Sold"),Table834[[#This Row],[Credit.]]&gt;Table834[[#This Row],[Debit\]]),Table834[[#This Row],[Credit.]]-Table834[[#This Row],[Debit\]],""),"")</f>
        <v/>
      </c>
      <c r="AF13" s="34"/>
      <c r="AG13" s="34" t="str">
        <f>IFERROR(IF(AND(Table834[[#This Row],[Classification]]="Assets",Table834[[#This Row],[Debit\]]-Table834[[#This Row],[Credit.]]),Table834[[#This Row],[Debit\]]-Table834[[#This Row],[Credit.]],""),"")</f>
        <v/>
      </c>
      <c r="AH13" s="34" t="str">
        <f>IFERROR(IF(AND(OR(Table834[[#This Row],[Classification]]="Liabilities",Table834[[#This Row],[Classification]]="Owner´s Equity"),Table834[[#This Row],[Credit.]]&gt;Table834[[#This Row],[Debit\]]),Table834[[#This Row],[Credit.]]-Table834[[#This Row],[Debit\]],""),"")</f>
        <v/>
      </c>
    </row>
    <row r="14" spans="2:40" x14ac:dyDescent="0.25">
      <c r="B14" s="34"/>
      <c r="C14" s="38" t="s">
        <v>68</v>
      </c>
      <c r="D14" s="34">
        <v>230653</v>
      </c>
      <c r="E14" s="34"/>
      <c r="G14" s="39"/>
      <c r="H14" s="43" t="s">
        <v>184</v>
      </c>
      <c r="I14" s="41"/>
      <c r="J14" s="41"/>
      <c r="L14" s="34">
        <v>7</v>
      </c>
      <c r="M14" s="35" t="s">
        <v>138</v>
      </c>
      <c r="N14" s="35" t="s">
        <v>69</v>
      </c>
      <c r="O14" s="34">
        <f>IFERROR(SUMIF(Table431[,],Table633[[#This Row],[Accounts Name]],Table431[,3]),"")</f>
        <v>460168.95</v>
      </c>
      <c r="P14" s="34">
        <f>IFERROR(SUMIF(Table431[,],Table633[[#This Row],[Accounts Name]],Table431[,2]),"")</f>
        <v>0</v>
      </c>
      <c r="S14" s="36">
        <f t="shared" si="0"/>
        <v>7</v>
      </c>
      <c r="T14" s="34" t="s">
        <v>12</v>
      </c>
      <c r="U14" s="37" t="s">
        <v>141</v>
      </c>
      <c r="V14" s="34">
        <f>IFERROR(SUMIF(Table633[Sub-Accounts],Table834[[#This Row],[Update your chart of accounts here]],Table633[Debit]),"")</f>
        <v>0</v>
      </c>
      <c r="W14" s="34">
        <f>IFERROR(SUMIF(Table633[Sub-Accounts],Table834[[#This Row],[Update your chart of accounts here]],Table633[Credit]),"")</f>
        <v>15517383.640000001</v>
      </c>
      <c r="X14" s="34"/>
      <c r="Y14" s="34" t="s">
        <v>233</v>
      </c>
      <c r="Z14" s="34">
        <f>I18</f>
        <v>50000</v>
      </c>
      <c r="AA14" s="34">
        <f>J22</f>
        <v>115200</v>
      </c>
      <c r="AB14" s="34">
        <f>MAX(Table834[[#This Row],[Debit]]+Table834[[#This Row],[Debit -]]-Table834[[#This Row],[Credit]]-Table834[[#This Row],[Credit +]],0)</f>
        <v>0</v>
      </c>
      <c r="AC14" s="34">
        <f>MAX(Table834[[#This Row],[Credit]]-Table834[[#This Row],[Debit]]+Table834[[#This Row],[Credit +]]-Table834[[#This Row],[Debit -]],0)</f>
        <v>15582583.640000001</v>
      </c>
      <c r="AD14" s="34" t="str">
        <f>IFERROR(IF(AND(OR(Table834[[#This Row],[Classification]]="Expense",Table834[[#This Row],[Classification]]="Cost of Goods Sold"),Table834[[#This Row],[Debit\]]&gt;Table834[[#This Row],[Credit.]]),Table834[[#This Row],[Debit\]]-Table834[[#This Row],[Credit.]],""),"")</f>
        <v/>
      </c>
      <c r="AE14" s="34" t="str">
        <f>IFERROR(IF(AND(OR(Table834[[#This Row],[Classification]]="Income",Table834[[#This Row],[Classification]]="Cost of Goods Sold"),Table834[[#This Row],[Credit.]]&gt;Table834[[#This Row],[Debit\]]),Table834[[#This Row],[Credit.]]-Table834[[#This Row],[Debit\]],""),"")</f>
        <v/>
      </c>
      <c r="AF14" s="34"/>
      <c r="AG14" s="34" t="str">
        <f>IFERROR(IF(AND(Table834[[#This Row],[Classification]]="Assets",Table834[[#This Row],[Debit\]]-Table834[[#This Row],[Credit.]]),Table834[[#This Row],[Debit\]]-Table834[[#This Row],[Credit.]],""),"")</f>
        <v/>
      </c>
      <c r="AH14" s="34">
        <f>IFERROR(IF(AND(OR(Table834[[#This Row],[Classification]]="Liabilities",Table834[[#This Row],[Classification]]="Owner´s Equity"),Table834[[#This Row],[Credit.]]&gt;Table834[[#This Row],[Debit\]]),Table834[[#This Row],[Credit.]]-Table834[[#This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IFERROR(SUMIF(Table431[,],Table633[[#This Row],[Accounts Name]],Table431[,3]),"")</f>
        <v>17870623.949999999</v>
      </c>
      <c r="P15" s="34">
        <f>IFERROR(SUMIF(Table431[,],Table633[[#This Row],[Accounts Name]],Table431[,2]),"")</f>
        <v>0</v>
      </c>
      <c r="S15" s="36">
        <f t="shared" si="0"/>
        <v>8</v>
      </c>
      <c r="T15" s="34"/>
      <c r="U15" s="37" t="s">
        <v>208</v>
      </c>
      <c r="V15" s="34">
        <f>IFERROR(SUMIF(Table633[Sub-Accounts],Table834[[#This Row],[Update your chart of accounts here]],Table633[Debit]),"")</f>
        <v>0</v>
      </c>
      <c r="W15" s="34">
        <f>IFERROR(SUMIF(Table633[Sub-Accounts],Table834[[#This Row],[Update your chart of accounts here]],Table633[Credit]),"")</f>
        <v>0</v>
      </c>
      <c r="X15" s="34"/>
      <c r="Y15" s="34"/>
      <c r="Z15" s="34"/>
      <c r="AA15" s="34"/>
      <c r="AB15" s="34">
        <f>MAX(Table834[[#This Row],[Debit]]+Table834[[#This Row],[Debit -]]-Table834[[#This Row],[Credit]]-Table834[[#This Row],[Credit +]],0)</f>
        <v>0</v>
      </c>
      <c r="AC15" s="34">
        <f>MAX(Table834[[#This Row],[Credit]]-Table834[[#This Row],[Debit]]+Table834[[#This Row],[Credit +]]-Table834[[#This Row],[Debit -]],0)</f>
        <v>0</v>
      </c>
      <c r="AD15" s="34" t="str">
        <f>IFERROR(IF(AND(OR(Table834[[#This Row],[Classification]]="Expense",Table834[[#This Row],[Classification]]="Cost of Goods Sold"),Table834[[#This Row],[Debit\]]&gt;Table834[[#This Row],[Credit.]]),Table834[[#This Row],[Debit\]]-Table834[[#This Row],[Credit.]],""),"")</f>
        <v/>
      </c>
      <c r="AE15" s="34" t="str">
        <f>IFERROR(IF(AND(OR(Table834[[#This Row],[Classification]]="Income",Table834[[#This Row],[Classification]]="Cost of Goods Sold"),Table834[[#This Row],[Credit.]]&gt;Table834[[#This Row],[Debit\]]),Table834[[#This Row],[Credit.]]-Table834[[#This Row],[Debit\]],""),"")</f>
        <v/>
      </c>
      <c r="AF15" s="34"/>
      <c r="AG15" s="34" t="str">
        <f>IFERROR(IF(AND(Table834[[#This Row],[Classification]]="Assets",Table834[[#This Row],[Debit\]]-Table834[[#This Row],[Credit.]]),Table834[[#This Row],[Debit\]]-Table834[[#This Row],[Credit.]],""),"")</f>
        <v/>
      </c>
      <c r="AH15" s="34" t="str">
        <f>IFERROR(IF(AND(OR(Table834[[#This Row],[Classification]]="Liabilities",Table834[[#This Row],[Classification]]="Owner´s Equity"),Table834[[#This Row],[Credit.]]&gt;Table834[[#This Row],[Debit\]]),Table834[[#This Row],[Credit.]]-Table834[[#This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IFERROR(SUMIF(Table431[,],Table633[[#This Row],[Accounts Name]],Table431[,3]),"")</f>
        <v>0</v>
      </c>
      <c r="P16" s="34">
        <f>IFERROR(SUMIF(Table431[,],Table633[[#This Row],[Accounts Name]],Table431[,2]),"")</f>
        <v>8925200</v>
      </c>
      <c r="S16" s="36">
        <f t="shared" si="0"/>
        <v>9</v>
      </c>
      <c r="T16" s="34"/>
      <c r="U16" s="37" t="s">
        <v>209</v>
      </c>
      <c r="V16" s="34">
        <f>IFERROR(SUMIF(Table633[Sub-Accounts],Table834[[#This Row],[Update your chart of accounts here]],Table633[Debit]),"")</f>
        <v>0</v>
      </c>
      <c r="W16" s="34">
        <f>IFERROR(SUMIF(Table633[Sub-Accounts],Table834[[#This Row],[Update your chart of accounts here]],Table633[Credit]),"")</f>
        <v>0</v>
      </c>
      <c r="X16" s="34"/>
      <c r="Y16" s="34"/>
      <c r="Z16" s="34"/>
      <c r="AA16" s="34"/>
      <c r="AB16" s="34">
        <f>MAX(Table834[[#This Row],[Debit]]+Table834[[#This Row],[Debit -]]-Table834[[#This Row],[Credit]]-Table834[[#This Row],[Credit +]],0)</f>
        <v>0</v>
      </c>
      <c r="AC16" s="34">
        <f>MAX(Table834[[#This Row],[Credit]]-Table834[[#This Row],[Debit]]+Table834[[#This Row],[Credit +]]-Table834[[#This Row],[Debit -]],0)</f>
        <v>0</v>
      </c>
      <c r="AD16" s="34" t="str">
        <f>IFERROR(IF(AND(OR(Table834[[#This Row],[Classification]]="Expense",Table834[[#This Row],[Classification]]="Cost of Goods Sold"),Table834[[#This Row],[Debit\]]&gt;Table834[[#This Row],[Credit.]]),Table834[[#This Row],[Debit\]]-Table834[[#This Row],[Credit.]],""),"")</f>
        <v/>
      </c>
      <c r="AE16" s="34" t="str">
        <f>IFERROR(IF(AND(OR(Table834[[#This Row],[Classification]]="Income",Table834[[#This Row],[Classification]]="Cost of Goods Sold"),Table834[[#This Row],[Credit.]]&gt;Table834[[#This Row],[Debit\]]),Table834[[#This Row],[Credit.]]-Table834[[#This Row],[Debit\]],""),"")</f>
        <v/>
      </c>
      <c r="AF16" s="34"/>
      <c r="AG16" s="34" t="str">
        <f>IFERROR(IF(AND(Table834[[#This Row],[Classification]]="Assets",Table834[[#This Row],[Debit\]]-Table834[[#This Row],[Credit.]]),Table834[[#This Row],[Debit\]]-Table834[[#This Row],[Credit.]],""),"")</f>
        <v/>
      </c>
      <c r="AH16" s="34" t="str">
        <f>IFERROR(IF(AND(OR(Table834[[#This Row],[Classification]]="Liabilities",Table834[[#This Row],[Classification]]="Owner´s Equity"),Table834[[#This Row],[Credit.]]&gt;Table834[[#This Row],[Debit\]]),Table834[[#This Row],[Credit.]]-Table834[[#This Row],[Debit\]],""),"")</f>
        <v/>
      </c>
    </row>
    <row r="17" spans="2:34" x14ac:dyDescent="0.25">
      <c r="B17" s="34"/>
      <c r="C17" s="37" t="s">
        <v>71</v>
      </c>
      <c r="D17" s="34"/>
      <c r="E17" s="34">
        <v>8925200</v>
      </c>
      <c r="G17" s="39"/>
      <c r="H17" s="43" t="s">
        <v>185</v>
      </c>
      <c r="I17" s="41"/>
      <c r="J17" s="41"/>
      <c r="L17" s="34">
        <v>10</v>
      </c>
      <c r="M17" s="35" t="s">
        <v>142</v>
      </c>
      <c r="N17" s="35" t="s">
        <v>72</v>
      </c>
      <c r="O17" s="34">
        <f>IFERROR(SUMIF(Table431[,],Table633[[#This Row],[Accounts Name]],Table431[,3]),"")</f>
        <v>3296400</v>
      </c>
      <c r="P17" s="34">
        <f>IFERROR(SUMIF(Table431[,],Table633[[#This Row],[Accounts Name]],Table431[,2]),"")</f>
        <v>0</v>
      </c>
      <c r="S17" s="36">
        <f t="shared" si="0"/>
        <v>10</v>
      </c>
      <c r="T17" s="34" t="s">
        <v>48</v>
      </c>
      <c r="U17" s="37" t="s">
        <v>146</v>
      </c>
      <c r="V17" s="34">
        <f>IFERROR(SUMIF(Table633[Sub-Accounts],Table834[[#This Row],[Update your chart of accounts here]],Table633[Debit]),"")</f>
        <v>0</v>
      </c>
      <c r="W17" s="34">
        <f>IFERROR(SUMIF(Table633[Sub-Accounts],Table834[[#This Row],[Update your chart of accounts here]],Table633[Credit]),"")</f>
        <v>400</v>
      </c>
      <c r="X17" s="34"/>
      <c r="Y17" s="34"/>
      <c r="Z17" s="34"/>
      <c r="AA17" s="34"/>
      <c r="AB17" s="34">
        <f>MAX(Table834[[#This Row],[Debit]]+Table834[[#This Row],[Debit -]]-Table834[[#This Row],[Credit]]-Table834[[#This Row],[Credit +]],0)</f>
        <v>0</v>
      </c>
      <c r="AC17" s="34">
        <f>MAX(Table834[[#This Row],[Credit]]-Table834[[#This Row],[Debit]]+Table834[[#This Row],[Credit +]]-Table834[[#This Row],[Debit -]],0)</f>
        <v>400</v>
      </c>
      <c r="AD17" s="34" t="str">
        <f>IFERROR(IF(AND(OR(Table834[[#This Row],[Classification]]="Expense",Table834[[#This Row],[Classification]]="Cost of Goods Sold"),Table834[[#This Row],[Debit\]]&gt;Table834[[#This Row],[Credit.]]),Table834[[#This Row],[Debit\]]-Table834[[#This Row],[Credit.]],""),"")</f>
        <v/>
      </c>
      <c r="AE17" s="34" t="str">
        <f>IFERROR(IF(AND(OR(Table834[[#This Row],[Classification]]="Income",Table834[[#This Row],[Classification]]="Cost of Goods Sold"),Table834[[#This Row],[Credit.]]&gt;Table834[[#This Row],[Debit\]]),Table834[[#This Row],[Credit.]]-Table834[[#This Row],[Debit\]],""),"")</f>
        <v/>
      </c>
      <c r="AF17" s="34"/>
      <c r="AG17" s="34" t="str">
        <f>IFERROR(IF(AND(Table834[[#This Row],[Classification]]="Assets",Table834[[#This Row],[Debit\]]-Table834[[#This Row],[Credit.]]),Table834[[#This Row],[Debit\]]-Table834[[#This Row],[Credit.]],""),"")</f>
        <v/>
      </c>
      <c r="AH17" s="34">
        <f>IFERROR(IF(AND(OR(Table834[[#This Row],[Classification]]="Liabilities",Table834[[#This Row],[Classification]]="Owner´s Equity"),Table834[[#This Row],[Credit.]]&gt;Table834[[#This Row],[Debit\]]),Table834[[#This Row],[Credit.]]-Table834[[#This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IFERROR(SUMIF(Table431[,],Table633[[#This Row],[Accounts Name]],Table431[,3]),"")</f>
        <v>165000</v>
      </c>
      <c r="P18" s="34">
        <f>IFERROR(SUMIF(Table431[,],Table633[[#This Row],[Accounts Name]],Table431[,2]),"")</f>
        <v>0</v>
      </c>
      <c r="S18" s="36">
        <f t="shared" si="0"/>
        <v>11</v>
      </c>
      <c r="T18" s="34"/>
      <c r="U18" s="37" t="s">
        <v>210</v>
      </c>
      <c r="V18" s="34">
        <f>IFERROR(SUMIF(Table633[Sub-Accounts],Table834[[#This Row],[Update your chart of accounts here]],Table633[Debit]),"")</f>
        <v>0</v>
      </c>
      <c r="W18" s="34">
        <f>IFERROR(SUMIF(Table633[Sub-Accounts],Table834[[#This Row],[Update your chart of accounts here]],Table633[Credit]),"")</f>
        <v>0</v>
      </c>
      <c r="X18" s="34"/>
      <c r="Y18" s="34"/>
      <c r="Z18" s="34"/>
      <c r="AA18" s="34"/>
      <c r="AB18" s="34">
        <f>MAX(Table834[[#This Row],[Debit]]+Table834[[#This Row],[Debit -]]-Table834[[#This Row],[Credit]]-Table834[[#This Row],[Credit +]],0)</f>
        <v>0</v>
      </c>
      <c r="AC18" s="34">
        <f>MAX(Table834[[#This Row],[Credit]]-Table834[[#This Row],[Debit]]+Table834[[#This Row],[Credit +]]-Table834[[#This Row],[Debit -]],0)</f>
        <v>0</v>
      </c>
      <c r="AD18" s="34" t="str">
        <f>IFERROR(IF(AND(OR(Table834[[#This Row],[Classification]]="Expense",Table834[[#This Row],[Classification]]="Cost of Goods Sold"),Table834[[#This Row],[Debit\]]&gt;Table834[[#This Row],[Credit.]]),Table834[[#This Row],[Debit\]]-Table834[[#This Row],[Credit.]],""),"")</f>
        <v/>
      </c>
      <c r="AE18" s="34" t="str">
        <f>IFERROR(IF(AND(OR(Table834[[#This Row],[Classification]]="Income",Table834[[#This Row],[Classification]]="Cost of Goods Sold"),Table834[[#This Row],[Credit.]]&gt;Table834[[#This Row],[Debit\]]),Table834[[#This Row],[Credit.]]-Table834[[#This Row],[Debit\]],""),"")</f>
        <v/>
      </c>
      <c r="AF18" s="34"/>
      <c r="AG18" s="34" t="str">
        <f>IFERROR(IF(AND(Table834[[#This Row],[Classification]]="Assets",Table834[[#This Row],[Debit\]]-Table834[[#This Row],[Credit.]]),Table834[[#This Row],[Debit\]]-Table834[[#This Row],[Credit.]],""),"")</f>
        <v/>
      </c>
      <c r="AH18" s="34" t="str">
        <f>IFERROR(IF(AND(OR(Table834[[#This Row],[Classification]]="Liabilities",Table834[[#This Row],[Classification]]="Owner´s Equity"),Table834[[#This Row],[Credit.]]&gt;Table834[[#This Row],[Debit\]]),Table834[[#This Row],[Credit.]]-Table834[[#This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IFERROR(SUMIF(Table431[,],Table633[[#This Row],[Accounts Name]],Table431[,3]),"")</f>
        <v>676160</v>
      </c>
      <c r="P19" s="34">
        <f>IFERROR(SUMIF(Table431[,],Table633[[#This Row],[Accounts Name]],Table431[,2]),"")</f>
        <v>0</v>
      </c>
      <c r="S19" s="36">
        <f t="shared" si="0"/>
        <v>12</v>
      </c>
      <c r="T19" s="34"/>
      <c r="U19" s="37" t="s">
        <v>211</v>
      </c>
      <c r="V19" s="34">
        <f>IFERROR(SUMIF(Table633[Sub-Accounts],Table834[[#This Row],[Update your chart of accounts here]],Table633[Debit]),"")</f>
        <v>0</v>
      </c>
      <c r="W19" s="34">
        <f>IFERROR(SUMIF(Table633[Sub-Accounts],Table834[[#This Row],[Update your chart of accounts here]],Table633[Credit]),"")</f>
        <v>0</v>
      </c>
      <c r="X19" s="34"/>
      <c r="Y19" s="34"/>
      <c r="Z19" s="34"/>
      <c r="AA19" s="34"/>
      <c r="AB19" s="34">
        <f>MAX(Table834[[#This Row],[Debit]]+Table834[[#This Row],[Debit -]]-Table834[[#This Row],[Credit]]-Table834[[#This Row],[Credit +]],0)</f>
        <v>0</v>
      </c>
      <c r="AC19" s="34">
        <f>MAX(Table834[[#This Row],[Credit]]-Table834[[#This Row],[Debit]]+Table834[[#This Row],[Credit +]]-Table834[[#This Row],[Debit -]],0)</f>
        <v>0</v>
      </c>
      <c r="AD19" s="34" t="str">
        <f>IFERROR(IF(AND(OR(Table834[[#This Row],[Classification]]="Expense",Table834[[#This Row],[Classification]]="Cost of Goods Sold"),Table834[[#This Row],[Debit\]]&gt;Table834[[#This Row],[Credit.]]),Table834[[#This Row],[Debit\]]-Table834[[#This Row],[Credit.]],""),"")</f>
        <v/>
      </c>
      <c r="AE19" s="34" t="str">
        <f>IFERROR(IF(AND(OR(Table834[[#This Row],[Classification]]="Income",Table834[[#This Row],[Classification]]="Cost of Goods Sold"),Table834[[#This Row],[Credit.]]&gt;Table834[[#This Row],[Debit\]]),Table834[[#This Row],[Credit.]]-Table834[[#This Row],[Debit\]],""),"")</f>
        <v/>
      </c>
      <c r="AF19" s="34"/>
      <c r="AG19" s="34" t="str">
        <f>IFERROR(IF(AND(Table834[[#This Row],[Classification]]="Assets",Table834[[#This Row],[Debit\]]-Table834[[#This Row],[Credit.]]),Table834[[#This Row],[Debit\]]-Table834[[#This Row],[Credit.]],""),"")</f>
        <v/>
      </c>
      <c r="AH19" s="34" t="str">
        <f>IFERROR(IF(AND(OR(Table834[[#This Row],[Classification]]="Liabilities",Table834[[#This Row],[Classification]]="Owner´s Equity"),Table834[[#This Row],[Credit.]]&gt;Table834[[#This Row],[Debit\]]),Table834[[#This Row],[Credit.]]-Table834[[#This Row],[Debit\]],""),"")</f>
        <v/>
      </c>
    </row>
    <row r="20" spans="2:34" hidden="1" x14ac:dyDescent="0.25">
      <c r="B20" s="34"/>
      <c r="C20" s="37" t="s">
        <v>74</v>
      </c>
      <c r="D20" s="34">
        <v>676160</v>
      </c>
      <c r="E20" s="34"/>
      <c r="G20" s="39"/>
      <c r="H20" s="43" t="s">
        <v>187</v>
      </c>
      <c r="I20" s="41"/>
      <c r="J20" s="41"/>
      <c r="L20" s="34">
        <v>13</v>
      </c>
      <c r="M20" s="35" t="s">
        <v>143</v>
      </c>
      <c r="N20" s="35" t="s">
        <v>75</v>
      </c>
      <c r="O20" s="34">
        <f>IFERROR(SUMIF(Table431[,],Table633[[#This Row],[Accounts Name]],Table431[,3]),"")</f>
        <v>0</v>
      </c>
      <c r="P20" s="34">
        <f>IFERROR(SUMIF(Table431[,],Table633[[#This Row],[Accounts Name]],Table431[,2]),"")</f>
        <v>654898</v>
      </c>
      <c r="S20" s="36">
        <f t="shared" si="0"/>
        <v>13</v>
      </c>
      <c r="T20" s="34"/>
      <c r="U20" s="37" t="s">
        <v>212</v>
      </c>
      <c r="V20" s="34">
        <f>IFERROR(SUMIF(Table633[Sub-Accounts],Table834[[#This Row],[Update your chart of accounts here]],Table633[Debit]),"")</f>
        <v>0</v>
      </c>
      <c r="W20" s="34">
        <f>IFERROR(SUMIF(Table633[Sub-Accounts],Table834[[#This Row],[Update your chart of accounts here]],Table633[Credit]),"")</f>
        <v>0</v>
      </c>
      <c r="X20" s="34"/>
      <c r="Y20" s="34"/>
      <c r="Z20" s="34"/>
      <c r="AA20" s="34"/>
      <c r="AB20" s="34">
        <f>MAX(Table834[[#This Row],[Debit]]+Table834[[#This Row],[Debit -]]-Table834[[#This Row],[Credit]]-Table834[[#This Row],[Credit +]],0)</f>
        <v>0</v>
      </c>
      <c r="AC20" s="34">
        <f>MAX(Table834[[#This Row],[Credit]]-Table834[[#This Row],[Debit]]+Table834[[#This Row],[Credit +]]-Table834[[#This Row],[Debit -]],0)</f>
        <v>0</v>
      </c>
      <c r="AD20" s="34" t="str">
        <f>IFERROR(IF(AND(OR(Table834[[#This Row],[Classification]]="Expense",Table834[[#This Row],[Classification]]="Cost of Goods Sold"),Table834[[#This Row],[Debit\]]&gt;Table834[[#This Row],[Credit.]]),Table834[[#This Row],[Debit\]]-Table834[[#This Row],[Credit.]],""),"")</f>
        <v/>
      </c>
      <c r="AE20" s="34" t="str">
        <f>IFERROR(IF(AND(OR(Table834[[#This Row],[Classification]]="Income",Table834[[#This Row],[Classification]]="Cost of Goods Sold"),Table834[[#This Row],[Credit.]]&gt;Table834[[#This Row],[Debit\]]),Table834[[#This Row],[Credit.]]-Table834[[#This Row],[Debit\]],""),"")</f>
        <v/>
      </c>
      <c r="AF20" s="34"/>
      <c r="AG20" s="34" t="str">
        <f>IFERROR(IF(AND(Table834[[#This Row],[Classification]]="Assets",Table834[[#This Row],[Debit\]]-Table834[[#This Row],[Credit.]]),Table834[[#This Row],[Debit\]]-Table834[[#This Row],[Credit.]],""),"")</f>
        <v/>
      </c>
      <c r="AH20" s="34" t="str">
        <f>IFERROR(IF(AND(OR(Table834[[#This Row],[Classification]]="Liabilities",Table834[[#This Row],[Classification]]="Owner´s Equity"),Table834[[#This Row],[Credit.]]&gt;Table834[[#This Row],[Debit\]]),Table834[[#This Row],[Credit.]]-Table834[[#This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IFERROR(SUMIF(Table431[,],Table633[[#This Row],[Accounts Name]],Table431[,3]),"")</f>
        <v>828735.28</v>
      </c>
      <c r="P21" s="34">
        <f>IFERROR(SUMIF(Table431[,],Table633[[#This Row],[Accounts Name]],Table431[,2]),"")</f>
        <v>0</v>
      </c>
      <c r="S21" s="36">
        <f t="shared" si="0"/>
        <v>14</v>
      </c>
      <c r="T21" s="34"/>
      <c r="U21" s="37" t="s">
        <v>213</v>
      </c>
      <c r="V21" s="34">
        <f>IFERROR(SUMIF(Table633[Sub-Accounts],Table834[[#This Row],[Update your chart of accounts here]],Table633[Debit]),"")</f>
        <v>0</v>
      </c>
      <c r="W21" s="34">
        <f>IFERROR(SUMIF(Table633[Sub-Accounts],Table834[[#This Row],[Update your chart of accounts here]],Table633[Credit]),"")</f>
        <v>0</v>
      </c>
      <c r="X21" s="34"/>
      <c r="Y21" s="34"/>
      <c r="Z21" s="34"/>
      <c r="AA21" s="34"/>
      <c r="AB21" s="34">
        <f>MAX(Table834[[#This Row],[Debit]]+Table834[[#This Row],[Debit -]]-Table834[[#This Row],[Credit]]-Table834[[#This Row],[Credit +]],0)</f>
        <v>0</v>
      </c>
      <c r="AC21" s="34">
        <f>MAX(Table834[[#This Row],[Credit]]-Table834[[#This Row],[Debit]]+Table834[[#This Row],[Credit +]]-Table834[[#This Row],[Debit -]],0)</f>
        <v>0</v>
      </c>
      <c r="AD21" s="34" t="str">
        <f>IFERROR(IF(AND(OR(Table834[[#This Row],[Classification]]="Expense",Table834[[#This Row],[Classification]]="Cost of Goods Sold"),Table834[[#This Row],[Debit\]]&gt;Table834[[#This Row],[Credit.]]),Table834[[#This Row],[Debit\]]-Table834[[#This Row],[Credit.]],""),"")</f>
        <v/>
      </c>
      <c r="AE21" s="34" t="str">
        <f>IFERROR(IF(AND(OR(Table834[[#This Row],[Classification]]="Income",Table834[[#This Row],[Classification]]="Cost of Goods Sold"),Table834[[#This Row],[Credit.]]&gt;Table834[[#This Row],[Debit\]]),Table834[[#This Row],[Credit.]]-Table834[[#This Row],[Debit\]],""),"")</f>
        <v/>
      </c>
      <c r="AF21" s="34"/>
      <c r="AG21" s="34" t="str">
        <f>IFERROR(IF(AND(Table834[[#This Row],[Classification]]="Assets",Table834[[#This Row],[Debit\]]-Table834[[#This Row],[Credit.]]),Table834[[#This Row],[Debit\]]-Table834[[#This Row],[Credit.]],""),"")</f>
        <v/>
      </c>
      <c r="AH21" s="34" t="str">
        <f>IFERROR(IF(AND(OR(Table834[[#This Row],[Classification]]="Liabilities",Table834[[#This Row],[Classification]]="Owner´s Equity"),Table834[[#This Row],[Credit.]]&gt;Table834[[#This Row],[Debit\]]),Table834[[#This Row],[Credit.]]-Table834[[#This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IFERROR(SUMIF(Table431[,],Table633[[#This Row],[Accounts Name]],Table431[,3]),"")</f>
        <v>0</v>
      </c>
      <c r="P22" s="34">
        <f>IFERROR(SUMIF(Table431[,],Table633[[#This Row],[Accounts Name]],Table431[,2]),"")</f>
        <v>347656</v>
      </c>
      <c r="S22" s="36">
        <f t="shared" si="0"/>
        <v>15</v>
      </c>
      <c r="T22" s="34" t="s">
        <v>11</v>
      </c>
      <c r="U22" s="37" t="s">
        <v>144</v>
      </c>
      <c r="V22" s="34">
        <f>IFERROR(SUMIF(Table633[Sub-Accounts],Table834[[#This Row],[Update your chart of accounts here]],Table633[Debit]),"")</f>
        <v>2228108</v>
      </c>
      <c r="W22" s="34">
        <f>IFERROR(SUMIF(Table633[Sub-Accounts],Table834[[#This Row],[Update your chart of accounts here]],Table633[Credit]),"")</f>
        <v>0</v>
      </c>
      <c r="X22" s="34"/>
      <c r="Y22" s="34" t="s">
        <v>227</v>
      </c>
      <c r="Z22" s="34"/>
      <c r="AA22" s="34">
        <f>J19</f>
        <v>50000</v>
      </c>
      <c r="AB22" s="34">
        <f>MAX(Table834[[#This Row],[Debit]]+Table834[[#This Row],[Debit -]]-Table834[[#This Row],[Credit]]-Table834[[#This Row],[Credit +]],0)</f>
        <v>2178108</v>
      </c>
      <c r="AC22" s="34">
        <f>MAX(Table834[[#This Row],[Credit]]-Table834[[#This Row],[Debit]]+Table834[[#This Row],[Credit +]]-Table834[[#This Row],[Debit -]],0)</f>
        <v>0</v>
      </c>
      <c r="AD22" s="34" t="str">
        <f>IFERROR(IF(AND(OR(Table834[[#This Row],[Classification]]="Expense",Table834[[#This Row],[Classification]]="Cost of Goods Sold"),Table834[[#This Row],[Debit\]]&gt;Table834[[#This Row],[Credit.]]),Table834[[#This Row],[Debit\]]-Table834[[#This Row],[Credit.]],""),"")</f>
        <v/>
      </c>
      <c r="AE22" s="34" t="str">
        <f>IFERROR(IF(AND(OR(Table834[[#This Row],[Classification]]="Income",Table834[[#This Row],[Classification]]="Cost of Goods Sold"),Table834[[#This Row],[Credit.]]&gt;Table834[[#This Row],[Debit\]]),Table834[[#This Row],[Credit.]]-Table834[[#This Row],[Debit\]],""),"")</f>
        <v/>
      </c>
      <c r="AF22" s="34"/>
      <c r="AG22" s="34">
        <f>IFERROR(IF(AND(Table834[[#This Row],[Classification]]="Assets",Table834[[#This Row],[Debit\]]-Table834[[#This Row],[Credit.]]),Table834[[#This Row],[Debit\]]-Table834[[#This Row],[Credit.]],""),"")</f>
        <v>2178108</v>
      </c>
      <c r="AH22" s="34" t="str">
        <f>IFERROR(IF(AND(OR(Table834[[#This Row],[Classification]]="Liabilities",Table834[[#This Row],[Classification]]="Owner´s Equity"),Table834[[#This Row],[Credit.]]&gt;Table834[[#This Row],[Debit\]]),Table834[[#This Row],[Credit.]]-Table834[[#This Row],[Debit\]],""),"")</f>
        <v/>
      </c>
    </row>
    <row r="23" spans="2:34" hidden="1" x14ac:dyDescent="0.25">
      <c r="B23" s="34"/>
      <c r="C23" s="37" t="s">
        <v>77</v>
      </c>
      <c r="D23" s="34"/>
      <c r="E23" s="34">
        <v>347656</v>
      </c>
      <c r="G23" s="39"/>
      <c r="H23" s="43" t="s">
        <v>188</v>
      </c>
      <c r="I23" s="41"/>
      <c r="J23" s="41"/>
      <c r="L23" s="34">
        <v>16</v>
      </c>
      <c r="M23" s="35" t="s">
        <v>143</v>
      </c>
      <c r="N23" s="35" t="s">
        <v>78</v>
      </c>
      <c r="O23" s="34">
        <f>IFERROR(SUMIF(Table431[,],Table633[[#This Row],[Accounts Name]],Table431[,3]),"")</f>
        <v>1150000</v>
      </c>
      <c r="P23" s="34">
        <f>IFERROR(SUMIF(Table431[,],Table633[[#This Row],[Accounts Name]],Table431[,2]),"")</f>
        <v>0</v>
      </c>
      <c r="S23" s="36">
        <f t="shared" si="0"/>
        <v>16</v>
      </c>
      <c r="T23" s="34"/>
      <c r="U23" s="37" t="s">
        <v>214</v>
      </c>
      <c r="V23" s="34">
        <f>IFERROR(SUMIF(Table633[Sub-Accounts],Table834[[#This Row],[Update your chart of accounts here]],Table633[Debit]),"")</f>
        <v>0</v>
      </c>
      <c r="W23" s="34">
        <f>IFERROR(SUMIF(Table633[Sub-Accounts],Table834[[#This Row],[Update your chart of accounts here]],Table633[Credit]),"")</f>
        <v>0</v>
      </c>
      <c r="X23" s="34"/>
      <c r="Y23" s="34"/>
      <c r="Z23" s="34"/>
      <c r="AA23" s="34"/>
      <c r="AB23" s="34">
        <f>MAX(Table834[[#This Row],[Debit]]+Table834[[#This Row],[Debit -]]-Table834[[#This Row],[Credit]]-Table834[[#This Row],[Credit +]],0)</f>
        <v>0</v>
      </c>
      <c r="AC23" s="34">
        <f>MAX(Table834[[#This Row],[Credit]]-Table834[[#This Row],[Debit]]+Table834[[#This Row],[Credit +]]-Table834[[#This Row],[Debit -]],0)</f>
        <v>0</v>
      </c>
      <c r="AD23" s="34" t="str">
        <f>IFERROR(IF(AND(OR(Table834[[#This Row],[Classification]]="Expense",Table834[[#This Row],[Classification]]="Cost of Goods Sold"),Table834[[#This Row],[Debit\]]&gt;Table834[[#This Row],[Credit.]]),Table834[[#This Row],[Debit\]]-Table834[[#This Row],[Credit.]],""),"")</f>
        <v/>
      </c>
      <c r="AE23" s="34" t="str">
        <f>IFERROR(IF(AND(OR(Table834[[#This Row],[Classification]]="Income",Table834[[#This Row],[Classification]]="Cost of Goods Sold"),Table834[[#This Row],[Credit.]]&gt;Table834[[#This Row],[Debit\]]),Table834[[#This Row],[Credit.]]-Table834[[#This Row],[Debit\]],""),"")</f>
        <v/>
      </c>
      <c r="AF23" s="34"/>
      <c r="AG23" s="34" t="str">
        <f>IFERROR(IF(AND(Table834[[#This Row],[Classification]]="Assets",Table834[[#This Row],[Debit\]]-Table834[[#This Row],[Credit.]]),Table834[[#This Row],[Debit\]]-Table834[[#This Row],[Credit.]],""),"")</f>
        <v/>
      </c>
      <c r="AH23" s="34" t="str">
        <f>IFERROR(IF(AND(OR(Table834[[#This Row],[Classification]]="Liabilities",Table834[[#This Row],[Classification]]="Owner´s Equity"),Table834[[#This Row],[Credit.]]&gt;Table834[[#This Row],[Debit\]]),Table834[[#This Row],[Credit.]]-Table834[[#This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IFERROR(SUMIF(Table431[,],Table633[[#This Row],[Accounts Name]],Table431[,3]),"")</f>
        <v>375657</v>
      </c>
      <c r="P24" s="34">
        <f>IFERROR(SUMIF(Table431[,],Table633[[#This Row],[Accounts Name]],Table431[,2]),"")</f>
        <v>0</v>
      </c>
      <c r="S24" s="36">
        <f t="shared" si="0"/>
        <v>17</v>
      </c>
      <c r="T24" s="34" t="s">
        <v>48</v>
      </c>
      <c r="U24" s="37" t="s">
        <v>145</v>
      </c>
      <c r="V24" s="34">
        <f>IFERROR(SUMIF(Table633[Sub-Accounts],Table834[[#This Row],[Update your chart of accounts here]],Table633[Debit]),"")</f>
        <v>0</v>
      </c>
      <c r="W24" s="34">
        <f>IFERROR(SUMIF(Table633[Sub-Accounts],Table834[[#This Row],[Update your chart of accounts here]],Table633[Credit]),"")</f>
        <v>11852079.26</v>
      </c>
      <c r="X24" s="34"/>
      <c r="Y24" s="34" t="s">
        <v>226</v>
      </c>
      <c r="Z24" s="34">
        <f>I16</f>
        <v>1000000</v>
      </c>
      <c r="AA24" s="34"/>
      <c r="AB24" s="34">
        <f>MAX(Table834[[#This Row],[Debit]]+Table834[[#This Row],[Debit -]]-Table834[[#This Row],[Credit]]-Table834[[#This Row],[Credit +]],0)</f>
        <v>0</v>
      </c>
      <c r="AC24" s="34">
        <f>MAX(Table834[[#This Row],[Credit]]-Table834[[#This Row],[Debit]]+Table834[[#This Row],[Credit +]]-Table834[[#This Row],[Debit -]],0)</f>
        <v>10852079.26</v>
      </c>
      <c r="AD24" s="34" t="str">
        <f>IFERROR(IF(AND(OR(Table834[[#This Row],[Classification]]="Expense",Table834[[#This Row],[Classification]]="Cost of Goods Sold"),Table834[[#This Row],[Debit\]]&gt;Table834[[#This Row],[Credit.]]),Table834[[#This Row],[Debit\]]-Table834[[#This Row],[Credit.]],""),"")</f>
        <v/>
      </c>
      <c r="AE24" s="34" t="str">
        <f>IFERROR(IF(AND(OR(Table834[[#This Row],[Classification]]="Income",Table834[[#This Row],[Classification]]="Cost of Goods Sold"),Table834[[#This Row],[Credit.]]&gt;Table834[[#This Row],[Debit\]]),Table834[[#This Row],[Credit.]]-Table834[[#This Row],[Debit\]],""),"")</f>
        <v/>
      </c>
      <c r="AF24" s="34"/>
      <c r="AG24" s="34" t="str">
        <f>IFERROR(IF(AND(Table834[[#This Row],[Classification]]="Assets",Table834[[#This Row],[Debit\]]-Table834[[#This Row],[Credit.]]),Table834[[#This Row],[Debit\]]-Table834[[#This Row],[Credit.]],""),"")</f>
        <v/>
      </c>
      <c r="AH24" s="34">
        <f>IFERROR(IF(AND(OR(Table834[[#This Row],[Classification]]="Liabilities",Table834[[#This Row],[Classification]]="Owner´s Equity"),Table834[[#This Row],[Credit.]]&gt;Table834[[#This Row],[Debit\]]),Table834[[#This Row],[Credit.]]-Table834[[#This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IFERROR(SUMIF(Table431[,],Table633[[#This Row],[Accounts Name]],Table431[,3]),"")</f>
        <v>0</v>
      </c>
      <c r="P25" s="34">
        <f>IFERROR(SUMIF(Table431[,],Table633[[#This Row],[Accounts Name]],Table431[,2]),"")</f>
        <v>288789</v>
      </c>
      <c r="S25" s="36">
        <f t="shared" si="0"/>
        <v>18</v>
      </c>
      <c r="T25" s="34"/>
      <c r="U25" s="37" t="s">
        <v>215</v>
      </c>
      <c r="V25" s="34">
        <f>IFERROR(SUMIF(Table633[Sub-Accounts],Table834[[#This Row],[Update your chart of accounts here]],Table633[Debit]),"")</f>
        <v>0</v>
      </c>
      <c r="W25" s="34">
        <f>IFERROR(SUMIF(Table633[Sub-Accounts],Table834[[#This Row],[Update your chart of accounts here]],Table633[Credit]),"")</f>
        <v>0</v>
      </c>
      <c r="X25" s="34"/>
      <c r="Y25" s="34"/>
      <c r="Z25" s="34"/>
      <c r="AA25" s="34"/>
      <c r="AB25" s="34">
        <f>MAX(Table834[[#This Row],[Debit]]+Table834[[#This Row],[Debit -]]-Table834[[#This Row],[Credit]]-Table834[[#This Row],[Credit +]],0)</f>
        <v>0</v>
      </c>
      <c r="AC25" s="34">
        <f>MAX(Table834[[#This Row],[Credit]]-Table834[[#This Row],[Debit]]+Table834[[#This Row],[Credit +]]-Table834[[#This Row],[Debit -]],0)</f>
        <v>0</v>
      </c>
      <c r="AD25" s="34" t="str">
        <f>IFERROR(IF(AND(OR(Table834[[#This Row],[Classification]]="Expense",Table834[[#This Row],[Classification]]="Cost of Goods Sold"),Table834[[#This Row],[Debit\]]&gt;Table834[[#This Row],[Credit.]]),Table834[[#This Row],[Debit\]]-Table834[[#This Row],[Credit.]],""),"")</f>
        <v/>
      </c>
      <c r="AE25" s="34" t="str">
        <f>IFERROR(IF(AND(OR(Table834[[#This Row],[Classification]]="Income",Table834[[#This Row],[Classification]]="Cost of Goods Sold"),Table834[[#This Row],[Credit.]]&gt;Table834[[#This Row],[Debit\]]),Table834[[#This Row],[Credit.]]-Table834[[#This Row],[Debit\]],""),"")</f>
        <v/>
      </c>
      <c r="AF25" s="34"/>
      <c r="AG25" s="34" t="str">
        <f>IFERROR(IF(AND(Table834[[#This Row],[Classification]]="Assets",Table834[[#This Row],[Debit\]]-Table834[[#This Row],[Credit.]]),Table834[[#This Row],[Debit\]]-Table834[[#This Row],[Credit.]],""),"")</f>
        <v/>
      </c>
      <c r="AH25" s="34" t="str">
        <f>IFERROR(IF(AND(OR(Table834[[#This Row],[Classification]]="Liabilities",Table834[[#This Row],[Classification]]="Owner´s Equity"),Table834[[#This Row],[Credit.]]&gt;Table834[[#This Row],[Debit\]]),Table834[[#This Row],[Credit.]]-Table834[[#This Row],[Debit\]],""),"")</f>
        <v/>
      </c>
    </row>
    <row r="26" spans="2:34" hidden="1" x14ac:dyDescent="0.25">
      <c r="B26" s="34"/>
      <c r="C26" s="37" t="s">
        <v>80</v>
      </c>
      <c r="D26" s="34"/>
      <c r="E26" s="34">
        <v>288789</v>
      </c>
      <c r="G26" s="39"/>
      <c r="H26" s="43" t="s">
        <v>189</v>
      </c>
      <c r="I26" s="41"/>
      <c r="J26" s="41"/>
      <c r="L26" s="34">
        <v>19</v>
      </c>
      <c r="M26" s="35" t="s">
        <v>143</v>
      </c>
      <c r="N26" s="35" t="s">
        <v>81</v>
      </c>
      <c r="O26" s="34">
        <f>IFERROR(SUMIF(Table431[,],Table633[[#This Row],[Accounts Name]],Table431[,3]),"")</f>
        <v>975000</v>
      </c>
      <c r="P26" s="34">
        <f>IFERROR(SUMIF(Table431[,],Table633[[#This Row],[Accounts Name]],Table431[,2]),"")</f>
        <v>0</v>
      </c>
      <c r="S26" s="36">
        <f t="shared" si="0"/>
        <v>19</v>
      </c>
      <c r="T26" s="34" t="s">
        <v>62</v>
      </c>
      <c r="U26" s="37" t="s">
        <v>62</v>
      </c>
      <c r="V26" s="34">
        <f>IFERROR(SUMIF(Table633[Sub-Accounts],Table834[[#This Row],[Update your chart of accounts here]],Table633[Debit]),"")</f>
        <v>0</v>
      </c>
      <c r="W26" s="34">
        <f>IFERROR(SUMIF(Table633[Sub-Accounts],Table834[[#This Row],[Update your chart of accounts here]],Table633[Credit]),"")</f>
        <v>332888373.44999999</v>
      </c>
      <c r="X26" s="34"/>
      <c r="Y26" s="34" t="s">
        <v>228</v>
      </c>
      <c r="Z26" s="34">
        <f>I24</f>
        <v>21</v>
      </c>
      <c r="AA26" s="34"/>
      <c r="AB26" s="34">
        <f>MAX(Table834[[#This Row],[Debit]]+Table834[[#This Row],[Debit -]]-Table834[[#This Row],[Credit]]-Table834[[#This Row],[Credit +]],0)</f>
        <v>0</v>
      </c>
      <c r="AC26" s="34">
        <f>MAX(Table834[[#This Row],[Credit]]-Table834[[#This Row],[Debit]]+Table834[[#This Row],[Credit +]]-Table834[[#This Row],[Debit -]],0)</f>
        <v>332888352.44999999</v>
      </c>
      <c r="AD26" s="34" t="str">
        <f>IFERROR(IF(AND(OR(Table834[[#This Row],[Classification]]="Expense",Table834[[#This Row],[Classification]]="Cost of Goods Sold"),Table834[[#This Row],[Debit\]]&gt;Table834[[#This Row],[Credit.]]),Table834[[#This Row],[Debit\]]-Table834[[#This Row],[Credit.]],""),"")</f>
        <v/>
      </c>
      <c r="AE26" s="34">
        <f>IFERROR(IF(AND(OR(Table834[[#This Row],[Classification]]="Income",Table834[[#This Row],[Classification]]="Cost of Goods Sold"),Table834[[#This Row],[Credit.]]&gt;Table834[[#This Row],[Debit\]]),Table834[[#This Row],[Credit.]]-Table834[[#This Row],[Debit\]],""),"")</f>
        <v>332888352.44999999</v>
      </c>
      <c r="AF26" s="34"/>
      <c r="AG26" s="34" t="str">
        <f>IFERROR(IF(AND(Table834[[#This Row],[Classification]]="Assets",Table834[[#This Row],[Debit\]]-Table834[[#This Row],[Credit.]]),Table834[[#This Row],[Debit\]]-Table834[[#This Row],[Credit.]],""),"")</f>
        <v/>
      </c>
      <c r="AH26" s="34" t="str">
        <f>IFERROR(IF(AND(OR(Table834[[#This Row],[Classification]]="Liabilities",Table834[[#This Row],[Classification]]="Owner´s Equity"),Table834[[#This Row],[Credit.]]&gt;Table834[[#This Row],[Debit\]]),Table834[[#This Row],[Credit.]]-Table834[[#This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IFERROR(SUMIF(Table431[,],Table633[[#This Row],[Accounts Name]],Table431[,3]),"")</f>
        <v>0</v>
      </c>
      <c r="P27" s="34">
        <f>IFERROR(SUMIF(Table431[,],Table633[[#This Row],[Accounts Name]],Table431[,2]),"")</f>
        <v>426561</v>
      </c>
      <c r="S27" s="36">
        <f t="shared" si="0"/>
        <v>20</v>
      </c>
      <c r="T27" s="34" t="s">
        <v>62</v>
      </c>
      <c r="U27" s="37" t="s">
        <v>216</v>
      </c>
      <c r="V27" s="34">
        <f>IFERROR(SUMIF(Table633[Sub-Accounts],Table834[[#This Row],[Update your chart of accounts here]],Table633[Debit]),"")</f>
        <v>0</v>
      </c>
      <c r="W27" s="34">
        <f>IFERROR(SUMIF(Table633[Sub-Accounts],Table834[[#This Row],[Update your chart of accounts here]],Table633[Credit]),"")</f>
        <v>0</v>
      </c>
      <c r="X27" s="34"/>
      <c r="Y27" s="34" t="s">
        <v>225</v>
      </c>
      <c r="Z27" s="34"/>
      <c r="AA27" s="34">
        <f>J13</f>
        <v>251563</v>
      </c>
      <c r="AB27" s="34">
        <f>MAX(Table834[[#This Row],[Debit]]+Table834[[#This Row],[Debit -]]-Table834[[#This Row],[Credit]]-Table834[[#This Row],[Credit +]],0)</f>
        <v>0</v>
      </c>
      <c r="AC27" s="34">
        <f>MAX(Table834[[#This Row],[Credit]]-Table834[[#This Row],[Debit]]+Table834[[#This Row],[Credit +]]-Table834[[#This Row],[Debit -]],0)</f>
        <v>251563</v>
      </c>
      <c r="AD27" s="34" t="str">
        <f>IFERROR(IF(AND(OR(Table834[[#This Row],[Classification]]="Expense",Table834[[#This Row],[Classification]]="Cost of Goods Sold"),Table834[[#This Row],[Debit\]]&gt;Table834[[#This Row],[Credit.]]),Table834[[#This Row],[Debit\]]-Table834[[#This Row],[Credit.]],""),"")</f>
        <v/>
      </c>
      <c r="AE27" s="34">
        <f>IFERROR(IF(AND(OR(Table834[[#This Row],[Classification]]="Income",Table834[[#This Row],[Classification]]="Cost of Goods Sold"),Table834[[#This Row],[Credit.]]&gt;Table834[[#This Row],[Debit\]]),Table834[[#This Row],[Credit.]]-Table834[[#This Row],[Debit\]],""),"")</f>
        <v>251563</v>
      </c>
      <c r="AF27" s="34"/>
      <c r="AG27" s="34" t="str">
        <f>IFERROR(IF(AND(Table834[[#This Row],[Classification]]="Assets",Table834[[#This Row],[Debit\]]-Table834[[#This Row],[Credit.]]),Table834[[#This Row],[Debit\]]-Table834[[#This Row],[Credit.]],""),"")</f>
        <v/>
      </c>
      <c r="AH27" s="34" t="str">
        <f>IFERROR(IF(AND(OR(Table834[[#This Row],[Classification]]="Liabilities",Table834[[#This Row],[Classification]]="Owner´s Equity"),Table834[[#This Row],[Credit.]]&gt;Table834[[#This Row],[Debit\]]),Table834[[#This Row],[Credit.]]-Table834[[#This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IFERROR(SUMIF(Table431[,],Table633[[#This Row],[Accounts Name]],Table431[,3]),"")</f>
        <v>350000</v>
      </c>
      <c r="P28" s="34">
        <f>IFERROR(SUMIF(Table431[,],Table633[[#This Row],[Accounts Name]],Table431[,2]),"")</f>
        <v>0</v>
      </c>
      <c r="S28" s="36">
        <f t="shared" si="0"/>
        <v>21</v>
      </c>
      <c r="T28" s="34" t="s">
        <v>6</v>
      </c>
      <c r="U28" s="37" t="s">
        <v>147</v>
      </c>
      <c r="V28" s="34">
        <f>IFERROR(SUMIF(Table633[Sub-Accounts],Table834[[#This Row],[Update your chart of accounts here]],Table633[Debit]),"")</f>
        <v>316209838.63</v>
      </c>
      <c r="W28" s="34">
        <f>IFERROR(SUMIF(Table633[Sub-Accounts],Table834[[#This Row],[Update your chart of accounts here]],Table633[Credit]),"")</f>
        <v>0</v>
      </c>
      <c r="X28" s="34"/>
      <c r="Y28" s="34" t="s">
        <v>231</v>
      </c>
      <c r="Z28" s="34">
        <f>I30</f>
        <v>1379881</v>
      </c>
      <c r="AA28" s="34"/>
      <c r="AB28" s="34">
        <f>MAX(Table834[[#This Row],[Debit]]+Table834[[#This Row],[Debit -]]-Table834[[#This Row],[Credit]]-Table834[[#This Row],[Credit +]],0)</f>
        <v>317589719.63</v>
      </c>
      <c r="AC28" s="34">
        <f>MAX(Table834[[#This Row],[Credit]]-Table834[[#This Row],[Debit]]+Table834[[#This Row],[Credit +]]-Table834[[#This Row],[Debit -]],0)</f>
        <v>0</v>
      </c>
      <c r="AD28" s="34">
        <f>IFERROR(IF(AND(OR(Table834[[#This Row],[Classification]]="Expense",Table834[[#This Row],[Classification]]="Cost of Goods Sold"),Table834[[#This Row],[Debit\]]&gt;Table834[[#This Row],[Credit.]]),Table834[[#This Row],[Debit\]]-Table834[[#This Row],[Credit.]],""),"")</f>
        <v>317589719.63</v>
      </c>
      <c r="AE28" s="34" t="str">
        <f>IFERROR(IF(AND(OR(Table834[[#This Row],[Classification]]="Income",Table834[[#This Row],[Classification]]="Cost of Goods Sold"),Table834[[#This Row],[Credit.]]&gt;Table834[[#This Row],[Debit\]]),Table834[[#This Row],[Credit.]]-Table834[[#This Row],[Debit\]],""),"")</f>
        <v/>
      </c>
      <c r="AF28" s="34"/>
      <c r="AG28" s="34" t="str">
        <f>IFERROR(IF(AND(Table834[[#This Row],[Classification]]="Assets",Table834[[#This Row],[Debit\]]-Table834[[#This Row],[Credit.]]),Table834[[#This Row],[Debit\]]-Table834[[#This Row],[Credit.]],""),"")</f>
        <v/>
      </c>
      <c r="AH28" s="34" t="str">
        <f>IFERROR(IF(AND(OR(Table834[[#This Row],[Classification]]="Liabilities",Table834[[#This Row],[Classification]]="Owner´s Equity"),Table834[[#This Row],[Credit.]]&gt;Table834[[#This Row],[Debit\]]),Table834[[#This Row],[Credit.]]-Table834[[#This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IFERROR(SUMIF(Table431[,],Table633[[#This Row],[Accounts Name]],Table431[,3]),"")</f>
        <v>0</v>
      </c>
      <c r="P29" s="34">
        <f>IFERROR(SUMIF(Table431[,],Table633[[#This Row],[Accounts Name]],Table431[,2]),"")</f>
        <v>4840392.6399999997</v>
      </c>
      <c r="S29" s="36">
        <f t="shared" si="0"/>
        <v>22</v>
      </c>
      <c r="T29" s="34" t="s">
        <v>61</v>
      </c>
      <c r="U29" s="37" t="s">
        <v>151</v>
      </c>
      <c r="V29" s="34">
        <f>IFERROR(SUMIF(Table633[Sub-Accounts],Table834[[#This Row],[Update your chart of accounts here]],Table633[Debit]),"")</f>
        <v>3516485</v>
      </c>
      <c r="W29" s="34">
        <f>IFERROR(SUMIF(Table633[Sub-Accounts],Table834[[#This Row],[Update your chart of accounts here]],Table633[Credit]),"")</f>
        <v>0</v>
      </c>
      <c r="X29" s="34"/>
      <c r="Y29" s="34"/>
      <c r="Z29" s="34"/>
      <c r="AA29" s="34"/>
      <c r="AB29" s="34">
        <f>MAX(Table834[[#This Row],[Debit]]+Table834[[#This Row],[Debit -]]-Table834[[#This Row],[Credit]]-Table834[[#This Row],[Credit +]],0)</f>
        <v>3516485</v>
      </c>
      <c r="AC29" s="34">
        <f>MAX(Table834[[#This Row],[Credit]]-Table834[[#This Row],[Debit]]+Table834[[#This Row],[Credit +]]-Table834[[#This Row],[Debit -]],0)</f>
        <v>0</v>
      </c>
      <c r="AD29" s="34">
        <f>IFERROR(IF(AND(OR(Table834[[#This Row],[Classification]]="Expense",Table834[[#This Row],[Classification]]="Cost of Goods Sold"),Table834[[#This Row],[Debit\]]&gt;Table834[[#This Row],[Credit.]]),Table834[[#This Row],[Debit\]]-Table834[[#This Row],[Credit.]],""),"")</f>
        <v>3516485</v>
      </c>
      <c r="AE29" s="34" t="str">
        <f>IFERROR(IF(AND(OR(Table834[[#This Row],[Classification]]="Income",Table834[[#This Row],[Classification]]="Cost of Goods Sold"),Table834[[#This Row],[Credit.]]&gt;Table834[[#This Row],[Debit\]]),Table834[[#This Row],[Credit.]]-Table834[[#This Row],[Debit\]],""),"")</f>
        <v/>
      </c>
      <c r="AF29" s="34"/>
      <c r="AG29" s="34" t="str">
        <f>IFERROR(IF(AND(Table834[[#This Row],[Classification]]="Assets",Table834[[#This Row],[Debit\]]-Table834[[#This Row],[Credit.]]),Table834[[#This Row],[Debit\]]-Table834[[#This Row],[Credit.]],""),"")</f>
        <v/>
      </c>
      <c r="AH29" s="34" t="str">
        <f>IFERROR(IF(AND(OR(Table834[[#This Row],[Classification]]="Liabilities",Table834[[#This Row],[Classification]]="Owner´s Equity"),Table834[[#This Row],[Credit.]]&gt;Table834[[#This Row],[Debit\]]),Table834[[#This Row],[Credit.]]-Table834[[#This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IFERROR(SUMIF(Table431[,],Table633[[#This Row],[Accounts Name]],Table431[,3]),"")</f>
        <v>0</v>
      </c>
      <c r="P30" s="34">
        <f>IFERROR(SUMIF(Table431[,],Table633[[#This Row],[Accounts Name]],Table431[,2]),"")</f>
        <v>175000</v>
      </c>
      <c r="S30" s="36">
        <f t="shared" si="0"/>
        <v>23</v>
      </c>
      <c r="T30" s="34" t="s">
        <v>61</v>
      </c>
      <c r="U30" s="37" t="s">
        <v>167</v>
      </c>
      <c r="V30" s="34">
        <f>IFERROR(SUMIF(Table633[Sub-Accounts],Table834[[#This Row],[Update your chart of accounts here]],Table633[Debit]),"")</f>
        <v>395822.76</v>
      </c>
      <c r="W30" s="34">
        <f>IFERROR(SUMIF(Table633[Sub-Accounts],Table834[[#This Row],[Update your chart of accounts here]],Table633[Credit]),"")</f>
        <v>0</v>
      </c>
      <c r="X30" s="34"/>
      <c r="Y30" s="34" t="s">
        <v>231</v>
      </c>
      <c r="Z30" s="34">
        <f>I29</f>
        <v>325745</v>
      </c>
      <c r="AA30" s="34"/>
      <c r="AB30" s="34">
        <f>MAX(Table834[[#This Row],[Debit]]+Table834[[#This Row],[Debit -]]-Table834[[#This Row],[Credit]]-Table834[[#This Row],[Credit +]],0)</f>
        <v>721567.76</v>
      </c>
      <c r="AC30" s="34">
        <f>MAX(Table834[[#This Row],[Credit]]-Table834[[#This Row],[Debit]]+Table834[[#This Row],[Credit +]]-Table834[[#This Row],[Debit -]],0)</f>
        <v>0</v>
      </c>
      <c r="AD30" s="34">
        <f>IFERROR(IF(AND(OR(Table834[[#This Row],[Classification]]="Expense",Table834[[#This Row],[Classification]]="Cost of Goods Sold"),Table834[[#This Row],[Debit\]]&gt;Table834[[#This Row],[Credit.]]),Table834[[#This Row],[Debit\]]-Table834[[#This Row],[Credit.]],""),"")</f>
        <v>721567.76</v>
      </c>
      <c r="AE30" s="34" t="str">
        <f>IFERROR(IF(AND(OR(Table834[[#This Row],[Classification]]="Income",Table834[[#This Row],[Classification]]="Cost of Goods Sold"),Table834[[#This Row],[Credit.]]&gt;Table834[[#This Row],[Debit\]]),Table834[[#This Row],[Credit.]]-Table834[[#This Row],[Debit\]],""),"")</f>
        <v/>
      </c>
      <c r="AF30" s="34"/>
      <c r="AG30" s="34" t="str">
        <f>IFERROR(IF(AND(Table834[[#This Row],[Classification]]="Assets",Table834[[#This Row],[Debit\]]-Table834[[#This Row],[Credit.]]),Table834[[#This Row],[Debit\]]-Table834[[#This Row],[Credit.]],""),"")</f>
        <v/>
      </c>
      <c r="AH30" s="34" t="str">
        <f>IFERROR(IF(AND(OR(Table834[[#This Row],[Classification]]="Liabilities",Table834[[#This Row],[Classification]]="Owner´s Equity"),Table834[[#This Row],[Credit.]]&gt;Table834[[#This Row],[Debit\]]),Table834[[#This Row],[Credit.]]-Table834[[#This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IFERROR(SUMIF(Table431[,],Table633[[#This Row],[Accounts Name]],Table431[,3]),"")</f>
        <v>0</v>
      </c>
      <c r="P31" s="34">
        <f>IFERROR(SUMIF(Table431[,],Table633[[#This Row],[Accounts Name]],Table431[,2]),"")</f>
        <v>100000</v>
      </c>
      <c r="S31" s="36">
        <f t="shared" si="0"/>
        <v>24</v>
      </c>
      <c r="T31" s="34" t="s">
        <v>61</v>
      </c>
      <c r="U31" s="37" t="s">
        <v>166</v>
      </c>
      <c r="V31" s="34">
        <f>IFERROR(SUMIF(Table633[Sub-Accounts],Table834[[#This Row],[Update your chart of accounts here]],Table633[Debit]),"")</f>
        <v>1409746.56</v>
      </c>
      <c r="W31" s="34">
        <f>IFERROR(SUMIF(Table633[Sub-Accounts],Table834[[#This Row],[Update your chart of accounts here]],Table633[Credit]),"")</f>
        <v>0</v>
      </c>
      <c r="X31" s="34"/>
      <c r="Y31" s="34"/>
      <c r="Z31" s="34"/>
      <c r="AA31" s="34"/>
      <c r="AB31" s="34">
        <f>MAX(Table834[[#This Row],[Debit]]+Table834[[#This Row],[Debit -]]-Table834[[#This Row],[Credit]]-Table834[[#This Row],[Credit +]],0)</f>
        <v>1409746.56</v>
      </c>
      <c r="AC31" s="34">
        <f>MAX(Table834[[#This Row],[Credit]]-Table834[[#This Row],[Debit]]+Table834[[#This Row],[Credit +]]-Table834[[#This Row],[Debit -]],0)</f>
        <v>0</v>
      </c>
      <c r="AD31" s="34">
        <f>IFERROR(IF(AND(OR(Table834[[#This Row],[Classification]]="Expense",Table834[[#This Row],[Classification]]="Cost of Goods Sold"),Table834[[#This Row],[Debit\]]&gt;Table834[[#This Row],[Credit.]]),Table834[[#This Row],[Debit\]]-Table834[[#This Row],[Credit.]],""),"")</f>
        <v>1409746.56</v>
      </c>
      <c r="AE31" s="34" t="str">
        <f>IFERROR(IF(AND(OR(Table834[[#This Row],[Classification]]="Income",Table834[[#This Row],[Classification]]="Cost of Goods Sold"),Table834[[#This Row],[Credit.]]&gt;Table834[[#This Row],[Debit\]]),Table834[[#This Row],[Credit.]]-Table834[[#This Row],[Debit\]],""),"")</f>
        <v/>
      </c>
      <c r="AF31" s="34"/>
      <c r="AG31" s="34" t="str">
        <f>IFERROR(IF(AND(Table834[[#This Row],[Classification]]="Assets",Table834[[#This Row],[Debit\]]-Table834[[#This Row],[Credit.]]),Table834[[#This Row],[Debit\]]-Table834[[#This Row],[Credit.]],""),"")</f>
        <v/>
      </c>
      <c r="AH31" s="34" t="str">
        <f>IFERROR(IF(AND(OR(Table834[[#This Row],[Classification]]="Liabilities",Table834[[#This Row],[Classification]]="Owner´s Equity"),Table834[[#This Row],[Credit.]]&gt;Table834[[#This Row],[Debit\]]),Table834[[#This Row],[Credit.]]-Table834[[#This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IFERROR(SUMIF(Table431[,],Table633[[#This Row],[Accounts Name]],Table431[,3]),"")</f>
        <v>0</v>
      </c>
      <c r="P32" s="34">
        <f>IFERROR(SUMIF(Table431[,],Table633[[#This Row],[Accounts Name]],Table431[,2]),"")</f>
        <v>10050</v>
      </c>
      <c r="S32" s="36">
        <f t="shared" si="0"/>
        <v>25</v>
      </c>
      <c r="T32" s="34" t="s">
        <v>61</v>
      </c>
      <c r="U32" s="37" t="s">
        <v>175</v>
      </c>
      <c r="V32" s="34">
        <f>IFERROR(SUMIF(Table633[Sub-Accounts],Table834[[#This Row],[Update your chart of accounts here]],Table633[Debit]),"")</f>
        <v>0</v>
      </c>
      <c r="W32" s="34">
        <f>IFERROR(SUMIF(Table633[Sub-Accounts],Table834[[#This Row],[Update your chart of accounts here]],Table633[Credit]),"")</f>
        <v>0</v>
      </c>
      <c r="X32" s="34"/>
      <c r="Y32" s="34" t="s">
        <v>231</v>
      </c>
      <c r="Z32" s="34">
        <f>I27</f>
        <v>845624</v>
      </c>
      <c r="AA32" s="34"/>
      <c r="AB32" s="34">
        <f>MAX(Table834[[#This Row],[Debit]]+Table834[[#This Row],[Debit -]]-Table834[[#This Row],[Credit]]-Table834[[#This Row],[Credit +]],0)</f>
        <v>845624</v>
      </c>
      <c r="AC32" s="34">
        <f>MAX(Table834[[#This Row],[Credit]]-Table834[[#This Row],[Debit]]+Table834[[#This Row],[Credit +]]-Table834[[#This Row],[Debit -]],0)</f>
        <v>0</v>
      </c>
      <c r="AD32" s="34">
        <f>IFERROR(IF(AND(OR(Table834[[#This Row],[Classification]]="Expense",Table834[[#This Row],[Classification]]="Cost of Goods Sold"),Table834[[#This Row],[Debit\]]&gt;Table834[[#This Row],[Credit.]]),Table834[[#This Row],[Debit\]]-Table834[[#This Row],[Credit.]],""),"")</f>
        <v>845624</v>
      </c>
      <c r="AE32" s="34" t="str">
        <f>IFERROR(IF(AND(OR(Table834[[#This Row],[Classification]]="Income",Table834[[#This Row],[Classification]]="Cost of Goods Sold"),Table834[[#This Row],[Credit.]]&gt;Table834[[#This Row],[Debit\]]),Table834[[#This Row],[Credit.]]-Table834[[#This Row],[Debit\]],""),"")</f>
        <v/>
      </c>
      <c r="AF32" s="34"/>
      <c r="AG32" s="34" t="str">
        <f>IFERROR(IF(AND(Table834[[#This Row],[Classification]]="Assets",Table834[[#This Row],[Debit\]]-Table834[[#This Row],[Credit.]]),Table834[[#This Row],[Debit\]]-Table834[[#This Row],[Credit.]],""),"")</f>
        <v/>
      </c>
      <c r="AH32" s="34" t="str">
        <f>IFERROR(IF(AND(OR(Table834[[#This Row],[Classification]]="Liabilities",Table834[[#This Row],[Classification]]="Owner´s Equity"),Table834[[#This Row],[Credit.]]&gt;Table834[[#This Row],[Debit\]]),Table834[[#This Row],[Credit.]]-Table834[[#This Row],[Debit\]],""),"")</f>
        <v/>
      </c>
    </row>
    <row r="33" spans="2:34" hidden="1" x14ac:dyDescent="0.25">
      <c r="B33" s="34"/>
      <c r="C33" s="37" t="s">
        <v>87</v>
      </c>
      <c r="D33" s="34"/>
      <c r="E33" s="34">
        <v>10050</v>
      </c>
      <c r="G33" s="39"/>
      <c r="H33" s="40"/>
      <c r="I33" s="41"/>
      <c r="J33" s="41"/>
      <c r="L33" s="34">
        <v>26</v>
      </c>
      <c r="M33" s="35" t="s">
        <v>141</v>
      </c>
      <c r="N33" s="35" t="s">
        <v>88</v>
      </c>
      <c r="O33" s="34">
        <f>IFERROR(SUMIF(Table431[,],Table633[[#This Row],[Accounts Name]],Table431[,3]),"")</f>
        <v>0</v>
      </c>
      <c r="P33" s="34">
        <f>IFERROR(SUMIF(Table431[,],Table633[[#This Row],[Accounts Name]],Table431[,2]),"")</f>
        <v>4800</v>
      </c>
      <c r="S33" s="36">
        <f t="shared" si="0"/>
        <v>26</v>
      </c>
      <c r="T33" s="34" t="s">
        <v>61</v>
      </c>
      <c r="U33" s="37" t="s">
        <v>154</v>
      </c>
      <c r="V33" s="34">
        <f>IFERROR(SUMIF(Table633[Sub-Accounts],Table834[[#This Row],[Update your chart of accounts here]],Table633[Debit]),"")</f>
        <v>2500001</v>
      </c>
      <c r="W33" s="34">
        <f>IFERROR(SUMIF(Table633[Sub-Accounts],Table834[[#This Row],[Update your chart of accounts here]],Table633[Credit]),"")</f>
        <v>0</v>
      </c>
      <c r="X33" s="34"/>
      <c r="Y33" s="34"/>
      <c r="Z33" s="34"/>
      <c r="AA33" s="34"/>
      <c r="AB33" s="34">
        <f>MAX(Table834[[#This Row],[Debit]]+Table834[[#This Row],[Debit -]]-Table834[[#This Row],[Credit]]-Table834[[#This Row],[Credit +]],0)</f>
        <v>2500001</v>
      </c>
      <c r="AC33" s="34">
        <f>MAX(Table834[[#This Row],[Credit]]-Table834[[#This Row],[Debit]]+Table834[[#This Row],[Credit +]]-Table834[[#This Row],[Debit -]],0)</f>
        <v>0</v>
      </c>
      <c r="AD33" s="34">
        <f>IFERROR(IF(AND(OR(Table834[[#This Row],[Classification]]="Expense",Table834[[#This Row],[Classification]]="Cost of Goods Sold"),Table834[[#This Row],[Debit\]]&gt;Table834[[#This Row],[Credit.]]),Table834[[#This Row],[Debit\]]-Table834[[#This Row],[Credit.]],""),"")</f>
        <v>2500001</v>
      </c>
      <c r="AE33" s="34" t="str">
        <f>IFERROR(IF(AND(OR(Table834[[#This Row],[Classification]]="Income",Table834[[#This Row],[Classification]]="Cost of Goods Sold"),Table834[[#This Row],[Credit.]]&gt;Table834[[#This Row],[Debit\]]),Table834[[#This Row],[Credit.]]-Table834[[#This Row],[Debit\]],""),"")</f>
        <v/>
      </c>
      <c r="AF33" s="34"/>
      <c r="AG33" s="34" t="str">
        <f>IFERROR(IF(AND(Table834[[#This Row],[Classification]]="Assets",Table834[[#This Row],[Debit\]]-Table834[[#This Row],[Credit.]]),Table834[[#This Row],[Debit\]]-Table834[[#This Row],[Credit.]],""),"")</f>
        <v/>
      </c>
      <c r="AH33" s="34" t="str">
        <f>IFERROR(IF(AND(OR(Table834[[#This Row],[Classification]]="Liabilities",Table834[[#This Row],[Classification]]="Owner´s Equity"),Table834[[#This Row],[Credit.]]&gt;Table834[[#This Row],[Debit\]]),Table834[[#This Row],[Credit.]]-Table834[[#This Row],[Debit\]],""),"")</f>
        <v/>
      </c>
    </row>
    <row r="34" spans="2:34" hidden="1" x14ac:dyDescent="0.25">
      <c r="B34" s="34"/>
      <c r="C34" s="37" t="s">
        <v>88</v>
      </c>
      <c r="D34" s="34"/>
      <c r="E34" s="34">
        <v>4800</v>
      </c>
      <c r="G34" s="39"/>
      <c r="H34" s="40"/>
      <c r="I34" s="41"/>
      <c r="J34" s="41"/>
      <c r="L34" s="34">
        <v>27</v>
      </c>
      <c r="M34" s="35" t="s">
        <v>141</v>
      </c>
      <c r="N34" s="35" t="s">
        <v>89</v>
      </c>
      <c r="O34" s="34">
        <f>IFERROR(SUMIF(Table431[,],Table633[[#This Row],[Accounts Name]],Table431[,3]),"")</f>
        <v>0</v>
      </c>
      <c r="P34" s="34">
        <f>IFERROR(SUMIF(Table431[,],Table633[[#This Row],[Accounts Name]],Table431[,2]),"")</f>
        <v>110610</v>
      </c>
      <c r="S34" s="36">
        <f t="shared" si="0"/>
        <v>27</v>
      </c>
      <c r="T34" s="34" t="s">
        <v>61</v>
      </c>
      <c r="U34" s="37" t="s">
        <v>161</v>
      </c>
      <c r="V34" s="34">
        <f>IFERROR(SUMIF(Table633[Sub-Accounts],Table834[[#This Row],[Update your chart of accounts here]],Table633[Debit]),"")</f>
        <v>77850</v>
      </c>
      <c r="W34" s="34">
        <f>IFERROR(SUMIF(Table633[Sub-Accounts],Table834[[#This Row],[Update your chart of accounts here]],Table633[Credit]),"")</f>
        <v>0</v>
      </c>
      <c r="X34" s="34"/>
      <c r="Y34" s="34"/>
      <c r="Z34" s="34"/>
      <c r="AA34" s="34"/>
      <c r="AB34" s="34">
        <f>MAX(Table834[[#This Row],[Debit]]+Table834[[#This Row],[Debit -]]-Table834[[#This Row],[Credit]]-Table834[[#This Row],[Credit +]],0)</f>
        <v>77850</v>
      </c>
      <c r="AC34" s="34">
        <f>MAX(Table834[[#This Row],[Credit]]-Table834[[#This Row],[Debit]]+Table834[[#This Row],[Credit +]]-Table834[[#This Row],[Debit -]],0)</f>
        <v>0</v>
      </c>
      <c r="AD34" s="34">
        <f>IFERROR(IF(AND(OR(Table834[[#This Row],[Classification]]="Expense",Table834[[#This Row],[Classification]]="Cost of Goods Sold"),Table834[[#This Row],[Debit\]]&gt;Table834[[#This Row],[Credit.]]),Table834[[#This Row],[Debit\]]-Table834[[#This Row],[Credit.]],""),"")</f>
        <v>77850</v>
      </c>
      <c r="AE34" s="34" t="str">
        <f>IFERROR(IF(AND(OR(Table834[[#This Row],[Classification]]="Income",Table834[[#This Row],[Classification]]="Cost of Goods Sold"),Table834[[#This Row],[Credit.]]&gt;Table834[[#This Row],[Debit\]]),Table834[[#This Row],[Credit.]]-Table834[[#This Row],[Debit\]],""),"")</f>
        <v/>
      </c>
      <c r="AF34" s="34"/>
      <c r="AG34" s="34" t="str">
        <f>IFERROR(IF(AND(Table834[[#This Row],[Classification]]="Assets",Table834[[#This Row],[Debit\]]-Table834[[#This Row],[Credit.]]),Table834[[#This Row],[Debit\]]-Table834[[#This Row],[Credit.]],""),"")</f>
        <v/>
      </c>
      <c r="AH34" s="34" t="str">
        <f>IFERROR(IF(AND(OR(Table834[[#This Row],[Classification]]="Liabilities",Table834[[#This Row],[Classification]]="Owner´s Equity"),Table834[[#This Row],[Credit.]]&gt;Table834[[#This Row],[Debit\]]),Table834[[#This Row],[Credit.]]-Table834[[#This Row],[Debit\]],""),"")</f>
        <v/>
      </c>
    </row>
    <row r="35" spans="2:34" hidden="1" x14ac:dyDescent="0.25">
      <c r="B35" s="34"/>
      <c r="C35" s="37" t="s">
        <v>89</v>
      </c>
      <c r="D35" s="34"/>
      <c r="E35" s="34">
        <v>110610</v>
      </c>
      <c r="G35" s="39"/>
      <c r="H35" s="43"/>
      <c r="I35" s="41"/>
      <c r="J35" s="41"/>
      <c r="L35" s="34">
        <v>28</v>
      </c>
      <c r="M35" s="35" t="s">
        <v>141</v>
      </c>
      <c r="N35" s="35" t="s">
        <v>90</v>
      </c>
      <c r="O35" s="34">
        <f>IFERROR(SUMIF(Table431[,],Table633[[#This Row],[Accounts Name]],Table431[,3]),"")</f>
        <v>0</v>
      </c>
      <c r="P35" s="34">
        <f>IFERROR(SUMIF(Table431[,],Table633[[#This Row],[Accounts Name]],Table431[,2]),"")</f>
        <v>33200</v>
      </c>
      <c r="S35" s="36">
        <f t="shared" si="0"/>
        <v>28</v>
      </c>
      <c r="T35" s="34" t="s">
        <v>61</v>
      </c>
      <c r="U35" s="37" t="s">
        <v>162</v>
      </c>
      <c r="V35" s="34">
        <f>IFERROR(SUMIF(Table633[Sub-Accounts],Table834[[#This Row],[Update your chart of accounts here]],Table633[Debit]),"")</f>
        <v>268183.07</v>
      </c>
      <c r="W35" s="34">
        <f>IFERROR(SUMIF(Table633[Sub-Accounts],Table834[[#This Row],[Update your chart of accounts here]],Table633[Credit]),"")</f>
        <v>0</v>
      </c>
      <c r="X35" s="34"/>
      <c r="Y35" s="34"/>
      <c r="Z35" s="34">
        <f>I28</f>
        <v>0</v>
      </c>
      <c r="AA35" s="34"/>
      <c r="AB35" s="34">
        <f>MAX(Table834[[#This Row],[Debit]]+Table834[[#This Row],[Debit -]]-Table834[[#This Row],[Credit]]-Table834[[#This Row],[Credit +]],0)</f>
        <v>268183.07</v>
      </c>
      <c r="AC35" s="34">
        <f>MAX(Table834[[#This Row],[Credit]]-Table834[[#This Row],[Debit]]+Table834[[#This Row],[Credit +]]-Table834[[#This Row],[Debit -]],0)</f>
        <v>0</v>
      </c>
      <c r="AD35" s="34">
        <f>IFERROR(IF(AND(OR(Table834[[#This Row],[Classification]]="Expense",Table834[[#This Row],[Classification]]="Cost of Goods Sold"),Table834[[#This Row],[Debit\]]&gt;Table834[[#This Row],[Credit.]]),Table834[[#This Row],[Debit\]]-Table834[[#This Row],[Credit.]],""),"")</f>
        <v>268183.07</v>
      </c>
      <c r="AE35" s="34" t="str">
        <f>IFERROR(IF(AND(OR(Table834[[#This Row],[Classification]]="Income",Table834[[#This Row],[Classification]]="Cost of Goods Sold"),Table834[[#This Row],[Credit.]]&gt;Table834[[#This Row],[Debit\]]),Table834[[#This Row],[Credit.]]-Table834[[#This Row],[Debit\]],""),"")</f>
        <v/>
      </c>
      <c r="AF35" s="34"/>
      <c r="AG35" s="34" t="str">
        <f>IFERROR(IF(AND(Table834[[#This Row],[Classification]]="Assets",Table834[[#This Row],[Debit\]]-Table834[[#This Row],[Credit.]]),Table834[[#This Row],[Debit\]]-Table834[[#This Row],[Credit.]],""),"")</f>
        <v/>
      </c>
      <c r="AH35" s="34" t="str">
        <f>IFERROR(IF(AND(OR(Table834[[#This Row],[Classification]]="Liabilities",Table834[[#This Row],[Classification]]="Owner´s Equity"),Table834[[#This Row],[Credit.]]&gt;Table834[[#This Row],[Debit\]]),Table834[[#This Row],[Credit.]]-Table834[[#This Row],[Debit\]],""),"")</f>
        <v/>
      </c>
    </row>
    <row r="36" spans="2:34" hidden="1" x14ac:dyDescent="0.25">
      <c r="B36" s="34"/>
      <c r="C36" s="37" t="s">
        <v>90</v>
      </c>
      <c r="D36" s="34"/>
      <c r="E36" s="34">
        <v>33200</v>
      </c>
      <c r="G36" s="39"/>
      <c r="H36" s="40"/>
      <c r="I36" s="41"/>
      <c r="J36" s="41"/>
      <c r="L36" s="34">
        <v>29</v>
      </c>
      <c r="M36" s="35" t="s">
        <v>140</v>
      </c>
      <c r="N36" s="35" t="s">
        <v>91</v>
      </c>
      <c r="O36" s="34">
        <f>IFERROR(SUMIF(Table431[,],Table633[[#This Row],[Accounts Name]],Table431[,3]),"")</f>
        <v>124460</v>
      </c>
      <c r="P36" s="34">
        <f>IFERROR(SUMIF(Table431[,],Table633[[#This Row],[Accounts Name]],Table431[,2]),"")</f>
        <v>0</v>
      </c>
      <c r="S36" s="36">
        <f t="shared" si="0"/>
        <v>29</v>
      </c>
      <c r="T36" s="34" t="s">
        <v>61</v>
      </c>
      <c r="U36" s="37" t="s">
        <v>165</v>
      </c>
      <c r="V36" s="34">
        <f>IFERROR(SUMIF(Table633[Sub-Accounts],Table834[[#This Row],[Update your chart of accounts here]],Table633[Debit]),"")</f>
        <v>653656.38</v>
      </c>
      <c r="W36" s="34">
        <f>IFERROR(SUMIF(Table633[Sub-Accounts],Table834[[#This Row],[Update your chart of accounts here]],Table633[Credit]),"")</f>
        <v>0</v>
      </c>
      <c r="X36" s="34"/>
      <c r="Y36" s="34"/>
      <c r="Z36" s="34"/>
      <c r="AA36" s="34"/>
      <c r="AB36" s="34">
        <f>MAX(Table834[[#This Row],[Debit]]+Table834[[#This Row],[Debit -]]-Table834[[#This Row],[Credit]]-Table834[[#This Row],[Credit +]],0)</f>
        <v>653656.38</v>
      </c>
      <c r="AC36" s="34">
        <f>MAX(Table834[[#This Row],[Credit]]-Table834[[#This Row],[Debit]]+Table834[[#This Row],[Credit +]]-Table834[[#This Row],[Debit -]],0)</f>
        <v>0</v>
      </c>
      <c r="AD36" s="34">
        <f>IFERROR(IF(AND(OR(Table834[[#This Row],[Classification]]="Expense",Table834[[#This Row],[Classification]]="Cost of Goods Sold"),Table834[[#This Row],[Debit\]]&gt;Table834[[#This Row],[Credit.]]),Table834[[#This Row],[Debit\]]-Table834[[#This Row],[Credit.]],""),"")</f>
        <v>653656.38</v>
      </c>
      <c r="AE36" s="34" t="str">
        <f>IFERROR(IF(AND(OR(Table834[[#This Row],[Classification]]="Income",Table834[[#This Row],[Classification]]="Cost of Goods Sold"),Table834[[#This Row],[Credit.]]&gt;Table834[[#This Row],[Debit\]]),Table834[[#This Row],[Credit.]]-Table834[[#This Row],[Debit\]],""),"")</f>
        <v/>
      </c>
      <c r="AF36" s="34"/>
      <c r="AG36" s="34" t="str">
        <f>IFERROR(IF(AND(Table834[[#This Row],[Classification]]="Assets",Table834[[#This Row],[Debit\]]-Table834[[#This Row],[Credit.]]),Table834[[#This Row],[Debit\]]-Table834[[#This Row],[Credit.]],""),"")</f>
        <v/>
      </c>
      <c r="AH36" s="34" t="str">
        <f>IFERROR(IF(AND(OR(Table834[[#This Row],[Classification]]="Liabilities",Table834[[#This Row],[Classification]]="Owner´s Equity"),Table834[[#This Row],[Credit.]]&gt;Table834[[#This Row],[Debit\]]),Table834[[#This Row],[Credit.]]-Table834[[#This Row],[Debit\]],""),"")</f>
        <v/>
      </c>
    </row>
    <row r="37" spans="2:34" hidden="1" x14ac:dyDescent="0.25">
      <c r="B37" s="34"/>
      <c r="C37" s="37" t="s">
        <v>91</v>
      </c>
      <c r="D37" s="34">
        <v>124460</v>
      </c>
      <c r="E37" s="34"/>
      <c r="G37" s="39"/>
      <c r="H37" s="40"/>
      <c r="I37" s="41"/>
      <c r="J37" s="41"/>
      <c r="L37" s="34">
        <v>30</v>
      </c>
      <c r="M37" s="35" t="s">
        <v>144</v>
      </c>
      <c r="N37" s="35" t="s">
        <v>92</v>
      </c>
      <c r="O37" s="34">
        <f>IFERROR(SUMIF(Table431[,],Table633[[#This Row],[Accounts Name]],Table431[,3]),"")</f>
        <v>2228108</v>
      </c>
      <c r="P37" s="34">
        <f>IFERROR(SUMIF(Table431[,],Table633[[#This Row],[Accounts Name]],Table431[,2]),"")</f>
        <v>0</v>
      </c>
      <c r="S37" s="36">
        <f t="shared" si="0"/>
        <v>30</v>
      </c>
      <c r="T37" s="34" t="s">
        <v>61</v>
      </c>
      <c r="U37" s="37" t="s">
        <v>159</v>
      </c>
      <c r="V37" s="34">
        <f>IFERROR(SUMIF(Table633[Sub-Accounts],Table834[[#This Row],[Update your chart of accounts here]],Table633[Debit]),"")</f>
        <v>208578.65</v>
      </c>
      <c r="W37" s="34">
        <f>IFERROR(SUMIF(Table633[Sub-Accounts],Table834[[#This Row],[Update your chart of accounts here]],Table633[Credit]),"")</f>
        <v>0</v>
      </c>
      <c r="X37" s="34"/>
      <c r="Y37" s="34"/>
      <c r="Z37" s="34"/>
      <c r="AA37" s="34"/>
      <c r="AB37" s="34">
        <f>MAX(Table834[[#This Row],[Debit]]+Table834[[#This Row],[Debit -]]-Table834[[#This Row],[Credit]]-Table834[[#This Row],[Credit +]],0)</f>
        <v>208578.65</v>
      </c>
      <c r="AC37" s="34">
        <f>MAX(Table834[[#This Row],[Credit]]-Table834[[#This Row],[Debit]]+Table834[[#This Row],[Credit +]]-Table834[[#This Row],[Debit -]],0)</f>
        <v>0</v>
      </c>
      <c r="AD37" s="34">
        <f>IFERROR(IF(AND(OR(Table834[[#This Row],[Classification]]="Expense",Table834[[#This Row],[Classification]]="Cost of Goods Sold"),Table834[[#This Row],[Debit\]]&gt;Table834[[#This Row],[Credit.]]),Table834[[#This Row],[Debit\]]-Table834[[#This Row],[Credit.]],""),"")</f>
        <v>208578.65</v>
      </c>
      <c r="AE37" s="34" t="str">
        <f>IFERROR(IF(AND(OR(Table834[[#This Row],[Classification]]="Income",Table834[[#This Row],[Classification]]="Cost of Goods Sold"),Table834[[#This Row],[Credit.]]&gt;Table834[[#This Row],[Debit\]]),Table834[[#This Row],[Credit.]]-Table834[[#This Row],[Debit\]],""),"")</f>
        <v/>
      </c>
      <c r="AF37" s="34"/>
      <c r="AG37" s="34" t="str">
        <f>IFERROR(IF(AND(Table834[[#This Row],[Classification]]="Assets",Table834[[#This Row],[Debit\]]-Table834[[#This Row],[Credit.]]),Table834[[#This Row],[Debit\]]-Table834[[#This Row],[Credit.]],""),"")</f>
        <v/>
      </c>
      <c r="AH37" s="34" t="str">
        <f>IFERROR(IF(AND(OR(Table834[[#This Row],[Classification]]="Liabilities",Table834[[#This Row],[Classification]]="Owner´s Equity"),Table834[[#This Row],[Credit.]]&gt;Table834[[#This Row],[Debit\]]),Table834[[#This Row],[Credit.]]-Table834[[#This Row],[Debit\]],""),"")</f>
        <v/>
      </c>
    </row>
    <row r="38" spans="2:34" hidden="1" x14ac:dyDescent="0.25">
      <c r="B38" s="34"/>
      <c r="C38" s="37" t="s">
        <v>92</v>
      </c>
      <c r="D38" s="34">
        <v>2228108</v>
      </c>
      <c r="E38" s="34"/>
      <c r="G38" s="39"/>
      <c r="H38" s="43"/>
      <c r="I38" s="41"/>
      <c r="J38" s="41"/>
      <c r="L38" s="34">
        <v>31</v>
      </c>
      <c r="M38" s="35" t="s">
        <v>140</v>
      </c>
      <c r="N38" s="35" t="s">
        <v>93</v>
      </c>
      <c r="O38" s="34">
        <f>IFERROR(SUMIF(Table431[,],Table633[[#This Row],[Accounts Name]],Table431[,3]),"")</f>
        <v>510902</v>
      </c>
      <c r="P38" s="34">
        <f>IFERROR(SUMIF(Table431[,],Table633[[#This Row],[Accounts Name]],Table431[,2]),"")</f>
        <v>0</v>
      </c>
      <c r="S38" s="36">
        <f t="shared" si="0"/>
        <v>31</v>
      </c>
      <c r="T38" s="34" t="s">
        <v>61</v>
      </c>
      <c r="U38" s="37" t="s">
        <v>157</v>
      </c>
      <c r="V38" s="34">
        <f>IFERROR(SUMIF(Table633[Sub-Accounts],Table834[[#This Row],[Update your chart of accounts here]],Table633[Debit]),"")</f>
        <v>542263</v>
      </c>
      <c r="W38" s="34">
        <f>IFERROR(SUMIF(Table633[Sub-Accounts],Table834[[#This Row],[Update your chart of accounts here]],Table633[Credit]),"")</f>
        <v>0</v>
      </c>
      <c r="X38" s="34"/>
      <c r="Y38" s="34"/>
      <c r="Z38" s="34"/>
      <c r="AA38" s="34"/>
      <c r="AB38" s="34">
        <f>MAX(Table834[[#This Row],[Debit]]+Table834[[#This Row],[Debit -]]-Table834[[#This Row],[Credit]]-Table834[[#This Row],[Credit +]],0)</f>
        <v>542263</v>
      </c>
      <c r="AC38" s="34">
        <f>MAX(Table834[[#This Row],[Credit]]-Table834[[#This Row],[Debit]]+Table834[[#This Row],[Credit +]]-Table834[[#This Row],[Debit -]],0)</f>
        <v>0</v>
      </c>
      <c r="AD38" s="34">
        <f>IFERROR(IF(AND(OR(Table834[[#This Row],[Classification]]="Expense",Table834[[#This Row],[Classification]]="Cost of Goods Sold"),Table834[[#This Row],[Debit\]]&gt;Table834[[#This Row],[Credit.]]),Table834[[#This Row],[Debit\]]-Table834[[#This Row],[Credit.]],""),"")</f>
        <v>542263</v>
      </c>
      <c r="AE38" s="34" t="str">
        <f>IFERROR(IF(AND(OR(Table834[[#This Row],[Classification]]="Income",Table834[[#This Row],[Classification]]="Cost of Goods Sold"),Table834[[#This Row],[Credit.]]&gt;Table834[[#This Row],[Debit\]]),Table834[[#This Row],[Credit.]]-Table834[[#This Row],[Debit\]],""),"")</f>
        <v/>
      </c>
      <c r="AF38" s="34"/>
      <c r="AG38" s="34" t="str">
        <f>IFERROR(IF(AND(Table834[[#This Row],[Classification]]="Assets",Table834[[#This Row],[Debit\]]-Table834[[#This Row],[Credit.]]),Table834[[#This Row],[Debit\]]-Table834[[#This Row],[Credit.]],""),"")</f>
        <v/>
      </c>
      <c r="AH38" s="34" t="str">
        <f>IFERROR(IF(AND(OR(Table834[[#This Row],[Classification]]="Liabilities",Table834[[#This Row],[Classification]]="Owner´s Equity"),Table834[[#This Row],[Credit.]]&gt;Table834[[#This Row],[Debit\]]),Table834[[#This Row],[Credit.]]-Table834[[#This Row],[Debit\]],""),"")</f>
        <v/>
      </c>
    </row>
    <row r="39" spans="2:34" hidden="1" x14ac:dyDescent="0.25">
      <c r="B39" s="34"/>
      <c r="C39" s="37" t="s">
        <v>93</v>
      </c>
      <c r="D39" s="34">
        <v>510902</v>
      </c>
      <c r="E39" s="34"/>
      <c r="G39" s="39"/>
      <c r="H39" s="40"/>
      <c r="I39" s="41"/>
      <c r="J39" s="41"/>
      <c r="L39" s="34">
        <v>32</v>
      </c>
      <c r="M39" s="35" t="s">
        <v>140</v>
      </c>
      <c r="N39" s="35" t="s">
        <v>94</v>
      </c>
      <c r="O39" s="34">
        <f>IFERROR(SUMIF(Table431[,],Table633[[#This Row],[Accounts Name]],Table431[,3]),"")</f>
        <v>1702569</v>
      </c>
      <c r="P39" s="34">
        <f>IFERROR(SUMIF(Table431[,],Table633[[#This Row],[Accounts Name]],Table431[,2]),"")</f>
        <v>0</v>
      </c>
      <c r="S39" s="36">
        <f t="shared" si="0"/>
        <v>32</v>
      </c>
      <c r="T39" s="34" t="s">
        <v>61</v>
      </c>
      <c r="U39" s="37" t="s">
        <v>168</v>
      </c>
      <c r="V39" s="34">
        <f>IFERROR(SUMIF(Table633[Sub-Accounts],Table834[[#This Row],[Update your chart of accounts here]],Table633[Debit]),"")</f>
        <v>302989.64</v>
      </c>
      <c r="W39" s="34">
        <f>IFERROR(SUMIF(Table633[Sub-Accounts],Table834[[#This Row],[Update your chart of accounts here]],Table633[Credit]),"")</f>
        <v>0</v>
      </c>
      <c r="X39" s="34"/>
      <c r="Y39" s="34"/>
      <c r="Z39" s="34"/>
      <c r="AA39" s="34"/>
      <c r="AB39" s="34">
        <f>MAX(Table834[[#This Row],[Debit]]+Table834[[#This Row],[Debit -]]-Table834[[#This Row],[Credit]]-Table834[[#This Row],[Credit +]],0)</f>
        <v>302989.64</v>
      </c>
      <c r="AC39" s="34">
        <f>MAX(Table834[[#This Row],[Credit]]-Table834[[#This Row],[Debit]]+Table834[[#This Row],[Credit +]]-Table834[[#This Row],[Debit -]],0)</f>
        <v>0</v>
      </c>
      <c r="AD39" s="34">
        <f>IFERROR(IF(AND(OR(Table834[[#This Row],[Classification]]="Expense",Table834[[#This Row],[Classification]]="Cost of Goods Sold"),Table834[[#This Row],[Debit\]]&gt;Table834[[#This Row],[Credit.]]),Table834[[#This Row],[Debit\]]-Table834[[#This Row],[Credit.]],""),"")</f>
        <v>302989.64</v>
      </c>
      <c r="AE39" s="34" t="str">
        <f>IFERROR(IF(AND(OR(Table834[[#This Row],[Classification]]="Income",Table834[[#This Row],[Classification]]="Cost of Goods Sold"),Table834[[#This Row],[Credit.]]&gt;Table834[[#This Row],[Debit\]]),Table834[[#This Row],[Credit.]]-Table834[[#This Row],[Debit\]],""),"")</f>
        <v/>
      </c>
      <c r="AF39" s="34"/>
      <c r="AG39" s="34" t="str">
        <f>IFERROR(IF(AND(Table834[[#This Row],[Classification]]="Assets",Table834[[#This Row],[Debit\]]-Table834[[#This Row],[Credit.]]),Table834[[#This Row],[Debit\]]-Table834[[#This Row],[Credit.]],""),"")</f>
        <v/>
      </c>
      <c r="AH39" s="34" t="str">
        <f>IFERROR(IF(AND(OR(Table834[[#This Row],[Classification]]="Liabilities",Table834[[#This Row],[Classification]]="Owner´s Equity"),Table834[[#This Row],[Credit.]]&gt;Table834[[#This Row],[Debit\]]),Table834[[#This Row],[Credit.]]-Table834[[#This Row],[Debit\]],""),"")</f>
        <v/>
      </c>
    </row>
    <row r="40" spans="2:34" hidden="1" x14ac:dyDescent="0.25">
      <c r="B40" s="34"/>
      <c r="C40" s="37" t="s">
        <v>94</v>
      </c>
      <c r="D40" s="34">
        <v>1702569</v>
      </c>
      <c r="E40" s="34"/>
      <c r="G40" s="39"/>
      <c r="H40" s="40"/>
      <c r="I40" s="41"/>
      <c r="J40" s="41"/>
      <c r="L40" s="34">
        <v>33</v>
      </c>
      <c r="M40" s="35" t="s">
        <v>140</v>
      </c>
      <c r="N40" s="35" t="s">
        <v>95</v>
      </c>
      <c r="O40" s="34">
        <f>IFERROR(SUMIF(Table431[,],Table633[[#This Row],[Accounts Name]],Table431[,3]),"")</f>
        <v>735271</v>
      </c>
      <c r="P40" s="34">
        <f>IFERROR(SUMIF(Table431[,],Table633[[#This Row],[Accounts Name]],Table431[,2]),"")</f>
        <v>0</v>
      </c>
      <c r="S40" s="36">
        <f t="shared" si="0"/>
        <v>33</v>
      </c>
      <c r="T40" s="34" t="s">
        <v>61</v>
      </c>
      <c r="U40" s="37" t="s">
        <v>153</v>
      </c>
      <c r="V40" s="34">
        <f>IFERROR(SUMIF(Table633[Sub-Accounts],Table834[[#This Row],[Update your chart of accounts here]],Table633[Debit]),"")</f>
        <v>233250</v>
      </c>
      <c r="W40" s="34">
        <f>IFERROR(SUMIF(Table633[Sub-Accounts],Table834[[#This Row],[Update your chart of accounts here]],Table633[Credit]),"")</f>
        <v>0</v>
      </c>
      <c r="X40" s="34"/>
      <c r="Y40" s="34"/>
      <c r="Z40" s="34"/>
      <c r="AA40" s="34"/>
      <c r="AB40" s="34">
        <f>MAX(Table834[[#This Row],[Debit]]+Table834[[#This Row],[Debit -]]-Table834[[#This Row],[Credit]]-Table834[[#This Row],[Credit +]],0)</f>
        <v>233250</v>
      </c>
      <c r="AC40" s="34">
        <f>MAX(Table834[[#This Row],[Credit]]-Table834[[#This Row],[Debit]]+Table834[[#This Row],[Credit +]]-Table834[[#This Row],[Debit -]],0)</f>
        <v>0</v>
      </c>
      <c r="AD40" s="34">
        <f>IFERROR(IF(AND(OR(Table834[[#This Row],[Classification]]="Expense",Table834[[#This Row],[Classification]]="Cost of Goods Sold"),Table834[[#This Row],[Debit\]]&gt;Table834[[#This Row],[Credit.]]),Table834[[#This Row],[Debit\]]-Table834[[#This Row],[Credit.]],""),"")</f>
        <v>233250</v>
      </c>
      <c r="AE40" s="34" t="str">
        <f>IFERROR(IF(AND(OR(Table834[[#This Row],[Classification]]="Income",Table834[[#This Row],[Classification]]="Cost of Goods Sold"),Table834[[#This Row],[Credit.]]&gt;Table834[[#This Row],[Debit\]]),Table834[[#This Row],[Credit.]]-Table834[[#This Row],[Debit\]],""),"")</f>
        <v/>
      </c>
      <c r="AF40" s="34"/>
      <c r="AG40" s="34" t="str">
        <f>IFERROR(IF(AND(Table834[[#This Row],[Classification]]="Assets",Table834[[#This Row],[Debit\]]-Table834[[#This Row],[Credit.]]),Table834[[#This Row],[Debit\]]-Table834[[#This Row],[Credit.]],""),"")</f>
        <v/>
      </c>
      <c r="AH40" s="34" t="str">
        <f>IFERROR(IF(AND(OR(Table834[[#This Row],[Classification]]="Liabilities",Table834[[#This Row],[Classification]]="Owner´s Equity"),Table834[[#This Row],[Credit.]]&gt;Table834[[#This Row],[Debit\]]),Table834[[#This Row],[Credit.]]-Table834[[#This Row],[Debit\]],""),"")</f>
        <v/>
      </c>
    </row>
    <row r="41" spans="2:34" hidden="1" x14ac:dyDescent="0.25">
      <c r="B41" s="34"/>
      <c r="C41" s="37" t="s">
        <v>95</v>
      </c>
      <c r="D41" s="34">
        <v>735271</v>
      </c>
      <c r="E41" s="34"/>
      <c r="G41" s="39"/>
      <c r="H41" s="43"/>
      <c r="I41" s="41"/>
      <c r="J41" s="41"/>
      <c r="L41" s="34">
        <v>34</v>
      </c>
      <c r="M41" s="35" t="s">
        <v>141</v>
      </c>
      <c r="N41" s="35" t="s">
        <v>96</v>
      </c>
      <c r="O41" s="34">
        <f>IFERROR(SUMIF(Table431[,],Table633[[#This Row],[Accounts Name]],Table431[,3]),"")</f>
        <v>0</v>
      </c>
      <c r="P41" s="34">
        <f>IFERROR(SUMIF(Table431[,],Table633[[#This Row],[Accounts Name]],Table431[,2]),"")</f>
        <v>1318131</v>
      </c>
      <c r="S41" s="36">
        <f t="shared" si="0"/>
        <v>34</v>
      </c>
      <c r="T41" s="34" t="s">
        <v>61</v>
      </c>
      <c r="U41" s="37" t="s">
        <v>152</v>
      </c>
      <c r="V41" s="34">
        <f>IFERROR(SUMIF(Table633[Sub-Accounts],Table834[[#This Row],[Update your chart of accounts here]],Table633[Debit]),"")</f>
        <v>51948.32</v>
      </c>
      <c r="W41" s="34">
        <f>IFERROR(SUMIF(Table633[Sub-Accounts],Table834[[#This Row],[Update your chart of accounts here]],Table633[Credit]),"")</f>
        <v>0</v>
      </c>
      <c r="X41" s="34"/>
      <c r="Y41" s="34"/>
      <c r="Z41" s="34"/>
      <c r="AA41" s="34"/>
      <c r="AB41" s="34">
        <f>MAX(Table834[[#This Row],[Debit]]+Table834[[#This Row],[Debit -]]-Table834[[#This Row],[Credit]]-Table834[[#This Row],[Credit +]],0)</f>
        <v>51948.32</v>
      </c>
      <c r="AC41" s="34">
        <f>MAX(Table834[[#This Row],[Credit]]-Table834[[#This Row],[Debit]]+Table834[[#This Row],[Credit +]]-Table834[[#This Row],[Debit -]],0)</f>
        <v>0</v>
      </c>
      <c r="AD41" s="34">
        <f>IFERROR(IF(AND(OR(Table834[[#This Row],[Classification]]="Expense",Table834[[#This Row],[Classification]]="Cost of Goods Sold"),Table834[[#This Row],[Debit\]]&gt;Table834[[#This Row],[Credit.]]),Table834[[#This Row],[Debit\]]-Table834[[#This Row],[Credit.]],""),"")</f>
        <v>51948.32</v>
      </c>
      <c r="AE41" s="34" t="str">
        <f>IFERROR(IF(AND(OR(Table834[[#This Row],[Classification]]="Income",Table834[[#This Row],[Classification]]="Cost of Goods Sold"),Table834[[#This Row],[Credit.]]&gt;Table834[[#This Row],[Debit\]]),Table834[[#This Row],[Credit.]]-Table834[[#This Row],[Debit\]],""),"")</f>
        <v/>
      </c>
      <c r="AF41" s="34"/>
      <c r="AG41" s="34" t="str">
        <f>IFERROR(IF(AND(Table834[[#This Row],[Classification]]="Assets",Table834[[#This Row],[Debit\]]-Table834[[#This Row],[Credit.]]),Table834[[#This Row],[Debit\]]-Table834[[#This Row],[Credit.]],""),"")</f>
        <v/>
      </c>
      <c r="AH41" s="34" t="str">
        <f>IFERROR(IF(AND(OR(Table834[[#This Row],[Classification]]="Liabilities",Table834[[#This Row],[Classification]]="Owner´s Equity"),Table834[[#This Row],[Credit.]]&gt;Table834[[#This Row],[Debit\]]),Table834[[#This Row],[Credit.]]-Table834[[#This Row],[Debit\]],""),"")</f>
        <v/>
      </c>
    </row>
    <row r="42" spans="2:34" hidden="1" x14ac:dyDescent="0.25">
      <c r="B42" s="34"/>
      <c r="C42" s="37" t="s">
        <v>96</v>
      </c>
      <c r="D42" s="34"/>
      <c r="E42" s="34">
        <v>1318131</v>
      </c>
      <c r="G42" s="39"/>
      <c r="H42" s="40"/>
      <c r="I42" s="41"/>
      <c r="J42" s="41"/>
      <c r="L42" s="34">
        <v>35</v>
      </c>
      <c r="M42" s="35" t="s">
        <v>145</v>
      </c>
      <c r="N42" s="35" t="s">
        <v>97</v>
      </c>
      <c r="O42" s="34">
        <f>IFERROR(SUMIF(Table431[,],Table633[[#This Row],[Accounts Name]],Table431[,3]),"")</f>
        <v>0</v>
      </c>
      <c r="P42" s="34">
        <f>IFERROR(SUMIF(Table431[,],Table633[[#This Row],[Accounts Name]],Table431[,2]),"")</f>
        <v>11852079.26</v>
      </c>
      <c r="S42" s="36">
        <f t="shared" si="0"/>
        <v>35</v>
      </c>
      <c r="T42" s="34" t="s">
        <v>61</v>
      </c>
      <c r="U42" s="37" t="s">
        <v>156</v>
      </c>
      <c r="V42" s="34">
        <f>IFERROR(SUMIF(Table633[Sub-Accounts],Table834[[#This Row],[Update your chart of accounts here]],Table633[Debit]),"")</f>
        <v>219706</v>
      </c>
      <c r="W42" s="34">
        <f>IFERROR(SUMIF(Table633[Sub-Accounts],Table834[[#This Row],[Update your chart of accounts here]],Table633[Credit]),"")</f>
        <v>0</v>
      </c>
      <c r="X42" s="34"/>
      <c r="Y42" s="34"/>
      <c r="Z42" s="34"/>
      <c r="AA42" s="34"/>
      <c r="AB42" s="34">
        <f>MAX(Table834[[#This Row],[Debit]]+Table834[[#This Row],[Debit -]]-Table834[[#This Row],[Credit]]-Table834[[#This Row],[Credit +]],0)</f>
        <v>219706</v>
      </c>
      <c r="AC42" s="34">
        <f>MAX(Table834[[#This Row],[Credit]]-Table834[[#This Row],[Debit]]+Table834[[#This Row],[Credit +]]-Table834[[#This Row],[Debit -]],0)</f>
        <v>0</v>
      </c>
      <c r="AD42" s="34">
        <f>IFERROR(IF(AND(OR(Table834[[#This Row],[Classification]]="Expense",Table834[[#This Row],[Classification]]="Cost of Goods Sold"),Table834[[#This Row],[Debit\]]&gt;Table834[[#This Row],[Credit.]]),Table834[[#This Row],[Debit\]]-Table834[[#This Row],[Credit.]],""),"")</f>
        <v>219706</v>
      </c>
      <c r="AE42" s="34" t="str">
        <f>IFERROR(IF(AND(OR(Table834[[#This Row],[Classification]]="Income",Table834[[#This Row],[Classification]]="Cost of Goods Sold"),Table834[[#This Row],[Credit.]]&gt;Table834[[#This Row],[Debit\]]),Table834[[#This Row],[Credit.]]-Table834[[#This Row],[Debit\]],""),"")</f>
        <v/>
      </c>
      <c r="AF42" s="34"/>
      <c r="AG42" s="34" t="str">
        <f>IFERROR(IF(AND(Table834[[#This Row],[Classification]]="Assets",Table834[[#This Row],[Debit\]]-Table834[[#This Row],[Credit.]]),Table834[[#This Row],[Debit\]]-Table834[[#This Row],[Credit.]],""),"")</f>
        <v/>
      </c>
      <c r="AH42" s="34" t="str">
        <f>IFERROR(IF(AND(OR(Table834[[#This Row],[Classification]]="Liabilities",Table834[[#This Row],[Classification]]="Owner´s Equity"),Table834[[#This Row],[Credit.]]&gt;Table834[[#This Row],[Debit\]]),Table834[[#This Row],[Credit.]]-Table834[[#This Row],[Debit\]],""),"")</f>
        <v/>
      </c>
    </row>
    <row r="43" spans="2:34" hidden="1" x14ac:dyDescent="0.25">
      <c r="B43" s="34"/>
      <c r="C43" s="37" t="s">
        <v>97</v>
      </c>
      <c r="D43" s="34"/>
      <c r="E43" s="34">
        <v>11852079.26</v>
      </c>
      <c r="G43" s="39"/>
      <c r="H43" s="40"/>
      <c r="I43" s="41"/>
      <c r="J43" s="41"/>
      <c r="L43" s="34">
        <v>36</v>
      </c>
      <c r="M43" s="35" t="s">
        <v>146</v>
      </c>
      <c r="N43" s="35" t="s">
        <v>98</v>
      </c>
      <c r="O43" s="34">
        <f>IFERROR(SUMIF(Table431[,],Table633[[#This Row],[Accounts Name]],Table431[,3]),"")</f>
        <v>0</v>
      </c>
      <c r="P43" s="34">
        <f>IFERROR(SUMIF(Table431[,],Table633[[#This Row],[Accounts Name]],Table431[,2]),"")</f>
        <v>400</v>
      </c>
      <c r="S43" s="36">
        <f t="shared" si="0"/>
        <v>36</v>
      </c>
      <c r="T43" s="34" t="s">
        <v>61</v>
      </c>
      <c r="U43" s="37" t="s">
        <v>217</v>
      </c>
      <c r="V43" s="34">
        <f>IFERROR(SUMIF(Table633[Sub-Accounts],Table834[[#This Row],[Update your chart of accounts here]],Table633[Debit]),"")</f>
        <v>0</v>
      </c>
      <c r="W43" s="34">
        <f>IFERROR(SUMIF(Table633[Sub-Accounts],Table834[[#This Row],[Update your chart of accounts here]],Table633[Credit]),"")</f>
        <v>0</v>
      </c>
      <c r="X43" s="34"/>
      <c r="Y43" s="34"/>
      <c r="Z43" s="34"/>
      <c r="AA43" s="34"/>
      <c r="AB43" s="34">
        <f>MAX(Table834[[#This Row],[Debit]]+Table834[[#This Row],[Debit -]]-Table834[[#This Row],[Credit]]-Table834[[#This Row],[Credit +]],0)</f>
        <v>0</v>
      </c>
      <c r="AC43" s="34">
        <f>MAX(Table834[[#This Row],[Credit]]-Table834[[#This Row],[Debit]]+Table834[[#This Row],[Credit +]]-Table834[[#This Row],[Debit -]],0)</f>
        <v>0</v>
      </c>
      <c r="AD43" s="34" t="str">
        <f>IFERROR(IF(AND(OR(Table834[[#This Row],[Classification]]="Expense",Table834[[#This Row],[Classification]]="Cost of Goods Sold"),Table834[[#This Row],[Debit\]]&gt;Table834[[#This Row],[Credit.]]),Table834[[#This Row],[Debit\]]-Table834[[#This Row],[Credit.]],""),"")</f>
        <v/>
      </c>
      <c r="AE43" s="34" t="str">
        <f>IFERROR(IF(AND(OR(Table834[[#This Row],[Classification]]="Income",Table834[[#This Row],[Classification]]="Cost of Goods Sold"),Table834[[#This Row],[Credit.]]&gt;Table834[[#This Row],[Debit\]]),Table834[[#This Row],[Credit.]]-Table834[[#This Row],[Debit\]],""),"")</f>
        <v/>
      </c>
      <c r="AF43" s="34"/>
      <c r="AG43" s="34" t="str">
        <f>IFERROR(IF(AND(Table834[[#This Row],[Classification]]="Assets",Table834[[#This Row],[Debit\]]-Table834[[#This Row],[Credit.]]),Table834[[#This Row],[Debit\]]-Table834[[#This Row],[Credit.]],""),"")</f>
        <v/>
      </c>
      <c r="AH43" s="34" t="str">
        <f>IFERROR(IF(AND(OR(Table834[[#This Row],[Classification]]="Liabilities",Table834[[#This Row],[Classification]]="Owner´s Equity"),Table834[[#This Row],[Credit.]]&gt;Table834[[#This Row],[Debit\]]),Table834[[#This Row],[Credit.]]-Table834[[#This Row],[Debit\]],""),"")</f>
        <v/>
      </c>
    </row>
    <row r="44" spans="2:34" hidden="1" x14ac:dyDescent="0.25">
      <c r="B44" s="34"/>
      <c r="C44" s="37" t="s">
        <v>98</v>
      </c>
      <c r="D44" s="34"/>
      <c r="E44" s="34">
        <v>400</v>
      </c>
      <c r="G44" s="39"/>
      <c r="H44" s="43"/>
      <c r="I44" s="41"/>
      <c r="J44" s="41"/>
      <c r="L44" s="34">
        <v>37</v>
      </c>
      <c r="M44" s="35" t="s">
        <v>143</v>
      </c>
      <c r="N44" s="35" t="s">
        <v>99</v>
      </c>
      <c r="O44" s="34">
        <f>IFERROR(SUMIF(Table431[,],Table633[[#This Row],[Accounts Name]],Table431[,3]),"")</f>
        <v>0</v>
      </c>
      <c r="P44" s="34">
        <f>IFERROR(SUMIF(Table431[,],Table633[[#This Row],[Accounts Name]],Table431[,2]),"")</f>
        <v>800000</v>
      </c>
      <c r="S44" s="36">
        <f t="shared" si="0"/>
        <v>37</v>
      </c>
      <c r="T44" s="34" t="s">
        <v>61</v>
      </c>
      <c r="U44" s="37" t="s">
        <v>218</v>
      </c>
      <c r="V44" s="34">
        <f>IFERROR(SUMIF(Table633[Sub-Accounts],Table834[[#This Row],[Update your chart of accounts here]],Table633[Debit]),"")</f>
        <v>0</v>
      </c>
      <c r="W44" s="34">
        <f>IFERROR(SUMIF(Table633[Sub-Accounts],Table834[[#This Row],[Update your chart of accounts here]],Table633[Credit]),"")</f>
        <v>0</v>
      </c>
      <c r="X44" s="34"/>
      <c r="Y44" s="34"/>
      <c r="Z44" s="34"/>
      <c r="AA44" s="34"/>
      <c r="AB44" s="34">
        <f>MAX(Table834[[#This Row],[Debit]]+Table834[[#This Row],[Debit -]]-Table834[[#This Row],[Credit]]-Table834[[#This Row],[Credit +]],0)</f>
        <v>0</v>
      </c>
      <c r="AC44" s="34">
        <f>MAX(Table834[[#This Row],[Credit]]-Table834[[#This Row],[Debit]]+Table834[[#This Row],[Credit +]]-Table834[[#This Row],[Debit -]],0)</f>
        <v>0</v>
      </c>
      <c r="AD44" s="34" t="str">
        <f>IFERROR(IF(AND(OR(Table834[[#This Row],[Classification]]="Expense",Table834[[#This Row],[Classification]]="Cost of Goods Sold"),Table834[[#This Row],[Debit\]]&gt;Table834[[#This Row],[Credit.]]),Table834[[#This Row],[Debit\]]-Table834[[#This Row],[Credit.]],""),"")</f>
        <v/>
      </c>
      <c r="AE44" s="34" t="str">
        <f>IFERROR(IF(AND(OR(Table834[[#This Row],[Classification]]="Income",Table834[[#This Row],[Classification]]="Cost of Goods Sold"),Table834[[#This Row],[Credit.]]&gt;Table834[[#This Row],[Debit\]]),Table834[[#This Row],[Credit.]]-Table834[[#This Row],[Debit\]],""),"")</f>
        <v/>
      </c>
      <c r="AF44" s="34"/>
      <c r="AG44" s="34" t="str">
        <f>IFERROR(IF(AND(Table834[[#This Row],[Classification]]="Assets",Table834[[#This Row],[Debit\]]-Table834[[#This Row],[Credit.]]),Table834[[#This Row],[Debit\]]-Table834[[#This Row],[Credit.]],""),"")</f>
        <v/>
      </c>
      <c r="AH44" s="34" t="str">
        <f>IFERROR(IF(AND(OR(Table834[[#This Row],[Classification]]="Liabilities",Table834[[#This Row],[Classification]]="Owner´s Equity"),Table834[[#This Row],[Credit.]]&gt;Table834[[#This Row],[Debit\]]),Table834[[#This Row],[Credit.]]-Table834[[#This Row],[Debit\]],""),"")</f>
        <v/>
      </c>
    </row>
    <row r="45" spans="2:34" hidden="1" x14ac:dyDescent="0.25">
      <c r="B45" s="34"/>
      <c r="C45" s="37" t="s">
        <v>99</v>
      </c>
      <c r="D45" s="34"/>
      <c r="E45" s="34">
        <v>800000</v>
      </c>
      <c r="G45" s="39"/>
      <c r="H45" s="40"/>
      <c r="I45" s="41"/>
      <c r="J45" s="41"/>
      <c r="L45" s="34">
        <v>38</v>
      </c>
      <c r="M45" s="35" t="s">
        <v>62</v>
      </c>
      <c r="N45" s="35" t="s">
        <v>100</v>
      </c>
      <c r="O45" s="34">
        <f>IFERROR(SUMIF(Table431[,],Table633[[#This Row],[Accounts Name]],Table431[,3]),"")</f>
        <v>0</v>
      </c>
      <c r="P45" s="34">
        <f>IFERROR(SUMIF(Table431[,],Table633[[#This Row],[Accounts Name]],Table431[,2]),"")</f>
        <v>332888373.44999999</v>
      </c>
      <c r="S45" s="36">
        <f t="shared" si="0"/>
        <v>38</v>
      </c>
      <c r="T45" s="34" t="s">
        <v>61</v>
      </c>
      <c r="U45" s="37" t="s">
        <v>163</v>
      </c>
      <c r="V45" s="34">
        <f>IFERROR(SUMIF(Table633[Sub-Accounts],Table834[[#This Row],[Update your chart of accounts here]],Table633[Debit]),"")</f>
        <v>300</v>
      </c>
      <c r="W45" s="34">
        <f>IFERROR(SUMIF(Table633[Sub-Accounts],Table834[[#This Row],[Update your chart of accounts here]],Table633[Credit]),"")</f>
        <v>0</v>
      </c>
      <c r="X45" s="34"/>
      <c r="Y45" s="34"/>
      <c r="Z45" s="34"/>
      <c r="AA45" s="34"/>
      <c r="AB45" s="34">
        <f>MAX(Table834[[#This Row],[Debit]]+Table834[[#This Row],[Debit -]]-Table834[[#This Row],[Credit]]-Table834[[#This Row],[Credit +]],0)</f>
        <v>300</v>
      </c>
      <c r="AC45" s="34">
        <f>MAX(Table834[[#This Row],[Credit]]-Table834[[#This Row],[Debit]]+Table834[[#This Row],[Credit +]]-Table834[[#This Row],[Debit -]],0)</f>
        <v>0</v>
      </c>
      <c r="AD45" s="34">
        <f>IFERROR(IF(AND(OR(Table834[[#This Row],[Classification]]="Expense",Table834[[#This Row],[Classification]]="Cost of Goods Sold"),Table834[[#This Row],[Debit\]]&gt;Table834[[#This Row],[Credit.]]),Table834[[#This Row],[Debit\]]-Table834[[#This Row],[Credit.]],""),"")</f>
        <v>300</v>
      </c>
      <c r="AE45" s="34" t="str">
        <f>IFERROR(IF(AND(OR(Table834[[#This Row],[Classification]]="Income",Table834[[#This Row],[Classification]]="Cost of Goods Sold"),Table834[[#This Row],[Credit.]]&gt;Table834[[#This Row],[Debit\]]),Table834[[#This Row],[Credit.]]-Table834[[#This Row],[Debit\]],""),"")</f>
        <v/>
      </c>
      <c r="AF45" s="34"/>
      <c r="AG45" s="34" t="str">
        <f>IFERROR(IF(AND(Table834[[#This Row],[Classification]]="Assets",Table834[[#This Row],[Debit\]]-Table834[[#This Row],[Credit.]]),Table834[[#This Row],[Debit\]]-Table834[[#This Row],[Credit.]],""),"")</f>
        <v/>
      </c>
      <c r="AH45" s="34" t="str">
        <f>IFERROR(IF(AND(OR(Table834[[#This Row],[Classification]]="Liabilities",Table834[[#This Row],[Classification]]="Owner´s Equity"),Table834[[#This Row],[Credit.]]&gt;Table834[[#This Row],[Debit\]]),Table834[[#This Row],[Credit.]]-Table834[[#This Row],[Debit\]],""),"")</f>
        <v/>
      </c>
    </row>
    <row r="46" spans="2:34" hidden="1" x14ac:dyDescent="0.25">
      <c r="B46" s="34"/>
      <c r="C46" s="37" t="s">
        <v>100</v>
      </c>
      <c r="D46" s="34"/>
      <c r="E46" s="34">
        <v>332888373.44999999</v>
      </c>
      <c r="G46" s="39"/>
      <c r="H46" s="40"/>
      <c r="I46" s="41"/>
      <c r="J46" s="41"/>
      <c r="L46" s="34">
        <v>39</v>
      </c>
      <c r="M46" s="35" t="s">
        <v>147</v>
      </c>
      <c r="N46" s="35" t="s">
        <v>101</v>
      </c>
      <c r="O46" s="34">
        <f>IFERROR(SUMIF(Table431[,],Table633[[#This Row],[Accounts Name]],Table431[,3]),"")</f>
        <v>316209838.63</v>
      </c>
      <c r="P46" s="34">
        <f>IFERROR(SUMIF(Table431[,],Table633[[#This Row],[Accounts Name]],Table431[,2]),"")</f>
        <v>0</v>
      </c>
      <c r="S46" s="36">
        <f t="shared" si="0"/>
        <v>39</v>
      </c>
      <c r="T46" s="34" t="s">
        <v>61</v>
      </c>
      <c r="U46" s="37" t="s">
        <v>164</v>
      </c>
      <c r="V46" s="34">
        <f>IFERROR(SUMIF(Table633[Sub-Accounts],Table834[[#This Row],[Update your chart of accounts here]],Table633[Debit]),"")</f>
        <v>436840.42</v>
      </c>
      <c r="W46" s="34">
        <f>IFERROR(SUMIF(Table633[Sub-Accounts],Table834[[#This Row],[Update your chart of accounts here]],Table633[Credit]),"")</f>
        <v>0</v>
      </c>
      <c r="X46" s="34"/>
      <c r="Y46" s="34"/>
      <c r="Z46" s="34"/>
      <c r="AA46" s="34"/>
      <c r="AB46" s="34">
        <f>MAX(Table834[[#This Row],[Debit]]+Table834[[#This Row],[Debit -]]-Table834[[#This Row],[Credit]]-Table834[[#This Row],[Credit +]],0)</f>
        <v>436840.42</v>
      </c>
      <c r="AC46" s="34">
        <f>MAX(Table834[[#This Row],[Credit]]-Table834[[#This Row],[Debit]]+Table834[[#This Row],[Credit +]]-Table834[[#This Row],[Debit -]],0)</f>
        <v>0</v>
      </c>
      <c r="AD46" s="34">
        <f>IFERROR(IF(AND(OR(Table834[[#This Row],[Classification]]="Expense",Table834[[#This Row],[Classification]]="Cost of Goods Sold"),Table834[[#This Row],[Debit\]]&gt;Table834[[#This Row],[Credit.]]),Table834[[#This Row],[Debit\]]-Table834[[#This Row],[Credit.]],""),"")</f>
        <v>436840.42</v>
      </c>
      <c r="AE46" s="34" t="str">
        <f>IFERROR(IF(AND(OR(Table834[[#This Row],[Classification]]="Income",Table834[[#This Row],[Classification]]="Cost of Goods Sold"),Table834[[#This Row],[Credit.]]&gt;Table834[[#This Row],[Debit\]]),Table834[[#This Row],[Credit.]]-Table834[[#This Row],[Debit\]],""),"")</f>
        <v/>
      </c>
      <c r="AF46" s="34"/>
      <c r="AG46" s="34" t="str">
        <f>IFERROR(IF(AND(Table834[[#This Row],[Classification]]="Assets",Table834[[#This Row],[Debit\]]-Table834[[#This Row],[Credit.]]),Table834[[#This Row],[Debit\]]-Table834[[#This Row],[Credit.]],""),"")</f>
        <v/>
      </c>
      <c r="AH46" s="34" t="str">
        <f>IFERROR(IF(AND(OR(Table834[[#This Row],[Classification]]="Liabilities",Table834[[#This Row],[Classification]]="Owner´s Equity"),Table834[[#This Row],[Credit.]]&gt;Table834[[#This Row],[Debit\]]),Table834[[#This Row],[Credit.]]-Table834[[#This Row],[Debit\]],""),"")</f>
        <v/>
      </c>
    </row>
    <row r="47" spans="2:34" hidden="1" x14ac:dyDescent="0.25">
      <c r="B47" s="34"/>
      <c r="C47" s="37" t="s">
        <v>101</v>
      </c>
      <c r="D47" s="34">
        <v>316209838.63</v>
      </c>
      <c r="E47" s="34"/>
      <c r="G47" s="39"/>
      <c r="H47" s="43"/>
      <c r="I47" s="41"/>
      <c r="J47" s="41"/>
      <c r="L47" s="34">
        <v>40</v>
      </c>
      <c r="M47" s="35" t="s">
        <v>148</v>
      </c>
      <c r="N47" s="35" t="s">
        <v>102</v>
      </c>
      <c r="O47" s="34">
        <f>IFERROR(SUMIF(Table431[,],Table633[[#This Row],[Accounts Name]],Table431[,3]),"")</f>
        <v>568965.54</v>
      </c>
      <c r="P47" s="34">
        <f>IFERROR(SUMIF(Table431[,],Table633[[#This Row],[Accounts Name]],Table431[,2]),"")</f>
        <v>0</v>
      </c>
      <c r="S47" s="36">
        <f t="shared" si="0"/>
        <v>40</v>
      </c>
      <c r="T47" s="34" t="s">
        <v>61</v>
      </c>
      <c r="U47" s="37" t="s">
        <v>219</v>
      </c>
      <c r="V47" s="34">
        <f>IFERROR(SUMIF(Table633[Sub-Accounts],Table834[[#This Row],[Update your chart of accounts here]],Table633[Debit]),"")</f>
        <v>0</v>
      </c>
      <c r="W47" s="34">
        <f>IFERROR(SUMIF(Table633[Sub-Accounts],Table834[[#This Row],[Update your chart of accounts here]],Table633[Credit]),"")</f>
        <v>0</v>
      </c>
      <c r="X47" s="34"/>
      <c r="Y47" s="34"/>
      <c r="Z47" s="34"/>
      <c r="AA47" s="34"/>
      <c r="AB47" s="34">
        <f>MAX(Table834[[#This Row],[Debit]]+Table834[[#This Row],[Debit -]]-Table834[[#This Row],[Credit]]-Table834[[#This Row],[Credit +]],0)</f>
        <v>0</v>
      </c>
      <c r="AC47" s="34">
        <f>MAX(Table834[[#This Row],[Credit]]-Table834[[#This Row],[Debit]]+Table834[[#This Row],[Credit +]]-Table834[[#This Row],[Debit -]],0)</f>
        <v>0</v>
      </c>
      <c r="AD47" s="34" t="str">
        <f>IFERROR(IF(AND(OR(Table834[[#This Row],[Classification]]="Expense",Table834[[#This Row],[Classification]]="Cost of Goods Sold"),Table834[[#This Row],[Debit\]]&gt;Table834[[#This Row],[Credit.]]),Table834[[#This Row],[Debit\]]-Table834[[#This Row],[Credit.]],""),"")</f>
        <v/>
      </c>
      <c r="AE47" s="34" t="str">
        <f>IFERROR(IF(AND(OR(Table834[[#This Row],[Classification]]="Income",Table834[[#This Row],[Classification]]="Cost of Goods Sold"),Table834[[#This Row],[Credit.]]&gt;Table834[[#This Row],[Debit\]]),Table834[[#This Row],[Credit.]]-Table834[[#This Row],[Debit\]],""),"")</f>
        <v/>
      </c>
      <c r="AF47" s="34"/>
      <c r="AG47" s="34" t="str">
        <f>IFERROR(IF(AND(Table834[[#This Row],[Classification]]="Assets",Table834[[#This Row],[Debit\]]-Table834[[#This Row],[Credit.]]),Table834[[#This Row],[Debit\]]-Table834[[#This Row],[Credit.]],""),"")</f>
        <v/>
      </c>
      <c r="AH47" s="34" t="str">
        <f>IFERROR(IF(AND(OR(Table834[[#This Row],[Classification]]="Liabilities",Table834[[#This Row],[Classification]]="Owner´s Equity"),Table834[[#This Row],[Credit.]]&gt;Table834[[#This Row],[Debit\]]),Table834[[#This Row],[Credit.]]-Table834[[#This Row],[Debit\]],""),"")</f>
        <v/>
      </c>
    </row>
    <row r="48" spans="2:34" hidden="1" x14ac:dyDescent="0.25">
      <c r="B48" s="34"/>
      <c r="C48" s="37" t="s">
        <v>102</v>
      </c>
      <c r="D48" s="34">
        <v>568965.54</v>
      </c>
      <c r="E48" s="34"/>
      <c r="G48" s="39"/>
      <c r="H48" s="40"/>
      <c r="I48" s="41"/>
      <c r="J48" s="41"/>
      <c r="L48" s="34">
        <v>41</v>
      </c>
      <c r="M48" s="35" t="s">
        <v>149</v>
      </c>
      <c r="N48" s="35" t="s">
        <v>103</v>
      </c>
      <c r="O48" s="34">
        <f>IFERROR(SUMIF(Table431[,],Table633[[#This Row],[Accounts Name]],Table431[,3]),"")</f>
        <v>175000</v>
      </c>
      <c r="P48" s="34">
        <f>IFERROR(SUMIF(Table431[,],Table633[[#This Row],[Accounts Name]],Table431[,2]),"")</f>
        <v>0</v>
      </c>
      <c r="S48" s="36">
        <f t="shared" si="0"/>
        <v>41</v>
      </c>
      <c r="T48" s="34" t="s">
        <v>61</v>
      </c>
      <c r="U48" s="37" t="s">
        <v>169</v>
      </c>
      <c r="V48" s="34">
        <f>IFERROR(SUMIF(Table633[Sub-Accounts],Table834[[#This Row],[Update your chart of accounts here]],Table633[Debit]),"")</f>
        <v>2000</v>
      </c>
      <c r="W48" s="34">
        <f>IFERROR(SUMIF(Table633[Sub-Accounts],Table834[[#This Row],[Update your chart of accounts here]],Table633[Credit]),"")</f>
        <v>0</v>
      </c>
      <c r="X48" s="34"/>
      <c r="Y48" s="34"/>
      <c r="Z48" s="34"/>
      <c r="AA48" s="34"/>
      <c r="AB48" s="34">
        <f>MAX(Table834[[#This Row],[Debit]]+Table834[[#This Row],[Debit -]]-Table834[[#This Row],[Credit]]-Table834[[#This Row],[Credit +]],0)</f>
        <v>2000</v>
      </c>
      <c r="AC48" s="34">
        <f>MAX(Table834[[#This Row],[Credit]]-Table834[[#This Row],[Debit]]+Table834[[#This Row],[Credit +]]-Table834[[#This Row],[Debit -]],0)</f>
        <v>0</v>
      </c>
      <c r="AD48" s="34">
        <f>IFERROR(IF(AND(OR(Table834[[#This Row],[Classification]]="Expense",Table834[[#This Row],[Classification]]="Cost of Goods Sold"),Table834[[#This Row],[Debit\]]&gt;Table834[[#This Row],[Credit.]]),Table834[[#This Row],[Debit\]]-Table834[[#This Row],[Credit.]],""),"")</f>
        <v>2000</v>
      </c>
      <c r="AE48" s="34" t="str">
        <f>IFERROR(IF(AND(OR(Table834[[#This Row],[Classification]]="Income",Table834[[#This Row],[Classification]]="Cost of Goods Sold"),Table834[[#This Row],[Credit.]]&gt;Table834[[#This Row],[Debit\]]),Table834[[#This Row],[Credit.]]-Table834[[#This Row],[Debit\]],""),"")</f>
        <v/>
      </c>
      <c r="AF48" s="34"/>
      <c r="AG48" s="34" t="str">
        <f>IFERROR(IF(AND(Table834[[#This Row],[Classification]]="Assets",Table834[[#This Row],[Debit\]]-Table834[[#This Row],[Credit.]]),Table834[[#This Row],[Debit\]]-Table834[[#This Row],[Credit.]],""),"")</f>
        <v/>
      </c>
      <c r="AH48" s="34" t="str">
        <f>IFERROR(IF(AND(OR(Table834[[#This Row],[Classification]]="Liabilities",Table834[[#This Row],[Classification]]="Owner´s Equity"),Table834[[#This Row],[Credit.]]&gt;Table834[[#This Row],[Debit\]]),Table834[[#This Row],[Credit.]]-Table834[[#This Row],[Debit\]],""),"")</f>
        <v/>
      </c>
    </row>
    <row r="49" spans="2:34" hidden="1" x14ac:dyDescent="0.25">
      <c r="B49" s="34"/>
      <c r="C49" s="37" t="s">
        <v>103</v>
      </c>
      <c r="D49" s="34">
        <v>175000</v>
      </c>
      <c r="E49" s="34"/>
      <c r="G49" s="39"/>
      <c r="H49" s="40"/>
      <c r="I49" s="41"/>
      <c r="J49" s="41"/>
      <c r="L49" s="34">
        <v>42</v>
      </c>
      <c r="M49" s="35" t="s">
        <v>150</v>
      </c>
      <c r="N49" s="35" t="s">
        <v>104</v>
      </c>
      <c r="O49" s="34">
        <f>IFERROR(SUMIF(Table431[,],Table633[[#This Row],[Accounts Name]],Table431[,3]),"")</f>
        <v>176009.84</v>
      </c>
      <c r="P49" s="34">
        <f>IFERROR(SUMIF(Table431[,],Table633[[#This Row],[Accounts Name]],Table431[,2]),"")</f>
        <v>0</v>
      </c>
      <c r="S49" s="36">
        <f t="shared" si="0"/>
        <v>42</v>
      </c>
      <c r="T49" s="34" t="s">
        <v>61</v>
      </c>
      <c r="U49" s="37" t="s">
        <v>170</v>
      </c>
      <c r="V49" s="34">
        <f>IFERROR(SUMIF(Table633[Sub-Accounts],Table834[[#This Row],[Update your chart of accounts here]],Table633[Debit]),"")</f>
        <v>13250</v>
      </c>
      <c r="W49" s="34">
        <f>IFERROR(SUMIF(Table633[Sub-Accounts],Table834[[#This Row],[Update your chart of accounts here]],Table633[Credit]),"")</f>
        <v>0</v>
      </c>
      <c r="X49" s="34"/>
      <c r="Y49" s="34"/>
      <c r="Z49" s="34"/>
      <c r="AA49" s="34"/>
      <c r="AB49" s="34">
        <f>MAX(Table834[[#This Row],[Debit]]+Table834[[#This Row],[Debit -]]-Table834[[#This Row],[Credit]]-Table834[[#This Row],[Credit +]],0)</f>
        <v>13250</v>
      </c>
      <c r="AC49" s="34">
        <f>MAX(Table834[[#This Row],[Credit]]-Table834[[#This Row],[Debit]]+Table834[[#This Row],[Credit +]]-Table834[[#This Row],[Debit -]],0)</f>
        <v>0</v>
      </c>
      <c r="AD49" s="34">
        <f>IFERROR(IF(AND(OR(Table834[[#This Row],[Classification]]="Expense",Table834[[#This Row],[Classification]]="Cost of Goods Sold"),Table834[[#This Row],[Debit\]]&gt;Table834[[#This Row],[Credit.]]),Table834[[#This Row],[Debit\]]-Table834[[#This Row],[Credit.]],""),"")</f>
        <v>13250</v>
      </c>
      <c r="AE49" s="34" t="str">
        <f>IFERROR(IF(AND(OR(Table834[[#This Row],[Classification]]="Income",Table834[[#This Row],[Classification]]="Cost of Goods Sold"),Table834[[#This Row],[Credit.]]&gt;Table834[[#This Row],[Debit\]]),Table834[[#This Row],[Credit.]]-Table834[[#This Row],[Debit\]],""),"")</f>
        <v/>
      </c>
      <c r="AF49" s="34"/>
      <c r="AG49" s="34" t="str">
        <f>IFERROR(IF(AND(Table834[[#This Row],[Classification]]="Assets",Table834[[#This Row],[Debit\]]-Table834[[#This Row],[Credit.]]),Table834[[#This Row],[Debit\]]-Table834[[#This Row],[Credit.]],""),"")</f>
        <v/>
      </c>
      <c r="AH49" s="34" t="str">
        <f>IFERROR(IF(AND(OR(Table834[[#This Row],[Classification]]="Liabilities",Table834[[#This Row],[Classification]]="Owner´s Equity"),Table834[[#This Row],[Credit.]]&gt;Table834[[#This Row],[Debit\]]),Table834[[#This Row],[Credit.]]-Table834[[#This Row],[Debit\]],""),"")</f>
        <v/>
      </c>
    </row>
    <row r="50" spans="2:34" hidden="1" x14ac:dyDescent="0.25">
      <c r="B50" s="34"/>
      <c r="C50" s="37" t="s">
        <v>104</v>
      </c>
      <c r="D50" s="34">
        <v>176009.84</v>
      </c>
      <c r="E50" s="34"/>
      <c r="G50" s="39"/>
      <c r="H50" s="43"/>
      <c r="I50" s="41"/>
      <c r="J50" s="41"/>
      <c r="L50" s="34">
        <v>43</v>
      </c>
      <c r="M50" s="35" t="s">
        <v>151</v>
      </c>
      <c r="N50" s="35" t="s">
        <v>105</v>
      </c>
      <c r="O50" s="34">
        <f>IFERROR(SUMIF(Table431[,],Table633[[#This Row],[Accounts Name]],Table431[,3]),"")</f>
        <v>4000</v>
      </c>
      <c r="P50" s="34">
        <f>IFERROR(SUMIF(Table431[,],Table633[[#This Row],[Accounts Name]],Table431[,2]),"")</f>
        <v>0</v>
      </c>
      <c r="S50" s="36">
        <f t="shared" si="0"/>
        <v>43</v>
      </c>
      <c r="T50" s="34" t="s">
        <v>61</v>
      </c>
      <c r="U50" s="37" t="s">
        <v>220</v>
      </c>
      <c r="V50" s="34">
        <f>IFERROR(SUMIF(Table633[Sub-Accounts],Table834[[#This Row],[Update your chart of accounts here]],Table633[Debit]),"")</f>
        <v>0</v>
      </c>
      <c r="W50" s="34">
        <f>IFERROR(SUMIF(Table633[Sub-Accounts],Table834[[#This Row],[Update your chart of accounts here]],Table633[Credit]),"")</f>
        <v>0</v>
      </c>
      <c r="X50" s="34"/>
      <c r="Y50" s="34"/>
      <c r="Z50" s="34"/>
      <c r="AA50" s="34"/>
      <c r="AB50" s="34">
        <f>MAX(Table834[[#This Row],[Debit]]+Table834[[#This Row],[Debit -]]-Table834[[#This Row],[Credit]]-Table834[[#This Row],[Credit +]],0)</f>
        <v>0</v>
      </c>
      <c r="AC50" s="34">
        <f>MAX(Table834[[#This Row],[Credit]]-Table834[[#This Row],[Debit]]+Table834[[#This Row],[Credit +]]-Table834[[#This Row],[Debit -]],0)</f>
        <v>0</v>
      </c>
      <c r="AD50" s="34" t="str">
        <f>IFERROR(IF(AND(OR(Table834[[#This Row],[Classification]]="Expense",Table834[[#This Row],[Classification]]="Cost of Goods Sold"),Table834[[#This Row],[Debit\]]&gt;Table834[[#This Row],[Credit.]]),Table834[[#This Row],[Debit\]]-Table834[[#This Row],[Credit.]],""),"")</f>
        <v/>
      </c>
      <c r="AE50" s="34" t="str">
        <f>IFERROR(IF(AND(OR(Table834[[#This Row],[Classification]]="Income",Table834[[#This Row],[Classification]]="Cost of Goods Sold"),Table834[[#This Row],[Credit.]]&gt;Table834[[#This Row],[Debit\]]),Table834[[#This Row],[Credit.]]-Table834[[#This Row],[Debit\]],""),"")</f>
        <v/>
      </c>
      <c r="AF50" s="34"/>
      <c r="AG50" s="34" t="str">
        <f>IFERROR(IF(AND(Table834[[#This Row],[Classification]]="Assets",Table834[[#This Row],[Debit\]]-Table834[[#This Row],[Credit.]]),Table834[[#This Row],[Debit\]]-Table834[[#This Row],[Credit.]],""),"")</f>
        <v/>
      </c>
      <c r="AH50" s="34" t="str">
        <f>IFERROR(IF(AND(OR(Table834[[#This Row],[Classification]]="Liabilities",Table834[[#This Row],[Classification]]="Owner´s Equity"),Table834[[#This Row],[Credit.]]&gt;Table834[[#This Row],[Debit\]]),Table834[[#This Row],[Credit.]]-Table834[[#This Row],[Debit\]],""),"")</f>
        <v/>
      </c>
    </row>
    <row r="51" spans="2:34" hidden="1" x14ac:dyDescent="0.25">
      <c r="B51" s="34"/>
      <c r="C51" s="37" t="s">
        <v>105</v>
      </c>
      <c r="D51" s="34">
        <v>4000</v>
      </c>
      <c r="E51" s="34"/>
      <c r="G51" s="39"/>
      <c r="H51" s="40"/>
      <c r="I51" s="41"/>
      <c r="J51" s="41"/>
      <c r="L51" s="34">
        <v>44</v>
      </c>
      <c r="M51" s="35" t="s">
        <v>152</v>
      </c>
      <c r="N51" s="35" t="s">
        <v>106</v>
      </c>
      <c r="O51" s="34">
        <f>IFERROR(SUMIF(Table431[,],Table633[[#This Row],[Accounts Name]],Table431[,3]),"")</f>
        <v>50190.32</v>
      </c>
      <c r="P51" s="34">
        <f>IFERROR(SUMIF(Table431[,],Table633[[#This Row],[Accounts Name]],Table431[,2]),"")</f>
        <v>0</v>
      </c>
      <c r="S51" s="36">
        <f t="shared" si="0"/>
        <v>44</v>
      </c>
      <c r="T51" s="34" t="s">
        <v>61</v>
      </c>
      <c r="U51" s="37" t="s">
        <v>155</v>
      </c>
      <c r="V51" s="34">
        <f>IFERROR(SUMIF(Table633[Sub-Accounts],Table834[[#This Row],[Update your chart of accounts here]],Table633[Debit]),"")</f>
        <v>1000000</v>
      </c>
      <c r="W51" s="34">
        <f>IFERROR(SUMIF(Table633[Sub-Accounts],Table834[[#This Row],[Update your chart of accounts here]],Table633[Credit]),"")</f>
        <v>0</v>
      </c>
      <c r="X51" s="34"/>
      <c r="Y51" s="34" t="s">
        <v>226</v>
      </c>
      <c r="Z51" s="34"/>
      <c r="AA51" s="34">
        <f>J15</f>
        <v>1000000</v>
      </c>
      <c r="AB51" s="34">
        <f>MAX(Table834[[#This Row],[Debit]]+Table834[[#This Row],[Debit -]]-Table834[[#This Row],[Credit]]-Table834[[#This Row],[Credit +]],0)</f>
        <v>0</v>
      </c>
      <c r="AC51" s="34">
        <f>MAX(Table834[[#This Row],[Credit]]-Table834[[#This Row],[Debit]]+Table834[[#This Row],[Credit +]]-Table834[[#This Row],[Debit -]],0)</f>
        <v>0</v>
      </c>
      <c r="AD51" s="34" t="str">
        <f>IFERROR(IF(AND(OR(Table834[[#This Row],[Classification]]="Expense",Table834[[#This Row],[Classification]]="Cost of Goods Sold"),Table834[[#This Row],[Debit\]]&gt;Table834[[#This Row],[Credit.]]),Table834[[#This Row],[Debit\]]-Table834[[#This Row],[Credit.]],""),"")</f>
        <v/>
      </c>
      <c r="AE51" s="34" t="str">
        <f>IFERROR(IF(AND(OR(Table834[[#This Row],[Classification]]="Income",Table834[[#This Row],[Classification]]="Cost of Goods Sold"),Table834[[#This Row],[Credit.]]&gt;Table834[[#This Row],[Debit\]]),Table834[[#This Row],[Credit.]]-Table834[[#This Row],[Debit\]],""),"")</f>
        <v/>
      </c>
      <c r="AF51" s="34"/>
      <c r="AG51" s="34" t="str">
        <f>IFERROR(IF(AND(Table834[[#This Row],[Classification]]="Assets",Table834[[#This Row],[Debit\]]-Table834[[#This Row],[Credit.]]),Table834[[#This Row],[Debit\]]-Table834[[#This Row],[Credit.]],""),"")</f>
        <v/>
      </c>
      <c r="AH51" s="34" t="str">
        <f>IFERROR(IF(AND(OR(Table834[[#This Row],[Classification]]="Liabilities",Table834[[#This Row],[Classification]]="Owner´s Equity"),Table834[[#This Row],[Credit.]]&gt;Table834[[#This Row],[Debit\]]),Table834[[#This Row],[Credit.]]-Table834[[#This Row],[Debit\]],""),"")</f>
        <v/>
      </c>
    </row>
    <row r="52" spans="2:34" hidden="1" x14ac:dyDescent="0.25">
      <c r="B52" s="34"/>
      <c r="C52" s="37" t="s">
        <v>106</v>
      </c>
      <c r="D52" s="34">
        <v>50190.32</v>
      </c>
      <c r="E52" s="34"/>
      <c r="G52" s="39"/>
      <c r="H52" s="40"/>
      <c r="I52" s="41"/>
      <c r="J52" s="41"/>
      <c r="L52" s="34">
        <v>45</v>
      </c>
      <c r="M52" s="35" t="s">
        <v>153</v>
      </c>
      <c r="N52" s="35" t="s">
        <v>107</v>
      </c>
      <c r="O52" s="34">
        <f>IFERROR(SUMIF(Table431[,],Table633[[#This Row],[Accounts Name]],Table431[,3]),"")</f>
        <v>233250</v>
      </c>
      <c r="P52" s="34">
        <f>IFERROR(SUMIF(Table431[,],Table633[[#This Row],[Accounts Name]],Table431[,2]),"")</f>
        <v>0</v>
      </c>
      <c r="S52" s="36">
        <f t="shared" si="0"/>
        <v>45</v>
      </c>
      <c r="T52" s="34" t="s">
        <v>61</v>
      </c>
      <c r="U52" s="37" t="s">
        <v>171</v>
      </c>
      <c r="V52" s="34">
        <f>IFERROR(SUMIF(Table633[Sub-Accounts],Table834[[#This Row],[Update your chart of accounts here]],Table633[Debit]),"")</f>
        <v>0</v>
      </c>
      <c r="W52" s="34">
        <f>IFERROR(SUMIF(Table633[Sub-Accounts],Table834[[#This Row],[Update your chart of accounts here]],Table633[Credit]),"")</f>
        <v>0</v>
      </c>
      <c r="X52" s="34"/>
      <c r="Y52" s="34" t="s">
        <v>224</v>
      </c>
      <c r="Z52" s="34">
        <f>I9</f>
        <v>409278.51677448238</v>
      </c>
      <c r="AA52" s="34"/>
      <c r="AB52" s="34">
        <f>MAX(Table834[[#This Row],[Debit]]+Table834[[#This Row],[Debit -]]-Table834[[#This Row],[Credit]]-Table834[[#This Row],[Credit +]],0)</f>
        <v>409278.51677448238</v>
      </c>
      <c r="AC52" s="34">
        <f>MAX(Table834[[#This Row],[Credit]]-Table834[[#This Row],[Debit]]+Table834[[#This Row],[Credit +]]-Table834[[#This Row],[Debit -]],0)</f>
        <v>0</v>
      </c>
      <c r="AD52" s="34">
        <f>IFERROR(IF(AND(OR(Table834[[#This Row],[Classification]]="Expense",Table834[[#This Row],[Classification]]="Cost of Goods Sold"),Table834[[#This Row],[Debit\]]&gt;Table834[[#This Row],[Credit.]]),Table834[[#This Row],[Debit\]]-Table834[[#This Row],[Credit.]],""),"")</f>
        <v>409278.51677448238</v>
      </c>
      <c r="AE52" s="34" t="str">
        <f>IFERROR(IF(AND(OR(Table834[[#This Row],[Classification]]="Income",Table834[[#This Row],[Classification]]="Cost of Goods Sold"),Table834[[#This Row],[Credit.]]&gt;Table834[[#This Row],[Debit\]]),Table834[[#This Row],[Credit.]]-Table834[[#This Row],[Debit\]],""),"")</f>
        <v/>
      </c>
      <c r="AF52" s="34"/>
      <c r="AG52" s="34" t="str">
        <f>IFERROR(IF(AND(Table834[[#This Row],[Classification]]="Assets",Table834[[#This Row],[Debit\]]-Table834[[#This Row],[Credit.]]),Table834[[#This Row],[Debit\]]-Table834[[#This Row],[Credit.]],""),"")</f>
        <v/>
      </c>
      <c r="AH52" s="34" t="str">
        <f>IFERROR(IF(AND(OR(Table834[[#This Row],[Classification]]="Liabilities",Table834[[#This Row],[Classification]]="Owner´s Equity"),Table834[[#This Row],[Credit.]]&gt;Table834[[#This Row],[Debit\]]),Table834[[#This Row],[Credit.]]-Table834[[#This Row],[Debit\]],""),"")</f>
        <v/>
      </c>
    </row>
    <row r="53" spans="2:34" hidden="1" x14ac:dyDescent="0.25">
      <c r="B53" s="34"/>
      <c r="C53" s="37" t="s">
        <v>107</v>
      </c>
      <c r="D53" s="34">
        <v>233250</v>
      </c>
      <c r="E53" s="34"/>
      <c r="G53" s="39"/>
      <c r="H53" s="43"/>
      <c r="I53" s="41"/>
      <c r="J53" s="41"/>
      <c r="L53" s="34">
        <v>46</v>
      </c>
      <c r="M53" s="35" t="s">
        <v>154</v>
      </c>
      <c r="N53" s="35" t="s">
        <v>108</v>
      </c>
      <c r="O53" s="34">
        <f>IFERROR(SUMIF(Table431[,],Table633[[#This Row],[Accounts Name]],Table431[,3]),"")</f>
        <v>2500001</v>
      </c>
      <c r="P53" s="34">
        <f>IFERROR(SUMIF(Table431[,],Table633[[#This Row],[Accounts Name]],Table431[,2]),"")</f>
        <v>0</v>
      </c>
      <c r="S53" s="36">
        <f t="shared" si="0"/>
        <v>46</v>
      </c>
      <c r="T53" s="34" t="s">
        <v>61</v>
      </c>
      <c r="U53" s="37" t="s">
        <v>148</v>
      </c>
      <c r="V53" s="34">
        <f>IFERROR(SUMIF(Table633[Sub-Accounts],Table834[[#This Row],[Update your chart of accounts here]],Table633[Debit]),"")</f>
        <v>568965.54</v>
      </c>
      <c r="W53" s="34">
        <f>IFERROR(SUMIF(Table633[Sub-Accounts],Table834[[#This Row],[Update your chart of accounts here]],Table633[Credit]),"")</f>
        <v>0</v>
      </c>
      <c r="X53" s="34"/>
      <c r="Y53" s="34"/>
      <c r="Z53" s="34"/>
      <c r="AA53" s="34"/>
      <c r="AB53" s="34">
        <f>MAX(Table834[[#This Row],[Debit]]+Table834[[#This Row],[Debit -]]-Table834[[#This Row],[Credit]]-Table834[[#This Row],[Credit +]],0)</f>
        <v>568965.54</v>
      </c>
      <c r="AC53" s="34">
        <f>MAX(Table834[[#This Row],[Credit]]-Table834[[#This Row],[Debit]]+Table834[[#This Row],[Credit +]]-Table834[[#This Row],[Debit -]],0)</f>
        <v>0</v>
      </c>
      <c r="AD53" s="34">
        <f>IFERROR(IF(AND(OR(Table834[[#This Row],[Classification]]="Expense",Table834[[#This Row],[Classification]]="Cost of Goods Sold"),Table834[[#This Row],[Debit\]]&gt;Table834[[#This Row],[Credit.]]),Table834[[#This Row],[Debit\]]-Table834[[#This Row],[Credit.]],""),"")</f>
        <v>568965.54</v>
      </c>
      <c r="AE53" s="34" t="str">
        <f>IFERROR(IF(AND(OR(Table834[[#This Row],[Classification]]="Income",Table834[[#This Row],[Classification]]="Cost of Goods Sold"),Table834[[#This Row],[Credit.]]&gt;Table834[[#This Row],[Debit\]]),Table834[[#This Row],[Credit.]]-Table834[[#This Row],[Debit\]],""),"")</f>
        <v/>
      </c>
      <c r="AF53" s="34"/>
      <c r="AG53" s="34" t="str">
        <f>IFERROR(IF(AND(Table834[[#This Row],[Classification]]="Assets",Table834[[#This Row],[Debit\]]-Table834[[#This Row],[Credit.]]),Table834[[#This Row],[Debit\]]-Table834[[#This Row],[Credit.]],""),"")</f>
        <v/>
      </c>
      <c r="AH53" s="34" t="str">
        <f>IFERROR(IF(AND(OR(Table834[[#This Row],[Classification]]="Liabilities",Table834[[#This Row],[Classification]]="Owner´s Equity"),Table834[[#This Row],[Credit.]]&gt;Table834[[#This Row],[Debit\]]),Table834[[#This Row],[Credit.]]-Table834[[#This Row],[Debit\]],""),"")</f>
        <v/>
      </c>
    </row>
    <row r="54" spans="2:34" hidden="1" x14ac:dyDescent="0.25">
      <c r="B54" s="34"/>
      <c r="C54" s="37" t="s">
        <v>108</v>
      </c>
      <c r="D54" s="34">
        <v>2500001</v>
      </c>
      <c r="E54" s="34"/>
      <c r="G54" s="39"/>
      <c r="H54" s="40"/>
      <c r="I54" s="41"/>
      <c r="J54" s="41"/>
      <c r="L54" s="34">
        <v>47</v>
      </c>
      <c r="M54" s="35" t="s">
        <v>155</v>
      </c>
      <c r="N54" s="35" t="s">
        <v>109</v>
      </c>
      <c r="O54" s="34">
        <f>IFERROR(SUMIF(Table431[,],Table633[[#This Row],[Accounts Name]],Table431[,3]),"")</f>
        <v>1000000</v>
      </c>
      <c r="P54" s="34">
        <f>IFERROR(SUMIF(Table431[,],Table633[[#This Row],[Accounts Name]],Table431[,2]),"")</f>
        <v>0</v>
      </c>
      <c r="S54" s="36">
        <f t="shared" si="0"/>
        <v>47</v>
      </c>
      <c r="T54" s="34" t="s">
        <v>61</v>
      </c>
      <c r="U54" s="37" t="s">
        <v>158</v>
      </c>
      <c r="V54" s="34">
        <f>IFERROR(SUMIF(Table633[Sub-Accounts],Table834[[#This Row],[Update your chart of accounts here]],Table633[Debit]),"")</f>
        <v>436880</v>
      </c>
      <c r="W54" s="34">
        <f>IFERROR(SUMIF(Table633[Sub-Accounts],Table834[[#This Row],[Update your chart of accounts here]],Table633[Credit]),"")</f>
        <v>0</v>
      </c>
      <c r="X54" s="34"/>
      <c r="Y54" s="34"/>
      <c r="Z54" s="34"/>
      <c r="AA54" s="34"/>
      <c r="AB54" s="34">
        <f>MAX(Table834[[#This Row],[Debit]]+Table834[[#This Row],[Debit -]]-Table834[[#This Row],[Credit]]-Table834[[#This Row],[Credit +]],0)</f>
        <v>436880</v>
      </c>
      <c r="AC54" s="34">
        <f>MAX(Table834[[#This Row],[Credit]]-Table834[[#This Row],[Debit]]+Table834[[#This Row],[Credit +]]-Table834[[#This Row],[Debit -]],0)</f>
        <v>0</v>
      </c>
      <c r="AD54" s="34">
        <f>IFERROR(IF(AND(OR(Table834[[#This Row],[Classification]]="Expense",Table834[[#This Row],[Classification]]="Cost of Goods Sold"),Table834[[#This Row],[Debit\]]&gt;Table834[[#This Row],[Credit.]]),Table834[[#This Row],[Debit\]]-Table834[[#This Row],[Credit.]],""),"")</f>
        <v>436880</v>
      </c>
      <c r="AE54" s="34" t="str">
        <f>IFERROR(IF(AND(OR(Table834[[#This Row],[Classification]]="Income",Table834[[#This Row],[Classification]]="Cost of Goods Sold"),Table834[[#This Row],[Credit.]]&gt;Table834[[#This Row],[Debit\]]),Table834[[#This Row],[Credit.]]-Table834[[#This Row],[Debit\]],""),"")</f>
        <v/>
      </c>
      <c r="AF54" s="34"/>
      <c r="AG54" s="34" t="str">
        <f>IFERROR(IF(AND(Table834[[#This Row],[Classification]]="Assets",Table834[[#This Row],[Debit\]]-Table834[[#This Row],[Credit.]]),Table834[[#This Row],[Debit\]]-Table834[[#This Row],[Credit.]],""),"")</f>
        <v/>
      </c>
      <c r="AH54" s="34" t="str">
        <f>IFERROR(IF(AND(OR(Table834[[#This Row],[Classification]]="Liabilities",Table834[[#This Row],[Classification]]="Owner´s Equity"),Table834[[#This Row],[Credit.]]&gt;Table834[[#This Row],[Debit\]]),Table834[[#This Row],[Credit.]]-Table834[[#This Row],[Debit\]],""),"")</f>
        <v/>
      </c>
    </row>
    <row r="55" spans="2:34" hidden="1" x14ac:dyDescent="0.25">
      <c r="B55" s="34"/>
      <c r="C55" s="37" t="s">
        <v>109</v>
      </c>
      <c r="D55" s="34">
        <v>1000000</v>
      </c>
      <c r="E55" s="34"/>
      <c r="G55" s="39"/>
      <c r="H55" s="40"/>
      <c r="I55" s="41"/>
      <c r="J55" s="41"/>
      <c r="L55" s="34">
        <v>48</v>
      </c>
      <c r="M55" s="35" t="s">
        <v>156</v>
      </c>
      <c r="N55" s="35" t="s">
        <v>110</v>
      </c>
      <c r="O55" s="34">
        <f>IFERROR(SUMIF(Table431[,],Table633[[#This Row],[Accounts Name]],Table431[,3]),"")</f>
        <v>900</v>
      </c>
      <c r="P55" s="34">
        <f>IFERROR(SUMIF(Table431[,],Table633[[#This Row],[Accounts Name]],Table431[,2]),"")</f>
        <v>0</v>
      </c>
      <c r="S55" s="36">
        <f t="shared" si="0"/>
        <v>48</v>
      </c>
      <c r="T55" s="34" t="s">
        <v>61</v>
      </c>
      <c r="U55" s="37" t="s">
        <v>149</v>
      </c>
      <c r="V55" s="34">
        <f>IFERROR(SUMIF(Table633[Sub-Accounts],Table834[[#This Row],[Update your chart of accounts here]],Table633[Debit]),"")</f>
        <v>175000</v>
      </c>
      <c r="W55" s="34">
        <f>IFERROR(SUMIF(Table633[Sub-Accounts],Table834[[#This Row],[Update your chart of accounts here]],Table633[Credit]),"")</f>
        <v>0</v>
      </c>
      <c r="X55" s="34"/>
      <c r="Y55" s="34"/>
      <c r="Z55" s="34"/>
      <c r="AA55" s="34"/>
      <c r="AB55" s="34">
        <f>MAX(Table834[[#This Row],[Debit]]+Table834[[#This Row],[Debit -]]-Table834[[#This Row],[Credit]]-Table834[[#This Row],[Credit +]],0)</f>
        <v>175000</v>
      </c>
      <c r="AC55" s="34">
        <f>MAX(Table834[[#This Row],[Credit]]-Table834[[#This Row],[Debit]]+Table834[[#This Row],[Credit +]]-Table834[[#This Row],[Debit -]],0)</f>
        <v>0</v>
      </c>
      <c r="AD55" s="34">
        <f>IFERROR(IF(AND(OR(Table834[[#This Row],[Classification]]="Expense",Table834[[#This Row],[Classification]]="Cost of Goods Sold"),Table834[[#This Row],[Debit\]]&gt;Table834[[#This Row],[Credit.]]),Table834[[#This Row],[Debit\]]-Table834[[#This Row],[Credit.]],""),"")</f>
        <v>175000</v>
      </c>
      <c r="AE55" s="34" t="str">
        <f>IFERROR(IF(AND(OR(Table834[[#This Row],[Classification]]="Income",Table834[[#This Row],[Classification]]="Cost of Goods Sold"),Table834[[#This Row],[Credit.]]&gt;Table834[[#This Row],[Debit\]]),Table834[[#This Row],[Credit.]]-Table834[[#This Row],[Debit\]],""),"")</f>
        <v/>
      </c>
      <c r="AF55" s="34"/>
      <c r="AG55" s="34" t="str">
        <f>IFERROR(IF(AND(Table834[[#This Row],[Classification]]="Assets",Table834[[#This Row],[Debit\]]-Table834[[#This Row],[Credit.]]),Table834[[#This Row],[Debit\]]-Table834[[#This Row],[Credit.]],""),"")</f>
        <v/>
      </c>
      <c r="AH55" s="34" t="str">
        <f>IFERROR(IF(AND(OR(Table834[[#This Row],[Classification]]="Liabilities",Table834[[#This Row],[Classification]]="Owner´s Equity"),Table834[[#This Row],[Credit.]]&gt;Table834[[#This Row],[Debit\]]),Table834[[#This Row],[Credit.]]-Table834[[#This Row],[Debit\]],""),"")</f>
        <v/>
      </c>
    </row>
    <row r="56" spans="2:34" hidden="1" x14ac:dyDescent="0.25">
      <c r="B56" s="34"/>
      <c r="C56" s="37" t="s">
        <v>110</v>
      </c>
      <c r="D56" s="34">
        <v>900</v>
      </c>
      <c r="E56" s="34"/>
      <c r="G56" s="39"/>
      <c r="H56" s="43"/>
      <c r="I56" s="41"/>
      <c r="J56" s="41"/>
      <c r="L56" s="34">
        <v>49</v>
      </c>
      <c r="M56" s="35" t="s">
        <v>157</v>
      </c>
      <c r="N56" s="35" t="s">
        <v>111</v>
      </c>
      <c r="O56" s="34">
        <f>IFERROR(SUMIF(Table431[,],Table633[[#This Row],[Accounts Name]],Table431[,3]),"")</f>
        <v>542263</v>
      </c>
      <c r="P56" s="34">
        <f>IFERROR(SUMIF(Table431[,],Table633[[#This Row],[Accounts Name]],Table431[,2]),"")</f>
        <v>0</v>
      </c>
      <c r="S56" s="36">
        <f t="shared" si="0"/>
        <v>49</v>
      </c>
      <c r="T56" s="34" t="s">
        <v>61</v>
      </c>
      <c r="U56" s="37" t="s">
        <v>160</v>
      </c>
      <c r="V56" s="34">
        <f>IFERROR(SUMIF(Table633[Sub-Accounts],Table834[[#This Row],[Update your chart of accounts here]],Table633[Debit]),"")</f>
        <v>145440</v>
      </c>
      <c r="W56" s="34">
        <f>IFERROR(SUMIF(Table633[Sub-Accounts],Table834[[#This Row],[Update your chart of accounts here]],Table633[Credit]),"")</f>
        <v>0</v>
      </c>
      <c r="X56" s="34"/>
      <c r="Y56" s="34"/>
      <c r="Z56" s="34"/>
      <c r="AA56" s="34"/>
      <c r="AB56" s="34">
        <f>MAX(Table834[[#This Row],[Debit]]+Table834[[#This Row],[Debit -]]-Table834[[#This Row],[Credit]]-Table834[[#This Row],[Credit +]],0)</f>
        <v>145440</v>
      </c>
      <c r="AC56" s="34">
        <f>MAX(Table834[[#This Row],[Credit]]-Table834[[#This Row],[Debit]]+Table834[[#This Row],[Credit +]]-Table834[[#This Row],[Debit -]],0)</f>
        <v>0</v>
      </c>
      <c r="AD56" s="34">
        <f>IFERROR(IF(AND(OR(Table834[[#This Row],[Classification]]="Expense",Table834[[#This Row],[Classification]]="Cost of Goods Sold"),Table834[[#This Row],[Debit\]]&gt;Table834[[#This Row],[Credit.]]),Table834[[#This Row],[Debit\]]-Table834[[#This Row],[Credit.]],""),"")</f>
        <v>145440</v>
      </c>
      <c r="AE56" s="34" t="str">
        <f>IFERROR(IF(AND(OR(Table834[[#This Row],[Classification]]="Income",Table834[[#This Row],[Classification]]="Cost of Goods Sold"),Table834[[#This Row],[Credit.]]&gt;Table834[[#This Row],[Debit\]]),Table834[[#This Row],[Credit.]]-Table834[[#This Row],[Debit\]],""),"")</f>
        <v/>
      </c>
      <c r="AF56" s="34"/>
      <c r="AG56" s="34" t="str">
        <f>IFERROR(IF(AND(Table834[[#This Row],[Classification]]="Assets",Table834[[#This Row],[Debit\]]-Table834[[#This Row],[Credit.]]),Table834[[#This Row],[Debit\]]-Table834[[#This Row],[Credit.]],""),"")</f>
        <v/>
      </c>
      <c r="AH56" s="34" t="str">
        <f>IFERROR(IF(AND(OR(Table834[[#This Row],[Classification]]="Liabilities",Table834[[#This Row],[Classification]]="Owner´s Equity"),Table834[[#This Row],[Credit.]]&gt;Table834[[#This Row],[Debit\]]),Table834[[#This Row],[Credit.]]-Table834[[#This Row],[Debit\]],""),"")</f>
        <v/>
      </c>
    </row>
    <row r="57" spans="2:34" hidden="1" x14ac:dyDescent="0.25">
      <c r="B57" s="34"/>
      <c r="C57" s="37" t="s">
        <v>111</v>
      </c>
      <c r="D57" s="34">
        <v>542263</v>
      </c>
      <c r="E57" s="34"/>
      <c r="G57" s="39"/>
      <c r="H57" s="40"/>
      <c r="I57" s="41"/>
      <c r="J57" s="41"/>
      <c r="L57" s="34">
        <v>50</v>
      </c>
      <c r="M57" s="35" t="s">
        <v>158</v>
      </c>
      <c r="N57" s="35" t="s">
        <v>112</v>
      </c>
      <c r="O57" s="34">
        <f>IFERROR(SUMIF(Table431[,],Table633[[#This Row],[Accounts Name]],Table431[,3]),"")</f>
        <v>20412.8</v>
      </c>
      <c r="P57" s="34">
        <f>IFERROR(SUMIF(Table431[,],Table633[[#This Row],[Accounts Name]],Table431[,2]),"")</f>
        <v>0</v>
      </c>
      <c r="S57" s="36">
        <f t="shared" si="0"/>
        <v>50</v>
      </c>
      <c r="T57" s="34" t="s">
        <v>61</v>
      </c>
      <c r="U57" s="37" t="s">
        <v>150</v>
      </c>
      <c r="V57" s="34">
        <f>IFERROR(SUMIF(Table633[Sub-Accounts],Table834[[#This Row],[Update your chart of accounts here]],Table633[Debit]),"")</f>
        <v>176009.84</v>
      </c>
      <c r="W57" s="34">
        <f>IFERROR(SUMIF(Table633[Sub-Accounts],Table834[[#This Row],[Update your chart of accounts here]],Table633[Credit]),"")</f>
        <v>0</v>
      </c>
      <c r="X57" s="34"/>
      <c r="Y57" s="34"/>
      <c r="Z57" s="34"/>
      <c r="AA57" s="34"/>
      <c r="AB57" s="34">
        <f>MAX(Table834[[#This Row],[Debit]]+Table834[[#This Row],[Debit -]]-Table834[[#This Row],[Credit]]-Table834[[#This Row],[Credit +]],0)</f>
        <v>176009.84</v>
      </c>
      <c r="AC57" s="34">
        <f>MAX(Table834[[#This Row],[Credit]]-Table834[[#This Row],[Debit]]+Table834[[#This Row],[Credit +]]-Table834[[#This Row],[Debit -]],0)</f>
        <v>0</v>
      </c>
      <c r="AD57" s="34">
        <f>IFERROR(IF(AND(OR(Table834[[#This Row],[Classification]]="Expense",Table834[[#This Row],[Classification]]="Cost of Goods Sold"),Table834[[#This Row],[Debit\]]&gt;Table834[[#This Row],[Credit.]]),Table834[[#This Row],[Debit\]]-Table834[[#This Row],[Credit.]],""),"")</f>
        <v>176009.84</v>
      </c>
      <c r="AE57" s="34" t="str">
        <f>IFERROR(IF(AND(OR(Table834[[#This Row],[Classification]]="Income",Table834[[#This Row],[Classification]]="Cost of Goods Sold"),Table834[[#This Row],[Credit.]]&gt;Table834[[#This Row],[Debit\]]),Table834[[#This Row],[Credit.]]-Table834[[#This Row],[Debit\]],""),"")</f>
        <v/>
      </c>
      <c r="AF57" s="34"/>
      <c r="AG57" s="34" t="str">
        <f>IFERROR(IF(AND(Table834[[#This Row],[Classification]]="Assets",Table834[[#This Row],[Debit\]]-Table834[[#This Row],[Credit.]]),Table834[[#This Row],[Debit\]]-Table834[[#This Row],[Credit.]],""),"")</f>
        <v/>
      </c>
      <c r="AH57" s="34" t="str">
        <f>IFERROR(IF(AND(OR(Table834[[#This Row],[Classification]]="Liabilities",Table834[[#This Row],[Classification]]="Owner´s Equity"),Table834[[#This Row],[Credit.]]&gt;Table834[[#This Row],[Debit\]]),Table834[[#This Row],[Credit.]]-Table834[[#This Row],[Debit\]],""),"")</f>
        <v/>
      </c>
    </row>
    <row r="58" spans="2:34" hidden="1" x14ac:dyDescent="0.25">
      <c r="B58" s="34"/>
      <c r="C58" s="37" t="s">
        <v>112</v>
      </c>
      <c r="D58" s="34">
        <v>20412.8</v>
      </c>
      <c r="E58" s="34"/>
      <c r="G58" s="39"/>
      <c r="H58" s="40"/>
      <c r="I58" s="41"/>
      <c r="J58" s="41"/>
      <c r="L58" s="34">
        <v>51</v>
      </c>
      <c r="M58" s="35" t="s">
        <v>158</v>
      </c>
      <c r="N58" s="35" t="s">
        <v>113</v>
      </c>
      <c r="O58" s="34">
        <f>IFERROR(SUMIF(Table431[,],Table633[[#This Row],[Accounts Name]],Table431[,3]),"")</f>
        <v>416467.20000000001</v>
      </c>
      <c r="P58" s="34">
        <f>IFERROR(SUMIF(Table431[,],Table633[[#This Row],[Accounts Name]],Table431[,2]),"")</f>
        <v>0</v>
      </c>
      <c r="S58" s="36">
        <f t="shared" si="0"/>
        <v>51</v>
      </c>
      <c r="T58" s="34" t="s">
        <v>61</v>
      </c>
      <c r="U58" s="37" t="s">
        <v>221</v>
      </c>
      <c r="V58" s="34">
        <f>IFERROR(SUMIF(Table633[Sub-Accounts],Table834[[#This Row],[Update your chart of accounts here]],Table633[Debit]),"")</f>
        <v>0</v>
      </c>
      <c r="W58" s="34">
        <f>IFERROR(SUMIF(Table633[Sub-Accounts],Table834[[#This Row],[Update your chart of accounts here]],Table633[Credit]),"")</f>
        <v>0</v>
      </c>
      <c r="X58" s="34"/>
      <c r="Y58" s="34"/>
      <c r="Z58" s="34"/>
      <c r="AA58" s="34"/>
      <c r="AB58" s="34">
        <f>MAX(Table834[[#This Row],[Debit]]+Table834[[#This Row],[Debit -]]-Table834[[#This Row],[Credit]]-Table834[[#This Row],[Credit +]],0)</f>
        <v>0</v>
      </c>
      <c r="AC58" s="34">
        <f>MAX(Table834[[#This Row],[Credit]]-Table834[[#This Row],[Debit]]+Table834[[#This Row],[Credit +]]-Table834[[#This Row],[Debit -]],0)</f>
        <v>0</v>
      </c>
      <c r="AD58" s="34" t="str">
        <f>IFERROR(IF(AND(OR(Table834[[#This Row],[Classification]]="Expense",Table834[[#This Row],[Classification]]="Cost of Goods Sold"),Table834[[#This Row],[Debit\]]&gt;Table834[[#This Row],[Credit.]]),Table834[[#This Row],[Debit\]]-Table834[[#This Row],[Credit.]],""),"")</f>
        <v/>
      </c>
      <c r="AE58" s="34" t="str">
        <f>IFERROR(IF(AND(OR(Table834[[#This Row],[Classification]]="Income",Table834[[#This Row],[Classification]]="Cost of Goods Sold"),Table834[[#This Row],[Credit.]]&gt;Table834[[#This Row],[Debit\]]),Table834[[#This Row],[Credit.]]-Table834[[#This Row],[Debit\]],""),"")</f>
        <v/>
      </c>
      <c r="AF58" s="34"/>
      <c r="AG58" s="34" t="str">
        <f>IFERROR(IF(AND(Table834[[#This Row],[Classification]]="Assets",Table834[[#This Row],[Debit\]]-Table834[[#This Row],[Credit.]]),Table834[[#This Row],[Debit\]]-Table834[[#This Row],[Credit.]],""),"")</f>
        <v/>
      </c>
      <c r="AH58" s="34" t="str">
        <f>IFERROR(IF(AND(OR(Table834[[#This Row],[Classification]]="Liabilities",Table834[[#This Row],[Classification]]="Owner´s Equity"),Table834[[#This Row],[Credit.]]&gt;Table834[[#This Row],[Debit\]]),Table834[[#This Row],[Credit.]]-Table834[[#This Row],[Debit\]],""),"")</f>
        <v/>
      </c>
    </row>
    <row r="59" spans="2:34" hidden="1" x14ac:dyDescent="0.25">
      <c r="B59" s="34"/>
      <c r="C59" s="37" t="s">
        <v>113</v>
      </c>
      <c r="D59" s="34">
        <v>416467.20000000001</v>
      </c>
      <c r="E59" s="34"/>
      <c r="G59" s="39"/>
      <c r="H59" s="43"/>
      <c r="I59" s="41"/>
      <c r="J59" s="41"/>
      <c r="L59" s="34">
        <v>52</v>
      </c>
      <c r="M59" s="35" t="s">
        <v>159</v>
      </c>
      <c r="N59" s="35" t="s">
        <v>114</v>
      </c>
      <c r="O59" s="34">
        <f>IFERROR(SUMIF(Table431[,],Table633[[#This Row],[Accounts Name]],Table431[,3]),"")</f>
        <v>27500</v>
      </c>
      <c r="P59" s="34">
        <f>IFERROR(SUMIF(Table431[,],Table633[[#This Row],[Accounts Name]],Table431[,2]),"")</f>
        <v>0</v>
      </c>
      <c r="S59" s="36">
        <f t="shared" si="0"/>
        <v>52</v>
      </c>
      <c r="T59" s="34" t="s">
        <v>61</v>
      </c>
      <c r="U59" s="37" t="s">
        <v>222</v>
      </c>
      <c r="V59" s="34">
        <f>IFERROR(SUMIF(Table633[Sub-Accounts],Table834[[#This Row],[Update your chart of accounts here]],Table633[Debit]),"")</f>
        <v>0</v>
      </c>
      <c r="W59" s="34">
        <f>IFERROR(SUMIF(Table633[Sub-Accounts],Table834[[#This Row],[Update your chart of accounts here]],Table633[Credit]),"")</f>
        <v>0</v>
      </c>
      <c r="X59" s="34"/>
      <c r="Y59" s="34"/>
      <c r="Z59" s="34"/>
      <c r="AA59" s="34"/>
      <c r="AB59" s="34">
        <f>MAX(Table834[[#This Row],[Debit]]+Table834[[#This Row],[Debit -]]-Table834[[#This Row],[Credit]]-Table834[[#This Row],[Credit +]],0)</f>
        <v>0</v>
      </c>
      <c r="AC59" s="34">
        <f>MAX(Table834[[#This Row],[Credit]]-Table834[[#This Row],[Debit]]+Table834[[#This Row],[Credit +]]-Table834[[#This Row],[Debit -]],0)</f>
        <v>0</v>
      </c>
      <c r="AD59" s="34" t="str">
        <f>IFERROR(IF(AND(OR(Table834[[#This Row],[Classification]]="Expense",Table834[[#This Row],[Classification]]="Cost of Goods Sold"),Table834[[#This Row],[Debit\]]&gt;Table834[[#This Row],[Credit.]]),Table834[[#This Row],[Debit\]]-Table834[[#This Row],[Credit.]],""),"")</f>
        <v/>
      </c>
      <c r="AE59" s="34" t="str">
        <f>IFERROR(IF(AND(OR(Table834[[#This Row],[Classification]]="Income",Table834[[#This Row],[Classification]]="Cost of Goods Sold"),Table834[[#This Row],[Credit.]]&gt;Table834[[#This Row],[Debit\]]),Table834[[#This Row],[Credit.]]-Table834[[#This Row],[Debit\]],""),"")</f>
        <v/>
      </c>
      <c r="AF59" s="34"/>
      <c r="AG59" s="34" t="str">
        <f>IFERROR(IF(AND(Table834[[#This Row],[Classification]]="Assets",Table834[[#This Row],[Debit\]]-Table834[[#This Row],[Credit.]]),Table834[[#This Row],[Debit\]]-Table834[[#This Row],[Credit.]],""),"")</f>
        <v/>
      </c>
      <c r="AH59" s="34" t="str">
        <f>IFERROR(IF(AND(OR(Table834[[#This Row],[Classification]]="Liabilities",Table834[[#This Row],[Classification]]="Owner´s Equity"),Table834[[#This Row],[Credit.]]&gt;Table834[[#This Row],[Debit\]]),Table834[[#This Row],[Credit.]]-Table834[[#This Row],[Debit\]],""),"")</f>
        <v/>
      </c>
    </row>
    <row r="60" spans="2:34" x14ac:dyDescent="0.25">
      <c r="B60" s="34"/>
      <c r="C60" s="37" t="s">
        <v>114</v>
      </c>
      <c r="D60" s="34">
        <v>27500</v>
      </c>
      <c r="E60" s="34"/>
      <c r="G60" s="39"/>
      <c r="H60" s="40"/>
      <c r="I60" s="41"/>
      <c r="J60" s="41"/>
      <c r="L60" s="34">
        <v>53</v>
      </c>
      <c r="M60" s="35" t="s">
        <v>160</v>
      </c>
      <c r="N60" s="35" t="s">
        <v>115</v>
      </c>
      <c r="O60" s="34">
        <f>IFERROR(SUMIF(Table431[,],Table633[[#This Row],[Accounts Name]],Table431[,3]),"")</f>
        <v>30000</v>
      </c>
      <c r="P60" s="34">
        <f>IFERROR(SUMIF(Table431[,],Table633[[#This Row],[Accounts Name]],Table431[,2]),"")</f>
        <v>0</v>
      </c>
      <c r="S60" s="36">
        <f t="shared" si="0"/>
        <v>53</v>
      </c>
      <c r="T60" s="34" t="s">
        <v>11</v>
      </c>
      <c r="U60" s="37" t="s">
        <v>229</v>
      </c>
      <c r="V60" s="34">
        <f>IFERROR(SUMIF(Table633[Sub-Accounts],Table834[[#This Row],[Update your chart of accounts here]],Table633[Debit]),"")</f>
        <v>0</v>
      </c>
      <c r="W60" s="34">
        <f>IFERROR(SUMIF(Table633[Sub-Accounts],Table834[[#This Row],[Update your chart of accounts here]],Table633[Credit]),"")</f>
        <v>0</v>
      </c>
      <c r="X60" s="34"/>
      <c r="Y60" s="34"/>
      <c r="Z60" s="34">
        <f>AA62</f>
        <v>10003059</v>
      </c>
      <c r="AA60" s="34"/>
      <c r="AB60" s="34">
        <f>MAX(Table834[[#This Row],[Debit]]+Table834[[#This Row],[Debit -]]-Table834[[#This Row],[Credit]]-Table834[[#This Row],[Credit +]],0)</f>
        <v>10003059</v>
      </c>
      <c r="AC60" s="34">
        <f>MAX(Table834[[#This Row],[Credit]]-Table834[[#This Row],[Debit]]+Table834[[#This Row],[Credit +]]-Table834[[#This Row],[Debit -]],0)</f>
        <v>0</v>
      </c>
      <c r="AD60" s="34" t="str">
        <f>IFERROR(IF(AND(OR(Table834[[#This Row],[Classification]]="Expense",Table834[[#This Row],[Classification]]="Cost of Goods Sold"),Table834[[#This Row],[Debit\]]&gt;Table834[[#This Row],[Credit.]]),Table834[[#This Row],[Debit\]]-Table834[[#This Row],[Credit.]],""),"")</f>
        <v/>
      </c>
      <c r="AE60" s="34" t="str">
        <f>IFERROR(IF(AND(OR(Table834[[#This Row],[Classification]]="Income",Table834[[#This Row],[Classification]]="Cost of Goods Sold"),Table834[[#This Row],[Credit.]]&gt;Table834[[#This Row],[Debit\]]),Table834[[#This Row],[Credit.]]-Table834[[#This Row],[Debit\]],""),"")</f>
        <v/>
      </c>
      <c r="AF60" s="34"/>
      <c r="AG60" s="34">
        <f>IFERROR(IF(AND(Table834[[#This Row],[Classification]]="Assets",Table834[[#This Row],[Debit\]]-Table834[[#This Row],[Credit.]]),Table834[[#This Row],[Debit\]]-Table834[[#This Row],[Credit.]],""),"")</f>
        <v>10003059</v>
      </c>
      <c r="AH60" s="34" t="str">
        <f>IFERROR(IF(AND(OR(Table834[[#This Row],[Classification]]="Liabilities",Table834[[#This Row],[Classification]]="Owner´s Equity"),Table834[[#This Row],[Credit.]]&gt;Table834[[#This Row],[Debit\]]),Table834[[#This Row],[Credit.]]-Table834[[#This Row],[Debit\]],""),"")</f>
        <v/>
      </c>
    </row>
    <row r="61" spans="2:34" x14ac:dyDescent="0.25">
      <c r="B61" s="34"/>
      <c r="C61" s="37" t="s">
        <v>115</v>
      </c>
      <c r="D61" s="34">
        <v>30000</v>
      </c>
      <c r="E61" s="34"/>
      <c r="G61" s="39"/>
      <c r="H61" s="40"/>
      <c r="I61" s="41"/>
      <c r="J61" s="41"/>
      <c r="L61" s="34">
        <v>54</v>
      </c>
      <c r="M61" s="35" t="s">
        <v>161</v>
      </c>
      <c r="N61" s="35" t="s">
        <v>116</v>
      </c>
      <c r="O61" s="34">
        <f>IFERROR(SUMIF(Table431[,],Table633[[#This Row],[Accounts Name]],Table431[,3]),"")</f>
        <v>77850</v>
      </c>
      <c r="P61" s="34">
        <f>IFERROR(SUMIF(Table431[,],Table633[[#This Row],[Accounts Name]],Table431[,2]),"")</f>
        <v>0</v>
      </c>
      <c r="S61" s="36">
        <f t="shared" si="0"/>
        <v>54</v>
      </c>
      <c r="T61" s="34" t="s">
        <v>48</v>
      </c>
      <c r="U61" s="37" t="s">
        <v>207</v>
      </c>
      <c r="V61" s="34">
        <f>IFERROR(SUMIF(Table633[Sub-Accounts],Table834[[#This Row],[Update your chart of accounts here]],Table633[Debit]),"")</f>
        <v>0</v>
      </c>
      <c r="W61" s="34">
        <f>IFERROR(SUMIF(Table633[Sub-Accounts],Table834[[#This Row],[Update your chart of accounts here]],Table633[Credit]),"")</f>
        <v>0</v>
      </c>
      <c r="X61" s="34"/>
      <c r="Y61" s="34"/>
      <c r="Z61" s="34"/>
      <c r="AA61" s="34">
        <f>Z12</f>
        <v>8341041.1232255697</v>
      </c>
      <c r="AB61" s="34">
        <f>MAX(Table834[[#This Row],[Debit]]+Table834[[#This Row],[Debit -]]-Table834[[#This Row],[Credit]]-Table834[[#This Row],[Credit +]],0)</f>
        <v>0</v>
      </c>
      <c r="AC61" s="34">
        <f>MAX(Table834[[#This Row],[Credit]]-Table834[[#This Row],[Debit]]+Table834[[#This Row],[Credit +]]-Table834[[#This Row],[Debit -]],0)</f>
        <v>8341041.1232255697</v>
      </c>
      <c r="AD61" s="34" t="str">
        <f>IFERROR(IF(AND(OR(Table834[[#This Row],[Classification]]="Expense",Table834[[#This Row],[Classification]]="Cost of Goods Sold"),Table834[[#This Row],[Debit\]]&gt;Table834[[#This Row],[Credit.]]),Table834[[#This Row],[Debit\]]-Table834[[#This Row],[Credit.]],""),"")</f>
        <v/>
      </c>
      <c r="AE61" s="34" t="str">
        <f>IFERROR(IF(AND(OR(Table834[[#This Row],[Classification]]="Income",Table834[[#This Row],[Classification]]="Cost of Goods Sold"),Table834[[#This Row],[Credit.]]&gt;Table834[[#This Row],[Debit\]]),Table834[[#This Row],[Credit.]]-Table834[[#This Row],[Debit\]],""),"")</f>
        <v/>
      </c>
      <c r="AF61" s="34"/>
      <c r="AG61" s="34" t="str">
        <f>IFERROR(IF(AND(Table834[[#This Row],[Classification]]="Assets",Table834[[#This Row],[Debit\]]-Table834[[#This Row],[Credit.]]),Table834[[#This Row],[Debit\]]-Table834[[#This Row],[Credit.]],""),"")</f>
        <v/>
      </c>
      <c r="AH61" s="34">
        <f>IFERROR(IF(AND(OR(Table834[[#This Row],[Classification]]="Liabilities",Table834[[#This Row],[Classification]]="Owner´s Equity"),Table834[[#This Row],[Credit.]]&gt;Table834[[#This Row],[Debit\]]),Table834[[#This Row],[Credit.]]-Table834[[#This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IFERROR(SUMIF(Table431[,],Table633[[#This Row],[Accounts Name]],Table431[,3]),"")</f>
        <v>129108.59</v>
      </c>
      <c r="P62" s="34">
        <f>IFERROR(SUMIF(Table431[,],Table633[[#This Row],[Accounts Name]],Table431[,2]),"")</f>
        <v>0</v>
      </c>
      <c r="S62" s="36">
        <f t="shared" si="0"/>
        <v>55</v>
      </c>
      <c r="T62" s="34" t="s">
        <v>62</v>
      </c>
      <c r="U62" s="37" t="s">
        <v>229</v>
      </c>
      <c r="V62" s="34">
        <f>IFERROR(SUMIF(Table633[Sub-Accounts],Table834[[#This Row],[Update your chart of accounts here]],Table633[Debit]),"")</f>
        <v>0</v>
      </c>
      <c r="W62" s="34">
        <f>IFERROR(SUMIF(Table633[Sub-Accounts],Table834[[#This Row],[Update your chart of accounts here]],Table633[Credit]),"")</f>
        <v>0</v>
      </c>
      <c r="X62" s="34"/>
      <c r="Y62" s="34"/>
      <c r="Z62" s="34"/>
      <c r="AA62" s="34">
        <v>10003059</v>
      </c>
      <c r="AB62" s="34">
        <f>MAX(Table834[[#This Row],[Debit]]+Table834[[#This Row],[Debit -]]-Table834[[#This Row],[Credit]]-Table834[[#This Row],[Credit +]],0)</f>
        <v>0</v>
      </c>
      <c r="AC62" s="34">
        <f>MAX(Table834[[#This Row],[Credit]]-Table834[[#This Row],[Debit]]+Table834[[#This Row],[Credit +]]-Table834[[#This Row],[Debit -]],0)</f>
        <v>10003059</v>
      </c>
      <c r="AD62" s="34" t="str">
        <f>IFERROR(IF(AND(OR(Table834[[#This Row],[Classification]]="Expense",Table834[[#This Row],[Classification]]="Cost of Goods Sold"),Table834[[#This Row],[Debit\]]&gt;Table834[[#This Row],[Credit.]]),Table834[[#This Row],[Debit\]]-Table834[[#This Row],[Credit.]],""),"")</f>
        <v/>
      </c>
      <c r="AE62" s="34">
        <f>IFERROR(IF(AND(OR(Table834[[#This Row],[Classification]]="Income",Table834[[#This Row],[Classification]]="Cost of Goods Sold"),Table834[[#This Row],[Credit.]]&gt;Table834[[#This Row],[Debit\]]),Table834[[#This Row],[Credit.]]-Table834[[#This Row],[Debit\]],""),"")</f>
        <v>10003059</v>
      </c>
      <c r="AF62" s="34"/>
      <c r="AG62" s="34" t="str">
        <f>IFERROR(IF(AND(Table834[[#This Row],[Classification]]="Assets",Table834[[#This Row],[Debit\]]-Table834[[#This Row],[Credit.]]),Table834[[#This Row],[Debit\]]-Table834[[#This Row],[Credit.]],""),"")</f>
        <v/>
      </c>
      <c r="AH62" s="34" t="str">
        <f>IFERROR(IF(AND(OR(Table834[[#This Row],[Classification]]="Liabilities",Table834[[#This Row],[Classification]]="Owner´s Equity"),Table834[[#This Row],[Credit.]]&gt;Table834[[#This Row],[Debit\]]),Table834[[#This Row],[Credit.]]-Table834[[#This Row],[Debit\]],""),"")</f>
        <v/>
      </c>
    </row>
    <row r="63" spans="2:34" x14ac:dyDescent="0.25">
      <c r="B63" s="34"/>
      <c r="C63" s="37" t="s">
        <v>117</v>
      </c>
      <c r="D63" s="34">
        <v>129108.59</v>
      </c>
      <c r="E63" s="34"/>
      <c r="G63" s="39"/>
      <c r="H63" s="40"/>
      <c r="I63" s="41"/>
      <c r="J63" s="41"/>
      <c r="L63" s="34">
        <v>56</v>
      </c>
      <c r="M63" s="35" t="s">
        <v>156</v>
      </c>
      <c r="N63" s="35" t="s">
        <v>118</v>
      </c>
      <c r="O63" s="34">
        <f>IFERROR(SUMIF(Table431[,],Table633[[#This Row],[Accounts Name]],Table431[,3]),"")</f>
        <v>131390</v>
      </c>
      <c r="P63" s="34">
        <f>IFERROR(SUMIF(Table431[,],Table633[[#This Row],[Accounts Name]],Table431[,2]),"")</f>
        <v>0</v>
      </c>
      <c r="S63" s="36">
        <f t="shared" si="0"/>
        <v>56</v>
      </c>
      <c r="T63" s="34" t="s">
        <v>11</v>
      </c>
      <c r="U63" s="37" t="s">
        <v>232</v>
      </c>
      <c r="V63" s="34">
        <f>IFERROR(SUMIF(Table633[Sub-Accounts],Table834[[#This Row],[Update your chart of accounts here]],Table633[Debit]),"")</f>
        <v>0</v>
      </c>
      <c r="W63" s="34">
        <f>IFERROR(SUMIF(Table633[Sub-Accounts],Table834[[#This Row],[Update your chart of accounts here]],Table633[Credit]),"")</f>
        <v>0</v>
      </c>
      <c r="X63" s="34"/>
      <c r="Y63" s="34" t="s">
        <v>233</v>
      </c>
      <c r="Z63" s="34">
        <f>I21</f>
        <v>115200</v>
      </c>
      <c r="AA63" s="34"/>
      <c r="AB63" s="34">
        <f>MAX(Table834[[#This Row],[Debit]]+Table834[[#This Row],[Debit -]]-Table834[[#This Row],[Credit]]-Table834[[#This Row],[Credit +]],0)</f>
        <v>115200</v>
      </c>
      <c r="AC63" s="34">
        <f>MAX(Table834[[#This Row],[Credit]]-Table834[[#This Row],[Debit]]+Table834[[#This Row],[Credit +]]-Table834[[#This Row],[Debit -]],0)</f>
        <v>0</v>
      </c>
      <c r="AD63" s="34" t="str">
        <f>IFERROR(IF(AND(OR(Table834[[#This Row],[Classification]]="Expense",Table834[[#This Row],[Classification]]="Cost of Goods Sold"),Table834[[#This Row],[Debit\]]&gt;Table834[[#This Row],[Credit.]]),Table834[[#This Row],[Debit\]]-Table834[[#This Row],[Credit.]],""),"")</f>
        <v/>
      </c>
      <c r="AE63" s="34" t="str">
        <f>IFERROR(IF(AND(OR(Table834[[#This Row],[Classification]]="Income",Table834[[#This Row],[Classification]]="Cost of Goods Sold"),Table834[[#This Row],[Credit.]]&gt;Table834[[#This Row],[Debit\]]),Table834[[#This Row],[Credit.]]-Table834[[#This Row],[Debit\]],""),"")</f>
        <v/>
      </c>
      <c r="AF63" s="34"/>
      <c r="AG63" s="34">
        <f>IFERROR(IF(AND(Table834[[#This Row],[Classification]]="Assets",Table834[[#This Row],[Debit\]]-Table834[[#This Row],[Credit.]]),Table834[[#This Row],[Debit\]]-Table834[[#This Row],[Credit.]],""),"")</f>
        <v>115200</v>
      </c>
      <c r="AH63" s="34" t="str">
        <f>IFERROR(IF(AND(OR(Table834[[#This Row],[Classification]]="Liabilities",Table834[[#This Row],[Classification]]="Owner´s Equity"),Table834[[#This Row],[Credit.]]&gt;Table834[[#This Row],[Debit\]]),Table834[[#This Row],[Credit.]]-Table834[[#This Row],[Debit\]],""),"")</f>
        <v/>
      </c>
    </row>
    <row r="64" spans="2:34" hidden="1" x14ac:dyDescent="0.25">
      <c r="B64" s="34"/>
      <c r="C64" s="37" t="s">
        <v>118</v>
      </c>
      <c r="D64" s="34">
        <v>131390</v>
      </c>
      <c r="E64" s="34"/>
      <c r="G64" s="39"/>
      <c r="H64" s="40"/>
      <c r="I64" s="41"/>
      <c r="J64" s="41"/>
      <c r="L64" s="34">
        <v>57</v>
      </c>
      <c r="M64" s="35" t="s">
        <v>163</v>
      </c>
      <c r="N64" s="35" t="s">
        <v>119</v>
      </c>
      <c r="O64" s="34">
        <f>IFERROR(SUMIF(Table431[,],Table633[[#This Row],[Accounts Name]],Table431[,3]),"")</f>
        <v>300</v>
      </c>
      <c r="P64" s="34">
        <f>IFERROR(SUMIF(Table431[,],Table633[[#This Row],[Accounts Name]],Table431[,2]),"")</f>
        <v>0</v>
      </c>
      <c r="S64" s="36">
        <f t="shared" si="0"/>
        <v>57</v>
      </c>
      <c r="T64" s="34"/>
      <c r="U64" s="37"/>
      <c r="V64" s="34">
        <f>IFERROR(SUMIF(Table633[Sub-Accounts],Table834[[#This Row],[Update your chart of accounts here]],Table633[Debit]),"")</f>
        <v>0</v>
      </c>
      <c r="W64" s="34">
        <f>IFERROR(SUMIF(Table633[Sub-Accounts],Table834[[#This Row],[Update your chart of accounts here]],Table633[Credit]),"")</f>
        <v>0</v>
      </c>
      <c r="X64" s="34"/>
      <c r="Y64" s="34"/>
      <c r="Z64" s="34"/>
      <c r="AA64" s="34"/>
      <c r="AB64" s="34">
        <f>MAX(Table834[[#This Row],[Debit]]+Table834[[#This Row],[Debit -]]-Table834[[#This Row],[Credit]]-Table834[[#This Row],[Credit +]],0)</f>
        <v>0</v>
      </c>
      <c r="AC64" s="34">
        <f>MAX(Table834[[#This Row],[Credit]]-Table834[[#This Row],[Debit]]+Table834[[#This Row],[Credit +]]-Table834[[#This Row],[Debit -]],0)</f>
        <v>0</v>
      </c>
      <c r="AD64" s="34" t="str">
        <f>IFERROR(IF(AND(OR(Table834[[#This Row],[Classification]]="Expense",Table834[[#This Row],[Classification]]="Cost of Goods Sold"),Table834[[#This Row],[Debit\]]&gt;Table834[[#This Row],[Credit.]]),Table834[[#This Row],[Debit\]]-Table834[[#This Row],[Credit.]],""),"")</f>
        <v/>
      </c>
      <c r="AE64" s="34" t="str">
        <f>IFERROR(IF(AND(OR(Table834[[#This Row],[Classification]]="Income",Table834[[#This Row],[Classification]]="Cost of Goods Sold"),Table834[[#This Row],[Credit.]]&gt;Table834[[#This Row],[Debit\]]),Table834[[#This Row],[Credit.]]-Table834[[#This Row],[Debit\]],""),"")</f>
        <v/>
      </c>
      <c r="AF64" s="34"/>
      <c r="AG64" s="34" t="str">
        <f>IFERROR(IF(AND(Table834[[#This Row],[Classification]]="Assets",Table834[[#This Row],[Debit\]]-Table834[[#This Row],[Credit.]]),Table834[[#This Row],[Debit\]]-Table834[[#This Row],[Credit.]],""),"")</f>
        <v/>
      </c>
      <c r="AH64" s="34" t="str">
        <f>IFERROR(IF(AND(OR(Table834[[#This Row],[Classification]]="Liabilities",Table834[[#This Row],[Classification]]="Owner´s Equity"),Table834[[#This Row],[Credit.]]&gt;Table834[[#This Row],[Debit\]]),Table834[[#This Row],[Credit.]]-Table834[[#This Row],[Debit\]],""),"")</f>
        <v/>
      </c>
    </row>
    <row r="65" spans="2:34" hidden="1" x14ac:dyDescent="0.25">
      <c r="B65" s="34"/>
      <c r="C65" s="37" t="s">
        <v>119</v>
      </c>
      <c r="D65" s="34">
        <v>300</v>
      </c>
      <c r="E65" s="34"/>
      <c r="G65" s="39"/>
      <c r="H65" s="43"/>
      <c r="I65" s="41"/>
      <c r="J65" s="41"/>
      <c r="L65" s="34">
        <v>58</v>
      </c>
      <c r="M65" s="35" t="s">
        <v>164</v>
      </c>
      <c r="N65" s="35" t="s">
        <v>120</v>
      </c>
      <c r="O65" s="34">
        <f>IFERROR(SUMIF(Table431[,],Table633[[#This Row],[Accounts Name]],Table431[,3]),"")</f>
        <v>436840.42</v>
      </c>
      <c r="P65" s="34">
        <f>IFERROR(SUMIF(Table431[,],Table633[[#This Row],[Accounts Name]],Table431[,2]),"")</f>
        <v>0</v>
      </c>
      <c r="S65" s="36">
        <f t="shared" si="0"/>
        <v>58</v>
      </c>
      <c r="T65" s="34"/>
      <c r="U65" s="37"/>
      <c r="V65" s="34">
        <f>IFERROR(SUMIF(Table633[Sub-Accounts],Table834[[#This Row],[Update your chart of accounts here]],Table633[Debit]),"")</f>
        <v>0</v>
      </c>
      <c r="W65" s="34">
        <f>IFERROR(SUMIF(Table633[Sub-Accounts],Table834[[#This Row],[Update your chart of accounts here]],Table633[Credit]),"")</f>
        <v>0</v>
      </c>
      <c r="X65" s="34"/>
      <c r="Y65" s="34"/>
      <c r="Z65" s="34"/>
      <c r="AA65" s="34"/>
      <c r="AB65" s="34">
        <f>MAX(Table834[[#This Row],[Debit]]+Table834[[#This Row],[Debit -]]-Table834[[#This Row],[Credit]]-Table834[[#This Row],[Credit +]],0)</f>
        <v>0</v>
      </c>
      <c r="AC65" s="34">
        <f>MAX(Table834[[#This Row],[Credit]]-Table834[[#This Row],[Debit]]+Table834[[#This Row],[Credit +]]-Table834[[#This Row],[Debit -]],0)</f>
        <v>0</v>
      </c>
      <c r="AD65" s="34" t="str">
        <f>IFERROR(IF(AND(OR(Table834[[#This Row],[Classification]]="Expense",Table834[[#This Row],[Classification]]="Cost of Goods Sold"),Table834[[#This Row],[Debit\]]&gt;Table834[[#This Row],[Credit.]]),Table834[[#This Row],[Debit\]]-Table834[[#This Row],[Credit.]],""),"")</f>
        <v/>
      </c>
      <c r="AE65" s="34" t="str">
        <f>IFERROR(IF(AND(OR(Table834[[#This Row],[Classification]]="Income",Table834[[#This Row],[Classification]]="Cost of Goods Sold"),Table834[[#This Row],[Credit.]]&gt;Table834[[#This Row],[Debit\]]),Table834[[#This Row],[Credit.]]-Table834[[#This Row],[Debit\]],""),"")</f>
        <v/>
      </c>
      <c r="AF65" s="34"/>
      <c r="AG65" s="34" t="str">
        <f>IFERROR(IF(AND(Table834[[#This Row],[Classification]]="Assets",Table834[[#This Row],[Debit\]]-Table834[[#This Row],[Credit.]]),Table834[[#This Row],[Debit\]]-Table834[[#This Row],[Credit.]],""),"")</f>
        <v/>
      </c>
      <c r="AH65" s="34" t="str">
        <f>IFERROR(IF(AND(OR(Table834[[#This Row],[Classification]]="Liabilities",Table834[[#This Row],[Classification]]="Owner´s Equity"),Table834[[#This Row],[Credit.]]&gt;Table834[[#This Row],[Debit\]]),Table834[[#This Row],[Credit.]]-Table834[[#This Row],[Debit\]],""),"")</f>
        <v/>
      </c>
    </row>
    <row r="66" spans="2:34" hidden="1" x14ac:dyDescent="0.25">
      <c r="B66" s="34"/>
      <c r="C66" s="37" t="s">
        <v>120</v>
      </c>
      <c r="D66" s="34">
        <v>436840.42</v>
      </c>
      <c r="E66" s="34"/>
      <c r="G66" s="39"/>
      <c r="H66" s="40"/>
      <c r="I66" s="41"/>
      <c r="J66" s="41"/>
      <c r="L66" s="34">
        <v>59</v>
      </c>
      <c r="M66" s="35" t="s">
        <v>151</v>
      </c>
      <c r="N66" s="35" t="s">
        <v>121</v>
      </c>
      <c r="O66" s="34">
        <f>IFERROR(SUMIF(Table431[,],Table633[[#This Row],[Accounts Name]],Table431[,3]),"")</f>
        <v>102350</v>
      </c>
      <c r="P66" s="34">
        <f>IFERROR(SUMIF(Table431[,],Table633[[#This Row],[Accounts Name]],Table431[,2]),"")</f>
        <v>0</v>
      </c>
      <c r="S66" s="36">
        <f t="shared" si="0"/>
        <v>59</v>
      </c>
      <c r="T66" s="34"/>
      <c r="U66" s="37"/>
      <c r="V66" s="34">
        <f>IFERROR(SUMIF(Table633[Sub-Accounts],Table834[[#This Row],[Update your chart of accounts here]],Table633[Debit]),"")</f>
        <v>0</v>
      </c>
      <c r="W66" s="34">
        <f>IFERROR(SUMIF(Table633[Sub-Accounts],Table834[[#This Row],[Update your chart of accounts here]],Table633[Credit]),"")</f>
        <v>0</v>
      </c>
      <c r="X66" s="34"/>
      <c r="Y66" s="34"/>
      <c r="Z66" s="34"/>
      <c r="AA66" s="34"/>
      <c r="AB66" s="34">
        <f>MAX(Table834[[#This Row],[Debit]]+Table834[[#This Row],[Debit -]]-Table834[[#This Row],[Credit]]-Table834[[#This Row],[Credit +]],0)</f>
        <v>0</v>
      </c>
      <c r="AC66" s="34">
        <f>MAX(Table834[[#This Row],[Credit]]-Table834[[#This Row],[Debit]]+Table834[[#This Row],[Credit +]]-Table834[[#This Row],[Debit -]],0)</f>
        <v>0</v>
      </c>
      <c r="AD66" s="34" t="str">
        <f>IFERROR(IF(AND(OR(Table834[[#This Row],[Classification]]="Expense",Table834[[#This Row],[Classification]]="Cost of Goods Sold"),Table834[[#This Row],[Debit\]]&gt;Table834[[#This Row],[Credit.]]),Table834[[#This Row],[Debit\]]-Table834[[#This Row],[Credit.]],""),"")</f>
        <v/>
      </c>
      <c r="AE66" s="34" t="str">
        <f>IFERROR(IF(AND(OR(Table834[[#This Row],[Classification]]="Income",Table834[[#This Row],[Classification]]="Cost of Goods Sold"),Table834[[#This Row],[Credit.]]&gt;Table834[[#This Row],[Debit\]]),Table834[[#This Row],[Credit.]]-Table834[[#This Row],[Debit\]],""),"")</f>
        <v/>
      </c>
      <c r="AF66" s="34"/>
      <c r="AG66" s="34" t="str">
        <f>IFERROR(IF(AND(Table834[[#This Row],[Classification]]="Assets",Table834[[#This Row],[Debit\]]-Table834[[#This Row],[Credit.]]),Table834[[#This Row],[Debit\]]-Table834[[#This Row],[Credit.]],""),"")</f>
        <v/>
      </c>
      <c r="AH66" s="34" t="str">
        <f>IFERROR(IF(AND(OR(Table834[[#This Row],[Classification]]="Liabilities",Table834[[#This Row],[Classification]]="Owner´s Equity"),Table834[[#This Row],[Credit.]]&gt;Table834[[#This Row],[Debit\]]),Table834[[#This Row],[Credit.]]-Table834[[#This Row],[Debit\]],""),"")</f>
        <v/>
      </c>
    </row>
    <row r="67" spans="2:34" hidden="1" x14ac:dyDescent="0.25">
      <c r="B67" s="34"/>
      <c r="C67" s="37" t="s">
        <v>121</v>
      </c>
      <c r="D67" s="34">
        <v>102350</v>
      </c>
      <c r="E67" s="34"/>
      <c r="G67" s="39"/>
      <c r="H67" s="40"/>
      <c r="I67" s="41"/>
      <c r="J67" s="41"/>
      <c r="L67" s="34">
        <v>60</v>
      </c>
      <c r="M67" s="35" t="s">
        <v>151</v>
      </c>
      <c r="N67" s="35" t="s">
        <v>122</v>
      </c>
      <c r="O67" s="34">
        <f>IFERROR(SUMIF(Table431[,],Table633[[#This Row],[Accounts Name]],Table431[,3]),"")</f>
        <v>62000</v>
      </c>
      <c r="P67" s="34">
        <f>IFERROR(SUMIF(Table431[,],Table633[[#This Row],[Accounts Name]],Table431[,2]),"")</f>
        <v>0</v>
      </c>
      <c r="S67" s="36">
        <f t="shared" si="0"/>
        <v>60</v>
      </c>
      <c r="T67" s="34"/>
      <c r="U67" s="37"/>
      <c r="V67" s="34">
        <f>IFERROR(SUMIF(Table633[Sub-Accounts],Table834[[#This Row],[Update your chart of accounts here]],Table633[Debit]),"")</f>
        <v>0</v>
      </c>
      <c r="W67" s="34">
        <f>IFERROR(SUMIF(Table633[Sub-Accounts],Table834[[#This Row],[Update your chart of accounts here]],Table633[Credit]),"")</f>
        <v>0</v>
      </c>
      <c r="X67" s="34"/>
      <c r="Y67" s="34"/>
      <c r="Z67" s="34"/>
      <c r="AA67" s="34"/>
      <c r="AB67" s="34">
        <f>MAX(Table834[[#This Row],[Debit]]+Table834[[#This Row],[Debit -]]-Table834[[#This Row],[Credit]]-Table834[[#This Row],[Credit +]],0)</f>
        <v>0</v>
      </c>
      <c r="AC67" s="34">
        <f>MAX(Table834[[#This Row],[Credit]]-Table834[[#This Row],[Debit]]+Table834[[#This Row],[Credit +]]-Table834[[#This Row],[Debit -]],0)</f>
        <v>0</v>
      </c>
      <c r="AD67" s="34" t="str">
        <f>IFERROR(IF(AND(OR(Table834[[#This Row],[Classification]]="Expense",Table834[[#This Row],[Classification]]="Cost of Goods Sold"),Table834[[#This Row],[Debit\]]&gt;Table834[[#This Row],[Credit.]]),Table834[[#This Row],[Debit\]]-Table834[[#This Row],[Credit.]],""),"")</f>
        <v/>
      </c>
      <c r="AE67" s="34" t="str">
        <f>IFERROR(IF(AND(OR(Table834[[#This Row],[Classification]]="Income",Table834[[#This Row],[Classification]]="Cost of Goods Sold"),Table834[[#This Row],[Credit.]]&gt;Table834[[#This Row],[Debit\]]),Table834[[#This Row],[Credit.]]-Table834[[#This Row],[Debit\]],""),"")</f>
        <v/>
      </c>
      <c r="AF67" s="34"/>
      <c r="AG67" s="34" t="str">
        <f>IFERROR(IF(AND(Table834[[#This Row],[Classification]]="Assets",Table834[[#This Row],[Debit\]]-Table834[[#This Row],[Credit.]]),Table834[[#This Row],[Debit\]]-Table834[[#This Row],[Credit.]],""),"")</f>
        <v/>
      </c>
      <c r="AH67" s="34" t="str">
        <f>IFERROR(IF(AND(OR(Table834[[#This Row],[Classification]]="Liabilities",Table834[[#This Row],[Classification]]="Owner´s Equity"),Table834[[#This Row],[Credit.]]&gt;Table834[[#This Row],[Debit\]]),Table834[[#This Row],[Credit.]]-Table834[[#This Row],[Debit\]],""),"")</f>
        <v/>
      </c>
    </row>
    <row r="68" spans="2:34" hidden="1" x14ac:dyDescent="0.25">
      <c r="B68" s="34"/>
      <c r="C68" s="37" t="s">
        <v>122</v>
      </c>
      <c r="D68" s="34">
        <v>62000</v>
      </c>
      <c r="E68" s="34"/>
      <c r="G68" s="39"/>
      <c r="H68" s="43"/>
      <c r="I68" s="41"/>
      <c r="J68" s="41"/>
      <c r="L68" s="34">
        <v>61</v>
      </c>
      <c r="M68" s="35" t="s">
        <v>151</v>
      </c>
      <c r="N68" s="35" t="s">
        <v>123</v>
      </c>
      <c r="O68" s="34">
        <f>IFERROR(SUMIF(Table431[,],Table633[[#This Row],[Accounts Name]],Table431[,3]),"")</f>
        <v>278343</v>
      </c>
      <c r="P68" s="34">
        <f>IFERROR(SUMIF(Table431[,],Table633[[#This Row],[Accounts Name]],Table431[,2]),"")</f>
        <v>0</v>
      </c>
      <c r="S68" s="36">
        <f t="shared" si="0"/>
        <v>61</v>
      </c>
      <c r="T68" s="34"/>
      <c r="U68" s="37"/>
      <c r="V68" s="34">
        <f>IFERROR(SUMIF(Table633[Sub-Accounts],Table834[[#This Row],[Update your chart of accounts here]],Table633[Debit]),"")</f>
        <v>0</v>
      </c>
      <c r="W68" s="34">
        <f>IFERROR(SUMIF(Table633[Sub-Accounts],Table834[[#This Row],[Update your chart of accounts here]],Table633[Credit]),"")</f>
        <v>0</v>
      </c>
      <c r="X68" s="34"/>
      <c r="Y68" s="34"/>
      <c r="Z68" s="34"/>
      <c r="AA68" s="34"/>
      <c r="AB68" s="34">
        <f>MAX(Table834[[#This Row],[Debit]]+Table834[[#This Row],[Debit -]]-Table834[[#This Row],[Credit]]-Table834[[#This Row],[Credit +]],0)</f>
        <v>0</v>
      </c>
      <c r="AC68" s="34">
        <f>MAX(Table834[[#This Row],[Credit]]-Table834[[#This Row],[Debit]]+Table834[[#This Row],[Credit +]]-Table834[[#This Row],[Debit -]],0)</f>
        <v>0</v>
      </c>
      <c r="AD68" s="34" t="str">
        <f>IFERROR(IF(AND(OR(Table834[[#This Row],[Classification]]="Expense",Table834[[#This Row],[Classification]]="Cost of Goods Sold"),Table834[[#This Row],[Debit\]]&gt;Table834[[#This Row],[Credit.]]),Table834[[#This Row],[Debit\]]-Table834[[#This Row],[Credit.]],""),"")</f>
        <v/>
      </c>
      <c r="AE68" s="34" t="str">
        <f>IFERROR(IF(AND(OR(Table834[[#This Row],[Classification]]="Income",Table834[[#This Row],[Classification]]="Cost of Goods Sold"),Table834[[#This Row],[Credit.]]&gt;Table834[[#This Row],[Debit\]]),Table834[[#This Row],[Credit.]]-Table834[[#This Row],[Debit\]],""),"")</f>
        <v/>
      </c>
      <c r="AF68" s="34"/>
      <c r="AG68" s="34" t="str">
        <f>IFERROR(IF(AND(Table834[[#This Row],[Classification]]="Assets",Table834[[#This Row],[Debit\]]-Table834[[#This Row],[Credit.]]),Table834[[#This Row],[Debit\]]-Table834[[#This Row],[Credit.]],""),"")</f>
        <v/>
      </c>
      <c r="AH68" s="34" t="str">
        <f>IFERROR(IF(AND(OR(Table834[[#This Row],[Classification]]="Liabilities",Table834[[#This Row],[Classification]]="Owner´s Equity"),Table834[[#This Row],[Credit.]]&gt;Table834[[#This Row],[Debit\]]),Table834[[#This Row],[Credit.]]-Table834[[#This Row],[Debit\]],""),"")</f>
        <v/>
      </c>
    </row>
    <row r="69" spans="2:34" hidden="1" x14ac:dyDescent="0.25">
      <c r="B69" s="34"/>
      <c r="C69" s="37" t="s">
        <v>123</v>
      </c>
      <c r="D69" s="34">
        <v>278343</v>
      </c>
      <c r="E69" s="34"/>
      <c r="G69" s="39"/>
      <c r="H69" s="40"/>
      <c r="I69" s="41"/>
      <c r="J69" s="41"/>
      <c r="L69" s="34">
        <v>62</v>
      </c>
      <c r="M69" s="35" t="s">
        <v>159</v>
      </c>
      <c r="N69" s="35" t="s">
        <v>124</v>
      </c>
      <c r="O69" s="34">
        <f>IFERROR(SUMIF(Table431[,],Table633[[#This Row],[Accounts Name]],Table431[,3]),"")</f>
        <v>181078.65</v>
      </c>
      <c r="P69" s="34">
        <f>IFERROR(SUMIF(Table431[,],Table633[[#This Row],[Accounts Name]],Table431[,2]),"")</f>
        <v>0</v>
      </c>
      <c r="S69" s="36">
        <f t="shared" si="0"/>
        <v>62</v>
      </c>
      <c r="T69" s="34"/>
      <c r="U69" s="37"/>
      <c r="V69" s="34">
        <f>IFERROR(SUMIF(Table633[Sub-Accounts],Table834[[#This Row],[Update your chart of accounts here]],Table633[Debit]),"")</f>
        <v>0</v>
      </c>
      <c r="W69" s="34">
        <f>IFERROR(SUMIF(Table633[Sub-Accounts],Table834[[#This Row],[Update your chart of accounts here]],Table633[Credit]),"")</f>
        <v>0</v>
      </c>
      <c r="X69" s="34"/>
      <c r="Y69" s="34"/>
      <c r="Z69" s="34"/>
      <c r="AA69" s="34"/>
      <c r="AB69" s="34">
        <f>MAX(Table834[[#This Row],[Debit]]+Table834[[#This Row],[Debit -]]-Table834[[#This Row],[Credit]]-Table834[[#This Row],[Credit +]],0)</f>
        <v>0</v>
      </c>
      <c r="AC69" s="34">
        <f>MAX(Table834[[#This Row],[Credit]]-Table834[[#This Row],[Debit]]+Table834[[#This Row],[Credit +]]-Table834[[#This Row],[Debit -]],0)</f>
        <v>0</v>
      </c>
      <c r="AD69" s="34" t="str">
        <f>IFERROR(IF(AND(OR(Table834[[#This Row],[Classification]]="Expense",Table834[[#This Row],[Classification]]="Cost of Goods Sold"),Table834[[#This Row],[Debit\]]&gt;Table834[[#This Row],[Credit.]]),Table834[[#This Row],[Debit\]]-Table834[[#This Row],[Credit.]],""),"")</f>
        <v/>
      </c>
      <c r="AE69" s="34" t="str">
        <f>IFERROR(IF(AND(OR(Table834[[#This Row],[Classification]]="Income",Table834[[#This Row],[Classification]]="Cost of Goods Sold"),Table834[[#This Row],[Credit.]]&gt;Table834[[#This Row],[Debit\]]),Table834[[#This Row],[Credit.]]-Table834[[#This Row],[Debit\]],""),"")</f>
        <v/>
      </c>
      <c r="AF69" s="34"/>
      <c r="AG69" s="34" t="str">
        <f>IFERROR(IF(AND(Table834[[#This Row],[Classification]]="Assets",Table834[[#This Row],[Debit\]]-Table834[[#This Row],[Credit.]]),Table834[[#This Row],[Debit\]]-Table834[[#This Row],[Credit.]],""),"")</f>
        <v/>
      </c>
      <c r="AH69" s="34" t="str">
        <f>IFERROR(IF(AND(OR(Table834[[#This Row],[Classification]]="Liabilities",Table834[[#This Row],[Classification]]="Owner´s Equity"),Table834[[#This Row],[Credit.]]&gt;Table834[[#This Row],[Debit\]]),Table834[[#This Row],[Credit.]]-Table834[[#This Row],[Debit\]],""),"")</f>
        <v/>
      </c>
    </row>
    <row r="70" spans="2:34" hidden="1" x14ac:dyDescent="0.25">
      <c r="B70" s="34"/>
      <c r="C70" s="37" t="s">
        <v>124</v>
      </c>
      <c r="D70" s="34">
        <v>181078.65</v>
      </c>
      <c r="E70" s="34"/>
      <c r="G70" s="39"/>
      <c r="H70" s="40"/>
      <c r="I70" s="41"/>
      <c r="J70" s="41"/>
      <c r="L70" s="34">
        <v>63</v>
      </c>
      <c r="M70" s="35" t="s">
        <v>165</v>
      </c>
      <c r="N70" s="35" t="s">
        <v>125</v>
      </c>
      <c r="O70" s="34">
        <f>IFERROR(SUMIF(Table431[,],Table633[[#This Row],[Accounts Name]],Table431[,3]),"")</f>
        <v>653656.38</v>
      </c>
      <c r="P70" s="34">
        <f>IFERROR(SUMIF(Table431[,],Table633[[#This Row],[Accounts Name]],Table431[,2]),"")</f>
        <v>0</v>
      </c>
      <c r="S70" s="36">
        <f t="shared" si="0"/>
        <v>63</v>
      </c>
      <c r="T70" s="34"/>
      <c r="U70" s="37"/>
      <c r="V70" s="34">
        <f>IFERROR(SUMIF(Table633[Sub-Accounts],Table834[[#This Row],[Update your chart of accounts here]],Table633[Debit]),"")</f>
        <v>0</v>
      </c>
      <c r="W70" s="34">
        <f>IFERROR(SUMIF(Table633[Sub-Accounts],Table834[[#This Row],[Update your chart of accounts here]],Table633[Credit]),"")</f>
        <v>0</v>
      </c>
      <c r="X70" s="34"/>
      <c r="Y70" s="34"/>
      <c r="Z70" s="34"/>
      <c r="AA70" s="34"/>
      <c r="AB70" s="34">
        <f>MAX(Table834[[#This Row],[Debit]]+Table834[[#This Row],[Debit -]]-Table834[[#This Row],[Credit]]-Table834[[#This Row],[Credit +]],0)</f>
        <v>0</v>
      </c>
      <c r="AC70" s="34">
        <f>MAX(Table834[[#This Row],[Credit]]-Table834[[#This Row],[Debit]]+Table834[[#This Row],[Credit +]]-Table834[[#This Row],[Debit -]],0)</f>
        <v>0</v>
      </c>
      <c r="AD70" s="34" t="str">
        <f>IFERROR(IF(AND(OR(Table834[[#This Row],[Classification]]="Expense",Table834[[#This Row],[Classification]]="Cost of Goods Sold"),Table834[[#This Row],[Debit\]]&gt;Table834[[#This Row],[Credit.]]),Table834[[#This Row],[Debit\]]-Table834[[#This Row],[Credit.]],""),"")</f>
        <v/>
      </c>
      <c r="AE70" s="34" t="str">
        <f>IFERROR(IF(AND(OR(Table834[[#This Row],[Classification]]="Income",Table834[[#This Row],[Classification]]="Cost of Goods Sold"),Table834[[#This Row],[Credit.]]&gt;Table834[[#This Row],[Debit\]]),Table834[[#This Row],[Credit.]]-Table834[[#This Row],[Debit\]],""),"")</f>
        <v/>
      </c>
      <c r="AF70" s="34"/>
      <c r="AG70" s="34" t="str">
        <f>IFERROR(IF(AND(Table834[[#This Row],[Classification]]="Assets",Table834[[#This Row],[Debit\]]-Table834[[#This Row],[Credit.]]),Table834[[#This Row],[Debit\]]-Table834[[#This Row],[Credit.]],""),"")</f>
        <v/>
      </c>
      <c r="AH70" s="34" t="str">
        <f>IFERROR(IF(AND(OR(Table834[[#This Row],[Classification]]="Liabilities",Table834[[#This Row],[Classification]]="Owner´s Equity"),Table834[[#This Row],[Credit.]]&gt;Table834[[#This Row],[Debit\]]),Table834[[#This Row],[Credit.]]-Table834[[#This Row],[Debit\]],""),"")</f>
        <v/>
      </c>
    </row>
    <row r="71" spans="2:34" hidden="1" x14ac:dyDescent="0.25">
      <c r="B71" s="34"/>
      <c r="C71" s="37" t="s">
        <v>125</v>
      </c>
      <c r="D71" s="34">
        <v>653656.38</v>
      </c>
      <c r="E71" s="34"/>
      <c r="G71" s="39"/>
      <c r="H71" s="43"/>
      <c r="I71" s="41"/>
      <c r="J71" s="41"/>
      <c r="L71" s="34">
        <v>64</v>
      </c>
      <c r="M71" s="35" t="s">
        <v>160</v>
      </c>
      <c r="N71" s="35" t="s">
        <v>126</v>
      </c>
      <c r="O71" s="34">
        <f>IFERROR(SUMIF(Table431[,],Table633[[#This Row],[Accounts Name]],Table431[,3]),"")</f>
        <v>115440</v>
      </c>
      <c r="P71" s="34">
        <f>IFERROR(SUMIF(Table431[,],Table633[[#This Row],[Accounts Name]],Table431[,2]),"")</f>
        <v>0</v>
      </c>
      <c r="S71" s="36">
        <f t="shared" si="0"/>
        <v>64</v>
      </c>
      <c r="T71" s="34"/>
      <c r="U71" s="37"/>
      <c r="V71" s="34">
        <f>IFERROR(SUMIF(Table633[Sub-Accounts],Table834[[#This Row],[Update your chart of accounts here]],Table633[Debit]),"")</f>
        <v>0</v>
      </c>
      <c r="W71" s="34">
        <f>IFERROR(SUMIF(Table633[Sub-Accounts],Table834[[#This Row],[Update your chart of accounts here]],Table633[Credit]),"")</f>
        <v>0</v>
      </c>
      <c r="X71" s="34"/>
      <c r="Y71" s="34"/>
      <c r="Z71" s="34"/>
      <c r="AA71" s="34"/>
      <c r="AB71" s="34">
        <f>MAX(Table834[[#This Row],[Debit]]+Table834[[#This Row],[Debit -]]-Table834[[#This Row],[Credit]]-Table834[[#This Row],[Credit +]],0)</f>
        <v>0</v>
      </c>
      <c r="AC71" s="34">
        <f>MAX(Table834[[#This Row],[Credit]]-Table834[[#This Row],[Debit]]+Table834[[#This Row],[Credit +]]-Table834[[#This Row],[Debit -]],0)</f>
        <v>0</v>
      </c>
      <c r="AD71" s="34" t="str">
        <f>IFERROR(IF(AND(OR(Table834[[#This Row],[Classification]]="Expense",Table834[[#This Row],[Classification]]="Cost of Goods Sold"),Table834[[#This Row],[Debit\]]&gt;Table834[[#This Row],[Credit.]]),Table834[[#This Row],[Debit\]]-Table834[[#This Row],[Credit.]],""),"")</f>
        <v/>
      </c>
      <c r="AE71" s="34" t="str">
        <f>IFERROR(IF(AND(OR(Table834[[#This Row],[Classification]]="Income",Table834[[#This Row],[Classification]]="Cost of Goods Sold"),Table834[[#This Row],[Credit.]]&gt;Table834[[#This Row],[Debit\]]),Table834[[#This Row],[Credit.]]-Table834[[#This Row],[Debit\]],""),"")</f>
        <v/>
      </c>
      <c r="AF71" s="34"/>
      <c r="AG71" s="34" t="str">
        <f>IFERROR(IF(AND(Table834[[#This Row],[Classification]]="Assets",Table834[[#This Row],[Debit\]]-Table834[[#This Row],[Credit.]]),Table834[[#This Row],[Debit\]]-Table834[[#This Row],[Credit.]],""),"")</f>
        <v/>
      </c>
      <c r="AH71" s="34" t="str">
        <f>IFERROR(IF(AND(OR(Table834[[#This Row],[Classification]]="Liabilities",Table834[[#This Row],[Classification]]="Owner´s Equity"),Table834[[#This Row],[Credit.]]&gt;Table834[[#This Row],[Debit\]]),Table834[[#This Row],[Credit.]]-Table834[[#This Row],[Debit\]],""),"")</f>
        <v/>
      </c>
    </row>
    <row r="72" spans="2:34" hidden="1" x14ac:dyDescent="0.25">
      <c r="B72" s="34"/>
      <c r="C72" s="37" t="s">
        <v>126</v>
      </c>
      <c r="D72" s="34">
        <v>115440</v>
      </c>
      <c r="E72" s="34"/>
      <c r="G72" s="39"/>
      <c r="H72" s="40"/>
      <c r="I72" s="41"/>
      <c r="J72" s="41"/>
      <c r="L72" s="34">
        <v>65</v>
      </c>
      <c r="M72" s="35" t="s">
        <v>166</v>
      </c>
      <c r="N72" s="35" t="s">
        <v>127</v>
      </c>
      <c r="O72" s="34">
        <f>IFERROR(SUMIF(Table431[,],Table633[[#This Row],[Accounts Name]],Table431[,3]),"")</f>
        <v>1409746.56</v>
      </c>
      <c r="P72" s="34">
        <f>IFERROR(SUMIF(Table431[,],Table633[[#This Row],[Accounts Name]],Table431[,2]),"")</f>
        <v>0</v>
      </c>
      <c r="S72" s="36">
        <f t="shared" si="0"/>
        <v>65</v>
      </c>
      <c r="T72" s="34"/>
      <c r="U72" s="37"/>
      <c r="V72" s="34">
        <f>IFERROR(SUMIF(Table633[Sub-Accounts],Table834[[#This Row],[Update your chart of accounts here]],Table633[Debit]),"")</f>
        <v>0</v>
      </c>
      <c r="W72" s="34">
        <f>IFERROR(SUMIF(Table633[Sub-Accounts],Table834[[#This Row],[Update your chart of accounts here]],Table633[Credit]),"")</f>
        <v>0</v>
      </c>
      <c r="X72" s="34"/>
      <c r="Y72" s="34"/>
      <c r="Z72" s="34"/>
      <c r="AA72" s="34"/>
      <c r="AB72" s="34">
        <f>MAX(Table834[[#This Row],[Debit]]+Table834[[#This Row],[Debit -]]-Table834[[#This Row],[Credit]]-Table834[[#This Row],[Credit +]],0)</f>
        <v>0</v>
      </c>
      <c r="AC72" s="34">
        <f>MAX(Table834[[#This Row],[Credit]]-Table834[[#This Row],[Debit]]+Table834[[#This Row],[Credit +]]-Table834[[#This Row],[Debit -]],0)</f>
        <v>0</v>
      </c>
      <c r="AD72" s="34" t="str">
        <f>IFERROR(IF(AND(OR(Table834[[#This Row],[Classification]]="Expense",Table834[[#This Row],[Classification]]="Cost of Goods Sold"),Table834[[#This Row],[Debit\]]&gt;Table834[[#This Row],[Credit.]]),Table834[[#This Row],[Debit\]]-Table834[[#This Row],[Credit.]],""),"")</f>
        <v/>
      </c>
      <c r="AE72" s="34" t="str">
        <f>IFERROR(IF(AND(OR(Table834[[#This Row],[Classification]]="Income",Table834[[#This Row],[Classification]]="Cost of Goods Sold"),Table834[[#This Row],[Credit.]]&gt;Table834[[#This Row],[Debit\]]),Table834[[#This Row],[Credit.]]-Table834[[#This Row],[Debit\]],""),"")</f>
        <v/>
      </c>
      <c r="AF72" s="34"/>
      <c r="AG72" s="34" t="str">
        <f>IFERROR(IF(AND(Table834[[#This Row],[Classification]]="Assets",Table834[[#This Row],[Debit\]]-Table834[[#This Row],[Credit.]]),Table834[[#This Row],[Debit\]]-Table834[[#This Row],[Credit.]],""),"")</f>
        <v/>
      </c>
      <c r="AH72" s="34" t="str">
        <f>IFERROR(IF(AND(OR(Table834[[#This Row],[Classification]]="Liabilities",Table834[[#This Row],[Classification]]="Owner´s Equity"),Table834[[#This Row],[Credit.]]&gt;Table834[[#This Row],[Debit\]]),Table834[[#This Row],[Credit.]]-Table834[[#This Row],[Debit\]],""),"")</f>
        <v/>
      </c>
    </row>
    <row r="73" spans="2:34" hidden="1" x14ac:dyDescent="0.25">
      <c r="B73" s="34"/>
      <c r="C73" s="37" t="s">
        <v>127</v>
      </c>
      <c r="D73" s="34">
        <v>1409746.56</v>
      </c>
      <c r="E73" s="34"/>
      <c r="G73" s="39"/>
      <c r="H73" s="40"/>
      <c r="I73" s="41"/>
      <c r="J73" s="41"/>
      <c r="L73" s="34">
        <v>66</v>
      </c>
      <c r="M73" s="35" t="s">
        <v>152</v>
      </c>
      <c r="N73" s="35" t="s">
        <v>128</v>
      </c>
      <c r="O73" s="34">
        <f>IFERROR(SUMIF(Table431[,],Table633[[#This Row],[Accounts Name]],Table431[,3]),"")</f>
        <v>1758</v>
      </c>
      <c r="P73" s="34">
        <f>IFERROR(SUMIF(Table431[,],Table633[[#This Row],[Accounts Name]],Table431[,2]),"")</f>
        <v>0</v>
      </c>
      <c r="S73" s="36">
        <f t="shared" si="0"/>
        <v>66</v>
      </c>
      <c r="T73" s="34"/>
      <c r="U73" s="37"/>
      <c r="V73" s="34">
        <f>IFERROR(SUMIF(Table633[Sub-Accounts],Table834[[#This Row],[Update your chart of accounts here]],Table633[Debit]),"")</f>
        <v>0</v>
      </c>
      <c r="W73" s="34">
        <f>IFERROR(SUMIF(Table633[Sub-Accounts],Table834[[#This Row],[Update your chart of accounts here]],Table633[Credit]),"")</f>
        <v>0</v>
      </c>
      <c r="X73" s="34"/>
      <c r="Y73" s="34"/>
      <c r="Z73" s="34"/>
      <c r="AA73" s="34"/>
      <c r="AB73" s="34">
        <f>MAX(Table834[[#This Row],[Debit]]+Table834[[#This Row],[Debit -]]-Table834[[#This Row],[Credit]]-Table834[[#This Row],[Credit +]],0)</f>
        <v>0</v>
      </c>
      <c r="AC73" s="34">
        <f>MAX(Table834[[#This Row],[Credit]]-Table834[[#This Row],[Debit]]+Table834[[#This Row],[Credit +]]-Table834[[#This Row],[Debit -]],0)</f>
        <v>0</v>
      </c>
      <c r="AD73" s="34" t="str">
        <f>IFERROR(IF(AND(OR(Table834[[#This Row],[Classification]]="Expense",Table834[[#This Row],[Classification]]="Cost of Goods Sold"),Table834[[#This Row],[Debit\]]&gt;Table834[[#This Row],[Credit.]]),Table834[[#This Row],[Debit\]]-Table834[[#This Row],[Credit.]],""),"")</f>
        <v/>
      </c>
      <c r="AE73" s="34" t="str">
        <f>IFERROR(IF(AND(OR(Table834[[#This Row],[Classification]]="Income",Table834[[#This Row],[Classification]]="Cost of Goods Sold"),Table834[[#This Row],[Credit.]]&gt;Table834[[#This Row],[Debit\]]),Table834[[#This Row],[Credit.]]-Table834[[#This Row],[Debit\]],""),"")</f>
        <v/>
      </c>
      <c r="AF73" s="34"/>
      <c r="AG73" s="34" t="str">
        <f>IFERROR(IF(AND(Table834[[#This Row],[Classification]]="Assets",Table834[[#This Row],[Debit\]]-Table834[[#This Row],[Credit.]]),Table834[[#This Row],[Debit\]]-Table834[[#This Row],[Credit.]],""),"")</f>
        <v/>
      </c>
      <c r="AH73" s="34" t="str">
        <f>IFERROR(IF(AND(OR(Table834[[#This Row],[Classification]]="Liabilities",Table834[[#This Row],[Classification]]="Owner´s Equity"),Table834[[#This Row],[Credit.]]&gt;Table834[[#This Row],[Debit\]]),Table834[[#This Row],[Credit.]]-Table834[[#This Row],[Debit\]],""),"")</f>
        <v/>
      </c>
    </row>
    <row r="74" spans="2:34" hidden="1" x14ac:dyDescent="0.25">
      <c r="B74" s="34"/>
      <c r="C74" s="37" t="s">
        <v>128</v>
      </c>
      <c r="D74" s="34">
        <v>1758</v>
      </c>
      <c r="E74" s="34"/>
      <c r="G74" s="39"/>
      <c r="H74" s="43"/>
      <c r="I74" s="41"/>
      <c r="J74" s="41"/>
      <c r="L74" s="34">
        <v>67</v>
      </c>
      <c r="M74" s="35" t="s">
        <v>167</v>
      </c>
      <c r="N74" s="35" t="s">
        <v>129</v>
      </c>
      <c r="O74" s="34">
        <f>IFERROR(SUMIF(Table431[,],Table633[[#This Row],[Accounts Name]],Table431[,3]),"")</f>
        <v>196582.42</v>
      </c>
      <c r="P74" s="34">
        <f>IFERROR(SUMIF(Table431[,],Table633[[#This Row],[Accounts Name]],Table431[,2]),"")</f>
        <v>0</v>
      </c>
      <c r="S74" s="36">
        <f t="shared" ref="S74:S137" si="1">S73+1</f>
        <v>67</v>
      </c>
      <c r="T74" s="34"/>
      <c r="U74" s="37"/>
      <c r="V74" s="34">
        <f>IFERROR(SUMIF(Table633[Sub-Accounts],Table834[[#This Row],[Update your chart of accounts here]],Table633[Debit]),"")</f>
        <v>0</v>
      </c>
      <c r="W74" s="34">
        <f>IFERROR(SUMIF(Table633[Sub-Accounts],Table834[[#This Row],[Update your chart of accounts here]],Table633[Credit]),"")</f>
        <v>0</v>
      </c>
      <c r="X74" s="34"/>
      <c r="Y74" s="34"/>
      <c r="Z74" s="34"/>
      <c r="AA74" s="34"/>
      <c r="AB74" s="34">
        <f>MAX(Table834[[#This Row],[Debit]]+Table834[[#This Row],[Debit -]]-Table834[[#This Row],[Credit]]-Table834[[#This Row],[Credit +]],0)</f>
        <v>0</v>
      </c>
      <c r="AC74" s="34">
        <f>MAX(Table834[[#This Row],[Credit]]-Table834[[#This Row],[Debit]]+Table834[[#This Row],[Credit +]]-Table834[[#This Row],[Debit -]],0)</f>
        <v>0</v>
      </c>
      <c r="AD74" s="34" t="str">
        <f>IFERROR(IF(AND(OR(Table834[[#This Row],[Classification]]="Expense",Table834[[#This Row],[Classification]]="Cost of Goods Sold"),Table834[[#This Row],[Debit\]]&gt;Table834[[#This Row],[Credit.]]),Table834[[#This Row],[Debit\]]-Table834[[#This Row],[Credit.]],""),"")</f>
        <v/>
      </c>
      <c r="AE74" s="34" t="str">
        <f>IFERROR(IF(AND(OR(Table834[[#This Row],[Classification]]="Income",Table834[[#This Row],[Classification]]="Cost of Goods Sold"),Table834[[#This Row],[Credit.]]&gt;Table834[[#This Row],[Debit\]]),Table834[[#This Row],[Credit.]]-Table834[[#This Row],[Debit\]],""),"")</f>
        <v/>
      </c>
      <c r="AF74" s="34"/>
      <c r="AG74" s="34" t="str">
        <f>IFERROR(IF(AND(Table834[[#This Row],[Classification]]="Assets",Table834[[#This Row],[Debit\]]-Table834[[#This Row],[Credit.]]),Table834[[#This Row],[Debit\]]-Table834[[#This Row],[Credit.]],""),"")</f>
        <v/>
      </c>
      <c r="AH74" s="34" t="str">
        <f>IFERROR(IF(AND(OR(Table834[[#This Row],[Classification]]="Liabilities",Table834[[#This Row],[Classification]]="Owner´s Equity"),Table834[[#This Row],[Credit.]]&gt;Table834[[#This Row],[Debit\]]),Table834[[#This Row],[Credit.]]-Table834[[#This Row],[Debit\]],""),"")</f>
        <v/>
      </c>
    </row>
    <row r="75" spans="2:34" hidden="1" x14ac:dyDescent="0.25">
      <c r="B75" s="34"/>
      <c r="C75" s="37" t="s">
        <v>129</v>
      </c>
      <c r="D75" s="34">
        <v>196582.42</v>
      </c>
      <c r="E75" s="34"/>
      <c r="G75" s="39"/>
      <c r="H75" s="40"/>
      <c r="I75" s="41"/>
      <c r="J75" s="41"/>
      <c r="L75" s="34">
        <v>68</v>
      </c>
      <c r="M75" s="35" t="s">
        <v>151</v>
      </c>
      <c r="N75" s="35" t="s">
        <v>130</v>
      </c>
      <c r="O75" s="34">
        <f>IFERROR(SUMIF(Table431[,],Table633[[#This Row],[Accounts Name]],Table431[,3]),"")</f>
        <v>3069792</v>
      </c>
      <c r="P75" s="34">
        <f>IFERROR(SUMIF(Table431[,],Table633[[#This Row],[Accounts Name]],Table431[,2]),"")</f>
        <v>0</v>
      </c>
      <c r="S75" s="36">
        <f t="shared" si="1"/>
        <v>68</v>
      </c>
      <c r="T75" s="34"/>
      <c r="U75" s="37"/>
      <c r="V75" s="34">
        <f>IFERROR(SUMIF(Table633[Sub-Accounts],Table834[[#This Row],[Update your chart of accounts here]],Table633[Debit]),"")</f>
        <v>0</v>
      </c>
      <c r="W75" s="34">
        <f>IFERROR(SUMIF(Table633[Sub-Accounts],Table834[[#This Row],[Update your chart of accounts here]],Table633[Credit]),"")</f>
        <v>0</v>
      </c>
      <c r="X75" s="34"/>
      <c r="Y75" s="34"/>
      <c r="Z75" s="34"/>
      <c r="AA75" s="34"/>
      <c r="AB75" s="34">
        <f>MAX(Table834[[#This Row],[Debit]]+Table834[[#This Row],[Debit -]]-Table834[[#This Row],[Credit]]-Table834[[#This Row],[Credit +]],0)</f>
        <v>0</v>
      </c>
      <c r="AC75" s="34">
        <f>MAX(Table834[[#This Row],[Credit]]-Table834[[#This Row],[Debit]]+Table834[[#This Row],[Credit +]]-Table834[[#This Row],[Debit -]],0)</f>
        <v>0</v>
      </c>
      <c r="AD75" s="34" t="str">
        <f>IFERROR(IF(AND(OR(Table834[[#This Row],[Classification]]="Expense",Table834[[#This Row],[Classification]]="Cost of Goods Sold"),Table834[[#This Row],[Debit\]]&gt;Table834[[#This Row],[Credit.]]),Table834[[#This Row],[Debit\]]-Table834[[#This Row],[Credit.]],""),"")</f>
        <v/>
      </c>
      <c r="AE75" s="34" t="str">
        <f>IFERROR(IF(AND(OR(Table834[[#This Row],[Classification]]="Income",Table834[[#This Row],[Classification]]="Cost of Goods Sold"),Table834[[#This Row],[Credit.]]&gt;Table834[[#This Row],[Debit\]]),Table834[[#This Row],[Credit.]]-Table834[[#This Row],[Debit\]],""),"")</f>
        <v/>
      </c>
      <c r="AF75" s="34"/>
      <c r="AG75" s="34" t="str">
        <f>IFERROR(IF(AND(Table834[[#This Row],[Classification]]="Assets",Table834[[#This Row],[Debit\]]-Table834[[#This Row],[Credit.]]),Table834[[#This Row],[Debit\]]-Table834[[#This Row],[Credit.]],""),"")</f>
        <v/>
      </c>
      <c r="AH75" s="34" t="str">
        <f>IFERROR(IF(AND(OR(Table834[[#This Row],[Classification]]="Liabilities",Table834[[#This Row],[Classification]]="Owner´s Equity"),Table834[[#This Row],[Credit.]]&gt;Table834[[#This Row],[Debit\]]),Table834[[#This Row],[Credit.]]-Table834[[#This Row],[Debit\]],""),"")</f>
        <v/>
      </c>
    </row>
    <row r="76" spans="2:34" hidden="1" x14ac:dyDescent="0.25">
      <c r="B76" s="34"/>
      <c r="C76" s="37" t="s">
        <v>130</v>
      </c>
      <c r="D76" s="34">
        <v>3069792</v>
      </c>
      <c r="E76" s="34"/>
      <c r="G76" s="39"/>
      <c r="H76" s="40"/>
      <c r="I76" s="41"/>
      <c r="J76" s="41"/>
      <c r="L76" s="34">
        <v>69</v>
      </c>
      <c r="M76" s="35" t="s">
        <v>168</v>
      </c>
      <c r="N76" s="35" t="s">
        <v>131</v>
      </c>
      <c r="O76" s="34">
        <f>IFERROR(SUMIF(Table431[,],Table633[[#This Row],[Accounts Name]],Table431[,3]),"")</f>
        <v>302989.64</v>
      </c>
      <c r="P76" s="34">
        <f>IFERROR(SUMIF(Table431[,],Table633[[#This Row],[Accounts Name]],Table431[,2]),"")</f>
        <v>0</v>
      </c>
      <c r="S76" s="36">
        <f t="shared" si="1"/>
        <v>69</v>
      </c>
      <c r="T76" s="34"/>
      <c r="U76" s="37"/>
      <c r="V76" s="34">
        <f>IFERROR(SUMIF(Table633[Sub-Accounts],Table834[[#This Row],[Update your chart of accounts here]],Table633[Debit]),"")</f>
        <v>0</v>
      </c>
      <c r="W76" s="34">
        <f>IFERROR(SUMIF(Table633[Sub-Accounts],Table834[[#This Row],[Update your chart of accounts here]],Table633[Credit]),"")</f>
        <v>0</v>
      </c>
      <c r="X76" s="34"/>
      <c r="Y76" s="34"/>
      <c r="Z76" s="34"/>
      <c r="AA76" s="34"/>
      <c r="AB76" s="34">
        <f>MAX(Table834[[#This Row],[Debit]]+Table834[[#This Row],[Debit -]]-Table834[[#This Row],[Credit]]-Table834[[#This Row],[Credit +]],0)</f>
        <v>0</v>
      </c>
      <c r="AC76" s="34">
        <f>MAX(Table834[[#This Row],[Credit]]-Table834[[#This Row],[Debit]]+Table834[[#This Row],[Credit +]]-Table834[[#This Row],[Debit -]],0)</f>
        <v>0</v>
      </c>
      <c r="AD76" s="34" t="str">
        <f>IFERROR(IF(AND(OR(Table834[[#This Row],[Classification]]="Expense",Table834[[#This Row],[Classification]]="Cost of Goods Sold"),Table834[[#This Row],[Debit\]]&gt;Table834[[#This Row],[Credit.]]),Table834[[#This Row],[Debit\]]-Table834[[#This Row],[Credit.]],""),"")</f>
        <v/>
      </c>
      <c r="AE76" s="34" t="str">
        <f>IFERROR(IF(AND(OR(Table834[[#This Row],[Classification]]="Income",Table834[[#This Row],[Classification]]="Cost of Goods Sold"),Table834[[#This Row],[Credit.]]&gt;Table834[[#This Row],[Debit\]]),Table834[[#This Row],[Credit.]]-Table834[[#This Row],[Debit\]],""),"")</f>
        <v/>
      </c>
      <c r="AF76" s="34"/>
      <c r="AG76" s="34" t="str">
        <f>IFERROR(IF(AND(Table834[[#This Row],[Classification]]="Assets",Table834[[#This Row],[Debit\]]-Table834[[#This Row],[Credit.]]),Table834[[#This Row],[Debit\]]-Table834[[#This Row],[Credit.]],""),"")</f>
        <v/>
      </c>
      <c r="AH76" s="34" t="str">
        <f>IFERROR(IF(AND(OR(Table834[[#This Row],[Classification]]="Liabilities",Table834[[#This Row],[Classification]]="Owner´s Equity"),Table834[[#This Row],[Credit.]]&gt;Table834[[#This Row],[Debit\]]),Table834[[#This Row],[Credit.]]-Table834[[#This Row],[Debit\]],""),"")</f>
        <v/>
      </c>
    </row>
    <row r="77" spans="2:34" hidden="1" x14ac:dyDescent="0.25">
      <c r="B77" s="34"/>
      <c r="C77" s="37" t="s">
        <v>131</v>
      </c>
      <c r="D77" s="34">
        <v>302989.64</v>
      </c>
      <c r="E77" s="34"/>
      <c r="G77" s="39"/>
      <c r="H77" s="43"/>
      <c r="I77" s="41"/>
      <c r="J77" s="41"/>
      <c r="L77" s="34">
        <v>70</v>
      </c>
      <c r="M77" s="35" t="s">
        <v>167</v>
      </c>
      <c r="N77" s="35" t="s">
        <v>132</v>
      </c>
      <c r="O77" s="34">
        <f>IFERROR(SUMIF(Table431[,],Table633[[#This Row],[Accounts Name]],Table431[,3]),"")</f>
        <v>35000</v>
      </c>
      <c r="P77" s="34">
        <f>IFERROR(SUMIF(Table431[,],Table633[[#This Row],[Accounts Name]],Table431[,2]),"")</f>
        <v>0</v>
      </c>
      <c r="S77" s="36">
        <f t="shared" si="1"/>
        <v>70</v>
      </c>
      <c r="T77" s="34"/>
      <c r="U77" s="37"/>
      <c r="V77" s="34">
        <f>IFERROR(SUMIF(Table633[Sub-Accounts],Table834[[#This Row],[Update your chart of accounts here]],Table633[Debit]),"")</f>
        <v>0</v>
      </c>
      <c r="W77" s="34">
        <f>IFERROR(SUMIF(Table633[Sub-Accounts],Table834[[#This Row],[Update your chart of accounts here]],Table633[Credit]),"")</f>
        <v>0</v>
      </c>
      <c r="X77" s="34"/>
      <c r="Y77" s="34"/>
      <c r="Z77" s="34"/>
      <c r="AA77" s="34"/>
      <c r="AB77" s="34">
        <f>MAX(Table834[[#This Row],[Debit]]+Table834[[#This Row],[Debit -]]-Table834[[#This Row],[Credit]]-Table834[[#This Row],[Credit +]],0)</f>
        <v>0</v>
      </c>
      <c r="AC77" s="34">
        <f>MAX(Table834[[#This Row],[Credit]]-Table834[[#This Row],[Debit]]+Table834[[#This Row],[Credit +]]-Table834[[#This Row],[Debit -]],0)</f>
        <v>0</v>
      </c>
      <c r="AD77" s="34" t="str">
        <f>IFERROR(IF(AND(OR(Table834[[#This Row],[Classification]]="Expense",Table834[[#This Row],[Classification]]="Cost of Goods Sold"),Table834[[#This Row],[Debit\]]&gt;Table834[[#This Row],[Credit.]]),Table834[[#This Row],[Debit\]]-Table834[[#This Row],[Credit.]],""),"")</f>
        <v/>
      </c>
      <c r="AE77" s="34" t="str">
        <f>IFERROR(IF(AND(OR(Table834[[#This Row],[Classification]]="Income",Table834[[#This Row],[Classification]]="Cost of Goods Sold"),Table834[[#This Row],[Credit.]]&gt;Table834[[#This Row],[Debit\]]),Table834[[#This Row],[Credit.]]-Table834[[#This Row],[Debit\]],""),"")</f>
        <v/>
      </c>
      <c r="AF77" s="34"/>
      <c r="AG77" s="34" t="str">
        <f>IFERROR(IF(AND(Table834[[#This Row],[Classification]]="Assets",Table834[[#This Row],[Debit\]]-Table834[[#This Row],[Credit.]]),Table834[[#This Row],[Debit\]]-Table834[[#This Row],[Credit.]],""),"")</f>
        <v/>
      </c>
      <c r="AH77" s="34" t="str">
        <f>IFERROR(IF(AND(OR(Table834[[#This Row],[Classification]]="Liabilities",Table834[[#This Row],[Classification]]="Owner´s Equity"),Table834[[#This Row],[Credit.]]&gt;Table834[[#This Row],[Debit\]]),Table834[[#This Row],[Credit.]]-Table834[[#This Row],[Debit\]],""),"")</f>
        <v/>
      </c>
    </row>
    <row r="78" spans="2:34" hidden="1" x14ac:dyDescent="0.25">
      <c r="B78" s="34"/>
      <c r="C78" s="37" t="s">
        <v>132</v>
      </c>
      <c r="D78" s="34">
        <v>35000</v>
      </c>
      <c r="E78" s="34"/>
      <c r="G78" s="39"/>
      <c r="H78" s="40"/>
      <c r="I78" s="41"/>
      <c r="J78" s="41"/>
      <c r="L78" s="34">
        <v>71</v>
      </c>
      <c r="M78" s="35" t="s">
        <v>167</v>
      </c>
      <c r="N78" s="35" t="s">
        <v>133</v>
      </c>
      <c r="O78" s="34">
        <f>IFERROR(SUMIF(Table431[,],Table633[[#This Row],[Accounts Name]],Table431[,3]),"")</f>
        <v>164240.34</v>
      </c>
      <c r="P78" s="34">
        <f>IFERROR(SUMIF(Table431[,],Table633[[#This Row],[Accounts Name]],Table431[,2]),"")</f>
        <v>0</v>
      </c>
      <c r="S78" s="36">
        <f t="shared" si="1"/>
        <v>71</v>
      </c>
      <c r="T78" s="34"/>
      <c r="U78" s="37"/>
      <c r="V78" s="34">
        <f>IFERROR(SUMIF(Table633[Sub-Accounts],Table834[[#This Row],[Update your chart of accounts here]],Table633[Debit]),"")</f>
        <v>0</v>
      </c>
      <c r="W78" s="34">
        <f>IFERROR(SUMIF(Table633[Sub-Accounts],Table834[[#This Row],[Update your chart of accounts here]],Table633[Credit]),"")</f>
        <v>0</v>
      </c>
      <c r="X78" s="34"/>
      <c r="Y78" s="34"/>
      <c r="Z78" s="34"/>
      <c r="AA78" s="34"/>
      <c r="AB78" s="34">
        <f>MAX(Table834[[#This Row],[Debit]]+Table834[[#This Row],[Debit -]]-Table834[[#This Row],[Credit]]-Table834[[#This Row],[Credit +]],0)</f>
        <v>0</v>
      </c>
      <c r="AC78" s="34">
        <f>MAX(Table834[[#This Row],[Credit]]-Table834[[#This Row],[Debit]]+Table834[[#This Row],[Credit +]]-Table834[[#This Row],[Debit -]],0)</f>
        <v>0</v>
      </c>
      <c r="AD78" s="34" t="str">
        <f>IFERROR(IF(AND(OR(Table834[[#This Row],[Classification]]="Expense",Table834[[#This Row],[Classification]]="Cost of Goods Sold"),Table834[[#This Row],[Debit\]]&gt;Table834[[#This Row],[Credit.]]),Table834[[#This Row],[Debit\]]-Table834[[#This Row],[Credit.]],""),"")</f>
        <v/>
      </c>
      <c r="AE78" s="34" t="str">
        <f>IFERROR(IF(AND(OR(Table834[[#This Row],[Classification]]="Income",Table834[[#This Row],[Classification]]="Cost of Goods Sold"),Table834[[#This Row],[Credit.]]&gt;Table834[[#This Row],[Debit\]]),Table834[[#This Row],[Credit.]]-Table834[[#This Row],[Debit\]],""),"")</f>
        <v/>
      </c>
      <c r="AF78" s="34"/>
      <c r="AG78" s="34" t="str">
        <f>IFERROR(IF(AND(Table834[[#This Row],[Classification]]="Assets",Table834[[#This Row],[Debit\]]-Table834[[#This Row],[Credit.]]),Table834[[#This Row],[Debit\]]-Table834[[#This Row],[Credit.]],""),"")</f>
        <v/>
      </c>
      <c r="AH78" s="34" t="str">
        <f>IFERROR(IF(AND(OR(Table834[[#This Row],[Classification]]="Liabilities",Table834[[#This Row],[Classification]]="Owner´s Equity"),Table834[[#This Row],[Credit.]]&gt;Table834[[#This Row],[Debit\]]),Table834[[#This Row],[Credit.]]-Table834[[#This Row],[Debit\]],""),"")</f>
        <v/>
      </c>
    </row>
    <row r="79" spans="2:34" hidden="1" x14ac:dyDescent="0.25">
      <c r="B79" s="34"/>
      <c r="C79" s="37" t="s">
        <v>133</v>
      </c>
      <c r="D79" s="34">
        <v>164240.34</v>
      </c>
      <c r="E79" s="34"/>
      <c r="G79" s="39"/>
      <c r="H79" s="40"/>
      <c r="I79" s="41"/>
      <c r="J79" s="41"/>
      <c r="L79" s="34">
        <v>72</v>
      </c>
      <c r="M79" s="35" t="s">
        <v>169</v>
      </c>
      <c r="N79" s="35" t="s">
        <v>134</v>
      </c>
      <c r="O79" s="34">
        <f>IFERROR(SUMIF(Table431[,],Table633[[#This Row],[Accounts Name]],Table431[,3]),"")</f>
        <v>2000</v>
      </c>
      <c r="P79" s="34">
        <f>IFERROR(SUMIF(Table431[,],Table633[[#This Row],[Accounts Name]],Table431[,2]),"")</f>
        <v>0</v>
      </c>
      <c r="S79" s="36">
        <f t="shared" si="1"/>
        <v>72</v>
      </c>
      <c r="T79" s="34"/>
      <c r="U79" s="37"/>
      <c r="V79" s="34">
        <f>IFERROR(SUMIF(Table633[Sub-Accounts],Table834[[#This Row],[Update your chart of accounts here]],Table633[Debit]),"")</f>
        <v>0</v>
      </c>
      <c r="W79" s="34">
        <f>IFERROR(SUMIF(Table633[Sub-Accounts],Table834[[#This Row],[Update your chart of accounts here]],Table633[Credit]),"")</f>
        <v>0</v>
      </c>
      <c r="X79" s="34"/>
      <c r="Y79" s="34"/>
      <c r="Z79" s="34"/>
      <c r="AA79" s="34"/>
      <c r="AB79" s="34">
        <f>MAX(Table834[[#This Row],[Debit]]+Table834[[#This Row],[Debit -]]-Table834[[#This Row],[Credit]]-Table834[[#This Row],[Credit +]],0)</f>
        <v>0</v>
      </c>
      <c r="AC79" s="34">
        <f>MAX(Table834[[#This Row],[Credit]]-Table834[[#This Row],[Debit]]+Table834[[#This Row],[Credit +]]-Table834[[#This Row],[Debit -]],0)</f>
        <v>0</v>
      </c>
      <c r="AD79" s="34" t="str">
        <f>IFERROR(IF(AND(OR(Table834[[#This Row],[Classification]]="Expense",Table834[[#This Row],[Classification]]="Cost of Goods Sold"),Table834[[#This Row],[Debit\]]&gt;Table834[[#This Row],[Credit.]]),Table834[[#This Row],[Debit\]]-Table834[[#This Row],[Credit.]],""),"")</f>
        <v/>
      </c>
      <c r="AE79" s="34" t="str">
        <f>IFERROR(IF(AND(OR(Table834[[#This Row],[Classification]]="Income",Table834[[#This Row],[Classification]]="Cost of Goods Sold"),Table834[[#This Row],[Credit.]]&gt;Table834[[#This Row],[Debit\]]),Table834[[#This Row],[Credit.]]-Table834[[#This Row],[Debit\]],""),"")</f>
        <v/>
      </c>
      <c r="AF79" s="34"/>
      <c r="AG79" s="34" t="str">
        <f>IFERROR(IF(AND(Table834[[#This Row],[Classification]]="Assets",Table834[[#This Row],[Debit\]]-Table834[[#This Row],[Credit.]]),Table834[[#This Row],[Debit\]]-Table834[[#This Row],[Credit.]],""),"")</f>
        <v/>
      </c>
      <c r="AH79" s="34" t="str">
        <f>IFERROR(IF(AND(OR(Table834[[#This Row],[Classification]]="Liabilities",Table834[[#This Row],[Classification]]="Owner´s Equity"),Table834[[#This Row],[Credit.]]&gt;Table834[[#This Row],[Debit\]]),Table834[[#This Row],[Credit.]]-Table834[[#This Row],[Debit\]],""),"")</f>
        <v/>
      </c>
    </row>
    <row r="80" spans="2:34" hidden="1" x14ac:dyDescent="0.25">
      <c r="B80" s="34"/>
      <c r="C80" s="37" t="s">
        <v>134</v>
      </c>
      <c r="D80" s="34">
        <v>2000</v>
      </c>
      <c r="E80" s="34"/>
      <c r="G80" s="39"/>
      <c r="H80" s="43"/>
      <c r="I80" s="41"/>
      <c r="J80" s="41"/>
      <c r="L80" s="34">
        <v>73</v>
      </c>
      <c r="M80" s="35" t="s">
        <v>170</v>
      </c>
      <c r="N80" s="35" t="s">
        <v>135</v>
      </c>
      <c r="O80" s="34">
        <f>IFERROR(SUMIF(Table431[,],Table633[[#This Row],[Accounts Name]],Table431[,3]),"")</f>
        <v>13250</v>
      </c>
      <c r="P80" s="34">
        <f>IFERROR(SUMIF(Table431[,],Table633[[#This Row],[Accounts Name]],Table431[,2]),"")</f>
        <v>0</v>
      </c>
      <c r="S80" s="36">
        <f t="shared" si="1"/>
        <v>73</v>
      </c>
      <c r="T80" s="34"/>
      <c r="U80" s="37"/>
      <c r="V80" s="34">
        <f>IFERROR(SUMIF(Table633[Sub-Accounts],Table834[[#This Row],[Update your chart of accounts here]],Table633[Debit]),"")</f>
        <v>0</v>
      </c>
      <c r="W80" s="34">
        <f>IFERROR(SUMIF(Table633[Sub-Accounts],Table834[[#This Row],[Update your chart of accounts here]],Table633[Credit]),"")</f>
        <v>0</v>
      </c>
      <c r="X80" s="34"/>
      <c r="Y80" s="34"/>
      <c r="Z80" s="34"/>
      <c r="AA80" s="34"/>
      <c r="AB80" s="34">
        <f>MAX(Table834[[#This Row],[Debit]]+Table834[[#This Row],[Debit -]]-Table834[[#This Row],[Credit]]-Table834[[#This Row],[Credit +]],0)</f>
        <v>0</v>
      </c>
      <c r="AC80" s="34">
        <f>MAX(Table834[[#This Row],[Credit]]-Table834[[#This Row],[Debit]]+Table834[[#This Row],[Credit +]]-Table834[[#This Row],[Debit -]],0)</f>
        <v>0</v>
      </c>
      <c r="AD80" s="34" t="str">
        <f>IFERROR(IF(AND(OR(Table834[[#This Row],[Classification]]="Expense",Table834[[#This Row],[Classification]]="Cost of Goods Sold"),Table834[[#This Row],[Debit\]]&gt;Table834[[#This Row],[Credit.]]),Table834[[#This Row],[Debit\]]-Table834[[#This Row],[Credit.]],""),"")</f>
        <v/>
      </c>
      <c r="AE80" s="34" t="str">
        <f>IFERROR(IF(AND(OR(Table834[[#This Row],[Classification]]="Income",Table834[[#This Row],[Classification]]="Cost of Goods Sold"),Table834[[#This Row],[Credit.]]&gt;Table834[[#This Row],[Debit\]]),Table834[[#This Row],[Credit.]]-Table834[[#This Row],[Debit\]],""),"")</f>
        <v/>
      </c>
      <c r="AF80" s="34"/>
      <c r="AG80" s="34" t="str">
        <f>IFERROR(IF(AND(Table834[[#This Row],[Classification]]="Assets",Table834[[#This Row],[Debit\]]-Table834[[#This Row],[Credit.]]),Table834[[#This Row],[Debit\]]-Table834[[#This Row],[Credit.]],""),"")</f>
        <v/>
      </c>
      <c r="AH80" s="34" t="str">
        <f>IFERROR(IF(AND(OR(Table834[[#This Row],[Classification]]="Liabilities",Table834[[#This Row],[Classification]]="Owner´s Equity"),Table834[[#This Row],[Credit.]]&gt;Table834[[#This Row],[Debit\]]),Table834[[#This Row],[Credit.]]-Table834[[#This Row],[Debit\]],""),"")</f>
        <v/>
      </c>
    </row>
    <row r="81" spans="2:34" hidden="1" x14ac:dyDescent="0.25">
      <c r="B81" s="34"/>
      <c r="C81" s="37" t="s">
        <v>135</v>
      </c>
      <c r="D81" s="34">
        <v>13250</v>
      </c>
      <c r="E81" s="34"/>
      <c r="G81" s="39"/>
      <c r="H81" s="40"/>
      <c r="I81" s="41"/>
      <c r="J81" s="41"/>
      <c r="L81" s="34">
        <v>74</v>
      </c>
      <c r="M81" s="35" t="s">
        <v>156</v>
      </c>
      <c r="N81" s="35" t="s">
        <v>136</v>
      </c>
      <c r="O81" s="34">
        <f>IFERROR(SUMIF(Table431[,],Table633[[#This Row],[Accounts Name]],Table431[,3]),"")</f>
        <v>87416</v>
      </c>
      <c r="P81" s="34">
        <f>IFERROR(SUMIF(Table431[,],Table633[[#This Row],[Accounts Name]],Table431[,2]),"")</f>
        <v>0</v>
      </c>
      <c r="S81" s="36">
        <f t="shared" si="1"/>
        <v>74</v>
      </c>
      <c r="T81" s="34"/>
      <c r="U81" s="37"/>
      <c r="V81" s="34">
        <f>IFERROR(SUMIF(Table633[Sub-Accounts],Table834[[#This Row],[Update your chart of accounts here]],Table633[Debit]),"")</f>
        <v>0</v>
      </c>
      <c r="W81" s="34">
        <f>IFERROR(SUMIF(Table633[Sub-Accounts],Table834[[#This Row],[Update your chart of accounts here]],Table633[Credit]),"")</f>
        <v>0</v>
      </c>
      <c r="X81" s="34"/>
      <c r="Y81" s="34"/>
      <c r="Z81" s="34"/>
      <c r="AA81" s="34"/>
      <c r="AB81" s="34">
        <f>MAX(Table834[[#This Row],[Debit]]+Table834[[#This Row],[Debit -]]-Table834[[#This Row],[Credit]]-Table834[[#This Row],[Credit +]],0)</f>
        <v>0</v>
      </c>
      <c r="AC81" s="34">
        <f>MAX(Table834[[#This Row],[Credit]]-Table834[[#This Row],[Debit]]+Table834[[#This Row],[Credit +]]-Table834[[#This Row],[Debit -]],0)</f>
        <v>0</v>
      </c>
      <c r="AD81" s="34" t="str">
        <f>IFERROR(IF(AND(OR(Table834[[#This Row],[Classification]]="Expense",Table834[[#This Row],[Classification]]="Cost of Goods Sold"),Table834[[#This Row],[Debit\]]&gt;Table834[[#This Row],[Credit.]]),Table834[[#This Row],[Debit\]]-Table834[[#This Row],[Credit.]],""),"")</f>
        <v/>
      </c>
      <c r="AE81" s="34" t="str">
        <f>IFERROR(IF(AND(OR(Table834[[#This Row],[Classification]]="Income",Table834[[#This Row],[Classification]]="Cost of Goods Sold"),Table834[[#This Row],[Credit.]]&gt;Table834[[#This Row],[Debit\]]),Table834[[#This Row],[Credit.]]-Table834[[#This Row],[Debit\]],""),"")</f>
        <v/>
      </c>
      <c r="AF81" s="34"/>
      <c r="AG81" s="34" t="str">
        <f>IFERROR(IF(AND(Table834[[#This Row],[Classification]]="Assets",Table834[[#This Row],[Debit\]]-Table834[[#This Row],[Credit.]]),Table834[[#This Row],[Debit\]]-Table834[[#This Row],[Credit.]],""),"")</f>
        <v/>
      </c>
      <c r="AH81" s="34" t="str">
        <f>IFERROR(IF(AND(OR(Table834[[#This Row],[Classification]]="Liabilities",Table834[[#This Row],[Classification]]="Owner´s Equity"),Table834[[#This Row],[Credit.]]&gt;Table834[[#This Row],[Debit\]]),Table834[[#This Row],[Credit.]]-Table834[[#This Row],[Debit\]],""),"")</f>
        <v/>
      </c>
    </row>
    <row r="82" spans="2:34" hidden="1" x14ac:dyDescent="0.25">
      <c r="B82" s="34"/>
      <c r="C82" s="37" t="s">
        <v>136</v>
      </c>
      <c r="D82" s="34">
        <v>87416</v>
      </c>
      <c r="E82" s="34"/>
      <c r="G82" s="39"/>
      <c r="H82" s="40"/>
      <c r="I82" s="41"/>
      <c r="J82" s="41"/>
      <c r="L82" s="34">
        <v>75</v>
      </c>
      <c r="M82" s="35" t="s">
        <v>162</v>
      </c>
      <c r="N82" s="35" t="s">
        <v>137</v>
      </c>
      <c r="O82" s="34">
        <f>IFERROR(SUMIF(Table431[,],Table633[[#This Row],[Accounts Name]],Table431[,3]),"")</f>
        <v>139074.48000000001</v>
      </c>
      <c r="P82" s="34">
        <f>IFERROR(SUMIF(Table431[,],Table633[[#This Row],[Accounts Name]],Table431[,2]),"")</f>
        <v>0</v>
      </c>
      <c r="S82" s="36">
        <f t="shared" si="1"/>
        <v>75</v>
      </c>
      <c r="T82" s="34"/>
      <c r="U82" s="37"/>
      <c r="V82" s="34">
        <f>IFERROR(SUMIF(Table633[Sub-Accounts],Table834[[#This Row],[Update your chart of accounts here]],Table633[Debit]),"")</f>
        <v>0</v>
      </c>
      <c r="W82" s="34">
        <f>IFERROR(SUMIF(Table633[Sub-Accounts],Table834[[#This Row],[Update your chart of accounts here]],Table633[Credit]),"")</f>
        <v>0</v>
      </c>
      <c r="X82" s="34"/>
      <c r="Y82" s="34"/>
      <c r="Z82" s="34"/>
      <c r="AA82" s="34"/>
      <c r="AB82" s="34">
        <f>MAX(Table834[[#This Row],[Debit]]+Table834[[#This Row],[Debit -]]-Table834[[#This Row],[Credit]]-Table834[[#This Row],[Credit +]],0)</f>
        <v>0</v>
      </c>
      <c r="AC82" s="34">
        <f>MAX(Table834[[#This Row],[Credit]]-Table834[[#This Row],[Debit]]+Table834[[#This Row],[Credit +]]-Table834[[#This Row],[Debit -]],0)</f>
        <v>0</v>
      </c>
      <c r="AD82" s="34" t="str">
        <f>IFERROR(IF(AND(OR(Table834[[#This Row],[Classification]]="Expense",Table834[[#This Row],[Classification]]="Cost of Goods Sold"),Table834[[#This Row],[Debit\]]&gt;Table834[[#This Row],[Credit.]]),Table834[[#This Row],[Debit\]]-Table834[[#This Row],[Credit.]],""),"")</f>
        <v/>
      </c>
      <c r="AE82" s="34" t="str">
        <f>IFERROR(IF(AND(OR(Table834[[#This Row],[Classification]]="Income",Table834[[#This Row],[Classification]]="Cost of Goods Sold"),Table834[[#This Row],[Credit.]]&gt;Table834[[#This Row],[Debit\]]),Table834[[#This Row],[Credit.]]-Table834[[#This Row],[Debit\]],""),"")</f>
        <v/>
      </c>
      <c r="AF82" s="34"/>
      <c r="AG82" s="34" t="str">
        <f>IFERROR(IF(AND(Table834[[#This Row],[Classification]]="Assets",Table834[[#This Row],[Debit\]]-Table834[[#This Row],[Credit.]]),Table834[[#This Row],[Debit\]]-Table834[[#This Row],[Credit.]],""),"")</f>
        <v/>
      </c>
      <c r="AH82" s="34" t="str">
        <f>IFERROR(IF(AND(OR(Table834[[#This Row],[Classification]]="Liabilities",Table834[[#This Row],[Classification]]="Owner´s Equity"),Table834[[#This Row],[Credit.]]&gt;Table834[[#This Row],[Debit\]]),Table834[[#This Row],[Credit.]]-Table834[[#This Row],[Debit\]],""),"")</f>
        <v/>
      </c>
    </row>
    <row r="83" spans="2:34" hidden="1" x14ac:dyDescent="0.25">
      <c r="B83" s="34"/>
      <c r="C83" s="37" t="s">
        <v>137</v>
      </c>
      <c r="D83" s="34">
        <v>139074.48000000001</v>
      </c>
      <c r="E83" s="34"/>
      <c r="G83" s="39"/>
      <c r="H83" s="43"/>
      <c r="I83" s="41"/>
      <c r="J83" s="41"/>
      <c r="L83" s="34">
        <v>76</v>
      </c>
      <c r="M83" s="35"/>
      <c r="N83" s="35"/>
      <c r="O83" s="34">
        <f>IFERROR(SUMIF(Table431[,],Table633[[#This Row],[Accounts Name]],Table431[,3]),"")</f>
        <v>0</v>
      </c>
      <c r="P83" s="34">
        <f>IFERROR(SUMIF(Table431[,],Table633[[#This Row],[Accounts Name]],Table431[,2]),"")</f>
        <v>0</v>
      </c>
      <c r="S83" s="36">
        <f t="shared" si="1"/>
        <v>76</v>
      </c>
      <c r="T83" s="34"/>
      <c r="U83" s="37"/>
      <c r="V83" s="34">
        <f>IFERROR(SUMIF(Table633[Sub-Accounts],Table834[[#This Row],[Update your chart of accounts here]],Table633[Debit]),"")</f>
        <v>0</v>
      </c>
      <c r="W83" s="34">
        <f>IFERROR(SUMIF(Table633[Sub-Accounts],Table834[[#This Row],[Update your chart of accounts here]],Table633[Credit]),"")</f>
        <v>0</v>
      </c>
      <c r="X83" s="34"/>
      <c r="Y83" s="34"/>
      <c r="Z83" s="34"/>
      <c r="AA83" s="34"/>
      <c r="AB83" s="34">
        <f>MAX(Table834[[#This Row],[Debit]]+Table834[[#This Row],[Debit -]]-Table834[[#This Row],[Credit]]-Table834[[#This Row],[Credit +]],0)</f>
        <v>0</v>
      </c>
      <c r="AC83" s="34">
        <f>MAX(Table834[[#This Row],[Credit]]-Table834[[#This Row],[Debit]]+Table834[[#This Row],[Credit +]]-Table834[[#This Row],[Debit -]],0)</f>
        <v>0</v>
      </c>
      <c r="AD83" s="34" t="str">
        <f>IFERROR(IF(AND(OR(Table834[[#This Row],[Classification]]="Expense",Table834[[#This Row],[Classification]]="Cost of Goods Sold"),Table834[[#This Row],[Debit\]]&gt;Table834[[#This Row],[Credit.]]),Table834[[#This Row],[Debit\]]-Table834[[#This Row],[Credit.]],""),"")</f>
        <v/>
      </c>
      <c r="AE83" s="34" t="str">
        <f>IFERROR(IF(AND(OR(Table834[[#This Row],[Classification]]="Income",Table834[[#This Row],[Classification]]="Cost of Goods Sold"),Table834[[#This Row],[Credit.]]&gt;Table834[[#This Row],[Debit\]]),Table834[[#This Row],[Credit.]]-Table834[[#This Row],[Debit\]],""),"")</f>
        <v/>
      </c>
      <c r="AF83" s="34"/>
      <c r="AG83" s="34" t="str">
        <f>IFERROR(IF(AND(Table834[[#This Row],[Classification]]="Assets",Table834[[#This Row],[Debit\]]-Table834[[#This Row],[Credit.]]),Table834[[#This Row],[Debit\]]-Table834[[#This Row],[Credit.]],""),"")</f>
        <v/>
      </c>
      <c r="AH83" s="34" t="str">
        <f>IFERROR(IF(AND(OR(Table834[[#This Row],[Classification]]="Liabilities",Table834[[#This Row],[Classification]]="Owner´s Equity"),Table834[[#This Row],[Credit.]]&gt;Table834[[#This Row],[Debit\]]),Table834[[#This Row],[Credit.]]-Table834[[#This Row],[Debit\]],""),"")</f>
        <v/>
      </c>
    </row>
    <row r="84" spans="2:34" hidden="1" x14ac:dyDescent="0.25">
      <c r="B84" s="34"/>
      <c r="C84" s="37"/>
      <c r="D84" s="34"/>
      <c r="E84" s="34"/>
      <c r="G84" s="39"/>
      <c r="H84" s="40"/>
      <c r="I84" s="41"/>
      <c r="J84" s="41"/>
      <c r="L84" s="34">
        <v>77</v>
      </c>
      <c r="M84" s="35"/>
      <c r="N84" s="35"/>
      <c r="O84" s="34">
        <f>IFERROR(SUMIF(Table431[,],Table633[[#This Row],[Accounts Name]],Table431[,3]),"")</f>
        <v>0</v>
      </c>
      <c r="P84" s="34">
        <f>IFERROR(SUMIF(Table431[,],Table633[[#This Row],[Accounts Name]],Table431[,2]),"")</f>
        <v>0</v>
      </c>
      <c r="S84" s="36">
        <f t="shared" si="1"/>
        <v>77</v>
      </c>
      <c r="T84" s="34"/>
      <c r="U84" s="37"/>
      <c r="V84" s="34">
        <f>IFERROR(SUMIF(Table633[Sub-Accounts],Table834[[#This Row],[Update your chart of accounts here]],Table633[Debit]),"")</f>
        <v>0</v>
      </c>
      <c r="W84" s="34">
        <f>IFERROR(SUMIF(Table633[Sub-Accounts],Table834[[#This Row],[Update your chart of accounts here]],Table633[Credit]),"")</f>
        <v>0</v>
      </c>
      <c r="X84" s="34"/>
      <c r="Y84" s="34"/>
      <c r="Z84" s="34"/>
      <c r="AA84" s="34"/>
      <c r="AB84" s="34">
        <f>MAX(Table834[[#This Row],[Debit]]+Table834[[#This Row],[Debit -]]-Table834[[#This Row],[Credit]]-Table834[[#This Row],[Credit +]],0)</f>
        <v>0</v>
      </c>
      <c r="AC84" s="34">
        <f>MAX(Table834[[#This Row],[Credit]]-Table834[[#This Row],[Debit]]+Table834[[#This Row],[Credit +]]-Table834[[#This Row],[Debit -]],0)</f>
        <v>0</v>
      </c>
      <c r="AD84" s="34" t="str">
        <f>IFERROR(IF(AND(OR(Table834[[#This Row],[Classification]]="Expense",Table834[[#This Row],[Classification]]="Cost of Goods Sold"),Table834[[#This Row],[Debit\]]&gt;Table834[[#This Row],[Credit.]]),Table834[[#This Row],[Debit\]]-Table834[[#This Row],[Credit.]],""),"")</f>
        <v/>
      </c>
      <c r="AE84" s="34" t="str">
        <f>IFERROR(IF(AND(OR(Table834[[#This Row],[Classification]]="Income",Table834[[#This Row],[Classification]]="Cost of Goods Sold"),Table834[[#This Row],[Credit.]]&gt;Table834[[#This Row],[Debit\]]),Table834[[#This Row],[Credit.]]-Table834[[#This Row],[Debit\]],""),"")</f>
        <v/>
      </c>
      <c r="AF84" s="34"/>
      <c r="AG84" s="34" t="str">
        <f>IFERROR(IF(AND(Table834[[#This Row],[Classification]]="Assets",Table834[[#This Row],[Debit\]]-Table834[[#This Row],[Credit.]]),Table834[[#This Row],[Debit\]]-Table834[[#This Row],[Credit.]],""),"")</f>
        <v/>
      </c>
      <c r="AH84" s="34" t="str">
        <f>IFERROR(IF(AND(OR(Table834[[#This Row],[Classification]]="Liabilities",Table834[[#This Row],[Classification]]="Owner´s Equity"),Table834[[#This Row],[Credit.]]&gt;Table834[[#This Row],[Debit\]]),Table834[[#This Row],[Credit.]]-Table834[[#This Row],[Debit\]],""),"")</f>
        <v/>
      </c>
    </row>
    <row r="85" spans="2:34" hidden="1" x14ac:dyDescent="0.25">
      <c r="B85" s="34"/>
      <c r="C85" s="37"/>
      <c r="D85" s="34"/>
      <c r="E85" s="34"/>
      <c r="G85" s="39"/>
      <c r="H85" s="40"/>
      <c r="I85" s="41"/>
      <c r="J85" s="41"/>
      <c r="L85" s="34">
        <v>78</v>
      </c>
      <c r="M85" s="35"/>
      <c r="N85" s="35"/>
      <c r="O85" s="34">
        <f>IFERROR(SUMIF(Table431[,],Table633[[#This Row],[Accounts Name]],Table431[,3]),"")</f>
        <v>0</v>
      </c>
      <c r="P85" s="34">
        <f>IFERROR(SUMIF(Table431[,],Table633[[#This Row],[Accounts Name]],Table431[,2]),"")</f>
        <v>0</v>
      </c>
      <c r="S85" s="36">
        <f t="shared" si="1"/>
        <v>78</v>
      </c>
      <c r="T85" s="34"/>
      <c r="U85" s="37"/>
      <c r="V85" s="34">
        <f>IFERROR(SUMIF(Table633[Sub-Accounts],Table834[[#This Row],[Update your chart of accounts here]],Table633[Debit]),"")</f>
        <v>0</v>
      </c>
      <c r="W85" s="34">
        <f>IFERROR(SUMIF(Table633[Sub-Accounts],Table834[[#This Row],[Update your chart of accounts here]],Table633[Credit]),"")</f>
        <v>0</v>
      </c>
      <c r="X85" s="34"/>
      <c r="Y85" s="34"/>
      <c r="Z85" s="34"/>
      <c r="AA85" s="34"/>
      <c r="AB85" s="34">
        <f>MAX(Table834[[#This Row],[Debit]]+Table834[[#This Row],[Debit -]]-Table834[[#This Row],[Credit]]-Table834[[#This Row],[Credit +]],0)</f>
        <v>0</v>
      </c>
      <c r="AC85" s="34">
        <f>MAX(Table834[[#This Row],[Credit]]-Table834[[#This Row],[Debit]]+Table834[[#This Row],[Credit +]]-Table834[[#This Row],[Debit -]],0)</f>
        <v>0</v>
      </c>
      <c r="AD85" s="34" t="str">
        <f>IFERROR(IF(AND(OR(Table834[[#This Row],[Classification]]="Expense",Table834[[#This Row],[Classification]]="Cost of Goods Sold"),Table834[[#This Row],[Debit\]]&gt;Table834[[#This Row],[Credit.]]),Table834[[#This Row],[Debit\]]-Table834[[#This Row],[Credit.]],""),"")</f>
        <v/>
      </c>
      <c r="AE85" s="34" t="str">
        <f>IFERROR(IF(AND(OR(Table834[[#This Row],[Classification]]="Income",Table834[[#This Row],[Classification]]="Cost of Goods Sold"),Table834[[#This Row],[Credit.]]&gt;Table834[[#This Row],[Debit\]]),Table834[[#This Row],[Credit.]]-Table834[[#This Row],[Debit\]],""),"")</f>
        <v/>
      </c>
      <c r="AF85" s="34"/>
      <c r="AG85" s="34" t="str">
        <f>IFERROR(IF(AND(Table834[[#This Row],[Classification]]="Assets",Table834[[#This Row],[Debit\]]-Table834[[#This Row],[Credit.]]),Table834[[#This Row],[Debit\]]-Table834[[#This Row],[Credit.]],""),"")</f>
        <v/>
      </c>
      <c r="AH85" s="34" t="str">
        <f>IFERROR(IF(AND(OR(Table834[[#This Row],[Classification]]="Liabilities",Table834[[#This Row],[Classification]]="Owner´s Equity"),Table834[[#This Row],[Credit.]]&gt;Table834[[#This Row],[Debit\]]),Table834[[#This Row],[Credit.]]-Table834[[#This Row],[Debit\]],""),"")</f>
        <v/>
      </c>
    </row>
    <row r="86" spans="2:34" hidden="1" x14ac:dyDescent="0.25">
      <c r="B86" s="34"/>
      <c r="C86" s="37"/>
      <c r="D86" s="34"/>
      <c r="E86" s="34"/>
      <c r="G86" s="39"/>
      <c r="H86" s="43"/>
      <c r="I86" s="41"/>
      <c r="J86" s="41"/>
      <c r="L86" s="34">
        <v>79</v>
      </c>
      <c r="M86" s="35"/>
      <c r="N86" s="35"/>
      <c r="O86" s="34">
        <f>IFERROR(SUMIF(Table431[,],Table633[[#This Row],[Accounts Name]],Table431[,3]),"")</f>
        <v>0</v>
      </c>
      <c r="P86" s="34">
        <f>IFERROR(SUMIF(Table431[,],Table633[[#This Row],[Accounts Name]],Table431[,2]),"")</f>
        <v>0</v>
      </c>
      <c r="S86" s="36">
        <f t="shared" si="1"/>
        <v>79</v>
      </c>
      <c r="T86" s="34"/>
      <c r="U86" s="37"/>
      <c r="V86" s="34">
        <f>IFERROR(SUMIF(Table633[Sub-Accounts],Table834[[#This Row],[Update your chart of accounts here]],Table633[Debit]),"")</f>
        <v>0</v>
      </c>
      <c r="W86" s="34">
        <f>IFERROR(SUMIF(Table633[Sub-Accounts],Table834[[#This Row],[Update your chart of accounts here]],Table633[Credit]),"")</f>
        <v>0</v>
      </c>
      <c r="X86" s="34"/>
      <c r="Y86" s="34"/>
      <c r="Z86" s="34"/>
      <c r="AA86" s="34"/>
      <c r="AB86" s="34">
        <f>MAX(Table834[[#This Row],[Debit]]+Table834[[#This Row],[Debit -]]-Table834[[#This Row],[Credit]]-Table834[[#This Row],[Credit +]],0)</f>
        <v>0</v>
      </c>
      <c r="AC86" s="34">
        <f>MAX(Table834[[#This Row],[Credit]]-Table834[[#This Row],[Debit]]+Table834[[#This Row],[Credit +]]-Table834[[#This Row],[Debit -]],0)</f>
        <v>0</v>
      </c>
      <c r="AD86" s="34" t="str">
        <f>IFERROR(IF(AND(OR(Table834[[#This Row],[Classification]]="Expense",Table834[[#This Row],[Classification]]="Cost of Goods Sold"),Table834[[#This Row],[Debit\]]&gt;Table834[[#This Row],[Credit.]]),Table834[[#This Row],[Debit\]]-Table834[[#This Row],[Credit.]],""),"")</f>
        <v/>
      </c>
      <c r="AE86" s="34" t="str">
        <f>IFERROR(IF(AND(OR(Table834[[#This Row],[Classification]]="Income",Table834[[#This Row],[Classification]]="Cost of Goods Sold"),Table834[[#This Row],[Credit.]]&gt;Table834[[#This Row],[Debit\]]),Table834[[#This Row],[Credit.]]-Table834[[#This Row],[Debit\]],""),"")</f>
        <v/>
      </c>
      <c r="AF86" s="34"/>
      <c r="AG86" s="34" t="str">
        <f>IFERROR(IF(AND(Table834[[#This Row],[Classification]]="Assets",Table834[[#This Row],[Debit\]]-Table834[[#This Row],[Credit.]]),Table834[[#This Row],[Debit\]]-Table834[[#This Row],[Credit.]],""),"")</f>
        <v/>
      </c>
      <c r="AH86" s="34" t="str">
        <f>IFERROR(IF(AND(OR(Table834[[#This Row],[Classification]]="Liabilities",Table834[[#This Row],[Classification]]="Owner´s Equity"),Table834[[#This Row],[Credit.]]&gt;Table834[[#This Row],[Debit\]]),Table834[[#This Row],[Credit.]]-Table834[[#This Row],[Debit\]],""),"")</f>
        <v/>
      </c>
    </row>
    <row r="87" spans="2:34" hidden="1" x14ac:dyDescent="0.25">
      <c r="B87" s="34"/>
      <c r="C87" s="37"/>
      <c r="D87" s="34"/>
      <c r="E87" s="34"/>
      <c r="G87" s="39"/>
      <c r="H87" s="40"/>
      <c r="I87" s="41"/>
      <c r="J87" s="41"/>
      <c r="L87" s="34">
        <v>80</v>
      </c>
      <c r="M87" s="35"/>
      <c r="N87" s="35"/>
      <c r="O87" s="34">
        <f>IFERROR(SUMIF(Table431[,],Table633[[#This Row],[Accounts Name]],Table431[,3]),"")</f>
        <v>0</v>
      </c>
      <c r="P87" s="34">
        <f>IFERROR(SUMIF(Table431[,],Table633[[#This Row],[Accounts Name]],Table431[,2]),"")</f>
        <v>0</v>
      </c>
      <c r="S87" s="36">
        <f t="shared" si="1"/>
        <v>80</v>
      </c>
      <c r="T87" s="34"/>
      <c r="U87" s="37"/>
      <c r="V87" s="34">
        <f>IFERROR(SUMIF(Table633[Sub-Accounts],Table834[[#This Row],[Update your chart of accounts here]],Table633[Debit]),"")</f>
        <v>0</v>
      </c>
      <c r="W87" s="34">
        <f>IFERROR(SUMIF(Table633[Sub-Accounts],Table834[[#This Row],[Update your chart of accounts here]],Table633[Credit]),"")</f>
        <v>0</v>
      </c>
      <c r="X87" s="34"/>
      <c r="Y87" s="34"/>
      <c r="Z87" s="34"/>
      <c r="AA87" s="34"/>
      <c r="AB87" s="34">
        <f>MAX(Table834[[#This Row],[Debit]]+Table834[[#This Row],[Debit -]]-Table834[[#This Row],[Credit]]-Table834[[#This Row],[Credit +]],0)</f>
        <v>0</v>
      </c>
      <c r="AC87" s="34">
        <f>MAX(Table834[[#This Row],[Credit]]-Table834[[#This Row],[Debit]]+Table834[[#This Row],[Credit +]]-Table834[[#This Row],[Debit -]],0)</f>
        <v>0</v>
      </c>
      <c r="AD87" s="34" t="str">
        <f>IFERROR(IF(AND(OR(Table834[[#This Row],[Classification]]="Expense",Table834[[#This Row],[Classification]]="Cost of Goods Sold"),Table834[[#This Row],[Debit\]]&gt;Table834[[#This Row],[Credit.]]),Table834[[#This Row],[Debit\]]-Table834[[#This Row],[Credit.]],""),"")</f>
        <v/>
      </c>
      <c r="AE87" s="34" t="str">
        <f>IFERROR(IF(AND(OR(Table834[[#This Row],[Classification]]="Income",Table834[[#This Row],[Classification]]="Cost of Goods Sold"),Table834[[#This Row],[Credit.]]&gt;Table834[[#This Row],[Debit\]]),Table834[[#This Row],[Credit.]]-Table834[[#This Row],[Debit\]],""),"")</f>
        <v/>
      </c>
      <c r="AF87" s="34"/>
      <c r="AG87" s="34" t="str">
        <f>IFERROR(IF(AND(Table834[[#This Row],[Classification]]="Assets",Table834[[#This Row],[Debit\]]-Table834[[#This Row],[Credit.]]),Table834[[#This Row],[Debit\]]-Table834[[#This Row],[Credit.]],""),"")</f>
        <v/>
      </c>
      <c r="AH87" s="34" t="str">
        <f>IFERROR(IF(AND(OR(Table834[[#This Row],[Classification]]="Liabilities",Table834[[#This Row],[Classification]]="Owner´s Equity"),Table834[[#This Row],[Credit.]]&gt;Table834[[#This Row],[Debit\]]),Table834[[#This Row],[Credit.]]-Table834[[#This Row],[Debit\]],""),"")</f>
        <v/>
      </c>
    </row>
    <row r="88" spans="2:34" hidden="1" x14ac:dyDescent="0.25">
      <c r="B88" s="34"/>
      <c r="C88" s="37"/>
      <c r="D88" s="34"/>
      <c r="E88" s="34"/>
      <c r="G88" s="39"/>
      <c r="H88" s="40"/>
      <c r="I88" s="41"/>
      <c r="J88" s="41"/>
      <c r="L88" s="34">
        <v>81</v>
      </c>
      <c r="M88" s="35"/>
      <c r="N88" s="35"/>
      <c r="O88" s="34">
        <f>IFERROR(SUMIF(Table431[,],Table633[[#This Row],[Accounts Name]],Table431[,3]),"")</f>
        <v>0</v>
      </c>
      <c r="P88" s="34">
        <f>IFERROR(SUMIF(Table431[,],Table633[[#This Row],[Accounts Name]],Table431[,2]),"")</f>
        <v>0</v>
      </c>
      <c r="S88" s="36">
        <f t="shared" si="1"/>
        <v>81</v>
      </c>
      <c r="T88" s="34"/>
      <c r="U88" s="37"/>
      <c r="V88" s="34">
        <f>IFERROR(SUMIF(Table633[Sub-Accounts],Table834[[#This Row],[Update your chart of accounts here]],Table633[Debit]),"")</f>
        <v>0</v>
      </c>
      <c r="W88" s="34">
        <f>IFERROR(SUMIF(Table633[Sub-Accounts],Table834[[#This Row],[Update your chart of accounts here]],Table633[Credit]),"")</f>
        <v>0</v>
      </c>
      <c r="X88" s="34"/>
      <c r="Y88" s="34"/>
      <c r="Z88" s="34"/>
      <c r="AA88" s="34"/>
      <c r="AB88" s="34">
        <f>MAX(Table834[[#This Row],[Debit]]+Table834[[#This Row],[Debit -]]-Table834[[#This Row],[Credit]]-Table834[[#This Row],[Credit +]],0)</f>
        <v>0</v>
      </c>
      <c r="AC88" s="34">
        <f>MAX(Table834[[#This Row],[Credit]]-Table834[[#This Row],[Debit]]+Table834[[#This Row],[Credit +]]-Table834[[#This Row],[Debit -]],0)</f>
        <v>0</v>
      </c>
      <c r="AD88" s="34" t="str">
        <f>IFERROR(IF(AND(OR(Table834[[#This Row],[Classification]]="Expense",Table834[[#This Row],[Classification]]="Cost of Goods Sold"),Table834[[#This Row],[Debit\]]&gt;Table834[[#This Row],[Credit.]]),Table834[[#This Row],[Debit\]]-Table834[[#This Row],[Credit.]],""),"")</f>
        <v/>
      </c>
      <c r="AE88" s="34" t="str">
        <f>IFERROR(IF(AND(OR(Table834[[#This Row],[Classification]]="Income",Table834[[#This Row],[Classification]]="Cost of Goods Sold"),Table834[[#This Row],[Credit.]]&gt;Table834[[#This Row],[Debit\]]),Table834[[#This Row],[Credit.]]-Table834[[#This Row],[Debit\]],""),"")</f>
        <v/>
      </c>
      <c r="AF88" s="34"/>
      <c r="AG88" s="34" t="str">
        <f>IFERROR(IF(AND(Table834[[#This Row],[Classification]]="Assets",Table834[[#This Row],[Debit\]]-Table834[[#This Row],[Credit.]]),Table834[[#This Row],[Debit\]]-Table834[[#This Row],[Credit.]],""),"")</f>
        <v/>
      </c>
      <c r="AH88" s="34" t="str">
        <f>IFERROR(IF(AND(OR(Table834[[#This Row],[Classification]]="Liabilities",Table834[[#This Row],[Classification]]="Owner´s Equity"),Table834[[#This Row],[Credit.]]&gt;Table834[[#This Row],[Debit\]]),Table834[[#This Row],[Credit.]]-Table834[[#This Row],[Debit\]],""),"")</f>
        <v/>
      </c>
    </row>
    <row r="89" spans="2:34" hidden="1" x14ac:dyDescent="0.25">
      <c r="B89" s="34"/>
      <c r="C89" s="37"/>
      <c r="D89" s="34"/>
      <c r="E89" s="34"/>
      <c r="G89" s="39"/>
      <c r="H89" s="43"/>
      <c r="I89" s="41"/>
      <c r="J89" s="41"/>
      <c r="L89" s="34">
        <v>82</v>
      </c>
      <c r="M89" s="35"/>
      <c r="N89" s="35"/>
      <c r="O89" s="34">
        <f>IFERROR(SUMIF(Table431[,],Table633[[#This Row],[Accounts Name]],Table431[,3]),"")</f>
        <v>0</v>
      </c>
      <c r="P89" s="34">
        <f>IFERROR(SUMIF(Table431[,],Table633[[#This Row],[Accounts Name]],Table431[,2]),"")</f>
        <v>0</v>
      </c>
      <c r="S89" s="36">
        <f t="shared" si="1"/>
        <v>82</v>
      </c>
      <c r="T89" s="34"/>
      <c r="U89" s="37"/>
      <c r="V89" s="34">
        <f>IFERROR(SUMIF(Table633[Sub-Accounts],Table834[[#This Row],[Update your chart of accounts here]],Table633[Debit]),"")</f>
        <v>0</v>
      </c>
      <c r="W89" s="34">
        <f>IFERROR(SUMIF(Table633[Sub-Accounts],Table834[[#This Row],[Update your chart of accounts here]],Table633[Credit]),"")</f>
        <v>0</v>
      </c>
      <c r="X89" s="34"/>
      <c r="Y89" s="34"/>
      <c r="Z89" s="34"/>
      <c r="AA89" s="34"/>
      <c r="AB89" s="34">
        <f>MAX(Table834[[#This Row],[Debit]]+Table834[[#This Row],[Debit -]]-Table834[[#This Row],[Credit]]-Table834[[#This Row],[Credit +]],0)</f>
        <v>0</v>
      </c>
      <c r="AC89" s="34">
        <f>MAX(Table834[[#This Row],[Credit]]-Table834[[#This Row],[Debit]]+Table834[[#This Row],[Credit +]]-Table834[[#This Row],[Debit -]],0)</f>
        <v>0</v>
      </c>
      <c r="AD89" s="34" t="str">
        <f>IFERROR(IF(AND(OR(Table834[[#This Row],[Classification]]="Expense",Table834[[#This Row],[Classification]]="Cost of Goods Sold"),Table834[[#This Row],[Debit\]]&gt;Table834[[#This Row],[Credit.]]),Table834[[#This Row],[Debit\]]-Table834[[#This Row],[Credit.]],""),"")</f>
        <v/>
      </c>
      <c r="AE89" s="34" t="str">
        <f>IFERROR(IF(AND(OR(Table834[[#This Row],[Classification]]="Income",Table834[[#This Row],[Classification]]="Cost of Goods Sold"),Table834[[#This Row],[Credit.]]&gt;Table834[[#This Row],[Debit\]]),Table834[[#This Row],[Credit.]]-Table834[[#This Row],[Debit\]],""),"")</f>
        <v/>
      </c>
      <c r="AF89" s="34"/>
      <c r="AG89" s="34" t="str">
        <f>IFERROR(IF(AND(Table834[[#This Row],[Classification]]="Assets",Table834[[#This Row],[Debit\]]-Table834[[#This Row],[Credit.]]),Table834[[#This Row],[Debit\]]-Table834[[#This Row],[Credit.]],""),"")</f>
        <v/>
      </c>
      <c r="AH89" s="34" t="str">
        <f>IFERROR(IF(AND(OR(Table834[[#This Row],[Classification]]="Liabilities",Table834[[#This Row],[Classification]]="Owner´s Equity"),Table834[[#This Row],[Credit.]]&gt;Table834[[#This Row],[Debit\]]),Table834[[#This Row],[Credit.]]-Table834[[#This Row],[Debit\]],""),"")</f>
        <v/>
      </c>
    </row>
    <row r="90" spans="2:34" hidden="1" x14ac:dyDescent="0.25">
      <c r="B90" s="34"/>
      <c r="C90" s="45"/>
      <c r="D90" s="34"/>
      <c r="E90" s="34"/>
      <c r="G90" s="39"/>
      <c r="H90" s="40"/>
      <c r="I90" s="41"/>
      <c r="J90" s="41"/>
      <c r="L90" s="34">
        <v>83</v>
      </c>
      <c r="M90" s="35"/>
      <c r="N90" s="35"/>
      <c r="O90" s="34">
        <f>IFERROR(SUMIF(Table431[,],Table633[[#This Row],[Accounts Name]],Table431[,3]),"")</f>
        <v>0</v>
      </c>
      <c r="P90" s="34">
        <f>IFERROR(SUMIF(Table431[,],Table633[[#This Row],[Accounts Name]],Table431[,2]),"")</f>
        <v>0</v>
      </c>
      <c r="S90" s="36">
        <f t="shared" si="1"/>
        <v>83</v>
      </c>
      <c r="T90" s="34"/>
      <c r="U90" s="37"/>
      <c r="V90" s="34">
        <f>IFERROR(SUMIF(Table633[Sub-Accounts],Table834[[#This Row],[Update your chart of accounts here]],Table633[Debit]),"")</f>
        <v>0</v>
      </c>
      <c r="W90" s="34">
        <f>IFERROR(SUMIF(Table633[Sub-Accounts],Table834[[#This Row],[Update your chart of accounts here]],Table633[Credit]),"")</f>
        <v>0</v>
      </c>
      <c r="X90" s="34"/>
      <c r="Y90" s="34"/>
      <c r="Z90" s="34"/>
      <c r="AA90" s="34"/>
      <c r="AB90" s="34">
        <f>MAX(Table834[[#This Row],[Debit]]+Table834[[#This Row],[Debit -]]-Table834[[#This Row],[Credit]]-Table834[[#This Row],[Credit +]],0)</f>
        <v>0</v>
      </c>
      <c r="AC90" s="34">
        <f>MAX(Table834[[#This Row],[Credit]]-Table834[[#This Row],[Debit]]+Table834[[#This Row],[Credit +]]-Table834[[#This Row],[Debit -]],0)</f>
        <v>0</v>
      </c>
      <c r="AD90" s="34" t="str">
        <f>IFERROR(IF(AND(OR(Table834[[#This Row],[Classification]]="Expense",Table834[[#This Row],[Classification]]="Cost of Goods Sold"),Table834[[#This Row],[Debit\]]&gt;Table834[[#This Row],[Credit.]]),Table834[[#This Row],[Debit\]]-Table834[[#This Row],[Credit.]],""),"")</f>
        <v/>
      </c>
      <c r="AE90" s="34" t="str">
        <f>IFERROR(IF(AND(OR(Table834[[#This Row],[Classification]]="Income",Table834[[#This Row],[Classification]]="Cost of Goods Sold"),Table834[[#This Row],[Credit.]]&gt;Table834[[#This Row],[Debit\]]),Table834[[#This Row],[Credit.]]-Table834[[#This Row],[Debit\]],""),"")</f>
        <v/>
      </c>
      <c r="AF90" s="34"/>
      <c r="AG90" s="34" t="str">
        <f>IFERROR(IF(AND(Table834[[#This Row],[Classification]]="Assets",Table834[[#This Row],[Debit\]]-Table834[[#This Row],[Credit.]]),Table834[[#This Row],[Debit\]]-Table834[[#This Row],[Credit.]],""),"")</f>
        <v/>
      </c>
      <c r="AH90" s="34" t="str">
        <f>IFERROR(IF(AND(OR(Table834[[#This Row],[Classification]]="Liabilities",Table834[[#This Row],[Classification]]="Owner´s Equity"),Table834[[#This Row],[Credit.]]&gt;Table834[[#This Row],[Debit\]]),Table834[[#This Row],[Credit.]]-Table834[[#This Row],[Debit\]],""),"")</f>
        <v/>
      </c>
    </row>
    <row r="91" spans="2:34" hidden="1" x14ac:dyDescent="0.25">
      <c r="B91" s="34"/>
      <c r="C91" s="45"/>
      <c r="D91" s="34"/>
      <c r="E91" s="34"/>
      <c r="G91" s="39"/>
      <c r="H91" s="40"/>
      <c r="I91" s="41"/>
      <c r="J91" s="41"/>
      <c r="L91" s="34">
        <v>84</v>
      </c>
      <c r="M91" s="35"/>
      <c r="N91" s="35"/>
      <c r="O91" s="34">
        <f>IFERROR(SUMIF(Table431[,],Table633[[#This Row],[Accounts Name]],Table431[,3]),"")</f>
        <v>0</v>
      </c>
      <c r="P91" s="34">
        <f>IFERROR(SUMIF(Table431[,],Table633[[#This Row],[Accounts Name]],Table431[,2]),"")</f>
        <v>0</v>
      </c>
      <c r="S91" s="36">
        <f t="shared" si="1"/>
        <v>84</v>
      </c>
      <c r="T91" s="34"/>
      <c r="U91" s="37"/>
      <c r="V91" s="34">
        <f>IFERROR(SUMIF(Table633[Sub-Accounts],Table834[[#This Row],[Update your chart of accounts here]],Table633[Debit]),"")</f>
        <v>0</v>
      </c>
      <c r="W91" s="34">
        <f>IFERROR(SUMIF(Table633[Sub-Accounts],Table834[[#This Row],[Update your chart of accounts here]],Table633[Credit]),"")</f>
        <v>0</v>
      </c>
      <c r="X91" s="34"/>
      <c r="Y91" s="34"/>
      <c r="Z91" s="34"/>
      <c r="AA91" s="34"/>
      <c r="AB91" s="34">
        <f>MAX(Table834[[#This Row],[Debit]]+Table834[[#This Row],[Debit -]]-Table834[[#This Row],[Credit]]-Table834[[#This Row],[Credit +]],0)</f>
        <v>0</v>
      </c>
      <c r="AC91" s="34">
        <f>MAX(Table834[[#This Row],[Credit]]-Table834[[#This Row],[Debit]]+Table834[[#This Row],[Credit +]]-Table834[[#This Row],[Debit -]],0)</f>
        <v>0</v>
      </c>
      <c r="AD91" s="34" t="str">
        <f>IFERROR(IF(AND(OR(Table834[[#This Row],[Classification]]="Expense",Table834[[#This Row],[Classification]]="Cost of Goods Sold"),Table834[[#This Row],[Debit\]]&gt;Table834[[#This Row],[Credit.]]),Table834[[#This Row],[Debit\]]-Table834[[#This Row],[Credit.]],""),"")</f>
        <v/>
      </c>
      <c r="AE91" s="34" t="str">
        <f>IFERROR(IF(AND(OR(Table834[[#This Row],[Classification]]="Income",Table834[[#This Row],[Classification]]="Cost of Goods Sold"),Table834[[#This Row],[Credit.]]&gt;Table834[[#This Row],[Debit\]]),Table834[[#This Row],[Credit.]]-Table834[[#This Row],[Debit\]],""),"")</f>
        <v/>
      </c>
      <c r="AF91" s="34"/>
      <c r="AG91" s="34" t="str">
        <f>IFERROR(IF(AND(Table834[[#This Row],[Classification]]="Assets",Table834[[#This Row],[Debit\]]-Table834[[#This Row],[Credit.]]),Table834[[#This Row],[Debit\]]-Table834[[#This Row],[Credit.]],""),"")</f>
        <v/>
      </c>
      <c r="AH91" s="34" t="str">
        <f>IFERROR(IF(AND(OR(Table834[[#This Row],[Classification]]="Liabilities",Table834[[#This Row],[Classification]]="Owner´s Equity"),Table834[[#This Row],[Credit.]]&gt;Table834[[#This Row],[Debit\]]),Table834[[#This Row],[Credit.]]-Table834[[#This Row],[Debit\]],""),"")</f>
        <v/>
      </c>
    </row>
    <row r="92" spans="2:34" hidden="1" x14ac:dyDescent="0.25">
      <c r="B92" s="34"/>
      <c r="C92" s="45"/>
      <c r="D92" s="34"/>
      <c r="E92" s="34"/>
      <c r="G92" s="39"/>
      <c r="H92" s="43"/>
      <c r="I92" s="41"/>
      <c r="J92" s="41"/>
      <c r="L92" s="34">
        <v>85</v>
      </c>
      <c r="M92" s="35"/>
      <c r="N92" s="35"/>
      <c r="O92" s="34">
        <f>IFERROR(SUMIF(Table431[,],Table633[[#This Row],[Accounts Name]],Table431[,3]),"")</f>
        <v>0</v>
      </c>
      <c r="P92" s="34">
        <f>IFERROR(SUMIF(Table431[,],Table633[[#This Row],[Accounts Name]],Table431[,2]),"")</f>
        <v>0</v>
      </c>
      <c r="S92" s="36">
        <f t="shared" si="1"/>
        <v>85</v>
      </c>
      <c r="T92" s="34"/>
      <c r="U92" s="37"/>
      <c r="V92" s="34">
        <f>IFERROR(SUMIF(Table633[Sub-Accounts],Table834[[#This Row],[Update your chart of accounts here]],Table633[Debit]),"")</f>
        <v>0</v>
      </c>
      <c r="W92" s="34">
        <f>IFERROR(SUMIF(Table633[Sub-Accounts],Table834[[#This Row],[Update your chart of accounts here]],Table633[Credit]),"")</f>
        <v>0</v>
      </c>
      <c r="X92" s="34"/>
      <c r="Y92" s="34"/>
      <c r="Z92" s="34"/>
      <c r="AA92" s="34"/>
      <c r="AB92" s="34">
        <f>MAX(Table834[[#This Row],[Debit]]+Table834[[#This Row],[Debit -]]-Table834[[#This Row],[Credit]]-Table834[[#This Row],[Credit +]],0)</f>
        <v>0</v>
      </c>
      <c r="AC92" s="34">
        <f>MAX(Table834[[#This Row],[Credit]]-Table834[[#This Row],[Debit]]+Table834[[#This Row],[Credit +]]-Table834[[#This Row],[Debit -]],0)</f>
        <v>0</v>
      </c>
      <c r="AD92" s="34" t="str">
        <f>IFERROR(IF(AND(OR(Table834[[#This Row],[Classification]]="Expense",Table834[[#This Row],[Classification]]="Cost of Goods Sold"),Table834[[#This Row],[Debit\]]&gt;Table834[[#This Row],[Credit.]]),Table834[[#This Row],[Debit\]]-Table834[[#This Row],[Credit.]],""),"")</f>
        <v/>
      </c>
      <c r="AE92" s="34" t="str">
        <f>IFERROR(IF(AND(OR(Table834[[#This Row],[Classification]]="Income",Table834[[#This Row],[Classification]]="Cost of Goods Sold"),Table834[[#This Row],[Credit.]]&gt;Table834[[#This Row],[Debit\]]),Table834[[#This Row],[Credit.]]-Table834[[#This Row],[Debit\]],""),"")</f>
        <v/>
      </c>
      <c r="AF92" s="34"/>
      <c r="AG92" s="34" t="str">
        <f>IFERROR(IF(AND(Table834[[#This Row],[Classification]]="Assets",Table834[[#This Row],[Debit\]]-Table834[[#This Row],[Credit.]]),Table834[[#This Row],[Debit\]]-Table834[[#This Row],[Credit.]],""),"")</f>
        <v/>
      </c>
      <c r="AH92" s="34" t="str">
        <f>IFERROR(IF(AND(OR(Table834[[#This Row],[Classification]]="Liabilities",Table834[[#This Row],[Classification]]="Owner´s Equity"),Table834[[#This Row],[Credit.]]&gt;Table834[[#This Row],[Debit\]]),Table834[[#This Row],[Credit.]]-Table834[[#This Row],[Debit\]],""),"")</f>
        <v/>
      </c>
    </row>
    <row r="93" spans="2:34" hidden="1" x14ac:dyDescent="0.25">
      <c r="B93" s="34"/>
      <c r="C93" s="45"/>
      <c r="D93" s="34"/>
      <c r="E93" s="34"/>
      <c r="G93" s="39"/>
      <c r="H93" s="40"/>
      <c r="I93" s="41"/>
      <c r="J93" s="41"/>
      <c r="L93" s="34">
        <v>86</v>
      </c>
      <c r="M93" s="35"/>
      <c r="N93" s="35"/>
      <c r="O93" s="34">
        <f>IFERROR(SUMIF(Table431[,],Table633[[#This Row],[Accounts Name]],Table431[,3]),"")</f>
        <v>0</v>
      </c>
      <c r="P93" s="34">
        <f>IFERROR(SUMIF(Table431[,],Table633[[#This Row],[Accounts Name]],Table431[,2]),"")</f>
        <v>0</v>
      </c>
      <c r="S93" s="36">
        <f t="shared" si="1"/>
        <v>86</v>
      </c>
      <c r="T93" s="34"/>
      <c r="U93" s="37"/>
      <c r="V93" s="34">
        <f>IFERROR(SUMIF(Table633[Sub-Accounts],Table834[[#This Row],[Update your chart of accounts here]],Table633[Debit]),"")</f>
        <v>0</v>
      </c>
      <c r="W93" s="34">
        <f>IFERROR(SUMIF(Table633[Sub-Accounts],Table834[[#This Row],[Update your chart of accounts here]],Table633[Credit]),"")</f>
        <v>0</v>
      </c>
      <c r="X93" s="34"/>
      <c r="Y93" s="34"/>
      <c r="Z93" s="34"/>
      <c r="AA93" s="34"/>
      <c r="AB93" s="34">
        <f>MAX(Table834[[#This Row],[Debit]]+Table834[[#This Row],[Debit -]]-Table834[[#This Row],[Credit]]-Table834[[#This Row],[Credit +]],0)</f>
        <v>0</v>
      </c>
      <c r="AC93" s="34">
        <f>MAX(Table834[[#This Row],[Credit]]-Table834[[#This Row],[Debit]]+Table834[[#This Row],[Credit +]]-Table834[[#This Row],[Debit -]],0)</f>
        <v>0</v>
      </c>
      <c r="AD93" s="34" t="str">
        <f>IFERROR(IF(AND(OR(Table834[[#This Row],[Classification]]="Expense",Table834[[#This Row],[Classification]]="Cost of Goods Sold"),Table834[[#This Row],[Debit\]]&gt;Table834[[#This Row],[Credit.]]),Table834[[#This Row],[Debit\]]-Table834[[#This Row],[Credit.]],""),"")</f>
        <v/>
      </c>
      <c r="AE93" s="34" t="str">
        <f>IFERROR(IF(AND(OR(Table834[[#This Row],[Classification]]="Income",Table834[[#This Row],[Classification]]="Cost of Goods Sold"),Table834[[#This Row],[Credit.]]&gt;Table834[[#This Row],[Debit\]]),Table834[[#This Row],[Credit.]]-Table834[[#This Row],[Debit\]],""),"")</f>
        <v/>
      </c>
      <c r="AF93" s="34"/>
      <c r="AG93" s="34" t="str">
        <f>IFERROR(IF(AND(Table834[[#This Row],[Classification]]="Assets",Table834[[#This Row],[Debit\]]-Table834[[#This Row],[Credit.]]),Table834[[#This Row],[Debit\]]-Table834[[#This Row],[Credit.]],""),"")</f>
        <v/>
      </c>
      <c r="AH93" s="34" t="str">
        <f>IFERROR(IF(AND(OR(Table834[[#This Row],[Classification]]="Liabilities",Table834[[#This Row],[Classification]]="Owner´s Equity"),Table834[[#This Row],[Credit.]]&gt;Table834[[#This Row],[Debit\]]),Table834[[#This Row],[Credit.]]-Table834[[#This Row],[Debit\]],""),"")</f>
        <v/>
      </c>
    </row>
    <row r="94" spans="2:34" hidden="1" x14ac:dyDescent="0.25">
      <c r="B94" s="34"/>
      <c r="C94" s="45"/>
      <c r="D94" s="34"/>
      <c r="E94" s="34"/>
      <c r="G94" s="39"/>
      <c r="H94" s="40"/>
      <c r="I94" s="41"/>
      <c r="J94" s="41"/>
      <c r="L94" s="34">
        <v>87</v>
      </c>
      <c r="M94" s="35"/>
      <c r="N94" s="35"/>
      <c r="O94" s="34">
        <f>IFERROR(SUMIF(Table431[,],Table633[[#This Row],[Accounts Name]],Table431[,3]),"")</f>
        <v>0</v>
      </c>
      <c r="P94" s="34">
        <f>IFERROR(SUMIF(Table431[,],Table633[[#This Row],[Accounts Name]],Table431[,2]),"")</f>
        <v>0</v>
      </c>
      <c r="S94" s="36">
        <f t="shared" si="1"/>
        <v>87</v>
      </c>
      <c r="T94" s="34"/>
      <c r="U94" s="37"/>
      <c r="V94" s="34">
        <f>IFERROR(SUMIF(Table633[Sub-Accounts],Table834[[#This Row],[Update your chart of accounts here]],Table633[Debit]),"")</f>
        <v>0</v>
      </c>
      <c r="W94" s="34">
        <f>IFERROR(SUMIF(Table633[Sub-Accounts],Table834[[#This Row],[Update your chart of accounts here]],Table633[Credit]),"")</f>
        <v>0</v>
      </c>
      <c r="X94" s="34"/>
      <c r="Y94" s="34"/>
      <c r="Z94" s="34"/>
      <c r="AA94" s="34"/>
      <c r="AB94" s="34">
        <f>MAX(Table834[[#This Row],[Debit]]+Table834[[#This Row],[Debit -]]-Table834[[#This Row],[Credit]]-Table834[[#This Row],[Credit +]],0)</f>
        <v>0</v>
      </c>
      <c r="AC94" s="34">
        <f>MAX(Table834[[#This Row],[Credit]]-Table834[[#This Row],[Debit]]+Table834[[#This Row],[Credit +]]-Table834[[#This Row],[Debit -]],0)</f>
        <v>0</v>
      </c>
      <c r="AD94" s="34" t="str">
        <f>IFERROR(IF(AND(OR(Table834[[#This Row],[Classification]]="Expense",Table834[[#This Row],[Classification]]="Cost of Goods Sold"),Table834[[#This Row],[Debit\]]&gt;Table834[[#This Row],[Credit.]]),Table834[[#This Row],[Debit\]]-Table834[[#This Row],[Credit.]],""),"")</f>
        <v/>
      </c>
      <c r="AE94" s="34" t="str">
        <f>IFERROR(IF(AND(OR(Table834[[#This Row],[Classification]]="Income",Table834[[#This Row],[Classification]]="Cost of Goods Sold"),Table834[[#This Row],[Credit.]]&gt;Table834[[#This Row],[Debit\]]),Table834[[#This Row],[Credit.]]-Table834[[#This Row],[Debit\]],""),"")</f>
        <v/>
      </c>
      <c r="AF94" s="34"/>
      <c r="AG94" s="34" t="str">
        <f>IFERROR(IF(AND(Table834[[#This Row],[Classification]]="Assets",Table834[[#This Row],[Debit\]]-Table834[[#This Row],[Credit.]]),Table834[[#This Row],[Debit\]]-Table834[[#This Row],[Credit.]],""),"")</f>
        <v/>
      </c>
      <c r="AH94" s="34" t="str">
        <f>IFERROR(IF(AND(OR(Table834[[#This Row],[Classification]]="Liabilities",Table834[[#This Row],[Classification]]="Owner´s Equity"),Table834[[#This Row],[Credit.]]&gt;Table834[[#This Row],[Debit\]]),Table834[[#This Row],[Credit.]]-Table834[[#This Row],[Debit\]],""),"")</f>
        <v/>
      </c>
    </row>
    <row r="95" spans="2:34" hidden="1" x14ac:dyDescent="0.25">
      <c r="B95" s="34"/>
      <c r="C95" s="45"/>
      <c r="D95" s="34"/>
      <c r="E95" s="34"/>
      <c r="G95" s="39"/>
      <c r="H95" s="43"/>
      <c r="I95" s="41"/>
      <c r="J95" s="41"/>
      <c r="L95" s="34">
        <v>88</v>
      </c>
      <c r="M95" s="35"/>
      <c r="N95" s="35"/>
      <c r="O95" s="34">
        <f>IFERROR(SUMIF(Table431[,],Table633[[#This Row],[Accounts Name]],Table431[,3]),"")</f>
        <v>0</v>
      </c>
      <c r="P95" s="34">
        <f>IFERROR(SUMIF(Table431[,],Table633[[#This Row],[Accounts Name]],Table431[,2]),"")</f>
        <v>0</v>
      </c>
      <c r="S95" s="36">
        <f t="shared" si="1"/>
        <v>88</v>
      </c>
      <c r="T95" s="34"/>
      <c r="U95" s="37"/>
      <c r="V95" s="34">
        <f>IFERROR(SUMIF(Table633[Sub-Accounts],Table834[[#This Row],[Update your chart of accounts here]],Table633[Debit]),"")</f>
        <v>0</v>
      </c>
      <c r="W95" s="34">
        <f>IFERROR(SUMIF(Table633[Sub-Accounts],Table834[[#This Row],[Update your chart of accounts here]],Table633[Credit]),"")</f>
        <v>0</v>
      </c>
      <c r="X95" s="34"/>
      <c r="Y95" s="34"/>
      <c r="Z95" s="34"/>
      <c r="AA95" s="34"/>
      <c r="AB95" s="34">
        <f>MAX(Table834[[#This Row],[Debit]]+Table834[[#This Row],[Debit -]]-Table834[[#This Row],[Credit]]-Table834[[#This Row],[Credit +]],0)</f>
        <v>0</v>
      </c>
      <c r="AC95" s="34">
        <f>MAX(Table834[[#This Row],[Credit]]-Table834[[#This Row],[Debit]]+Table834[[#This Row],[Credit +]]-Table834[[#This Row],[Debit -]],0)</f>
        <v>0</v>
      </c>
      <c r="AD95" s="34" t="str">
        <f>IFERROR(IF(AND(OR(Table834[[#This Row],[Classification]]="Expense",Table834[[#This Row],[Classification]]="Cost of Goods Sold"),Table834[[#This Row],[Debit\]]&gt;Table834[[#This Row],[Credit.]]),Table834[[#This Row],[Debit\]]-Table834[[#This Row],[Credit.]],""),"")</f>
        <v/>
      </c>
      <c r="AE95" s="34" t="str">
        <f>IFERROR(IF(AND(OR(Table834[[#This Row],[Classification]]="Income",Table834[[#This Row],[Classification]]="Cost of Goods Sold"),Table834[[#This Row],[Credit.]]&gt;Table834[[#This Row],[Debit\]]),Table834[[#This Row],[Credit.]]-Table834[[#This Row],[Debit\]],""),"")</f>
        <v/>
      </c>
      <c r="AF95" s="34"/>
      <c r="AG95" s="34" t="str">
        <f>IFERROR(IF(AND(Table834[[#This Row],[Classification]]="Assets",Table834[[#This Row],[Debit\]]-Table834[[#This Row],[Credit.]]),Table834[[#This Row],[Debit\]]-Table834[[#This Row],[Credit.]],""),"")</f>
        <v/>
      </c>
      <c r="AH95" s="34" t="str">
        <f>IFERROR(IF(AND(OR(Table834[[#This Row],[Classification]]="Liabilities",Table834[[#This Row],[Classification]]="Owner´s Equity"),Table834[[#This Row],[Credit.]]&gt;Table834[[#This Row],[Debit\]]),Table834[[#This Row],[Credit.]]-Table834[[#This Row],[Debit\]],""),"")</f>
        <v/>
      </c>
    </row>
    <row r="96" spans="2:34" hidden="1" x14ac:dyDescent="0.25">
      <c r="B96" s="34"/>
      <c r="C96" s="45"/>
      <c r="D96" s="34"/>
      <c r="E96" s="34"/>
      <c r="G96" s="39"/>
      <c r="H96" s="40"/>
      <c r="I96" s="41"/>
      <c r="J96" s="41"/>
      <c r="L96" s="34">
        <v>89</v>
      </c>
      <c r="M96" s="35"/>
      <c r="N96" s="35"/>
      <c r="O96" s="34">
        <f>IFERROR(SUMIF(Table431[,],Table633[[#This Row],[Accounts Name]],Table431[,3]),"")</f>
        <v>0</v>
      </c>
      <c r="P96" s="34">
        <f>IFERROR(SUMIF(Table431[,],Table633[[#This Row],[Accounts Name]],Table431[,2]),"")</f>
        <v>0</v>
      </c>
      <c r="S96" s="36">
        <f t="shared" si="1"/>
        <v>89</v>
      </c>
      <c r="T96" s="34"/>
      <c r="U96" s="37"/>
      <c r="V96" s="34">
        <f>IFERROR(SUMIF(Table633[Sub-Accounts],Table834[[#This Row],[Update your chart of accounts here]],Table633[Debit]),"")</f>
        <v>0</v>
      </c>
      <c r="W96" s="34">
        <f>IFERROR(SUMIF(Table633[Sub-Accounts],Table834[[#This Row],[Update your chart of accounts here]],Table633[Credit]),"")</f>
        <v>0</v>
      </c>
      <c r="X96" s="34"/>
      <c r="Y96" s="34"/>
      <c r="Z96" s="34"/>
      <c r="AA96" s="34"/>
      <c r="AB96" s="34">
        <f>MAX(Table834[[#This Row],[Debit]]+Table834[[#This Row],[Debit -]]-Table834[[#This Row],[Credit]]-Table834[[#This Row],[Credit +]],0)</f>
        <v>0</v>
      </c>
      <c r="AC96" s="34">
        <f>MAX(Table834[[#This Row],[Credit]]-Table834[[#This Row],[Debit]]+Table834[[#This Row],[Credit +]]-Table834[[#This Row],[Debit -]],0)</f>
        <v>0</v>
      </c>
      <c r="AD96" s="34" t="str">
        <f>IFERROR(IF(AND(OR(Table834[[#This Row],[Classification]]="Expense",Table834[[#This Row],[Classification]]="Cost of Goods Sold"),Table834[[#This Row],[Debit\]]&gt;Table834[[#This Row],[Credit.]]),Table834[[#This Row],[Debit\]]-Table834[[#This Row],[Credit.]],""),"")</f>
        <v/>
      </c>
      <c r="AE96" s="34" t="str">
        <f>IFERROR(IF(AND(OR(Table834[[#This Row],[Classification]]="Income",Table834[[#This Row],[Classification]]="Cost of Goods Sold"),Table834[[#This Row],[Credit.]]&gt;Table834[[#This Row],[Debit\]]),Table834[[#This Row],[Credit.]]-Table834[[#This Row],[Debit\]],""),"")</f>
        <v/>
      </c>
      <c r="AF96" s="34"/>
      <c r="AG96" s="34" t="str">
        <f>IFERROR(IF(AND(Table834[[#This Row],[Classification]]="Assets",Table834[[#This Row],[Debit\]]-Table834[[#This Row],[Credit.]]),Table834[[#This Row],[Debit\]]-Table834[[#This Row],[Credit.]],""),"")</f>
        <v/>
      </c>
      <c r="AH96" s="34" t="str">
        <f>IFERROR(IF(AND(OR(Table834[[#This Row],[Classification]]="Liabilities",Table834[[#This Row],[Classification]]="Owner´s Equity"),Table834[[#This Row],[Credit.]]&gt;Table834[[#This Row],[Debit\]]),Table834[[#This Row],[Credit.]]-Table834[[#This Row],[Debit\]],""),"")</f>
        <v/>
      </c>
    </row>
    <row r="97" spans="2:34" hidden="1" x14ac:dyDescent="0.25">
      <c r="B97" s="34"/>
      <c r="C97" s="45"/>
      <c r="D97" s="34"/>
      <c r="E97" s="34"/>
      <c r="G97" s="39"/>
      <c r="H97" s="40"/>
      <c r="I97" s="41"/>
      <c r="J97" s="41"/>
      <c r="L97" s="34">
        <v>90</v>
      </c>
      <c r="M97" s="35"/>
      <c r="N97" s="35"/>
      <c r="O97" s="34">
        <f>IFERROR(SUMIF(Table431[,],Table633[[#This Row],[Accounts Name]],Table431[,3]),"")</f>
        <v>0</v>
      </c>
      <c r="P97" s="34">
        <f>IFERROR(SUMIF(Table431[,],Table633[[#This Row],[Accounts Name]],Table431[,2]),"")</f>
        <v>0</v>
      </c>
      <c r="S97" s="36">
        <f t="shared" si="1"/>
        <v>90</v>
      </c>
      <c r="T97" s="34"/>
      <c r="U97" s="37"/>
      <c r="V97" s="34">
        <f>IFERROR(SUMIF(Table633[Sub-Accounts],Table834[[#This Row],[Update your chart of accounts here]],Table633[Debit]),"")</f>
        <v>0</v>
      </c>
      <c r="W97" s="34">
        <f>IFERROR(SUMIF(Table633[Sub-Accounts],Table834[[#This Row],[Update your chart of accounts here]],Table633[Credit]),"")</f>
        <v>0</v>
      </c>
      <c r="X97" s="34"/>
      <c r="Y97" s="34"/>
      <c r="Z97" s="34"/>
      <c r="AA97" s="34"/>
      <c r="AB97" s="34">
        <f>MAX(Table834[[#This Row],[Debit]]+Table834[[#This Row],[Debit -]]-Table834[[#This Row],[Credit]]-Table834[[#This Row],[Credit +]],0)</f>
        <v>0</v>
      </c>
      <c r="AC97" s="34">
        <f>MAX(Table834[[#This Row],[Credit]]-Table834[[#This Row],[Debit]]+Table834[[#This Row],[Credit +]]-Table834[[#This Row],[Debit -]],0)</f>
        <v>0</v>
      </c>
      <c r="AD97" s="34" t="str">
        <f>IFERROR(IF(AND(OR(Table834[[#This Row],[Classification]]="Expense",Table834[[#This Row],[Classification]]="Cost of Goods Sold"),Table834[[#This Row],[Debit\]]&gt;Table834[[#This Row],[Credit.]]),Table834[[#This Row],[Debit\]]-Table834[[#This Row],[Credit.]],""),"")</f>
        <v/>
      </c>
      <c r="AE97" s="34" t="str">
        <f>IFERROR(IF(AND(OR(Table834[[#This Row],[Classification]]="Income",Table834[[#This Row],[Classification]]="Cost of Goods Sold"),Table834[[#This Row],[Credit.]]&gt;Table834[[#This Row],[Debit\]]),Table834[[#This Row],[Credit.]]-Table834[[#This Row],[Debit\]],""),"")</f>
        <v/>
      </c>
      <c r="AF97" s="34"/>
      <c r="AG97" s="34" t="str">
        <f>IFERROR(IF(AND(Table834[[#This Row],[Classification]]="Assets",Table834[[#This Row],[Debit\]]-Table834[[#This Row],[Credit.]]),Table834[[#This Row],[Debit\]]-Table834[[#This Row],[Credit.]],""),"")</f>
        <v/>
      </c>
      <c r="AH97" s="34" t="str">
        <f>IFERROR(IF(AND(OR(Table834[[#This Row],[Classification]]="Liabilities",Table834[[#This Row],[Classification]]="Owner´s Equity"),Table834[[#This Row],[Credit.]]&gt;Table834[[#This Row],[Debit\]]),Table834[[#This Row],[Credit.]]-Table834[[#This Row],[Debit\]],""),"")</f>
        <v/>
      </c>
    </row>
    <row r="98" spans="2:34" hidden="1" x14ac:dyDescent="0.25">
      <c r="B98" s="34"/>
      <c r="C98" s="45"/>
      <c r="D98" s="34"/>
      <c r="E98" s="34"/>
      <c r="G98" s="39"/>
      <c r="H98" s="43"/>
      <c r="I98" s="41"/>
      <c r="J98" s="41"/>
      <c r="L98" s="34">
        <v>91</v>
      </c>
      <c r="M98" s="35"/>
      <c r="N98" s="35"/>
      <c r="O98" s="34">
        <f>IFERROR(SUMIF(Table431[,],Table633[[#This Row],[Accounts Name]],Table431[,3]),"")</f>
        <v>0</v>
      </c>
      <c r="P98" s="34">
        <f>IFERROR(SUMIF(Table431[,],Table633[[#This Row],[Accounts Name]],Table431[,2]),"")</f>
        <v>0</v>
      </c>
      <c r="S98" s="36">
        <f t="shared" si="1"/>
        <v>91</v>
      </c>
      <c r="T98" s="34"/>
      <c r="U98" s="37"/>
      <c r="V98" s="34">
        <f>IFERROR(SUMIF(Table633[Sub-Accounts],Table834[[#This Row],[Update your chart of accounts here]],Table633[Debit]),"")</f>
        <v>0</v>
      </c>
      <c r="W98" s="34">
        <f>IFERROR(SUMIF(Table633[Sub-Accounts],Table834[[#This Row],[Update your chart of accounts here]],Table633[Credit]),"")</f>
        <v>0</v>
      </c>
      <c r="X98" s="34"/>
      <c r="Y98" s="34"/>
      <c r="Z98" s="34"/>
      <c r="AA98" s="34"/>
      <c r="AB98" s="34">
        <f>MAX(Table834[[#This Row],[Debit]]+Table834[[#This Row],[Debit -]]-Table834[[#This Row],[Credit]]-Table834[[#This Row],[Credit +]],0)</f>
        <v>0</v>
      </c>
      <c r="AC98" s="34">
        <f>MAX(Table834[[#This Row],[Credit]]-Table834[[#This Row],[Debit]]+Table834[[#This Row],[Credit +]]-Table834[[#This Row],[Debit -]],0)</f>
        <v>0</v>
      </c>
      <c r="AD98" s="34" t="str">
        <f>IFERROR(IF(AND(OR(Table834[[#This Row],[Classification]]="Expense",Table834[[#This Row],[Classification]]="Cost of Goods Sold"),Table834[[#This Row],[Debit\]]&gt;Table834[[#This Row],[Credit.]]),Table834[[#This Row],[Debit\]]-Table834[[#This Row],[Credit.]],""),"")</f>
        <v/>
      </c>
      <c r="AE98" s="34" t="str">
        <f>IFERROR(IF(AND(OR(Table834[[#This Row],[Classification]]="Income",Table834[[#This Row],[Classification]]="Cost of Goods Sold"),Table834[[#This Row],[Credit.]]&gt;Table834[[#This Row],[Debit\]]),Table834[[#This Row],[Credit.]]-Table834[[#This Row],[Debit\]],""),"")</f>
        <v/>
      </c>
      <c r="AF98" s="34"/>
      <c r="AG98" s="34" t="str">
        <f>IFERROR(IF(AND(Table834[[#This Row],[Classification]]="Assets",Table834[[#This Row],[Debit\]]-Table834[[#This Row],[Credit.]]),Table834[[#This Row],[Debit\]]-Table834[[#This Row],[Credit.]],""),"")</f>
        <v/>
      </c>
      <c r="AH98" s="34" t="str">
        <f>IFERROR(IF(AND(OR(Table834[[#This Row],[Classification]]="Liabilities",Table834[[#This Row],[Classification]]="Owner´s Equity"),Table834[[#This Row],[Credit.]]&gt;Table834[[#This Row],[Debit\]]),Table834[[#This Row],[Credit.]]-Table834[[#This Row],[Debit\]],""),"")</f>
        <v/>
      </c>
    </row>
    <row r="99" spans="2:34" hidden="1" x14ac:dyDescent="0.25">
      <c r="B99" s="34"/>
      <c r="C99" s="45"/>
      <c r="D99" s="34"/>
      <c r="E99" s="34"/>
      <c r="G99" s="39"/>
      <c r="H99" s="40"/>
      <c r="I99" s="41"/>
      <c r="J99" s="41"/>
      <c r="L99" s="34">
        <v>92</v>
      </c>
      <c r="M99" s="35"/>
      <c r="N99" s="35"/>
      <c r="O99" s="34">
        <f>IFERROR(SUMIF(Table431[,],Table633[[#This Row],[Accounts Name]],Table431[,3]),"")</f>
        <v>0</v>
      </c>
      <c r="P99" s="34">
        <f>IFERROR(SUMIF(Table431[,],Table633[[#This Row],[Accounts Name]],Table431[,2]),"")</f>
        <v>0</v>
      </c>
      <c r="S99" s="36">
        <f t="shared" si="1"/>
        <v>92</v>
      </c>
      <c r="T99" s="34"/>
      <c r="U99" s="37"/>
      <c r="V99" s="34">
        <f>IFERROR(SUMIF(Table633[Sub-Accounts],Table834[[#This Row],[Update your chart of accounts here]],Table633[Debit]),"")</f>
        <v>0</v>
      </c>
      <c r="W99" s="34">
        <f>IFERROR(SUMIF(Table633[Sub-Accounts],Table834[[#This Row],[Update your chart of accounts here]],Table633[Credit]),"")</f>
        <v>0</v>
      </c>
      <c r="X99" s="34"/>
      <c r="Y99" s="34"/>
      <c r="Z99" s="34"/>
      <c r="AA99" s="34"/>
      <c r="AB99" s="34">
        <f>MAX(Table834[[#This Row],[Debit]]+Table834[[#This Row],[Debit -]]-Table834[[#This Row],[Credit]]-Table834[[#This Row],[Credit +]],0)</f>
        <v>0</v>
      </c>
      <c r="AC99" s="34">
        <f>MAX(Table834[[#This Row],[Credit]]-Table834[[#This Row],[Debit]]+Table834[[#This Row],[Credit +]]-Table834[[#This Row],[Debit -]],0)</f>
        <v>0</v>
      </c>
      <c r="AD99" s="34" t="str">
        <f>IFERROR(IF(AND(OR(Table834[[#This Row],[Classification]]="Expense",Table834[[#This Row],[Classification]]="Cost of Goods Sold"),Table834[[#This Row],[Debit\]]&gt;Table834[[#This Row],[Credit.]]),Table834[[#This Row],[Debit\]]-Table834[[#This Row],[Credit.]],""),"")</f>
        <v/>
      </c>
      <c r="AE99" s="34" t="str">
        <f>IFERROR(IF(AND(OR(Table834[[#This Row],[Classification]]="Income",Table834[[#This Row],[Classification]]="Cost of Goods Sold"),Table834[[#This Row],[Credit.]]&gt;Table834[[#This Row],[Debit\]]),Table834[[#This Row],[Credit.]]-Table834[[#This Row],[Debit\]],""),"")</f>
        <v/>
      </c>
      <c r="AF99" s="34"/>
      <c r="AG99" s="34" t="str">
        <f>IFERROR(IF(AND(Table834[[#This Row],[Classification]]="Assets",Table834[[#This Row],[Debit\]]-Table834[[#This Row],[Credit.]]),Table834[[#This Row],[Debit\]]-Table834[[#This Row],[Credit.]],""),"")</f>
        <v/>
      </c>
      <c r="AH99" s="34" t="str">
        <f>IFERROR(IF(AND(OR(Table834[[#This Row],[Classification]]="Liabilities",Table834[[#This Row],[Classification]]="Owner´s Equity"),Table834[[#This Row],[Credit.]]&gt;Table834[[#This Row],[Debit\]]),Table834[[#This Row],[Credit.]]-Table834[[#This Row],[Debit\]],""),"")</f>
        <v/>
      </c>
    </row>
    <row r="100" spans="2:34" hidden="1" x14ac:dyDescent="0.25">
      <c r="B100" s="34"/>
      <c r="C100" s="45"/>
      <c r="D100" s="34"/>
      <c r="E100" s="34"/>
      <c r="G100" s="39"/>
      <c r="H100" s="40"/>
      <c r="I100" s="41"/>
      <c r="J100" s="41"/>
      <c r="L100" s="34">
        <v>93</v>
      </c>
      <c r="M100" s="35"/>
      <c r="N100" s="35"/>
      <c r="O100" s="34">
        <f>IFERROR(SUMIF(Table431[,],Table633[[#This Row],[Accounts Name]],Table431[,3]),"")</f>
        <v>0</v>
      </c>
      <c r="P100" s="34">
        <f>IFERROR(SUMIF(Table431[,],Table633[[#This Row],[Accounts Name]],Table431[,2]),"")</f>
        <v>0</v>
      </c>
      <c r="S100" s="36">
        <f t="shared" si="1"/>
        <v>93</v>
      </c>
      <c r="T100" s="34"/>
      <c r="U100" s="37"/>
      <c r="V100" s="34">
        <f>IFERROR(SUMIF(Table633[Sub-Accounts],Table834[[#This Row],[Update your chart of accounts here]],Table633[Debit]),"")</f>
        <v>0</v>
      </c>
      <c r="W100" s="34">
        <f>IFERROR(SUMIF(Table633[Sub-Accounts],Table834[[#This Row],[Update your chart of accounts here]],Table633[Credit]),"")</f>
        <v>0</v>
      </c>
      <c r="X100" s="34"/>
      <c r="Y100" s="34"/>
      <c r="Z100" s="34"/>
      <c r="AA100" s="34"/>
      <c r="AB100" s="34">
        <f>MAX(Table834[[#This Row],[Debit]]+Table834[[#This Row],[Debit -]]-Table834[[#This Row],[Credit]]-Table834[[#This Row],[Credit +]],0)</f>
        <v>0</v>
      </c>
      <c r="AC100" s="34">
        <f>MAX(Table834[[#This Row],[Credit]]-Table834[[#This Row],[Debit]]+Table834[[#This Row],[Credit +]]-Table834[[#This Row],[Debit -]],0)</f>
        <v>0</v>
      </c>
      <c r="AD100" s="34" t="str">
        <f>IFERROR(IF(AND(OR(Table834[[#This Row],[Classification]]="Expense",Table834[[#This Row],[Classification]]="Cost of Goods Sold"),Table834[[#This Row],[Debit\]]&gt;Table834[[#This Row],[Credit.]]),Table834[[#This Row],[Debit\]]-Table834[[#This Row],[Credit.]],""),"")</f>
        <v/>
      </c>
      <c r="AE100" s="34" t="str">
        <f>IFERROR(IF(AND(OR(Table834[[#This Row],[Classification]]="Income",Table834[[#This Row],[Classification]]="Cost of Goods Sold"),Table834[[#This Row],[Credit.]]&gt;Table834[[#This Row],[Debit\]]),Table834[[#This Row],[Credit.]]-Table834[[#This Row],[Debit\]],""),"")</f>
        <v/>
      </c>
      <c r="AF100" s="34"/>
      <c r="AG100" s="34" t="str">
        <f>IFERROR(IF(AND(Table834[[#This Row],[Classification]]="Assets",Table834[[#This Row],[Debit\]]-Table834[[#This Row],[Credit.]]),Table834[[#This Row],[Debit\]]-Table834[[#This Row],[Credit.]],""),"")</f>
        <v/>
      </c>
      <c r="AH100" s="34" t="str">
        <f>IFERROR(IF(AND(OR(Table834[[#This Row],[Classification]]="Liabilities",Table834[[#This Row],[Classification]]="Owner´s Equity"),Table834[[#This Row],[Credit.]]&gt;Table834[[#This Row],[Debit\]]),Table834[[#This Row],[Credit.]]-Table834[[#This Row],[Debit\]],""),"")</f>
        <v/>
      </c>
    </row>
    <row r="101" spans="2:34" hidden="1" x14ac:dyDescent="0.25">
      <c r="B101" s="34"/>
      <c r="C101" s="45"/>
      <c r="D101" s="34"/>
      <c r="E101" s="34"/>
      <c r="G101" s="39"/>
      <c r="H101" s="43"/>
      <c r="I101" s="41"/>
      <c r="J101" s="41"/>
      <c r="L101" s="34">
        <v>94</v>
      </c>
      <c r="M101" s="35"/>
      <c r="N101" s="35"/>
      <c r="O101" s="34">
        <f>IFERROR(SUMIF(Table431[,],Table633[[#This Row],[Accounts Name]],Table431[,3]),"")</f>
        <v>0</v>
      </c>
      <c r="P101" s="34">
        <f>IFERROR(SUMIF(Table431[,],Table633[[#This Row],[Accounts Name]],Table431[,2]),"")</f>
        <v>0</v>
      </c>
      <c r="S101" s="36">
        <f t="shared" si="1"/>
        <v>94</v>
      </c>
      <c r="T101" s="34"/>
      <c r="U101" s="37"/>
      <c r="V101" s="34">
        <f>IFERROR(SUMIF(Table633[Sub-Accounts],Table834[[#This Row],[Update your chart of accounts here]],Table633[Debit]),"")</f>
        <v>0</v>
      </c>
      <c r="W101" s="34">
        <f>IFERROR(SUMIF(Table633[Sub-Accounts],Table834[[#This Row],[Update your chart of accounts here]],Table633[Credit]),"")</f>
        <v>0</v>
      </c>
      <c r="X101" s="34"/>
      <c r="Y101" s="34"/>
      <c r="Z101" s="34"/>
      <c r="AA101" s="34"/>
      <c r="AB101" s="34">
        <f>MAX(Table834[[#This Row],[Debit]]+Table834[[#This Row],[Debit -]]-Table834[[#This Row],[Credit]]-Table834[[#This Row],[Credit +]],0)</f>
        <v>0</v>
      </c>
      <c r="AC101" s="34">
        <f>MAX(Table834[[#This Row],[Credit]]-Table834[[#This Row],[Debit]]+Table834[[#This Row],[Credit +]]-Table834[[#This Row],[Debit -]],0)</f>
        <v>0</v>
      </c>
      <c r="AD101" s="34" t="str">
        <f>IFERROR(IF(AND(OR(Table834[[#This Row],[Classification]]="Expense",Table834[[#This Row],[Classification]]="Cost of Goods Sold"),Table834[[#This Row],[Debit\]]&gt;Table834[[#This Row],[Credit.]]),Table834[[#This Row],[Debit\]]-Table834[[#This Row],[Credit.]],""),"")</f>
        <v/>
      </c>
      <c r="AE101" s="34" t="str">
        <f>IFERROR(IF(AND(OR(Table834[[#This Row],[Classification]]="Income",Table834[[#This Row],[Classification]]="Cost of Goods Sold"),Table834[[#This Row],[Credit.]]&gt;Table834[[#This Row],[Debit\]]),Table834[[#This Row],[Credit.]]-Table834[[#This Row],[Debit\]],""),"")</f>
        <v/>
      </c>
      <c r="AF101" s="34"/>
      <c r="AG101" s="34" t="str">
        <f>IFERROR(IF(AND(Table834[[#This Row],[Classification]]="Assets",Table834[[#This Row],[Debit\]]-Table834[[#This Row],[Credit.]]),Table834[[#This Row],[Debit\]]-Table834[[#This Row],[Credit.]],""),"")</f>
        <v/>
      </c>
      <c r="AH101" s="34" t="str">
        <f>IFERROR(IF(AND(OR(Table834[[#This Row],[Classification]]="Liabilities",Table834[[#This Row],[Classification]]="Owner´s Equity"),Table834[[#This Row],[Credit.]]&gt;Table834[[#This Row],[Debit\]]),Table834[[#This Row],[Credit.]]-Table834[[#This Row],[Debit\]],""),"")</f>
        <v/>
      </c>
    </row>
    <row r="102" spans="2:34" hidden="1" x14ac:dyDescent="0.25">
      <c r="B102" s="34"/>
      <c r="C102" s="45"/>
      <c r="D102" s="34"/>
      <c r="E102" s="34"/>
      <c r="G102" s="39"/>
      <c r="H102" s="40"/>
      <c r="I102" s="41"/>
      <c r="J102" s="41"/>
      <c r="L102" s="34">
        <v>95</v>
      </c>
      <c r="M102" s="35"/>
      <c r="N102" s="35"/>
      <c r="O102" s="34">
        <f>IFERROR(SUMIF(Table431[,],Table633[[#This Row],[Accounts Name]],Table431[,3]),"")</f>
        <v>0</v>
      </c>
      <c r="P102" s="34">
        <f>IFERROR(SUMIF(Table431[,],Table633[[#This Row],[Accounts Name]],Table431[,2]),"")</f>
        <v>0</v>
      </c>
      <c r="S102" s="36">
        <f t="shared" si="1"/>
        <v>95</v>
      </c>
      <c r="T102" s="34"/>
      <c r="U102" s="37"/>
      <c r="V102" s="34">
        <f>IFERROR(SUMIF(Table633[Sub-Accounts],Table834[[#This Row],[Update your chart of accounts here]],Table633[Debit]),"")</f>
        <v>0</v>
      </c>
      <c r="W102" s="34">
        <f>IFERROR(SUMIF(Table633[Sub-Accounts],Table834[[#This Row],[Update your chart of accounts here]],Table633[Credit]),"")</f>
        <v>0</v>
      </c>
      <c r="X102" s="34"/>
      <c r="Y102" s="34"/>
      <c r="Z102" s="34"/>
      <c r="AA102" s="34"/>
      <c r="AB102" s="34">
        <f>MAX(Table834[[#This Row],[Debit]]+Table834[[#This Row],[Debit -]]-Table834[[#This Row],[Credit]]-Table834[[#This Row],[Credit +]],0)</f>
        <v>0</v>
      </c>
      <c r="AC102" s="34">
        <f>MAX(Table834[[#This Row],[Credit]]-Table834[[#This Row],[Debit]]+Table834[[#This Row],[Credit +]]-Table834[[#This Row],[Debit -]],0)</f>
        <v>0</v>
      </c>
      <c r="AD102" s="34" t="str">
        <f>IFERROR(IF(AND(OR(Table834[[#This Row],[Classification]]="Expense",Table834[[#This Row],[Classification]]="Cost of Goods Sold"),Table834[[#This Row],[Debit\]]&gt;Table834[[#This Row],[Credit.]]),Table834[[#This Row],[Debit\]]-Table834[[#This Row],[Credit.]],""),"")</f>
        <v/>
      </c>
      <c r="AE102" s="34" t="str">
        <f>IFERROR(IF(AND(OR(Table834[[#This Row],[Classification]]="Income",Table834[[#This Row],[Classification]]="Cost of Goods Sold"),Table834[[#This Row],[Credit.]]&gt;Table834[[#This Row],[Debit\]]),Table834[[#This Row],[Credit.]]-Table834[[#This Row],[Debit\]],""),"")</f>
        <v/>
      </c>
      <c r="AF102" s="34"/>
      <c r="AG102" s="34" t="str">
        <f>IFERROR(IF(AND(Table834[[#This Row],[Classification]]="Assets",Table834[[#This Row],[Debit\]]-Table834[[#This Row],[Credit.]]),Table834[[#This Row],[Debit\]]-Table834[[#This Row],[Credit.]],""),"")</f>
        <v/>
      </c>
      <c r="AH102" s="34" t="str">
        <f>IFERROR(IF(AND(OR(Table834[[#This Row],[Classification]]="Liabilities",Table834[[#This Row],[Classification]]="Owner´s Equity"),Table834[[#This Row],[Credit.]]&gt;Table834[[#This Row],[Debit\]]),Table834[[#This Row],[Credit.]]-Table834[[#This Row],[Debit\]],""),"")</f>
        <v/>
      </c>
    </row>
    <row r="103" spans="2:34" hidden="1" x14ac:dyDescent="0.25">
      <c r="B103" s="34"/>
      <c r="C103" s="45"/>
      <c r="D103" s="34"/>
      <c r="E103" s="34"/>
      <c r="G103" s="39"/>
      <c r="H103" s="40"/>
      <c r="I103" s="41"/>
      <c r="J103" s="41"/>
      <c r="L103" s="34">
        <v>96</v>
      </c>
      <c r="M103" s="35"/>
      <c r="N103" s="35"/>
      <c r="O103" s="34">
        <f>IFERROR(SUMIF(Table431[,],Table633[[#This Row],[Accounts Name]],Table431[,3]),"")</f>
        <v>0</v>
      </c>
      <c r="P103" s="34">
        <f>IFERROR(SUMIF(Table431[,],Table633[[#This Row],[Accounts Name]],Table431[,2]),"")</f>
        <v>0</v>
      </c>
      <c r="S103" s="36">
        <f t="shared" si="1"/>
        <v>96</v>
      </c>
      <c r="T103" s="34"/>
      <c r="U103" s="37"/>
      <c r="V103" s="34">
        <f>IFERROR(SUMIF(Table633[Sub-Accounts],Table834[[#This Row],[Update your chart of accounts here]],Table633[Debit]),"")</f>
        <v>0</v>
      </c>
      <c r="W103" s="34">
        <f>IFERROR(SUMIF(Table633[Sub-Accounts],Table834[[#This Row],[Update your chart of accounts here]],Table633[Credit]),"")</f>
        <v>0</v>
      </c>
      <c r="X103" s="34"/>
      <c r="Y103" s="34"/>
      <c r="Z103" s="34"/>
      <c r="AA103" s="34"/>
      <c r="AB103" s="34">
        <f>MAX(Table834[[#This Row],[Debit]]+Table834[[#This Row],[Debit -]]-Table834[[#This Row],[Credit]]-Table834[[#This Row],[Credit +]],0)</f>
        <v>0</v>
      </c>
      <c r="AC103" s="34">
        <f>MAX(Table834[[#This Row],[Credit]]-Table834[[#This Row],[Debit]]+Table834[[#This Row],[Credit +]]-Table834[[#This Row],[Debit -]],0)</f>
        <v>0</v>
      </c>
      <c r="AD103" s="34" t="str">
        <f>IFERROR(IF(AND(OR(Table834[[#This Row],[Classification]]="Expense",Table834[[#This Row],[Classification]]="Cost of Goods Sold"),Table834[[#This Row],[Debit\]]&gt;Table834[[#This Row],[Credit.]]),Table834[[#This Row],[Debit\]]-Table834[[#This Row],[Credit.]],""),"")</f>
        <v/>
      </c>
      <c r="AE103" s="34" t="str">
        <f>IFERROR(IF(AND(OR(Table834[[#This Row],[Classification]]="Income",Table834[[#This Row],[Classification]]="Cost of Goods Sold"),Table834[[#This Row],[Credit.]]&gt;Table834[[#This Row],[Debit\]]),Table834[[#This Row],[Credit.]]-Table834[[#This Row],[Debit\]],""),"")</f>
        <v/>
      </c>
      <c r="AF103" s="34"/>
      <c r="AG103" s="34" t="str">
        <f>IFERROR(IF(AND(Table834[[#This Row],[Classification]]="Assets",Table834[[#This Row],[Debit\]]-Table834[[#This Row],[Credit.]]),Table834[[#This Row],[Debit\]]-Table834[[#This Row],[Credit.]],""),"")</f>
        <v/>
      </c>
      <c r="AH103" s="34" t="str">
        <f>IFERROR(IF(AND(OR(Table834[[#This Row],[Classification]]="Liabilities",Table834[[#This Row],[Classification]]="Owner´s Equity"),Table834[[#This Row],[Credit.]]&gt;Table834[[#This Row],[Debit\]]),Table834[[#This Row],[Credit.]]-Table834[[#This Row],[Debit\]],""),"")</f>
        <v/>
      </c>
    </row>
    <row r="104" spans="2:34" hidden="1" x14ac:dyDescent="0.25">
      <c r="B104" s="34"/>
      <c r="C104" s="45"/>
      <c r="D104" s="34"/>
      <c r="E104" s="34"/>
      <c r="G104" s="39"/>
      <c r="H104" s="43"/>
      <c r="I104" s="41"/>
      <c r="J104" s="41"/>
      <c r="L104" s="34">
        <v>97</v>
      </c>
      <c r="M104" s="35"/>
      <c r="N104" s="35"/>
      <c r="O104" s="34">
        <f>IFERROR(SUMIF(Table431[,],Table633[[#This Row],[Accounts Name]],Table431[,3]),"")</f>
        <v>0</v>
      </c>
      <c r="P104" s="34">
        <f>IFERROR(SUMIF(Table431[,],Table633[[#This Row],[Accounts Name]],Table431[,2]),"")</f>
        <v>0</v>
      </c>
      <c r="S104" s="36">
        <f t="shared" si="1"/>
        <v>97</v>
      </c>
      <c r="T104" s="34"/>
      <c r="U104" s="37"/>
      <c r="V104" s="34">
        <f>IFERROR(SUMIF(Table633[Sub-Accounts],Table834[[#This Row],[Update your chart of accounts here]],Table633[Debit]),"")</f>
        <v>0</v>
      </c>
      <c r="W104" s="34">
        <f>IFERROR(SUMIF(Table633[Sub-Accounts],Table834[[#This Row],[Update your chart of accounts here]],Table633[Credit]),"")</f>
        <v>0</v>
      </c>
      <c r="X104" s="34"/>
      <c r="Y104" s="34"/>
      <c r="Z104" s="34"/>
      <c r="AA104" s="34"/>
      <c r="AB104" s="34">
        <f>MAX(Table834[[#This Row],[Debit]]+Table834[[#This Row],[Debit -]]-Table834[[#This Row],[Credit]]-Table834[[#This Row],[Credit +]],0)</f>
        <v>0</v>
      </c>
      <c r="AC104" s="34">
        <f>MAX(Table834[[#This Row],[Credit]]-Table834[[#This Row],[Debit]]+Table834[[#This Row],[Credit +]]-Table834[[#This Row],[Debit -]],0)</f>
        <v>0</v>
      </c>
      <c r="AD104" s="34" t="str">
        <f>IFERROR(IF(AND(OR(Table834[[#This Row],[Classification]]="Expense",Table834[[#This Row],[Classification]]="Cost of Goods Sold"),Table834[[#This Row],[Debit\]]&gt;Table834[[#This Row],[Credit.]]),Table834[[#This Row],[Debit\]]-Table834[[#This Row],[Credit.]],""),"")</f>
        <v/>
      </c>
      <c r="AE104" s="34" t="str">
        <f>IFERROR(IF(AND(OR(Table834[[#This Row],[Classification]]="Income",Table834[[#This Row],[Classification]]="Cost of Goods Sold"),Table834[[#This Row],[Credit.]]&gt;Table834[[#This Row],[Debit\]]),Table834[[#This Row],[Credit.]]-Table834[[#This Row],[Debit\]],""),"")</f>
        <v/>
      </c>
      <c r="AF104" s="34"/>
      <c r="AG104" s="34" t="str">
        <f>IFERROR(IF(AND(Table834[[#This Row],[Classification]]="Assets",Table834[[#This Row],[Debit\]]-Table834[[#This Row],[Credit.]]),Table834[[#This Row],[Debit\]]-Table834[[#This Row],[Credit.]],""),"")</f>
        <v/>
      </c>
      <c r="AH104" s="34" t="str">
        <f>IFERROR(IF(AND(OR(Table834[[#This Row],[Classification]]="Liabilities",Table834[[#This Row],[Classification]]="Owner´s Equity"),Table834[[#This Row],[Credit.]]&gt;Table834[[#This Row],[Debit\]]),Table834[[#This Row],[Credit.]]-Table834[[#This Row],[Debit\]],""),"")</f>
        <v/>
      </c>
    </row>
    <row r="105" spans="2:34" hidden="1" x14ac:dyDescent="0.25">
      <c r="B105" s="34"/>
      <c r="C105" s="45"/>
      <c r="D105" s="34"/>
      <c r="E105" s="34"/>
      <c r="G105" s="39"/>
      <c r="H105" s="40"/>
      <c r="I105" s="41"/>
      <c r="J105" s="41"/>
      <c r="L105" s="34">
        <v>98</v>
      </c>
      <c r="M105" s="35"/>
      <c r="N105" s="35"/>
      <c r="O105" s="34">
        <f>IFERROR(SUMIF(Table431[,],Table633[[#This Row],[Accounts Name]],Table431[,3]),"")</f>
        <v>0</v>
      </c>
      <c r="P105" s="34">
        <f>IFERROR(SUMIF(Table431[,],Table633[[#This Row],[Accounts Name]],Table431[,2]),"")</f>
        <v>0</v>
      </c>
      <c r="S105" s="36">
        <f t="shared" si="1"/>
        <v>98</v>
      </c>
      <c r="T105" s="34"/>
      <c r="U105" s="37"/>
      <c r="V105" s="34">
        <f>IFERROR(SUMIF(Table633[Sub-Accounts],Table834[[#This Row],[Update your chart of accounts here]],Table633[Debit]),"")</f>
        <v>0</v>
      </c>
      <c r="W105" s="34">
        <f>IFERROR(SUMIF(Table633[Sub-Accounts],Table834[[#This Row],[Update your chart of accounts here]],Table633[Credit]),"")</f>
        <v>0</v>
      </c>
      <c r="X105" s="34"/>
      <c r="Y105" s="34"/>
      <c r="Z105" s="34"/>
      <c r="AA105" s="34"/>
      <c r="AB105" s="34">
        <f>MAX(Table834[[#This Row],[Debit]]+Table834[[#This Row],[Debit -]]-Table834[[#This Row],[Credit]]-Table834[[#This Row],[Credit +]],0)</f>
        <v>0</v>
      </c>
      <c r="AC105" s="34">
        <f>MAX(Table834[[#This Row],[Credit]]-Table834[[#This Row],[Debit]]+Table834[[#This Row],[Credit +]]-Table834[[#This Row],[Debit -]],0)</f>
        <v>0</v>
      </c>
      <c r="AD105" s="34" t="str">
        <f>IFERROR(IF(AND(OR(Table834[[#This Row],[Classification]]="Expense",Table834[[#This Row],[Classification]]="Cost of Goods Sold"),Table834[[#This Row],[Debit\]]&gt;Table834[[#This Row],[Credit.]]),Table834[[#This Row],[Debit\]]-Table834[[#This Row],[Credit.]],""),"")</f>
        <v/>
      </c>
      <c r="AE105" s="34" t="str">
        <f>IFERROR(IF(AND(OR(Table834[[#This Row],[Classification]]="Income",Table834[[#This Row],[Classification]]="Cost of Goods Sold"),Table834[[#This Row],[Credit.]]&gt;Table834[[#This Row],[Debit\]]),Table834[[#This Row],[Credit.]]-Table834[[#This Row],[Debit\]],""),"")</f>
        <v/>
      </c>
      <c r="AF105" s="34"/>
      <c r="AG105" s="34" t="str">
        <f>IFERROR(IF(AND(Table834[[#This Row],[Classification]]="Assets",Table834[[#This Row],[Debit\]]-Table834[[#This Row],[Credit.]]),Table834[[#This Row],[Debit\]]-Table834[[#This Row],[Credit.]],""),"")</f>
        <v/>
      </c>
      <c r="AH105" s="34" t="str">
        <f>IFERROR(IF(AND(OR(Table834[[#This Row],[Classification]]="Liabilities",Table834[[#This Row],[Classification]]="Owner´s Equity"),Table834[[#This Row],[Credit.]]&gt;Table834[[#This Row],[Debit\]]),Table834[[#This Row],[Credit.]]-Table834[[#This Row],[Debit\]],""),"")</f>
        <v/>
      </c>
    </row>
    <row r="106" spans="2:34" hidden="1" x14ac:dyDescent="0.25">
      <c r="B106" s="34"/>
      <c r="C106" s="45"/>
      <c r="D106" s="34"/>
      <c r="E106" s="34"/>
      <c r="G106" s="39"/>
      <c r="H106" s="40"/>
      <c r="I106" s="41"/>
      <c r="J106" s="41"/>
      <c r="L106" s="34">
        <v>99</v>
      </c>
      <c r="M106" s="35"/>
      <c r="N106" s="35"/>
      <c r="O106" s="34">
        <f>IFERROR(SUMIF(Table431[,],Table633[[#This Row],[Accounts Name]],Table431[,3]),"")</f>
        <v>0</v>
      </c>
      <c r="P106" s="34">
        <f>IFERROR(SUMIF(Table431[,],Table633[[#This Row],[Accounts Name]],Table431[,2]),"")</f>
        <v>0</v>
      </c>
      <c r="S106" s="36">
        <f t="shared" si="1"/>
        <v>99</v>
      </c>
      <c r="T106" s="34"/>
      <c r="U106" s="37"/>
      <c r="V106" s="34">
        <f>IFERROR(SUMIF(Table633[Sub-Accounts],Table834[[#This Row],[Update your chart of accounts here]],Table633[Debit]),"")</f>
        <v>0</v>
      </c>
      <c r="W106" s="34">
        <f>IFERROR(SUMIF(Table633[Sub-Accounts],Table834[[#This Row],[Update your chart of accounts here]],Table633[Credit]),"")</f>
        <v>0</v>
      </c>
      <c r="X106" s="34"/>
      <c r="Y106" s="34"/>
      <c r="Z106" s="34"/>
      <c r="AA106" s="34"/>
      <c r="AB106" s="34">
        <f>MAX(Table834[[#This Row],[Debit]]+Table834[[#This Row],[Debit -]]-Table834[[#This Row],[Credit]]-Table834[[#This Row],[Credit +]],0)</f>
        <v>0</v>
      </c>
      <c r="AC106" s="34">
        <f>MAX(Table834[[#This Row],[Credit]]-Table834[[#This Row],[Debit]]+Table834[[#This Row],[Credit +]]-Table834[[#This Row],[Debit -]],0)</f>
        <v>0</v>
      </c>
      <c r="AD106" s="34" t="str">
        <f>IFERROR(IF(AND(OR(Table834[[#This Row],[Classification]]="Expense",Table834[[#This Row],[Classification]]="Cost of Goods Sold"),Table834[[#This Row],[Debit\]]&gt;Table834[[#This Row],[Credit.]]),Table834[[#This Row],[Debit\]]-Table834[[#This Row],[Credit.]],""),"")</f>
        <v/>
      </c>
      <c r="AE106" s="34" t="str">
        <f>IFERROR(IF(AND(OR(Table834[[#This Row],[Classification]]="Income",Table834[[#This Row],[Classification]]="Cost of Goods Sold"),Table834[[#This Row],[Credit.]]&gt;Table834[[#This Row],[Debit\]]),Table834[[#This Row],[Credit.]]-Table834[[#This Row],[Debit\]],""),"")</f>
        <v/>
      </c>
      <c r="AF106" s="34"/>
      <c r="AG106" s="34" t="str">
        <f>IFERROR(IF(AND(Table834[[#This Row],[Classification]]="Assets",Table834[[#This Row],[Debit\]]-Table834[[#This Row],[Credit.]]),Table834[[#This Row],[Debit\]]-Table834[[#This Row],[Credit.]],""),"")</f>
        <v/>
      </c>
      <c r="AH106" s="34" t="str">
        <f>IFERROR(IF(AND(OR(Table834[[#This Row],[Classification]]="Liabilities",Table834[[#This Row],[Classification]]="Owner´s Equity"),Table834[[#This Row],[Credit.]]&gt;Table834[[#This Row],[Debit\]]),Table834[[#This Row],[Credit.]]-Table834[[#This Row],[Debit\]],""),"")</f>
        <v/>
      </c>
    </row>
    <row r="107" spans="2:34" hidden="1" x14ac:dyDescent="0.25">
      <c r="B107" s="34"/>
      <c r="C107" s="45"/>
      <c r="D107" s="34"/>
      <c r="E107" s="34"/>
      <c r="G107" s="39"/>
      <c r="H107" s="43"/>
      <c r="I107" s="41"/>
      <c r="J107" s="41"/>
      <c r="L107" s="34">
        <v>100</v>
      </c>
      <c r="M107" s="35"/>
      <c r="N107" s="35"/>
      <c r="O107" s="34">
        <f>IFERROR(SUMIF(Table431[,],Table633[[#This Row],[Accounts Name]],Table431[,3]),"")</f>
        <v>0</v>
      </c>
      <c r="P107" s="34">
        <f>IFERROR(SUMIF(Table431[,],Table633[[#This Row],[Accounts Name]],Table431[,2]),"")</f>
        <v>0</v>
      </c>
      <c r="S107" s="36">
        <f t="shared" si="1"/>
        <v>100</v>
      </c>
      <c r="T107" s="34"/>
      <c r="U107" s="37"/>
      <c r="V107" s="34">
        <f>IFERROR(SUMIF(Table633[Sub-Accounts],Table834[[#This Row],[Update your chart of accounts here]],Table633[Debit]),"")</f>
        <v>0</v>
      </c>
      <c r="W107" s="34">
        <f>IFERROR(SUMIF(Table633[Sub-Accounts],Table834[[#This Row],[Update your chart of accounts here]],Table633[Credit]),"")</f>
        <v>0</v>
      </c>
      <c r="X107" s="34"/>
      <c r="Y107" s="34"/>
      <c r="Z107" s="34"/>
      <c r="AA107" s="34"/>
      <c r="AB107" s="34">
        <f>MAX(Table834[[#This Row],[Debit]]+Table834[[#This Row],[Debit -]]-Table834[[#This Row],[Credit]]-Table834[[#This Row],[Credit +]],0)</f>
        <v>0</v>
      </c>
      <c r="AC107" s="34">
        <f>MAX(Table834[[#This Row],[Credit]]-Table834[[#This Row],[Debit]]+Table834[[#This Row],[Credit +]]-Table834[[#This Row],[Debit -]],0)</f>
        <v>0</v>
      </c>
      <c r="AD107" s="34" t="str">
        <f>IFERROR(IF(AND(OR(Table834[[#This Row],[Classification]]="Expense",Table834[[#This Row],[Classification]]="Cost of Goods Sold"),Table834[[#This Row],[Debit\]]&gt;Table834[[#This Row],[Credit.]]),Table834[[#This Row],[Debit\]]-Table834[[#This Row],[Credit.]],""),"")</f>
        <v/>
      </c>
      <c r="AE107" s="34" t="str">
        <f>IFERROR(IF(AND(OR(Table834[[#This Row],[Classification]]="Income",Table834[[#This Row],[Classification]]="Cost of Goods Sold"),Table834[[#This Row],[Credit.]]&gt;Table834[[#This Row],[Debit\]]),Table834[[#This Row],[Credit.]]-Table834[[#This Row],[Debit\]],""),"")</f>
        <v/>
      </c>
      <c r="AF107" s="34"/>
      <c r="AG107" s="34" t="str">
        <f>IFERROR(IF(AND(Table834[[#This Row],[Classification]]="Assets",Table834[[#This Row],[Debit\]]-Table834[[#This Row],[Credit.]]),Table834[[#This Row],[Debit\]]-Table834[[#This Row],[Credit.]],""),"")</f>
        <v/>
      </c>
      <c r="AH107" s="34" t="str">
        <f>IFERROR(IF(AND(OR(Table834[[#This Row],[Classification]]="Liabilities",Table834[[#This Row],[Classification]]="Owner´s Equity"),Table834[[#This Row],[Credit.]]&gt;Table834[[#This Row],[Debit\]]),Table834[[#This Row],[Credit.]]-Table834[[#This Row],[Debit\]],""),"")</f>
        <v/>
      </c>
    </row>
    <row r="108" spans="2:34" hidden="1" x14ac:dyDescent="0.25">
      <c r="B108" s="34"/>
      <c r="C108" s="45"/>
      <c r="D108" s="34"/>
      <c r="E108" s="34"/>
      <c r="G108" s="39"/>
      <c r="H108" s="40"/>
      <c r="I108" s="41"/>
      <c r="J108" s="41"/>
      <c r="L108" s="34">
        <v>101</v>
      </c>
      <c r="M108" s="35"/>
      <c r="N108" s="35"/>
      <c r="O108" s="34">
        <f>IFERROR(SUMIF(Table431[,],Table633[[#This Row],[Accounts Name]],Table431[,3]),"")</f>
        <v>0</v>
      </c>
      <c r="P108" s="34">
        <f>IFERROR(SUMIF(Table431[,],Table633[[#This Row],[Accounts Name]],Table431[,2]),"")</f>
        <v>0</v>
      </c>
      <c r="S108" s="36">
        <f t="shared" si="1"/>
        <v>101</v>
      </c>
      <c r="T108" s="34"/>
      <c r="U108" s="37"/>
      <c r="V108" s="34">
        <f>IFERROR(SUMIF(Table633[Sub-Accounts],Table834[[#This Row],[Update your chart of accounts here]],Table633[Debit]),"")</f>
        <v>0</v>
      </c>
      <c r="W108" s="34">
        <f>IFERROR(SUMIF(Table633[Sub-Accounts],Table834[[#This Row],[Update your chart of accounts here]],Table633[Credit]),"")</f>
        <v>0</v>
      </c>
      <c r="X108" s="34"/>
      <c r="Y108" s="34"/>
      <c r="Z108" s="34"/>
      <c r="AA108" s="34"/>
      <c r="AB108" s="34">
        <f>MAX(Table834[[#This Row],[Debit]]+Table834[[#This Row],[Debit -]]-Table834[[#This Row],[Credit]]-Table834[[#This Row],[Credit +]],0)</f>
        <v>0</v>
      </c>
      <c r="AC108" s="34">
        <f>MAX(Table834[[#This Row],[Credit]]-Table834[[#This Row],[Debit]]+Table834[[#This Row],[Credit +]]-Table834[[#This Row],[Debit -]],0)</f>
        <v>0</v>
      </c>
      <c r="AD108" s="34" t="str">
        <f>IFERROR(IF(AND(OR(Table834[[#This Row],[Classification]]="Expense",Table834[[#This Row],[Classification]]="Cost of Goods Sold"),Table834[[#This Row],[Debit\]]&gt;Table834[[#This Row],[Credit.]]),Table834[[#This Row],[Debit\]]-Table834[[#This Row],[Credit.]],""),"")</f>
        <v/>
      </c>
      <c r="AE108" s="34" t="str">
        <f>IFERROR(IF(AND(OR(Table834[[#This Row],[Classification]]="Income",Table834[[#This Row],[Classification]]="Cost of Goods Sold"),Table834[[#This Row],[Credit.]]&gt;Table834[[#This Row],[Debit\]]),Table834[[#This Row],[Credit.]]-Table834[[#This Row],[Debit\]],""),"")</f>
        <v/>
      </c>
      <c r="AF108" s="34"/>
      <c r="AG108" s="34" t="str">
        <f>IFERROR(IF(AND(Table834[[#This Row],[Classification]]="Assets",Table834[[#This Row],[Debit\]]-Table834[[#This Row],[Credit.]]),Table834[[#This Row],[Debit\]]-Table834[[#This Row],[Credit.]],""),"")</f>
        <v/>
      </c>
      <c r="AH108" s="34" t="str">
        <f>IFERROR(IF(AND(OR(Table834[[#This Row],[Classification]]="Liabilities",Table834[[#This Row],[Classification]]="Owner´s Equity"),Table834[[#This Row],[Credit.]]&gt;Table834[[#This Row],[Debit\]]),Table834[[#This Row],[Credit.]]-Table834[[#This Row],[Debit\]],""),"")</f>
        <v/>
      </c>
    </row>
    <row r="109" spans="2:34" hidden="1" x14ac:dyDescent="0.25">
      <c r="B109" s="34"/>
      <c r="C109" s="45"/>
      <c r="D109" s="34"/>
      <c r="E109" s="34"/>
      <c r="G109" s="39"/>
      <c r="H109" s="40"/>
      <c r="I109" s="41"/>
      <c r="J109" s="41"/>
      <c r="L109" s="34">
        <v>102</v>
      </c>
      <c r="M109" s="35"/>
      <c r="N109" s="35"/>
      <c r="O109" s="34">
        <f>IFERROR(SUMIF(Table431[,],Table633[[#This Row],[Accounts Name]],Table431[,3]),"")</f>
        <v>0</v>
      </c>
      <c r="P109" s="34">
        <f>IFERROR(SUMIF(Table431[,],Table633[[#This Row],[Accounts Name]],Table431[,2]),"")</f>
        <v>0</v>
      </c>
      <c r="S109" s="36">
        <f t="shared" si="1"/>
        <v>102</v>
      </c>
      <c r="T109" s="34"/>
      <c r="U109" s="37"/>
      <c r="V109" s="34">
        <f>IFERROR(SUMIF(Table633[Sub-Accounts],Table834[[#This Row],[Update your chart of accounts here]],Table633[Debit]),"")</f>
        <v>0</v>
      </c>
      <c r="W109" s="34">
        <f>IFERROR(SUMIF(Table633[Sub-Accounts],Table834[[#This Row],[Update your chart of accounts here]],Table633[Credit]),"")</f>
        <v>0</v>
      </c>
      <c r="X109" s="34"/>
      <c r="Y109" s="34"/>
      <c r="Z109" s="34"/>
      <c r="AA109" s="34"/>
      <c r="AB109" s="34">
        <f>MAX(Table834[[#This Row],[Debit]]+Table834[[#This Row],[Debit -]]-Table834[[#This Row],[Credit]]-Table834[[#This Row],[Credit +]],0)</f>
        <v>0</v>
      </c>
      <c r="AC109" s="34">
        <f>MAX(Table834[[#This Row],[Credit]]-Table834[[#This Row],[Debit]]+Table834[[#This Row],[Credit +]]-Table834[[#This Row],[Debit -]],0)</f>
        <v>0</v>
      </c>
      <c r="AD109" s="34" t="str">
        <f>IFERROR(IF(AND(OR(Table834[[#This Row],[Classification]]="Expense",Table834[[#This Row],[Classification]]="Cost of Goods Sold"),Table834[[#This Row],[Debit\]]&gt;Table834[[#This Row],[Credit.]]),Table834[[#This Row],[Debit\]]-Table834[[#This Row],[Credit.]],""),"")</f>
        <v/>
      </c>
      <c r="AE109" s="34" t="str">
        <f>IFERROR(IF(AND(OR(Table834[[#This Row],[Classification]]="Income",Table834[[#This Row],[Classification]]="Cost of Goods Sold"),Table834[[#This Row],[Credit.]]&gt;Table834[[#This Row],[Debit\]]),Table834[[#This Row],[Credit.]]-Table834[[#This Row],[Debit\]],""),"")</f>
        <v/>
      </c>
      <c r="AF109" s="34"/>
      <c r="AG109" s="34" t="str">
        <f>IFERROR(IF(AND(Table834[[#This Row],[Classification]]="Assets",Table834[[#This Row],[Debit\]]-Table834[[#This Row],[Credit.]]),Table834[[#This Row],[Debit\]]-Table834[[#This Row],[Credit.]],""),"")</f>
        <v/>
      </c>
      <c r="AH109" s="34" t="str">
        <f>IFERROR(IF(AND(OR(Table834[[#This Row],[Classification]]="Liabilities",Table834[[#This Row],[Classification]]="Owner´s Equity"),Table834[[#This Row],[Credit.]]&gt;Table834[[#This Row],[Debit\]]),Table834[[#This Row],[Credit.]]-Table834[[#This Row],[Debit\]],""),"")</f>
        <v/>
      </c>
    </row>
    <row r="110" spans="2:34" hidden="1" x14ac:dyDescent="0.25">
      <c r="B110" s="34"/>
      <c r="C110" s="45"/>
      <c r="D110" s="34"/>
      <c r="E110" s="34"/>
      <c r="G110" s="39"/>
      <c r="H110" s="43"/>
      <c r="I110" s="41"/>
      <c r="J110" s="41"/>
      <c r="L110" s="34">
        <v>103</v>
      </c>
      <c r="M110" s="35"/>
      <c r="N110" s="35"/>
      <c r="O110" s="34">
        <f>IFERROR(SUMIF(Table431[,],Table633[[#This Row],[Accounts Name]],Table431[,3]),"")</f>
        <v>0</v>
      </c>
      <c r="P110" s="34">
        <f>IFERROR(SUMIF(Table431[,],Table633[[#This Row],[Accounts Name]],Table431[,2]),"")</f>
        <v>0</v>
      </c>
      <c r="S110" s="36">
        <f t="shared" si="1"/>
        <v>103</v>
      </c>
      <c r="T110" s="34"/>
      <c r="U110" s="37"/>
      <c r="V110" s="34">
        <f>IFERROR(SUMIF(Table633[Sub-Accounts],Table834[[#This Row],[Update your chart of accounts here]],Table633[Debit]),"")</f>
        <v>0</v>
      </c>
      <c r="W110" s="34">
        <f>IFERROR(SUMIF(Table633[Sub-Accounts],Table834[[#This Row],[Update your chart of accounts here]],Table633[Credit]),"")</f>
        <v>0</v>
      </c>
      <c r="X110" s="34"/>
      <c r="Y110" s="34"/>
      <c r="Z110" s="34"/>
      <c r="AA110" s="34"/>
      <c r="AB110" s="34">
        <f>MAX(Table834[[#This Row],[Debit]]+Table834[[#This Row],[Debit -]]-Table834[[#This Row],[Credit]]-Table834[[#This Row],[Credit +]],0)</f>
        <v>0</v>
      </c>
      <c r="AC110" s="34">
        <f>MAX(Table834[[#This Row],[Credit]]-Table834[[#This Row],[Debit]]+Table834[[#This Row],[Credit +]]-Table834[[#This Row],[Debit -]],0)</f>
        <v>0</v>
      </c>
      <c r="AD110" s="34" t="str">
        <f>IFERROR(IF(AND(OR(Table834[[#This Row],[Classification]]="Expense",Table834[[#This Row],[Classification]]="Cost of Goods Sold"),Table834[[#This Row],[Debit\]]&gt;Table834[[#This Row],[Credit.]]),Table834[[#This Row],[Debit\]]-Table834[[#This Row],[Credit.]],""),"")</f>
        <v/>
      </c>
      <c r="AE110" s="34" t="str">
        <f>IFERROR(IF(AND(OR(Table834[[#This Row],[Classification]]="Income",Table834[[#This Row],[Classification]]="Cost of Goods Sold"),Table834[[#This Row],[Credit.]]&gt;Table834[[#This Row],[Debit\]]),Table834[[#This Row],[Credit.]]-Table834[[#This Row],[Debit\]],""),"")</f>
        <v/>
      </c>
      <c r="AF110" s="34"/>
      <c r="AG110" s="34" t="str">
        <f>IFERROR(IF(AND(Table834[[#This Row],[Classification]]="Assets",Table834[[#This Row],[Debit\]]-Table834[[#This Row],[Credit.]]),Table834[[#This Row],[Debit\]]-Table834[[#This Row],[Credit.]],""),"")</f>
        <v/>
      </c>
      <c r="AH110" s="34" t="str">
        <f>IFERROR(IF(AND(OR(Table834[[#This Row],[Classification]]="Liabilities",Table834[[#This Row],[Classification]]="Owner´s Equity"),Table834[[#This Row],[Credit.]]&gt;Table834[[#This Row],[Debit\]]),Table834[[#This Row],[Credit.]]-Table834[[#This Row],[Debit\]],""),"")</f>
        <v/>
      </c>
    </row>
    <row r="111" spans="2:34" hidden="1" x14ac:dyDescent="0.25">
      <c r="B111" s="34"/>
      <c r="C111" s="45"/>
      <c r="D111" s="34"/>
      <c r="E111" s="34"/>
      <c r="G111" s="39"/>
      <c r="H111" s="40"/>
      <c r="I111" s="41"/>
      <c r="J111" s="41"/>
      <c r="L111" s="34">
        <v>104</v>
      </c>
      <c r="M111" s="35"/>
      <c r="N111" s="35"/>
      <c r="O111" s="34">
        <f>IFERROR(SUMIF(Table431[,],Table633[[#This Row],[Accounts Name]],Table431[,3]),"")</f>
        <v>0</v>
      </c>
      <c r="P111" s="34">
        <f>IFERROR(SUMIF(Table431[,],Table633[[#This Row],[Accounts Name]],Table431[,2]),"")</f>
        <v>0</v>
      </c>
      <c r="S111" s="36">
        <f t="shared" si="1"/>
        <v>104</v>
      </c>
      <c r="T111" s="34"/>
      <c r="U111" s="37"/>
      <c r="V111" s="34">
        <f>IFERROR(SUMIF(Table633[Sub-Accounts],Table834[[#This Row],[Update your chart of accounts here]],Table633[Debit]),"")</f>
        <v>0</v>
      </c>
      <c r="W111" s="34">
        <f>IFERROR(SUMIF(Table633[Sub-Accounts],Table834[[#This Row],[Update your chart of accounts here]],Table633[Credit]),"")</f>
        <v>0</v>
      </c>
      <c r="X111" s="34"/>
      <c r="Y111" s="34"/>
      <c r="Z111" s="34"/>
      <c r="AA111" s="34"/>
      <c r="AB111" s="34">
        <f>MAX(Table834[[#This Row],[Debit]]+Table834[[#This Row],[Debit -]]-Table834[[#This Row],[Credit]]-Table834[[#This Row],[Credit +]],0)</f>
        <v>0</v>
      </c>
      <c r="AC111" s="34">
        <f>MAX(Table834[[#This Row],[Credit]]-Table834[[#This Row],[Debit]]+Table834[[#This Row],[Credit +]]-Table834[[#This Row],[Debit -]],0)</f>
        <v>0</v>
      </c>
      <c r="AD111" s="34" t="str">
        <f>IFERROR(IF(AND(OR(Table834[[#This Row],[Classification]]="Expense",Table834[[#This Row],[Classification]]="Cost of Goods Sold"),Table834[[#This Row],[Debit\]]&gt;Table834[[#This Row],[Credit.]]),Table834[[#This Row],[Debit\]]-Table834[[#This Row],[Credit.]],""),"")</f>
        <v/>
      </c>
      <c r="AE111" s="34" t="str">
        <f>IFERROR(IF(AND(OR(Table834[[#This Row],[Classification]]="Income",Table834[[#This Row],[Classification]]="Cost of Goods Sold"),Table834[[#This Row],[Credit.]]&gt;Table834[[#This Row],[Debit\]]),Table834[[#This Row],[Credit.]]-Table834[[#This Row],[Debit\]],""),"")</f>
        <v/>
      </c>
      <c r="AF111" s="34"/>
      <c r="AG111" s="34" t="str">
        <f>IFERROR(IF(AND(Table834[[#This Row],[Classification]]="Assets",Table834[[#This Row],[Debit\]]-Table834[[#This Row],[Credit.]]),Table834[[#This Row],[Debit\]]-Table834[[#This Row],[Credit.]],""),"")</f>
        <v/>
      </c>
      <c r="AH111" s="34" t="str">
        <f>IFERROR(IF(AND(OR(Table834[[#This Row],[Classification]]="Liabilities",Table834[[#This Row],[Classification]]="Owner´s Equity"),Table834[[#This Row],[Credit.]]&gt;Table834[[#This Row],[Debit\]]),Table834[[#This Row],[Credit.]]-Table834[[#This Row],[Debit\]],""),"")</f>
        <v/>
      </c>
    </row>
    <row r="112" spans="2:34" hidden="1" x14ac:dyDescent="0.25">
      <c r="B112" s="34"/>
      <c r="C112" s="45"/>
      <c r="D112" s="34"/>
      <c r="E112" s="34"/>
      <c r="G112" s="39"/>
      <c r="H112" s="40"/>
      <c r="I112" s="41"/>
      <c r="J112" s="41"/>
      <c r="L112" s="34">
        <v>105</v>
      </c>
      <c r="M112" s="35"/>
      <c r="N112" s="35"/>
      <c r="O112" s="34">
        <f>IFERROR(SUMIF(Table431[,],Table633[[#This Row],[Accounts Name]],Table431[,3]),"")</f>
        <v>0</v>
      </c>
      <c r="P112" s="34">
        <f>IFERROR(SUMIF(Table431[,],Table633[[#This Row],[Accounts Name]],Table431[,2]),"")</f>
        <v>0</v>
      </c>
      <c r="S112" s="36">
        <f t="shared" si="1"/>
        <v>105</v>
      </c>
      <c r="T112" s="34"/>
      <c r="U112" s="37"/>
      <c r="V112" s="34">
        <f>IFERROR(SUMIF(Table633[Sub-Accounts],Table834[[#This Row],[Update your chart of accounts here]],Table633[Debit]),"")</f>
        <v>0</v>
      </c>
      <c r="W112" s="34">
        <f>IFERROR(SUMIF(Table633[Sub-Accounts],Table834[[#This Row],[Update your chart of accounts here]],Table633[Credit]),"")</f>
        <v>0</v>
      </c>
      <c r="X112" s="34"/>
      <c r="Y112" s="34"/>
      <c r="Z112" s="34"/>
      <c r="AA112" s="34"/>
      <c r="AB112" s="34">
        <f>MAX(Table834[[#This Row],[Debit]]+Table834[[#This Row],[Debit -]]-Table834[[#This Row],[Credit]]-Table834[[#This Row],[Credit +]],0)</f>
        <v>0</v>
      </c>
      <c r="AC112" s="34">
        <f>MAX(Table834[[#This Row],[Credit]]-Table834[[#This Row],[Debit]]+Table834[[#This Row],[Credit +]]-Table834[[#This Row],[Debit -]],0)</f>
        <v>0</v>
      </c>
      <c r="AD112" s="34" t="str">
        <f>IFERROR(IF(AND(OR(Table834[[#This Row],[Classification]]="Expense",Table834[[#This Row],[Classification]]="Cost of Goods Sold"),Table834[[#This Row],[Debit\]]&gt;Table834[[#This Row],[Credit.]]),Table834[[#This Row],[Debit\]]-Table834[[#This Row],[Credit.]],""),"")</f>
        <v/>
      </c>
      <c r="AE112" s="34" t="str">
        <f>IFERROR(IF(AND(OR(Table834[[#This Row],[Classification]]="Income",Table834[[#This Row],[Classification]]="Cost of Goods Sold"),Table834[[#This Row],[Credit.]]&gt;Table834[[#This Row],[Debit\]]),Table834[[#This Row],[Credit.]]-Table834[[#This Row],[Debit\]],""),"")</f>
        <v/>
      </c>
      <c r="AF112" s="34"/>
      <c r="AG112" s="34" t="str">
        <f>IFERROR(IF(AND(Table834[[#This Row],[Classification]]="Assets",Table834[[#This Row],[Debit\]]-Table834[[#This Row],[Credit.]]),Table834[[#This Row],[Debit\]]-Table834[[#This Row],[Credit.]],""),"")</f>
        <v/>
      </c>
      <c r="AH112" s="34" t="str">
        <f>IFERROR(IF(AND(OR(Table834[[#This Row],[Classification]]="Liabilities",Table834[[#This Row],[Classification]]="Owner´s Equity"),Table834[[#This Row],[Credit.]]&gt;Table834[[#This Row],[Debit\]]),Table834[[#This Row],[Credit.]]-Table834[[#This Row],[Debit\]],""),"")</f>
        <v/>
      </c>
    </row>
    <row r="113" spans="2:34" hidden="1" x14ac:dyDescent="0.25">
      <c r="B113" s="34"/>
      <c r="C113" s="45"/>
      <c r="D113" s="34"/>
      <c r="E113" s="34"/>
      <c r="G113" s="39"/>
      <c r="H113" s="43"/>
      <c r="I113" s="41"/>
      <c r="J113" s="41"/>
      <c r="L113" s="34">
        <v>106</v>
      </c>
      <c r="M113" s="35"/>
      <c r="N113" s="35"/>
      <c r="O113" s="34">
        <f>IFERROR(SUMIF(Table431[,],Table633[[#This Row],[Accounts Name]],Table431[,3]),"")</f>
        <v>0</v>
      </c>
      <c r="P113" s="34">
        <f>IFERROR(SUMIF(Table431[,],Table633[[#This Row],[Accounts Name]],Table431[,2]),"")</f>
        <v>0</v>
      </c>
      <c r="S113" s="36">
        <f t="shared" si="1"/>
        <v>106</v>
      </c>
      <c r="T113" s="34"/>
      <c r="U113" s="37"/>
      <c r="V113" s="34">
        <f>IFERROR(SUMIF(Table633[Sub-Accounts],Table834[[#This Row],[Update your chart of accounts here]],Table633[Debit]),"")</f>
        <v>0</v>
      </c>
      <c r="W113" s="34">
        <f>IFERROR(SUMIF(Table633[Sub-Accounts],Table834[[#This Row],[Update your chart of accounts here]],Table633[Credit]),"")</f>
        <v>0</v>
      </c>
      <c r="X113" s="34"/>
      <c r="Y113" s="34"/>
      <c r="Z113" s="34"/>
      <c r="AA113" s="34"/>
      <c r="AB113" s="34">
        <f>MAX(Table834[[#This Row],[Debit]]+Table834[[#This Row],[Debit -]]-Table834[[#This Row],[Credit]]-Table834[[#This Row],[Credit +]],0)</f>
        <v>0</v>
      </c>
      <c r="AC113" s="34">
        <f>MAX(Table834[[#This Row],[Credit]]-Table834[[#This Row],[Debit]]+Table834[[#This Row],[Credit +]]-Table834[[#This Row],[Debit -]],0)</f>
        <v>0</v>
      </c>
      <c r="AD113" s="34" t="str">
        <f>IFERROR(IF(AND(OR(Table834[[#This Row],[Classification]]="Expense",Table834[[#This Row],[Classification]]="Cost of Goods Sold"),Table834[[#This Row],[Debit\]]&gt;Table834[[#This Row],[Credit.]]),Table834[[#This Row],[Debit\]]-Table834[[#This Row],[Credit.]],""),"")</f>
        <v/>
      </c>
      <c r="AE113" s="34" t="str">
        <f>IFERROR(IF(AND(OR(Table834[[#This Row],[Classification]]="Income",Table834[[#This Row],[Classification]]="Cost of Goods Sold"),Table834[[#This Row],[Credit.]]&gt;Table834[[#This Row],[Debit\]]),Table834[[#This Row],[Credit.]]-Table834[[#This Row],[Debit\]],""),"")</f>
        <v/>
      </c>
      <c r="AF113" s="34"/>
      <c r="AG113" s="34" t="str">
        <f>IFERROR(IF(AND(Table834[[#This Row],[Classification]]="Assets",Table834[[#This Row],[Debit\]]-Table834[[#This Row],[Credit.]]),Table834[[#This Row],[Debit\]]-Table834[[#This Row],[Credit.]],""),"")</f>
        <v/>
      </c>
      <c r="AH113" s="34" t="str">
        <f>IFERROR(IF(AND(OR(Table834[[#This Row],[Classification]]="Liabilities",Table834[[#This Row],[Classification]]="Owner´s Equity"),Table834[[#This Row],[Credit.]]&gt;Table834[[#This Row],[Debit\]]),Table834[[#This Row],[Credit.]]-Table834[[#This Row],[Debit\]],""),"")</f>
        <v/>
      </c>
    </row>
    <row r="114" spans="2:34" hidden="1" x14ac:dyDescent="0.25">
      <c r="B114" s="34"/>
      <c r="C114" s="45"/>
      <c r="D114" s="34"/>
      <c r="E114" s="34"/>
      <c r="G114" s="39"/>
      <c r="H114" s="40"/>
      <c r="I114" s="41"/>
      <c r="J114" s="41"/>
      <c r="L114" s="34">
        <v>107</v>
      </c>
      <c r="M114" s="35"/>
      <c r="N114" s="35"/>
      <c r="O114" s="34">
        <f>IFERROR(SUMIF(Table431[,],Table633[[#This Row],[Accounts Name]],Table431[,3]),"")</f>
        <v>0</v>
      </c>
      <c r="P114" s="34">
        <f>IFERROR(SUMIF(Table431[,],Table633[[#This Row],[Accounts Name]],Table431[,2]),"")</f>
        <v>0</v>
      </c>
      <c r="S114" s="36">
        <f t="shared" si="1"/>
        <v>107</v>
      </c>
      <c r="T114" s="34"/>
      <c r="U114" s="37"/>
      <c r="V114" s="34">
        <f>IFERROR(SUMIF(Table633[Sub-Accounts],Table834[[#This Row],[Update your chart of accounts here]],Table633[Debit]),"")</f>
        <v>0</v>
      </c>
      <c r="W114" s="34">
        <f>IFERROR(SUMIF(Table633[Sub-Accounts],Table834[[#This Row],[Update your chart of accounts here]],Table633[Credit]),"")</f>
        <v>0</v>
      </c>
      <c r="X114" s="34"/>
      <c r="Y114" s="34"/>
      <c r="Z114" s="34"/>
      <c r="AA114" s="34"/>
      <c r="AB114" s="34">
        <f>MAX(Table834[[#This Row],[Debit]]+Table834[[#This Row],[Debit -]]-Table834[[#This Row],[Credit]]-Table834[[#This Row],[Credit +]],0)</f>
        <v>0</v>
      </c>
      <c r="AC114" s="34">
        <f>MAX(Table834[[#This Row],[Credit]]-Table834[[#This Row],[Debit]]+Table834[[#This Row],[Credit +]]-Table834[[#This Row],[Debit -]],0)</f>
        <v>0</v>
      </c>
      <c r="AD114" s="34" t="str">
        <f>IFERROR(IF(AND(OR(Table834[[#This Row],[Classification]]="Expense",Table834[[#This Row],[Classification]]="Cost of Goods Sold"),Table834[[#This Row],[Debit\]]&gt;Table834[[#This Row],[Credit.]]),Table834[[#This Row],[Debit\]]-Table834[[#This Row],[Credit.]],""),"")</f>
        <v/>
      </c>
      <c r="AE114" s="34" t="str">
        <f>IFERROR(IF(AND(OR(Table834[[#This Row],[Classification]]="Income",Table834[[#This Row],[Classification]]="Cost of Goods Sold"),Table834[[#This Row],[Credit.]]&gt;Table834[[#This Row],[Debit\]]),Table834[[#This Row],[Credit.]]-Table834[[#This Row],[Debit\]],""),"")</f>
        <v/>
      </c>
      <c r="AF114" s="34"/>
      <c r="AG114" s="34" t="str">
        <f>IFERROR(IF(AND(Table834[[#This Row],[Classification]]="Assets",Table834[[#This Row],[Debit\]]-Table834[[#This Row],[Credit.]]),Table834[[#This Row],[Debit\]]-Table834[[#This Row],[Credit.]],""),"")</f>
        <v/>
      </c>
      <c r="AH114" s="34" t="str">
        <f>IFERROR(IF(AND(OR(Table834[[#This Row],[Classification]]="Liabilities",Table834[[#This Row],[Classification]]="Owner´s Equity"),Table834[[#This Row],[Credit.]]&gt;Table834[[#This Row],[Debit\]]),Table834[[#This Row],[Credit.]]-Table834[[#This Row],[Debit\]],""),"")</f>
        <v/>
      </c>
    </row>
    <row r="115" spans="2:34" hidden="1" x14ac:dyDescent="0.25">
      <c r="B115" s="34"/>
      <c r="C115" s="45"/>
      <c r="D115" s="34"/>
      <c r="E115" s="34"/>
      <c r="G115" s="39"/>
      <c r="H115" s="40"/>
      <c r="I115" s="41"/>
      <c r="J115" s="41"/>
      <c r="L115" s="34">
        <v>108</v>
      </c>
      <c r="M115" s="35"/>
      <c r="N115" s="35"/>
      <c r="O115" s="34">
        <f>IFERROR(SUMIF(Table431[,],Table633[[#This Row],[Accounts Name]],Table431[,3]),"")</f>
        <v>0</v>
      </c>
      <c r="P115" s="34">
        <f>IFERROR(SUMIF(Table431[,],Table633[[#This Row],[Accounts Name]],Table431[,2]),"")</f>
        <v>0</v>
      </c>
      <c r="S115" s="36">
        <f t="shared" si="1"/>
        <v>108</v>
      </c>
      <c r="T115" s="34"/>
      <c r="U115" s="37"/>
      <c r="V115" s="34">
        <f>IFERROR(SUMIF(Table633[Sub-Accounts],Table834[[#This Row],[Update your chart of accounts here]],Table633[Debit]),"")</f>
        <v>0</v>
      </c>
      <c r="W115" s="34">
        <f>IFERROR(SUMIF(Table633[Sub-Accounts],Table834[[#This Row],[Update your chart of accounts here]],Table633[Credit]),"")</f>
        <v>0</v>
      </c>
      <c r="X115" s="34"/>
      <c r="Y115" s="34"/>
      <c r="Z115" s="34"/>
      <c r="AA115" s="34"/>
      <c r="AB115" s="34">
        <f>MAX(Table834[[#This Row],[Debit]]+Table834[[#This Row],[Debit -]]-Table834[[#This Row],[Credit]]-Table834[[#This Row],[Credit +]],0)</f>
        <v>0</v>
      </c>
      <c r="AC115" s="34">
        <f>MAX(Table834[[#This Row],[Credit]]-Table834[[#This Row],[Debit]]+Table834[[#This Row],[Credit +]]-Table834[[#This Row],[Debit -]],0)</f>
        <v>0</v>
      </c>
      <c r="AD115" s="34" t="str">
        <f>IFERROR(IF(AND(OR(Table834[[#This Row],[Classification]]="Expense",Table834[[#This Row],[Classification]]="Cost of Goods Sold"),Table834[[#This Row],[Debit\]]&gt;Table834[[#This Row],[Credit.]]),Table834[[#This Row],[Debit\]]-Table834[[#This Row],[Credit.]],""),"")</f>
        <v/>
      </c>
      <c r="AE115" s="34" t="str">
        <f>IFERROR(IF(AND(OR(Table834[[#This Row],[Classification]]="Income",Table834[[#This Row],[Classification]]="Cost of Goods Sold"),Table834[[#This Row],[Credit.]]&gt;Table834[[#This Row],[Debit\]]),Table834[[#This Row],[Credit.]]-Table834[[#This Row],[Debit\]],""),"")</f>
        <v/>
      </c>
      <c r="AF115" s="34"/>
      <c r="AG115" s="34" t="str">
        <f>IFERROR(IF(AND(Table834[[#This Row],[Classification]]="Assets",Table834[[#This Row],[Debit\]]-Table834[[#This Row],[Credit.]]),Table834[[#This Row],[Debit\]]-Table834[[#This Row],[Credit.]],""),"")</f>
        <v/>
      </c>
      <c r="AH115" s="34" t="str">
        <f>IFERROR(IF(AND(OR(Table834[[#This Row],[Classification]]="Liabilities",Table834[[#This Row],[Classification]]="Owner´s Equity"),Table834[[#This Row],[Credit.]]&gt;Table834[[#This Row],[Debit\]]),Table834[[#This Row],[Credit.]]-Table834[[#This Row],[Debit\]],""),"")</f>
        <v/>
      </c>
    </row>
    <row r="116" spans="2:34" hidden="1" x14ac:dyDescent="0.25">
      <c r="B116" s="34"/>
      <c r="C116" s="45"/>
      <c r="D116" s="34"/>
      <c r="E116" s="34"/>
      <c r="G116" s="39"/>
      <c r="H116" s="43"/>
      <c r="I116" s="41"/>
      <c r="J116" s="41"/>
      <c r="L116" s="34">
        <v>109</v>
      </c>
      <c r="M116" s="35"/>
      <c r="N116" s="35"/>
      <c r="O116" s="34">
        <f>IFERROR(SUMIF(Table431[,],Table633[[#This Row],[Accounts Name]],Table431[,3]),"")</f>
        <v>0</v>
      </c>
      <c r="P116" s="34">
        <f>IFERROR(SUMIF(Table431[,],Table633[[#This Row],[Accounts Name]],Table431[,2]),"")</f>
        <v>0</v>
      </c>
      <c r="S116" s="36">
        <f t="shared" si="1"/>
        <v>109</v>
      </c>
      <c r="T116" s="34"/>
      <c r="U116" s="37"/>
      <c r="V116" s="34">
        <f>IFERROR(SUMIF(Table633[Sub-Accounts],Table834[[#This Row],[Update your chart of accounts here]],Table633[Debit]),"")</f>
        <v>0</v>
      </c>
      <c r="W116" s="34">
        <f>IFERROR(SUMIF(Table633[Sub-Accounts],Table834[[#This Row],[Update your chart of accounts here]],Table633[Credit]),"")</f>
        <v>0</v>
      </c>
      <c r="X116" s="34"/>
      <c r="Y116" s="34"/>
      <c r="Z116" s="34"/>
      <c r="AA116" s="34"/>
      <c r="AB116" s="34">
        <f>MAX(Table834[[#This Row],[Debit]]+Table834[[#This Row],[Debit -]]-Table834[[#This Row],[Credit]]-Table834[[#This Row],[Credit +]],0)</f>
        <v>0</v>
      </c>
      <c r="AC116" s="34">
        <f>MAX(Table834[[#This Row],[Credit]]-Table834[[#This Row],[Debit]]+Table834[[#This Row],[Credit +]]-Table834[[#This Row],[Debit -]],0)</f>
        <v>0</v>
      </c>
      <c r="AD116" s="34" t="str">
        <f>IFERROR(IF(AND(OR(Table834[[#This Row],[Classification]]="Expense",Table834[[#This Row],[Classification]]="Cost of Goods Sold"),Table834[[#This Row],[Debit\]]&gt;Table834[[#This Row],[Credit.]]),Table834[[#This Row],[Debit\]]-Table834[[#This Row],[Credit.]],""),"")</f>
        <v/>
      </c>
      <c r="AE116" s="34" t="str">
        <f>IFERROR(IF(AND(OR(Table834[[#This Row],[Classification]]="Income",Table834[[#This Row],[Classification]]="Cost of Goods Sold"),Table834[[#This Row],[Credit.]]&gt;Table834[[#This Row],[Debit\]]),Table834[[#This Row],[Credit.]]-Table834[[#This Row],[Debit\]],""),"")</f>
        <v/>
      </c>
      <c r="AF116" s="34"/>
      <c r="AG116" s="34" t="str">
        <f>IFERROR(IF(AND(Table834[[#This Row],[Classification]]="Assets",Table834[[#This Row],[Debit\]]-Table834[[#This Row],[Credit.]]),Table834[[#This Row],[Debit\]]-Table834[[#This Row],[Credit.]],""),"")</f>
        <v/>
      </c>
      <c r="AH116" s="34" t="str">
        <f>IFERROR(IF(AND(OR(Table834[[#This Row],[Classification]]="Liabilities",Table834[[#This Row],[Classification]]="Owner´s Equity"),Table834[[#This Row],[Credit.]]&gt;Table834[[#This Row],[Debit\]]),Table834[[#This Row],[Credit.]]-Table834[[#This Row],[Debit\]],""),"")</f>
        <v/>
      </c>
    </row>
    <row r="117" spans="2:34" hidden="1" x14ac:dyDescent="0.25">
      <c r="B117" s="34"/>
      <c r="C117" s="45"/>
      <c r="D117" s="34"/>
      <c r="E117" s="34"/>
      <c r="G117" s="39"/>
      <c r="H117" s="40"/>
      <c r="I117" s="41"/>
      <c r="J117" s="41"/>
      <c r="L117" s="34">
        <v>110</v>
      </c>
      <c r="M117" s="35"/>
      <c r="N117" s="35"/>
      <c r="O117" s="34">
        <f>IFERROR(SUMIF(Table431[,],Table633[[#This Row],[Accounts Name]],Table431[,3]),"")</f>
        <v>0</v>
      </c>
      <c r="P117" s="34">
        <f>IFERROR(SUMIF(Table431[,],Table633[[#This Row],[Accounts Name]],Table431[,2]),"")</f>
        <v>0</v>
      </c>
      <c r="S117" s="36">
        <f t="shared" si="1"/>
        <v>110</v>
      </c>
      <c r="T117" s="34"/>
      <c r="U117" s="37"/>
      <c r="V117" s="34">
        <f>IFERROR(SUMIF(Table633[Sub-Accounts],Table834[[#This Row],[Update your chart of accounts here]],Table633[Debit]),"")</f>
        <v>0</v>
      </c>
      <c r="W117" s="34">
        <f>IFERROR(SUMIF(Table633[Sub-Accounts],Table834[[#This Row],[Update your chart of accounts here]],Table633[Credit]),"")</f>
        <v>0</v>
      </c>
      <c r="X117" s="34"/>
      <c r="Y117" s="34"/>
      <c r="Z117" s="34"/>
      <c r="AA117" s="34"/>
      <c r="AB117" s="34">
        <f>MAX(Table834[[#This Row],[Debit]]+Table834[[#This Row],[Debit -]]-Table834[[#This Row],[Credit]]-Table834[[#This Row],[Credit +]],0)</f>
        <v>0</v>
      </c>
      <c r="AC117" s="34">
        <f>MAX(Table834[[#This Row],[Credit]]-Table834[[#This Row],[Debit]]+Table834[[#This Row],[Credit +]]-Table834[[#This Row],[Debit -]],0)</f>
        <v>0</v>
      </c>
      <c r="AD117" s="34" t="str">
        <f>IFERROR(IF(AND(OR(Table834[[#This Row],[Classification]]="Expense",Table834[[#This Row],[Classification]]="Cost of Goods Sold"),Table834[[#This Row],[Debit\]]&gt;Table834[[#This Row],[Credit.]]),Table834[[#This Row],[Debit\]]-Table834[[#This Row],[Credit.]],""),"")</f>
        <v/>
      </c>
      <c r="AE117" s="34" t="str">
        <f>IFERROR(IF(AND(OR(Table834[[#This Row],[Classification]]="Income",Table834[[#This Row],[Classification]]="Cost of Goods Sold"),Table834[[#This Row],[Credit.]]&gt;Table834[[#This Row],[Debit\]]),Table834[[#This Row],[Credit.]]-Table834[[#This Row],[Debit\]],""),"")</f>
        <v/>
      </c>
      <c r="AF117" s="34"/>
      <c r="AG117" s="34" t="str">
        <f>IFERROR(IF(AND(Table834[[#This Row],[Classification]]="Assets",Table834[[#This Row],[Debit\]]-Table834[[#This Row],[Credit.]]),Table834[[#This Row],[Debit\]]-Table834[[#This Row],[Credit.]],""),"")</f>
        <v/>
      </c>
      <c r="AH117" s="34" t="str">
        <f>IFERROR(IF(AND(OR(Table834[[#This Row],[Classification]]="Liabilities",Table834[[#This Row],[Classification]]="Owner´s Equity"),Table834[[#This Row],[Credit.]]&gt;Table834[[#This Row],[Debit\]]),Table834[[#This Row],[Credit.]]-Table834[[#This Row],[Debit\]],""),"")</f>
        <v/>
      </c>
    </row>
    <row r="118" spans="2:34" hidden="1" x14ac:dyDescent="0.25">
      <c r="B118" s="34"/>
      <c r="C118" s="45"/>
      <c r="D118" s="34"/>
      <c r="E118" s="34"/>
      <c r="G118" s="39"/>
      <c r="H118" s="40"/>
      <c r="I118" s="41"/>
      <c r="J118" s="41"/>
      <c r="L118" s="34">
        <v>111</v>
      </c>
      <c r="M118" s="35"/>
      <c r="N118" s="35"/>
      <c r="O118" s="34">
        <f>IFERROR(SUMIF(Table431[,],Table633[[#This Row],[Accounts Name]],Table431[,3]),"")</f>
        <v>0</v>
      </c>
      <c r="P118" s="34">
        <f>IFERROR(SUMIF(Table431[,],Table633[[#This Row],[Accounts Name]],Table431[,2]),"")</f>
        <v>0</v>
      </c>
      <c r="S118" s="36">
        <f t="shared" si="1"/>
        <v>111</v>
      </c>
      <c r="T118" s="34"/>
      <c r="U118" s="37"/>
      <c r="V118" s="34">
        <f>IFERROR(SUMIF(Table633[Sub-Accounts],Table834[[#This Row],[Update your chart of accounts here]],Table633[Debit]),"")</f>
        <v>0</v>
      </c>
      <c r="W118" s="34">
        <f>IFERROR(SUMIF(Table633[Sub-Accounts],Table834[[#This Row],[Update your chart of accounts here]],Table633[Credit]),"")</f>
        <v>0</v>
      </c>
      <c r="X118" s="34"/>
      <c r="Y118" s="34"/>
      <c r="Z118" s="34"/>
      <c r="AA118" s="34"/>
      <c r="AB118" s="34">
        <f>MAX(Table834[[#This Row],[Debit]]+Table834[[#This Row],[Debit -]]-Table834[[#This Row],[Credit]]-Table834[[#This Row],[Credit +]],0)</f>
        <v>0</v>
      </c>
      <c r="AC118" s="34">
        <f>MAX(Table834[[#This Row],[Credit]]-Table834[[#This Row],[Debit]]+Table834[[#This Row],[Credit +]]-Table834[[#This Row],[Debit -]],0)</f>
        <v>0</v>
      </c>
      <c r="AD118" s="34" t="str">
        <f>IFERROR(IF(AND(OR(Table834[[#This Row],[Classification]]="Expense",Table834[[#This Row],[Classification]]="Cost of Goods Sold"),Table834[[#This Row],[Debit\]]&gt;Table834[[#This Row],[Credit.]]),Table834[[#This Row],[Debit\]]-Table834[[#This Row],[Credit.]],""),"")</f>
        <v/>
      </c>
      <c r="AE118" s="34" t="str">
        <f>IFERROR(IF(AND(OR(Table834[[#This Row],[Classification]]="Income",Table834[[#This Row],[Classification]]="Cost of Goods Sold"),Table834[[#This Row],[Credit.]]&gt;Table834[[#This Row],[Debit\]]),Table834[[#This Row],[Credit.]]-Table834[[#This Row],[Debit\]],""),"")</f>
        <v/>
      </c>
      <c r="AF118" s="34"/>
      <c r="AG118" s="34" t="str">
        <f>IFERROR(IF(AND(Table834[[#This Row],[Classification]]="Assets",Table834[[#This Row],[Debit\]]-Table834[[#This Row],[Credit.]]),Table834[[#This Row],[Debit\]]-Table834[[#This Row],[Credit.]],""),"")</f>
        <v/>
      </c>
      <c r="AH118" s="34" t="str">
        <f>IFERROR(IF(AND(OR(Table834[[#This Row],[Classification]]="Liabilities",Table834[[#This Row],[Classification]]="Owner´s Equity"),Table834[[#This Row],[Credit.]]&gt;Table834[[#This Row],[Debit\]]),Table834[[#This Row],[Credit.]]-Table834[[#This Row],[Debit\]],""),"")</f>
        <v/>
      </c>
    </row>
    <row r="119" spans="2:34" hidden="1" x14ac:dyDescent="0.25">
      <c r="B119" s="34"/>
      <c r="C119" s="45"/>
      <c r="D119" s="34"/>
      <c r="E119" s="34"/>
      <c r="G119" s="39"/>
      <c r="H119" s="43"/>
      <c r="I119" s="41"/>
      <c r="J119" s="41"/>
      <c r="L119" s="34">
        <v>112</v>
      </c>
      <c r="M119" s="35"/>
      <c r="N119" s="35"/>
      <c r="O119" s="34">
        <f>IFERROR(SUMIF(Table431[,],Table633[[#This Row],[Accounts Name]],Table431[,3]),"")</f>
        <v>0</v>
      </c>
      <c r="P119" s="34">
        <f>IFERROR(SUMIF(Table431[,],Table633[[#This Row],[Accounts Name]],Table431[,2]),"")</f>
        <v>0</v>
      </c>
      <c r="S119" s="36">
        <f t="shared" si="1"/>
        <v>112</v>
      </c>
      <c r="T119" s="34"/>
      <c r="U119" s="37"/>
      <c r="V119" s="34">
        <f>IFERROR(SUMIF(Table633[Sub-Accounts],Table834[[#This Row],[Update your chart of accounts here]],Table633[Debit]),"")</f>
        <v>0</v>
      </c>
      <c r="W119" s="34">
        <f>IFERROR(SUMIF(Table633[Sub-Accounts],Table834[[#This Row],[Update your chart of accounts here]],Table633[Credit]),"")</f>
        <v>0</v>
      </c>
      <c r="X119" s="34"/>
      <c r="Y119" s="34"/>
      <c r="Z119" s="34"/>
      <c r="AA119" s="34"/>
      <c r="AB119" s="34">
        <f>MAX(Table834[[#This Row],[Debit]]+Table834[[#This Row],[Debit -]]-Table834[[#This Row],[Credit]]-Table834[[#This Row],[Credit +]],0)</f>
        <v>0</v>
      </c>
      <c r="AC119" s="34">
        <f>MAX(Table834[[#This Row],[Credit]]-Table834[[#This Row],[Debit]]+Table834[[#This Row],[Credit +]]-Table834[[#This Row],[Debit -]],0)</f>
        <v>0</v>
      </c>
      <c r="AD119" s="34" t="str">
        <f>IFERROR(IF(AND(OR(Table834[[#This Row],[Classification]]="Expense",Table834[[#This Row],[Classification]]="Cost of Goods Sold"),Table834[[#This Row],[Debit\]]&gt;Table834[[#This Row],[Credit.]]),Table834[[#This Row],[Debit\]]-Table834[[#This Row],[Credit.]],""),"")</f>
        <v/>
      </c>
      <c r="AE119" s="34" t="str">
        <f>IFERROR(IF(AND(OR(Table834[[#This Row],[Classification]]="Income",Table834[[#This Row],[Classification]]="Cost of Goods Sold"),Table834[[#This Row],[Credit.]]&gt;Table834[[#This Row],[Debit\]]),Table834[[#This Row],[Credit.]]-Table834[[#This Row],[Debit\]],""),"")</f>
        <v/>
      </c>
      <c r="AF119" s="34"/>
      <c r="AG119" s="34" t="str">
        <f>IFERROR(IF(AND(Table834[[#This Row],[Classification]]="Assets",Table834[[#This Row],[Debit\]]-Table834[[#This Row],[Credit.]]),Table834[[#This Row],[Debit\]]-Table834[[#This Row],[Credit.]],""),"")</f>
        <v/>
      </c>
      <c r="AH119" s="34" t="str">
        <f>IFERROR(IF(AND(OR(Table834[[#This Row],[Classification]]="Liabilities",Table834[[#This Row],[Classification]]="Owner´s Equity"),Table834[[#This Row],[Credit.]]&gt;Table834[[#This Row],[Debit\]]),Table834[[#This Row],[Credit.]]-Table834[[#This Row],[Debit\]],""),"")</f>
        <v/>
      </c>
    </row>
    <row r="120" spans="2:34" hidden="1" x14ac:dyDescent="0.25">
      <c r="B120" s="34"/>
      <c r="C120" s="45"/>
      <c r="D120" s="34"/>
      <c r="E120" s="34"/>
      <c r="G120" s="39"/>
      <c r="H120" s="40"/>
      <c r="I120" s="41"/>
      <c r="J120" s="41"/>
      <c r="L120" s="34">
        <v>113</v>
      </c>
      <c r="M120" s="35"/>
      <c r="N120" s="35"/>
      <c r="O120" s="34">
        <f>IFERROR(SUMIF(Table431[,],Table633[[#This Row],[Accounts Name]],Table431[,3]),"")</f>
        <v>0</v>
      </c>
      <c r="P120" s="34">
        <f>IFERROR(SUMIF(Table431[,],Table633[[#This Row],[Accounts Name]],Table431[,2]),"")</f>
        <v>0</v>
      </c>
      <c r="S120" s="36">
        <f t="shared" si="1"/>
        <v>113</v>
      </c>
      <c r="T120" s="34"/>
      <c r="U120" s="37"/>
      <c r="V120" s="34">
        <f>IFERROR(SUMIF(Table633[Sub-Accounts],Table834[[#This Row],[Update your chart of accounts here]],Table633[Debit]),"")</f>
        <v>0</v>
      </c>
      <c r="W120" s="34">
        <f>IFERROR(SUMIF(Table633[Sub-Accounts],Table834[[#This Row],[Update your chart of accounts here]],Table633[Credit]),"")</f>
        <v>0</v>
      </c>
      <c r="X120" s="34"/>
      <c r="Y120" s="34"/>
      <c r="Z120" s="34"/>
      <c r="AA120" s="34"/>
      <c r="AB120" s="34">
        <f>MAX(Table834[[#This Row],[Debit]]+Table834[[#This Row],[Debit -]]-Table834[[#This Row],[Credit]]-Table834[[#This Row],[Credit +]],0)</f>
        <v>0</v>
      </c>
      <c r="AC120" s="34">
        <f>MAX(Table834[[#This Row],[Credit]]-Table834[[#This Row],[Debit]]+Table834[[#This Row],[Credit +]]-Table834[[#This Row],[Debit -]],0)</f>
        <v>0</v>
      </c>
      <c r="AD120" s="34" t="str">
        <f>IFERROR(IF(AND(OR(Table834[[#This Row],[Classification]]="Expense",Table834[[#This Row],[Classification]]="Cost of Goods Sold"),Table834[[#This Row],[Debit\]]&gt;Table834[[#This Row],[Credit.]]),Table834[[#This Row],[Debit\]]-Table834[[#This Row],[Credit.]],""),"")</f>
        <v/>
      </c>
      <c r="AE120" s="34" t="str">
        <f>IFERROR(IF(AND(OR(Table834[[#This Row],[Classification]]="Income",Table834[[#This Row],[Classification]]="Cost of Goods Sold"),Table834[[#This Row],[Credit.]]&gt;Table834[[#This Row],[Debit\]]),Table834[[#This Row],[Credit.]]-Table834[[#This Row],[Debit\]],""),"")</f>
        <v/>
      </c>
      <c r="AF120" s="34"/>
      <c r="AG120" s="34" t="str">
        <f>IFERROR(IF(AND(Table834[[#This Row],[Classification]]="Assets",Table834[[#This Row],[Debit\]]-Table834[[#This Row],[Credit.]]),Table834[[#This Row],[Debit\]]-Table834[[#This Row],[Credit.]],""),"")</f>
        <v/>
      </c>
      <c r="AH120" s="34" t="str">
        <f>IFERROR(IF(AND(OR(Table834[[#This Row],[Classification]]="Liabilities",Table834[[#This Row],[Classification]]="Owner´s Equity"),Table834[[#This Row],[Credit.]]&gt;Table834[[#This Row],[Debit\]]),Table834[[#This Row],[Credit.]]-Table834[[#This Row],[Debit\]],""),"")</f>
        <v/>
      </c>
    </row>
    <row r="121" spans="2:34" hidden="1" x14ac:dyDescent="0.25">
      <c r="B121" s="34"/>
      <c r="C121" s="45"/>
      <c r="D121" s="34"/>
      <c r="E121" s="34"/>
      <c r="G121" s="39"/>
      <c r="H121" s="40"/>
      <c r="I121" s="41"/>
      <c r="J121" s="41"/>
      <c r="L121" s="34">
        <v>114</v>
      </c>
      <c r="M121" s="35"/>
      <c r="N121" s="35"/>
      <c r="O121" s="34">
        <f>IFERROR(SUMIF(Table431[,],Table633[[#This Row],[Accounts Name]],Table431[,3]),"")</f>
        <v>0</v>
      </c>
      <c r="P121" s="34">
        <f>IFERROR(SUMIF(Table431[,],Table633[[#This Row],[Accounts Name]],Table431[,2]),"")</f>
        <v>0</v>
      </c>
      <c r="S121" s="36">
        <f t="shared" si="1"/>
        <v>114</v>
      </c>
      <c r="T121" s="34"/>
      <c r="U121" s="37"/>
      <c r="V121" s="34">
        <f>IFERROR(SUMIF(Table633[Sub-Accounts],Table834[[#This Row],[Update your chart of accounts here]],Table633[Debit]),"")</f>
        <v>0</v>
      </c>
      <c r="W121" s="34">
        <f>IFERROR(SUMIF(Table633[Sub-Accounts],Table834[[#This Row],[Update your chart of accounts here]],Table633[Credit]),"")</f>
        <v>0</v>
      </c>
      <c r="X121" s="34"/>
      <c r="Y121" s="34"/>
      <c r="Z121" s="34"/>
      <c r="AA121" s="34"/>
      <c r="AB121" s="34">
        <f>MAX(Table834[[#This Row],[Debit]]+Table834[[#This Row],[Debit -]]-Table834[[#This Row],[Credit]]-Table834[[#This Row],[Credit +]],0)</f>
        <v>0</v>
      </c>
      <c r="AC121" s="34">
        <f>MAX(Table834[[#This Row],[Credit]]-Table834[[#This Row],[Debit]]+Table834[[#This Row],[Credit +]]-Table834[[#This Row],[Debit -]],0)</f>
        <v>0</v>
      </c>
      <c r="AD121" s="34" t="str">
        <f>IFERROR(IF(AND(OR(Table834[[#This Row],[Classification]]="Expense",Table834[[#This Row],[Classification]]="Cost of Goods Sold"),Table834[[#This Row],[Debit\]]&gt;Table834[[#This Row],[Credit.]]),Table834[[#This Row],[Debit\]]-Table834[[#This Row],[Credit.]],""),"")</f>
        <v/>
      </c>
      <c r="AE121" s="34" t="str">
        <f>IFERROR(IF(AND(OR(Table834[[#This Row],[Classification]]="Income",Table834[[#This Row],[Classification]]="Cost of Goods Sold"),Table834[[#This Row],[Credit.]]&gt;Table834[[#This Row],[Debit\]]),Table834[[#This Row],[Credit.]]-Table834[[#This Row],[Debit\]],""),"")</f>
        <v/>
      </c>
      <c r="AF121" s="34"/>
      <c r="AG121" s="34" t="str">
        <f>IFERROR(IF(AND(Table834[[#This Row],[Classification]]="Assets",Table834[[#This Row],[Debit\]]-Table834[[#This Row],[Credit.]]),Table834[[#This Row],[Debit\]]-Table834[[#This Row],[Credit.]],""),"")</f>
        <v/>
      </c>
      <c r="AH121" s="34" t="str">
        <f>IFERROR(IF(AND(OR(Table834[[#This Row],[Classification]]="Liabilities",Table834[[#This Row],[Classification]]="Owner´s Equity"),Table834[[#This Row],[Credit.]]&gt;Table834[[#This Row],[Debit\]]),Table834[[#This Row],[Credit.]]-Table834[[#This Row],[Debit\]],""),"")</f>
        <v/>
      </c>
    </row>
    <row r="122" spans="2:34" hidden="1" x14ac:dyDescent="0.25">
      <c r="B122" s="34"/>
      <c r="C122" s="45"/>
      <c r="D122" s="34"/>
      <c r="E122" s="34"/>
      <c r="G122" s="39"/>
      <c r="H122" s="43"/>
      <c r="I122" s="41"/>
      <c r="J122" s="41"/>
      <c r="L122" s="34">
        <v>115</v>
      </c>
      <c r="M122" s="35"/>
      <c r="N122" s="35"/>
      <c r="O122" s="34">
        <f>IFERROR(SUMIF(Table431[,],Table633[[#This Row],[Accounts Name]],Table431[,3]),"")</f>
        <v>0</v>
      </c>
      <c r="P122" s="34">
        <f>IFERROR(SUMIF(Table431[,],Table633[[#This Row],[Accounts Name]],Table431[,2]),"")</f>
        <v>0</v>
      </c>
      <c r="S122" s="36">
        <f t="shared" si="1"/>
        <v>115</v>
      </c>
      <c r="T122" s="34"/>
      <c r="U122" s="37"/>
      <c r="V122" s="34">
        <f>IFERROR(SUMIF(Table633[Sub-Accounts],Table834[[#This Row],[Update your chart of accounts here]],Table633[Debit]),"")</f>
        <v>0</v>
      </c>
      <c r="W122" s="34">
        <f>IFERROR(SUMIF(Table633[Sub-Accounts],Table834[[#This Row],[Update your chart of accounts here]],Table633[Credit]),"")</f>
        <v>0</v>
      </c>
      <c r="X122" s="34"/>
      <c r="Y122" s="34"/>
      <c r="Z122" s="34"/>
      <c r="AA122" s="34"/>
      <c r="AB122" s="34">
        <f>MAX(Table834[[#This Row],[Debit]]+Table834[[#This Row],[Debit -]]-Table834[[#This Row],[Credit]]-Table834[[#This Row],[Credit +]],0)</f>
        <v>0</v>
      </c>
      <c r="AC122" s="34">
        <f>MAX(Table834[[#This Row],[Credit]]-Table834[[#This Row],[Debit]]+Table834[[#This Row],[Credit +]]-Table834[[#This Row],[Debit -]],0)</f>
        <v>0</v>
      </c>
      <c r="AD122" s="34" t="str">
        <f>IFERROR(IF(AND(OR(Table834[[#This Row],[Classification]]="Expense",Table834[[#This Row],[Classification]]="Cost of Goods Sold"),Table834[[#This Row],[Debit\]]&gt;Table834[[#This Row],[Credit.]]),Table834[[#This Row],[Debit\]]-Table834[[#This Row],[Credit.]],""),"")</f>
        <v/>
      </c>
      <c r="AE122" s="34" t="str">
        <f>IFERROR(IF(AND(OR(Table834[[#This Row],[Classification]]="Income",Table834[[#This Row],[Classification]]="Cost of Goods Sold"),Table834[[#This Row],[Credit.]]&gt;Table834[[#This Row],[Debit\]]),Table834[[#This Row],[Credit.]]-Table834[[#This Row],[Debit\]],""),"")</f>
        <v/>
      </c>
      <c r="AF122" s="34"/>
      <c r="AG122" s="34" t="str">
        <f>IFERROR(IF(AND(Table834[[#This Row],[Classification]]="Assets",Table834[[#This Row],[Debit\]]-Table834[[#This Row],[Credit.]]),Table834[[#This Row],[Debit\]]-Table834[[#This Row],[Credit.]],""),"")</f>
        <v/>
      </c>
      <c r="AH122" s="34" t="str">
        <f>IFERROR(IF(AND(OR(Table834[[#This Row],[Classification]]="Liabilities",Table834[[#This Row],[Classification]]="Owner´s Equity"),Table834[[#This Row],[Credit.]]&gt;Table834[[#This Row],[Debit\]]),Table834[[#This Row],[Credit.]]-Table834[[#This Row],[Debit\]],""),"")</f>
        <v/>
      </c>
    </row>
    <row r="123" spans="2:34" hidden="1" x14ac:dyDescent="0.25">
      <c r="B123" s="34"/>
      <c r="C123" s="45"/>
      <c r="D123" s="34"/>
      <c r="E123" s="34"/>
      <c r="G123" s="39"/>
      <c r="H123" s="40"/>
      <c r="I123" s="41"/>
      <c r="J123" s="41"/>
      <c r="L123" s="34">
        <v>116</v>
      </c>
      <c r="M123" s="35"/>
      <c r="N123" s="35"/>
      <c r="O123" s="34">
        <f>IFERROR(SUMIF(Table431[,],Table633[[#This Row],[Accounts Name]],Table431[,3]),"")</f>
        <v>0</v>
      </c>
      <c r="P123" s="34">
        <f>IFERROR(SUMIF(Table431[,],Table633[[#This Row],[Accounts Name]],Table431[,2]),"")</f>
        <v>0</v>
      </c>
      <c r="S123" s="36">
        <f t="shared" si="1"/>
        <v>116</v>
      </c>
      <c r="T123" s="34"/>
      <c r="U123" s="37"/>
      <c r="V123" s="34">
        <f>IFERROR(SUMIF(Table633[Sub-Accounts],Table834[[#This Row],[Update your chart of accounts here]],Table633[Debit]),"")</f>
        <v>0</v>
      </c>
      <c r="W123" s="34">
        <f>IFERROR(SUMIF(Table633[Sub-Accounts],Table834[[#This Row],[Update your chart of accounts here]],Table633[Credit]),"")</f>
        <v>0</v>
      </c>
      <c r="X123" s="34"/>
      <c r="Y123" s="34"/>
      <c r="Z123" s="34"/>
      <c r="AA123" s="34"/>
      <c r="AB123" s="34">
        <f>MAX(Table834[[#This Row],[Debit]]+Table834[[#This Row],[Debit -]]-Table834[[#This Row],[Credit]]-Table834[[#This Row],[Credit +]],0)</f>
        <v>0</v>
      </c>
      <c r="AC123" s="34">
        <f>MAX(Table834[[#This Row],[Credit]]-Table834[[#This Row],[Debit]]+Table834[[#This Row],[Credit +]]-Table834[[#This Row],[Debit -]],0)</f>
        <v>0</v>
      </c>
      <c r="AD123" s="34" t="str">
        <f>IFERROR(IF(AND(OR(Table834[[#This Row],[Classification]]="Expense",Table834[[#This Row],[Classification]]="Cost of Goods Sold"),Table834[[#This Row],[Debit\]]&gt;Table834[[#This Row],[Credit.]]),Table834[[#This Row],[Debit\]]-Table834[[#This Row],[Credit.]],""),"")</f>
        <v/>
      </c>
      <c r="AE123" s="34" t="str">
        <f>IFERROR(IF(AND(OR(Table834[[#This Row],[Classification]]="Income",Table834[[#This Row],[Classification]]="Cost of Goods Sold"),Table834[[#This Row],[Credit.]]&gt;Table834[[#This Row],[Debit\]]),Table834[[#This Row],[Credit.]]-Table834[[#This Row],[Debit\]],""),"")</f>
        <v/>
      </c>
      <c r="AF123" s="34"/>
      <c r="AG123" s="34" t="str">
        <f>IFERROR(IF(AND(Table834[[#This Row],[Classification]]="Assets",Table834[[#This Row],[Debit\]]-Table834[[#This Row],[Credit.]]),Table834[[#This Row],[Debit\]]-Table834[[#This Row],[Credit.]],""),"")</f>
        <v/>
      </c>
      <c r="AH123" s="34" t="str">
        <f>IFERROR(IF(AND(OR(Table834[[#This Row],[Classification]]="Liabilities",Table834[[#This Row],[Classification]]="Owner´s Equity"),Table834[[#This Row],[Credit.]]&gt;Table834[[#This Row],[Debit\]]),Table834[[#This Row],[Credit.]]-Table834[[#This Row],[Debit\]],""),"")</f>
        <v/>
      </c>
    </row>
    <row r="124" spans="2:34" hidden="1" x14ac:dyDescent="0.25">
      <c r="B124" s="34"/>
      <c r="C124" s="45"/>
      <c r="D124" s="34"/>
      <c r="E124" s="34"/>
      <c r="G124" s="39"/>
      <c r="H124" s="40"/>
      <c r="I124" s="41"/>
      <c r="J124" s="41"/>
      <c r="L124" s="34">
        <v>117</v>
      </c>
      <c r="M124" s="35"/>
      <c r="N124" s="35"/>
      <c r="O124" s="34">
        <f>IFERROR(SUMIF(Table431[,],Table633[[#This Row],[Accounts Name]],Table431[,3]),"")</f>
        <v>0</v>
      </c>
      <c r="P124" s="34">
        <f>IFERROR(SUMIF(Table431[,],Table633[[#This Row],[Accounts Name]],Table431[,2]),"")</f>
        <v>0</v>
      </c>
      <c r="S124" s="36">
        <f t="shared" si="1"/>
        <v>117</v>
      </c>
      <c r="T124" s="34"/>
      <c r="U124" s="37"/>
      <c r="V124" s="34">
        <f>IFERROR(SUMIF(Table633[Sub-Accounts],Table834[[#This Row],[Update your chart of accounts here]],Table633[Debit]),"")</f>
        <v>0</v>
      </c>
      <c r="W124" s="34">
        <f>IFERROR(SUMIF(Table633[Sub-Accounts],Table834[[#This Row],[Update your chart of accounts here]],Table633[Credit]),"")</f>
        <v>0</v>
      </c>
      <c r="X124" s="34"/>
      <c r="Y124" s="34"/>
      <c r="Z124" s="34"/>
      <c r="AA124" s="34"/>
      <c r="AB124" s="34">
        <f>MAX(Table834[[#This Row],[Debit]]+Table834[[#This Row],[Debit -]]-Table834[[#This Row],[Credit]]-Table834[[#This Row],[Credit +]],0)</f>
        <v>0</v>
      </c>
      <c r="AC124" s="34">
        <f>MAX(Table834[[#This Row],[Credit]]-Table834[[#This Row],[Debit]]+Table834[[#This Row],[Credit +]]-Table834[[#This Row],[Debit -]],0)</f>
        <v>0</v>
      </c>
      <c r="AD124" s="34" t="str">
        <f>IFERROR(IF(AND(OR(Table834[[#This Row],[Classification]]="Expense",Table834[[#This Row],[Classification]]="Cost of Goods Sold"),Table834[[#This Row],[Debit\]]&gt;Table834[[#This Row],[Credit.]]),Table834[[#This Row],[Debit\]]-Table834[[#This Row],[Credit.]],""),"")</f>
        <v/>
      </c>
      <c r="AE124" s="34" t="str">
        <f>IFERROR(IF(AND(OR(Table834[[#This Row],[Classification]]="Income",Table834[[#This Row],[Classification]]="Cost of Goods Sold"),Table834[[#This Row],[Credit.]]&gt;Table834[[#This Row],[Debit\]]),Table834[[#This Row],[Credit.]]-Table834[[#This Row],[Debit\]],""),"")</f>
        <v/>
      </c>
      <c r="AF124" s="34"/>
      <c r="AG124" s="34" t="str">
        <f>IFERROR(IF(AND(Table834[[#This Row],[Classification]]="Assets",Table834[[#This Row],[Debit\]]-Table834[[#This Row],[Credit.]]),Table834[[#This Row],[Debit\]]-Table834[[#This Row],[Credit.]],""),"")</f>
        <v/>
      </c>
      <c r="AH124" s="34" t="str">
        <f>IFERROR(IF(AND(OR(Table834[[#This Row],[Classification]]="Liabilities",Table834[[#This Row],[Classification]]="Owner´s Equity"),Table834[[#This Row],[Credit.]]&gt;Table834[[#This Row],[Debit\]]),Table834[[#This Row],[Credit.]]-Table834[[#This Row],[Debit\]],""),"")</f>
        <v/>
      </c>
    </row>
    <row r="125" spans="2:34" hidden="1" x14ac:dyDescent="0.25">
      <c r="B125" s="34"/>
      <c r="C125" s="45"/>
      <c r="D125" s="34"/>
      <c r="E125" s="34"/>
      <c r="G125" s="39"/>
      <c r="H125" s="43"/>
      <c r="I125" s="41"/>
      <c r="J125" s="41"/>
      <c r="L125" s="34">
        <v>118</v>
      </c>
      <c r="M125" s="35"/>
      <c r="N125" s="35"/>
      <c r="O125" s="34">
        <f>IFERROR(SUMIF(Table431[,],Table633[[#This Row],[Accounts Name]],Table431[,3]),"")</f>
        <v>0</v>
      </c>
      <c r="P125" s="34">
        <f>IFERROR(SUMIF(Table431[,],Table633[[#This Row],[Accounts Name]],Table431[,2]),"")</f>
        <v>0</v>
      </c>
      <c r="S125" s="36">
        <f t="shared" si="1"/>
        <v>118</v>
      </c>
      <c r="T125" s="34"/>
      <c r="U125" s="37"/>
      <c r="V125" s="34">
        <f>IFERROR(SUMIF(Table633[Sub-Accounts],Table834[[#This Row],[Update your chart of accounts here]],Table633[Debit]),"")</f>
        <v>0</v>
      </c>
      <c r="W125" s="34">
        <f>IFERROR(SUMIF(Table633[Sub-Accounts],Table834[[#This Row],[Update your chart of accounts here]],Table633[Credit]),"")</f>
        <v>0</v>
      </c>
      <c r="X125" s="34"/>
      <c r="Y125" s="34"/>
      <c r="Z125" s="34"/>
      <c r="AA125" s="34"/>
      <c r="AB125" s="34">
        <f>MAX(Table834[[#This Row],[Debit]]+Table834[[#This Row],[Debit -]]-Table834[[#This Row],[Credit]]-Table834[[#This Row],[Credit +]],0)</f>
        <v>0</v>
      </c>
      <c r="AC125" s="34">
        <f>MAX(Table834[[#This Row],[Credit]]-Table834[[#This Row],[Debit]]+Table834[[#This Row],[Credit +]]-Table834[[#This Row],[Debit -]],0)</f>
        <v>0</v>
      </c>
      <c r="AD125" s="34" t="str">
        <f>IFERROR(IF(AND(OR(Table834[[#This Row],[Classification]]="Expense",Table834[[#This Row],[Classification]]="Cost of Goods Sold"),Table834[[#This Row],[Debit\]]&gt;Table834[[#This Row],[Credit.]]),Table834[[#This Row],[Debit\]]-Table834[[#This Row],[Credit.]],""),"")</f>
        <v/>
      </c>
      <c r="AE125" s="34" t="str">
        <f>IFERROR(IF(AND(OR(Table834[[#This Row],[Classification]]="Income",Table834[[#This Row],[Classification]]="Cost of Goods Sold"),Table834[[#This Row],[Credit.]]&gt;Table834[[#This Row],[Debit\]]),Table834[[#This Row],[Credit.]]-Table834[[#This Row],[Debit\]],""),"")</f>
        <v/>
      </c>
      <c r="AF125" s="34"/>
      <c r="AG125" s="34" t="str">
        <f>IFERROR(IF(AND(Table834[[#This Row],[Classification]]="Assets",Table834[[#This Row],[Debit\]]-Table834[[#This Row],[Credit.]]),Table834[[#This Row],[Debit\]]-Table834[[#This Row],[Credit.]],""),"")</f>
        <v/>
      </c>
      <c r="AH125" s="34" t="str">
        <f>IFERROR(IF(AND(OR(Table834[[#This Row],[Classification]]="Liabilities",Table834[[#This Row],[Classification]]="Owner´s Equity"),Table834[[#This Row],[Credit.]]&gt;Table834[[#This Row],[Debit\]]),Table834[[#This Row],[Credit.]]-Table834[[#This Row],[Debit\]],""),"")</f>
        <v/>
      </c>
    </row>
    <row r="126" spans="2:34" hidden="1" x14ac:dyDescent="0.25">
      <c r="B126" s="34"/>
      <c r="C126" s="45"/>
      <c r="D126" s="34"/>
      <c r="E126" s="34"/>
      <c r="G126" s="39"/>
      <c r="H126" s="40"/>
      <c r="I126" s="41"/>
      <c r="J126" s="41"/>
      <c r="L126" s="34">
        <v>119</v>
      </c>
      <c r="M126" s="35"/>
      <c r="N126" s="35"/>
      <c r="O126" s="34">
        <f>IFERROR(SUMIF(Table431[,],Table633[[#This Row],[Accounts Name]],Table431[,3]),"")</f>
        <v>0</v>
      </c>
      <c r="P126" s="34">
        <f>IFERROR(SUMIF(Table431[,],Table633[[#This Row],[Accounts Name]],Table431[,2]),"")</f>
        <v>0</v>
      </c>
      <c r="S126" s="36">
        <f t="shared" si="1"/>
        <v>119</v>
      </c>
      <c r="T126" s="34"/>
      <c r="U126" s="37"/>
      <c r="V126" s="34">
        <f>IFERROR(SUMIF(Table633[Sub-Accounts],Table834[[#This Row],[Update your chart of accounts here]],Table633[Debit]),"")</f>
        <v>0</v>
      </c>
      <c r="W126" s="34">
        <f>IFERROR(SUMIF(Table633[Sub-Accounts],Table834[[#This Row],[Update your chart of accounts here]],Table633[Credit]),"")</f>
        <v>0</v>
      </c>
      <c r="X126" s="34"/>
      <c r="Y126" s="34"/>
      <c r="Z126" s="34"/>
      <c r="AA126" s="34"/>
      <c r="AB126" s="34">
        <f>MAX(Table834[[#This Row],[Debit]]+Table834[[#This Row],[Debit -]]-Table834[[#This Row],[Credit]]-Table834[[#This Row],[Credit +]],0)</f>
        <v>0</v>
      </c>
      <c r="AC126" s="34">
        <f>MAX(Table834[[#This Row],[Credit]]-Table834[[#This Row],[Debit]]+Table834[[#This Row],[Credit +]]-Table834[[#This Row],[Debit -]],0)</f>
        <v>0</v>
      </c>
      <c r="AD126" s="34" t="str">
        <f>IFERROR(IF(AND(OR(Table834[[#This Row],[Classification]]="Expense",Table834[[#This Row],[Classification]]="Cost of Goods Sold"),Table834[[#This Row],[Debit\]]&gt;Table834[[#This Row],[Credit.]]),Table834[[#This Row],[Debit\]]-Table834[[#This Row],[Credit.]],""),"")</f>
        <v/>
      </c>
      <c r="AE126" s="34" t="str">
        <f>IFERROR(IF(AND(OR(Table834[[#This Row],[Classification]]="Income",Table834[[#This Row],[Classification]]="Cost of Goods Sold"),Table834[[#This Row],[Credit.]]&gt;Table834[[#This Row],[Debit\]]),Table834[[#This Row],[Credit.]]-Table834[[#This Row],[Debit\]],""),"")</f>
        <v/>
      </c>
      <c r="AF126" s="34"/>
      <c r="AG126" s="34" t="str">
        <f>IFERROR(IF(AND(Table834[[#This Row],[Classification]]="Assets",Table834[[#This Row],[Debit\]]-Table834[[#This Row],[Credit.]]),Table834[[#This Row],[Debit\]]-Table834[[#This Row],[Credit.]],""),"")</f>
        <v/>
      </c>
      <c r="AH126" s="34" t="str">
        <f>IFERROR(IF(AND(OR(Table834[[#This Row],[Classification]]="Liabilities",Table834[[#This Row],[Classification]]="Owner´s Equity"),Table834[[#This Row],[Credit.]]&gt;Table834[[#This Row],[Debit\]]),Table834[[#This Row],[Credit.]]-Table834[[#This Row],[Debit\]],""),"")</f>
        <v/>
      </c>
    </row>
    <row r="127" spans="2:34" hidden="1" x14ac:dyDescent="0.25">
      <c r="B127" s="34"/>
      <c r="C127" s="45"/>
      <c r="D127" s="34"/>
      <c r="E127" s="34"/>
      <c r="G127" s="39"/>
      <c r="H127" s="40"/>
      <c r="I127" s="41"/>
      <c r="J127" s="41"/>
      <c r="L127" s="34">
        <v>120</v>
      </c>
      <c r="M127" s="35"/>
      <c r="N127" s="35"/>
      <c r="O127" s="34">
        <f>IFERROR(SUMIF(Table431[,],Table633[[#This Row],[Accounts Name]],Table431[,3]),"")</f>
        <v>0</v>
      </c>
      <c r="P127" s="34">
        <f>IFERROR(SUMIF(Table431[,],Table633[[#This Row],[Accounts Name]],Table431[,2]),"")</f>
        <v>0</v>
      </c>
      <c r="S127" s="36">
        <f t="shared" si="1"/>
        <v>120</v>
      </c>
      <c r="T127" s="34"/>
      <c r="U127" s="37"/>
      <c r="V127" s="34">
        <f>IFERROR(SUMIF(Table633[Sub-Accounts],Table834[[#This Row],[Update your chart of accounts here]],Table633[Debit]),"")</f>
        <v>0</v>
      </c>
      <c r="W127" s="34">
        <f>IFERROR(SUMIF(Table633[Sub-Accounts],Table834[[#This Row],[Update your chart of accounts here]],Table633[Credit]),"")</f>
        <v>0</v>
      </c>
      <c r="X127" s="34"/>
      <c r="Y127" s="34"/>
      <c r="Z127" s="34"/>
      <c r="AA127" s="34"/>
      <c r="AB127" s="34">
        <f>MAX(Table834[[#This Row],[Debit]]+Table834[[#This Row],[Debit -]]-Table834[[#This Row],[Credit]]-Table834[[#This Row],[Credit +]],0)</f>
        <v>0</v>
      </c>
      <c r="AC127" s="34">
        <f>MAX(Table834[[#This Row],[Credit]]-Table834[[#This Row],[Debit]]+Table834[[#This Row],[Credit +]]-Table834[[#This Row],[Debit -]],0)</f>
        <v>0</v>
      </c>
      <c r="AD127" s="34" t="str">
        <f>IFERROR(IF(AND(OR(Table834[[#This Row],[Classification]]="Expense",Table834[[#This Row],[Classification]]="Cost of Goods Sold"),Table834[[#This Row],[Debit\]]&gt;Table834[[#This Row],[Credit.]]),Table834[[#This Row],[Debit\]]-Table834[[#This Row],[Credit.]],""),"")</f>
        <v/>
      </c>
      <c r="AE127" s="34" t="str">
        <f>IFERROR(IF(AND(OR(Table834[[#This Row],[Classification]]="Income",Table834[[#This Row],[Classification]]="Cost of Goods Sold"),Table834[[#This Row],[Credit.]]&gt;Table834[[#This Row],[Debit\]]),Table834[[#This Row],[Credit.]]-Table834[[#This Row],[Debit\]],""),"")</f>
        <v/>
      </c>
      <c r="AF127" s="34"/>
      <c r="AG127" s="34" t="str">
        <f>IFERROR(IF(AND(Table834[[#This Row],[Classification]]="Assets",Table834[[#This Row],[Debit\]]-Table834[[#This Row],[Credit.]]),Table834[[#This Row],[Debit\]]-Table834[[#This Row],[Credit.]],""),"")</f>
        <v/>
      </c>
      <c r="AH127" s="34" t="str">
        <f>IFERROR(IF(AND(OR(Table834[[#This Row],[Classification]]="Liabilities",Table834[[#This Row],[Classification]]="Owner´s Equity"),Table834[[#This Row],[Credit.]]&gt;Table834[[#This Row],[Debit\]]),Table834[[#This Row],[Credit.]]-Table834[[#This Row],[Debit\]],""),"")</f>
        <v/>
      </c>
    </row>
    <row r="128" spans="2:34" hidden="1" x14ac:dyDescent="0.25">
      <c r="B128" s="34"/>
      <c r="C128" s="45"/>
      <c r="D128" s="34"/>
      <c r="E128" s="34"/>
      <c r="G128" s="39"/>
      <c r="H128" s="43"/>
      <c r="I128" s="41"/>
      <c r="J128" s="41"/>
      <c r="L128" s="34">
        <v>121</v>
      </c>
      <c r="M128" s="35"/>
      <c r="N128" s="35"/>
      <c r="O128" s="34">
        <f>IFERROR(SUMIF(Table431[,],Table633[[#This Row],[Accounts Name]],Table431[,3]),"")</f>
        <v>0</v>
      </c>
      <c r="P128" s="34">
        <f>IFERROR(SUMIF(Table431[,],Table633[[#This Row],[Accounts Name]],Table431[,2]),"")</f>
        <v>0</v>
      </c>
      <c r="S128" s="36">
        <f t="shared" si="1"/>
        <v>121</v>
      </c>
      <c r="T128" s="34"/>
      <c r="U128" s="37"/>
      <c r="V128" s="34">
        <f>IFERROR(SUMIF(Table633[Sub-Accounts],Table834[[#This Row],[Update your chart of accounts here]],Table633[Debit]),"")</f>
        <v>0</v>
      </c>
      <c r="W128" s="34">
        <f>IFERROR(SUMIF(Table633[Sub-Accounts],Table834[[#This Row],[Update your chart of accounts here]],Table633[Credit]),"")</f>
        <v>0</v>
      </c>
      <c r="X128" s="34"/>
      <c r="Y128" s="34"/>
      <c r="Z128" s="34"/>
      <c r="AA128" s="34"/>
      <c r="AB128" s="34">
        <f>MAX(Table834[[#This Row],[Debit]]+Table834[[#This Row],[Debit -]]-Table834[[#This Row],[Credit]]-Table834[[#This Row],[Credit +]],0)</f>
        <v>0</v>
      </c>
      <c r="AC128" s="34">
        <f>MAX(Table834[[#This Row],[Credit]]-Table834[[#This Row],[Debit]]+Table834[[#This Row],[Credit +]]-Table834[[#This Row],[Debit -]],0)</f>
        <v>0</v>
      </c>
      <c r="AD128" s="34" t="str">
        <f>IFERROR(IF(AND(OR(Table834[[#This Row],[Classification]]="Expense",Table834[[#This Row],[Classification]]="Cost of Goods Sold"),Table834[[#This Row],[Debit\]]&gt;Table834[[#This Row],[Credit.]]),Table834[[#This Row],[Debit\]]-Table834[[#This Row],[Credit.]],""),"")</f>
        <v/>
      </c>
      <c r="AE128" s="34" t="str">
        <f>IFERROR(IF(AND(OR(Table834[[#This Row],[Classification]]="Income",Table834[[#This Row],[Classification]]="Cost of Goods Sold"),Table834[[#This Row],[Credit.]]&gt;Table834[[#This Row],[Debit\]]),Table834[[#This Row],[Credit.]]-Table834[[#This Row],[Debit\]],""),"")</f>
        <v/>
      </c>
      <c r="AF128" s="34"/>
      <c r="AG128" s="34" t="str">
        <f>IFERROR(IF(AND(Table834[[#This Row],[Classification]]="Assets",Table834[[#This Row],[Debit\]]-Table834[[#This Row],[Credit.]]),Table834[[#This Row],[Debit\]]-Table834[[#This Row],[Credit.]],""),"")</f>
        <v/>
      </c>
      <c r="AH128" s="34" t="str">
        <f>IFERROR(IF(AND(OR(Table834[[#This Row],[Classification]]="Liabilities",Table834[[#This Row],[Classification]]="Owner´s Equity"),Table834[[#This Row],[Credit.]]&gt;Table834[[#This Row],[Debit\]]),Table834[[#This Row],[Credit.]]-Table834[[#This Row],[Debit\]],""),"")</f>
        <v/>
      </c>
    </row>
    <row r="129" spans="2:34" hidden="1" x14ac:dyDescent="0.25">
      <c r="B129" s="34"/>
      <c r="C129" s="45"/>
      <c r="D129" s="34"/>
      <c r="E129" s="34"/>
      <c r="G129" s="39"/>
      <c r="H129" s="40"/>
      <c r="I129" s="41"/>
      <c r="J129" s="41"/>
      <c r="L129" s="34">
        <v>122</v>
      </c>
      <c r="M129" s="35"/>
      <c r="N129" s="35"/>
      <c r="O129" s="34">
        <f>IFERROR(SUMIF(Table431[,],Table633[[#This Row],[Accounts Name]],Table431[,3]),"")</f>
        <v>0</v>
      </c>
      <c r="P129" s="34">
        <f>IFERROR(SUMIF(Table431[,],Table633[[#This Row],[Accounts Name]],Table431[,2]),"")</f>
        <v>0</v>
      </c>
      <c r="S129" s="36">
        <f t="shared" si="1"/>
        <v>122</v>
      </c>
      <c r="T129" s="34"/>
      <c r="U129" s="37"/>
      <c r="V129" s="34">
        <f>IFERROR(SUMIF(Table633[Sub-Accounts],Table834[[#This Row],[Update your chart of accounts here]],Table633[Debit]),"")</f>
        <v>0</v>
      </c>
      <c r="W129" s="34">
        <f>IFERROR(SUMIF(Table633[Sub-Accounts],Table834[[#This Row],[Update your chart of accounts here]],Table633[Credit]),"")</f>
        <v>0</v>
      </c>
      <c r="X129" s="34"/>
      <c r="Y129" s="34"/>
      <c r="Z129" s="34"/>
      <c r="AA129" s="34"/>
      <c r="AB129" s="34">
        <f>MAX(Table834[[#This Row],[Debit]]+Table834[[#This Row],[Debit -]]-Table834[[#This Row],[Credit]]-Table834[[#This Row],[Credit +]],0)</f>
        <v>0</v>
      </c>
      <c r="AC129" s="34">
        <f>MAX(Table834[[#This Row],[Credit]]-Table834[[#This Row],[Debit]]+Table834[[#This Row],[Credit +]]-Table834[[#This Row],[Debit -]],0)</f>
        <v>0</v>
      </c>
      <c r="AD129" s="34" t="str">
        <f>IFERROR(IF(AND(OR(Table834[[#This Row],[Classification]]="Expense",Table834[[#This Row],[Classification]]="Cost of Goods Sold"),Table834[[#This Row],[Debit\]]&gt;Table834[[#This Row],[Credit.]]),Table834[[#This Row],[Debit\]]-Table834[[#This Row],[Credit.]],""),"")</f>
        <v/>
      </c>
      <c r="AE129" s="34" t="str">
        <f>IFERROR(IF(AND(OR(Table834[[#This Row],[Classification]]="Income",Table834[[#This Row],[Classification]]="Cost of Goods Sold"),Table834[[#This Row],[Credit.]]&gt;Table834[[#This Row],[Debit\]]),Table834[[#This Row],[Credit.]]-Table834[[#This Row],[Debit\]],""),"")</f>
        <v/>
      </c>
      <c r="AF129" s="34"/>
      <c r="AG129" s="34" t="str">
        <f>IFERROR(IF(AND(Table834[[#This Row],[Classification]]="Assets",Table834[[#This Row],[Debit\]]-Table834[[#This Row],[Credit.]]),Table834[[#This Row],[Debit\]]-Table834[[#This Row],[Credit.]],""),"")</f>
        <v/>
      </c>
      <c r="AH129" s="34" t="str">
        <f>IFERROR(IF(AND(OR(Table834[[#This Row],[Classification]]="Liabilities",Table834[[#This Row],[Classification]]="Owner´s Equity"),Table834[[#This Row],[Credit.]]&gt;Table834[[#This Row],[Debit\]]),Table834[[#This Row],[Credit.]]-Table834[[#This Row],[Debit\]],""),"")</f>
        <v/>
      </c>
    </row>
    <row r="130" spans="2:34" hidden="1" x14ac:dyDescent="0.25">
      <c r="B130" s="34"/>
      <c r="C130" s="45"/>
      <c r="D130" s="34"/>
      <c r="E130" s="34"/>
      <c r="G130" s="39"/>
      <c r="H130" s="40"/>
      <c r="I130" s="41"/>
      <c r="J130" s="41"/>
      <c r="L130" s="34">
        <v>123</v>
      </c>
      <c r="M130" s="35"/>
      <c r="N130" s="35"/>
      <c r="O130" s="34">
        <f>IFERROR(SUMIF(Table431[,],Table633[[#This Row],[Accounts Name]],Table431[,3]),"")</f>
        <v>0</v>
      </c>
      <c r="P130" s="34">
        <f>IFERROR(SUMIF(Table431[,],Table633[[#This Row],[Accounts Name]],Table431[,2]),"")</f>
        <v>0</v>
      </c>
      <c r="S130" s="36">
        <f t="shared" si="1"/>
        <v>123</v>
      </c>
      <c r="T130" s="34"/>
      <c r="U130" s="37"/>
      <c r="V130" s="34">
        <f>IFERROR(SUMIF(Table633[Sub-Accounts],Table834[[#This Row],[Update your chart of accounts here]],Table633[Debit]),"")</f>
        <v>0</v>
      </c>
      <c r="W130" s="34">
        <f>IFERROR(SUMIF(Table633[Sub-Accounts],Table834[[#This Row],[Update your chart of accounts here]],Table633[Credit]),"")</f>
        <v>0</v>
      </c>
      <c r="X130" s="34"/>
      <c r="Y130" s="34"/>
      <c r="Z130" s="34"/>
      <c r="AA130" s="34"/>
      <c r="AB130" s="34">
        <f>MAX(Table834[[#This Row],[Debit]]+Table834[[#This Row],[Debit -]]-Table834[[#This Row],[Credit]]-Table834[[#This Row],[Credit +]],0)</f>
        <v>0</v>
      </c>
      <c r="AC130" s="34">
        <f>MAX(Table834[[#This Row],[Credit]]-Table834[[#This Row],[Debit]]+Table834[[#This Row],[Credit +]]-Table834[[#This Row],[Debit -]],0)</f>
        <v>0</v>
      </c>
      <c r="AD130" s="34" t="str">
        <f>IFERROR(IF(AND(OR(Table834[[#This Row],[Classification]]="Expense",Table834[[#This Row],[Classification]]="Cost of Goods Sold"),Table834[[#This Row],[Debit\]]&gt;Table834[[#This Row],[Credit.]]),Table834[[#This Row],[Debit\]]-Table834[[#This Row],[Credit.]],""),"")</f>
        <v/>
      </c>
      <c r="AE130" s="34" t="str">
        <f>IFERROR(IF(AND(OR(Table834[[#This Row],[Classification]]="Income",Table834[[#This Row],[Classification]]="Cost of Goods Sold"),Table834[[#This Row],[Credit.]]&gt;Table834[[#This Row],[Debit\]]),Table834[[#This Row],[Credit.]]-Table834[[#This Row],[Debit\]],""),"")</f>
        <v/>
      </c>
      <c r="AF130" s="34"/>
      <c r="AG130" s="34" t="str">
        <f>IFERROR(IF(AND(Table834[[#This Row],[Classification]]="Assets",Table834[[#This Row],[Debit\]]-Table834[[#This Row],[Credit.]]),Table834[[#This Row],[Debit\]]-Table834[[#This Row],[Credit.]],""),"")</f>
        <v/>
      </c>
      <c r="AH130" s="34" t="str">
        <f>IFERROR(IF(AND(OR(Table834[[#This Row],[Classification]]="Liabilities",Table834[[#This Row],[Classification]]="Owner´s Equity"),Table834[[#This Row],[Credit.]]&gt;Table834[[#This Row],[Debit\]]),Table834[[#This Row],[Credit.]]-Table834[[#This Row],[Debit\]],""),"")</f>
        <v/>
      </c>
    </row>
    <row r="131" spans="2:34" hidden="1" x14ac:dyDescent="0.25">
      <c r="B131" s="34"/>
      <c r="C131" s="45"/>
      <c r="D131" s="34"/>
      <c r="E131" s="34"/>
      <c r="G131" s="39"/>
      <c r="H131" s="43"/>
      <c r="I131" s="41"/>
      <c r="J131" s="41"/>
      <c r="L131" s="34">
        <v>124</v>
      </c>
      <c r="M131" s="35"/>
      <c r="N131" s="35"/>
      <c r="O131" s="34">
        <f>IFERROR(SUMIF(Table431[,],Table633[[#This Row],[Accounts Name]],Table431[,3]),"")</f>
        <v>0</v>
      </c>
      <c r="P131" s="34">
        <f>IFERROR(SUMIF(Table431[,],Table633[[#This Row],[Accounts Name]],Table431[,2]),"")</f>
        <v>0</v>
      </c>
      <c r="S131" s="36">
        <f t="shared" si="1"/>
        <v>124</v>
      </c>
      <c r="T131" s="34"/>
      <c r="U131" s="37"/>
      <c r="V131" s="34">
        <f>IFERROR(SUMIF(Table633[Sub-Accounts],Table834[[#This Row],[Update your chart of accounts here]],Table633[Debit]),"")</f>
        <v>0</v>
      </c>
      <c r="W131" s="34">
        <f>IFERROR(SUMIF(Table633[Sub-Accounts],Table834[[#This Row],[Update your chart of accounts here]],Table633[Credit]),"")</f>
        <v>0</v>
      </c>
      <c r="X131" s="34"/>
      <c r="Y131" s="34"/>
      <c r="Z131" s="34"/>
      <c r="AA131" s="34"/>
      <c r="AB131" s="34">
        <f>MAX(Table834[[#This Row],[Debit]]+Table834[[#This Row],[Debit -]]-Table834[[#This Row],[Credit]]-Table834[[#This Row],[Credit +]],0)</f>
        <v>0</v>
      </c>
      <c r="AC131" s="34">
        <f>MAX(Table834[[#This Row],[Credit]]-Table834[[#This Row],[Debit]]+Table834[[#This Row],[Credit +]]-Table834[[#This Row],[Debit -]],0)</f>
        <v>0</v>
      </c>
      <c r="AD131" s="34" t="str">
        <f>IFERROR(IF(AND(OR(Table834[[#This Row],[Classification]]="Expense",Table834[[#This Row],[Classification]]="Cost of Goods Sold"),Table834[[#This Row],[Debit\]]&gt;Table834[[#This Row],[Credit.]]),Table834[[#This Row],[Debit\]]-Table834[[#This Row],[Credit.]],""),"")</f>
        <v/>
      </c>
      <c r="AE131" s="34" t="str">
        <f>IFERROR(IF(AND(OR(Table834[[#This Row],[Classification]]="Income",Table834[[#This Row],[Classification]]="Cost of Goods Sold"),Table834[[#This Row],[Credit.]]&gt;Table834[[#This Row],[Debit\]]),Table834[[#This Row],[Credit.]]-Table834[[#This Row],[Debit\]],""),"")</f>
        <v/>
      </c>
      <c r="AF131" s="34"/>
      <c r="AG131" s="34" t="str">
        <f>IFERROR(IF(AND(Table834[[#This Row],[Classification]]="Assets",Table834[[#This Row],[Debit\]]-Table834[[#This Row],[Credit.]]),Table834[[#This Row],[Debit\]]-Table834[[#This Row],[Credit.]],""),"")</f>
        <v/>
      </c>
      <c r="AH131" s="34" t="str">
        <f>IFERROR(IF(AND(OR(Table834[[#This Row],[Classification]]="Liabilities",Table834[[#This Row],[Classification]]="Owner´s Equity"),Table834[[#This Row],[Credit.]]&gt;Table834[[#This Row],[Debit\]]),Table834[[#This Row],[Credit.]]-Table834[[#This Row],[Debit\]],""),"")</f>
        <v/>
      </c>
    </row>
    <row r="132" spans="2:34" hidden="1" x14ac:dyDescent="0.25">
      <c r="B132" s="34"/>
      <c r="C132" s="45"/>
      <c r="D132" s="34"/>
      <c r="E132" s="34"/>
      <c r="G132" s="39"/>
      <c r="H132" s="40"/>
      <c r="I132" s="41"/>
      <c r="J132" s="41"/>
      <c r="L132" s="34">
        <v>125</v>
      </c>
      <c r="M132" s="35"/>
      <c r="N132" s="35"/>
      <c r="O132" s="34">
        <f>IFERROR(SUMIF(Table431[,],Table633[[#This Row],[Accounts Name]],Table431[,3]),"")</f>
        <v>0</v>
      </c>
      <c r="P132" s="34">
        <f>IFERROR(SUMIF(Table431[,],Table633[[#This Row],[Accounts Name]],Table431[,2]),"")</f>
        <v>0</v>
      </c>
      <c r="S132" s="36">
        <f t="shared" si="1"/>
        <v>125</v>
      </c>
      <c r="T132" s="34"/>
      <c r="U132" s="37"/>
      <c r="V132" s="34">
        <f>IFERROR(SUMIF(Table633[Sub-Accounts],Table834[[#This Row],[Update your chart of accounts here]],Table633[Debit]),"")</f>
        <v>0</v>
      </c>
      <c r="W132" s="34">
        <f>IFERROR(SUMIF(Table633[Sub-Accounts],Table834[[#This Row],[Update your chart of accounts here]],Table633[Credit]),"")</f>
        <v>0</v>
      </c>
      <c r="X132" s="34"/>
      <c r="Y132" s="34"/>
      <c r="Z132" s="34"/>
      <c r="AA132" s="34"/>
      <c r="AB132" s="34">
        <f>MAX(Table834[[#This Row],[Debit]]+Table834[[#This Row],[Debit -]]-Table834[[#This Row],[Credit]]-Table834[[#This Row],[Credit +]],0)</f>
        <v>0</v>
      </c>
      <c r="AC132" s="34">
        <f>MAX(Table834[[#This Row],[Credit]]-Table834[[#This Row],[Debit]]+Table834[[#This Row],[Credit +]]-Table834[[#This Row],[Debit -]],0)</f>
        <v>0</v>
      </c>
      <c r="AD132" s="34" t="str">
        <f>IFERROR(IF(AND(OR(Table834[[#This Row],[Classification]]="Expense",Table834[[#This Row],[Classification]]="Cost of Goods Sold"),Table834[[#This Row],[Debit\]]&gt;Table834[[#This Row],[Credit.]]),Table834[[#This Row],[Debit\]]-Table834[[#This Row],[Credit.]],""),"")</f>
        <v/>
      </c>
      <c r="AE132" s="34" t="str">
        <f>IFERROR(IF(AND(OR(Table834[[#This Row],[Classification]]="Income",Table834[[#This Row],[Classification]]="Cost of Goods Sold"),Table834[[#This Row],[Credit.]]&gt;Table834[[#This Row],[Debit\]]),Table834[[#This Row],[Credit.]]-Table834[[#This Row],[Debit\]],""),"")</f>
        <v/>
      </c>
      <c r="AF132" s="34"/>
      <c r="AG132" s="34" t="str">
        <f>IFERROR(IF(AND(Table834[[#This Row],[Classification]]="Assets",Table834[[#This Row],[Debit\]]-Table834[[#This Row],[Credit.]]),Table834[[#This Row],[Debit\]]-Table834[[#This Row],[Credit.]],""),"")</f>
        <v/>
      </c>
      <c r="AH132" s="34" t="str">
        <f>IFERROR(IF(AND(OR(Table834[[#This Row],[Classification]]="Liabilities",Table834[[#This Row],[Classification]]="Owner´s Equity"),Table834[[#This Row],[Credit.]]&gt;Table834[[#This Row],[Debit\]]),Table834[[#This Row],[Credit.]]-Table834[[#This Row],[Debit\]],""),"")</f>
        <v/>
      </c>
    </row>
    <row r="133" spans="2:34" hidden="1" x14ac:dyDescent="0.25">
      <c r="B133" s="34"/>
      <c r="C133" s="45"/>
      <c r="D133" s="34"/>
      <c r="E133" s="34"/>
      <c r="G133" s="39"/>
      <c r="H133" s="40"/>
      <c r="I133" s="41"/>
      <c r="J133" s="41"/>
      <c r="L133" s="34">
        <v>126</v>
      </c>
      <c r="M133" s="35"/>
      <c r="N133" s="35"/>
      <c r="O133" s="34">
        <f>IFERROR(SUMIF(Table431[,],Table633[[#This Row],[Accounts Name]],Table431[,3]),"")</f>
        <v>0</v>
      </c>
      <c r="P133" s="34">
        <f>IFERROR(SUMIF(Table431[,],Table633[[#This Row],[Accounts Name]],Table431[,2]),"")</f>
        <v>0</v>
      </c>
      <c r="S133" s="36">
        <f t="shared" si="1"/>
        <v>126</v>
      </c>
      <c r="T133" s="34"/>
      <c r="U133" s="37"/>
      <c r="V133" s="34">
        <f>IFERROR(SUMIF(Table633[Sub-Accounts],Table834[[#This Row],[Update your chart of accounts here]],Table633[Debit]),"")</f>
        <v>0</v>
      </c>
      <c r="W133" s="34">
        <f>IFERROR(SUMIF(Table633[Sub-Accounts],Table834[[#This Row],[Update your chart of accounts here]],Table633[Credit]),"")</f>
        <v>0</v>
      </c>
      <c r="X133" s="34"/>
      <c r="Y133" s="34"/>
      <c r="Z133" s="34"/>
      <c r="AA133" s="34"/>
      <c r="AB133" s="34">
        <f>MAX(Table834[[#This Row],[Debit]]+Table834[[#This Row],[Debit -]]-Table834[[#This Row],[Credit]]-Table834[[#This Row],[Credit +]],0)</f>
        <v>0</v>
      </c>
      <c r="AC133" s="34">
        <f>MAX(Table834[[#This Row],[Credit]]-Table834[[#This Row],[Debit]]+Table834[[#This Row],[Credit +]]-Table834[[#This Row],[Debit -]],0)</f>
        <v>0</v>
      </c>
      <c r="AD133" s="34" t="str">
        <f>IFERROR(IF(AND(OR(Table834[[#This Row],[Classification]]="Expense",Table834[[#This Row],[Classification]]="Cost of Goods Sold"),Table834[[#This Row],[Debit\]]&gt;Table834[[#This Row],[Credit.]]),Table834[[#This Row],[Debit\]]-Table834[[#This Row],[Credit.]],""),"")</f>
        <v/>
      </c>
      <c r="AE133" s="34" t="str">
        <f>IFERROR(IF(AND(OR(Table834[[#This Row],[Classification]]="Income",Table834[[#This Row],[Classification]]="Cost of Goods Sold"),Table834[[#This Row],[Credit.]]&gt;Table834[[#This Row],[Debit\]]),Table834[[#This Row],[Credit.]]-Table834[[#This Row],[Debit\]],""),"")</f>
        <v/>
      </c>
      <c r="AF133" s="34"/>
      <c r="AG133" s="34" t="str">
        <f>IFERROR(IF(AND(Table834[[#This Row],[Classification]]="Assets",Table834[[#This Row],[Debit\]]-Table834[[#This Row],[Credit.]]),Table834[[#This Row],[Debit\]]-Table834[[#This Row],[Credit.]],""),"")</f>
        <v/>
      </c>
      <c r="AH133" s="34" t="str">
        <f>IFERROR(IF(AND(OR(Table834[[#This Row],[Classification]]="Liabilities",Table834[[#This Row],[Classification]]="Owner´s Equity"),Table834[[#This Row],[Credit.]]&gt;Table834[[#This Row],[Debit\]]),Table834[[#This Row],[Credit.]]-Table834[[#This Row],[Debit\]],""),"")</f>
        <v/>
      </c>
    </row>
    <row r="134" spans="2:34" hidden="1" x14ac:dyDescent="0.25">
      <c r="B134" s="34"/>
      <c r="C134" s="45"/>
      <c r="D134" s="34"/>
      <c r="E134" s="34"/>
      <c r="G134" s="39"/>
      <c r="H134" s="43"/>
      <c r="I134" s="41"/>
      <c r="J134" s="41"/>
      <c r="L134" s="34">
        <v>127</v>
      </c>
      <c r="M134" s="35"/>
      <c r="N134" s="35"/>
      <c r="O134" s="34">
        <f>IFERROR(SUMIF(Table431[,],Table633[[#This Row],[Accounts Name]],Table431[,3]),"")</f>
        <v>0</v>
      </c>
      <c r="P134" s="34">
        <f>IFERROR(SUMIF(Table431[,],Table633[[#This Row],[Accounts Name]],Table431[,2]),"")</f>
        <v>0</v>
      </c>
      <c r="S134" s="36">
        <f t="shared" si="1"/>
        <v>127</v>
      </c>
      <c r="T134" s="34"/>
      <c r="U134" s="37"/>
      <c r="V134" s="34">
        <f>IFERROR(SUMIF(Table633[Sub-Accounts],Table834[[#This Row],[Update your chart of accounts here]],Table633[Debit]),"")</f>
        <v>0</v>
      </c>
      <c r="W134" s="34">
        <f>IFERROR(SUMIF(Table633[Sub-Accounts],Table834[[#This Row],[Update your chart of accounts here]],Table633[Credit]),"")</f>
        <v>0</v>
      </c>
      <c r="X134" s="34"/>
      <c r="Y134" s="34"/>
      <c r="Z134" s="34"/>
      <c r="AA134" s="34"/>
      <c r="AB134" s="34">
        <f>MAX(Table834[[#This Row],[Debit]]+Table834[[#This Row],[Debit -]]-Table834[[#This Row],[Credit]]-Table834[[#This Row],[Credit +]],0)</f>
        <v>0</v>
      </c>
      <c r="AC134" s="34">
        <f>MAX(Table834[[#This Row],[Credit]]-Table834[[#This Row],[Debit]]+Table834[[#This Row],[Credit +]]-Table834[[#This Row],[Debit -]],0)</f>
        <v>0</v>
      </c>
      <c r="AD134" s="34" t="str">
        <f>IFERROR(IF(AND(OR(Table834[[#This Row],[Classification]]="Expense",Table834[[#This Row],[Classification]]="Cost of Goods Sold"),Table834[[#This Row],[Debit\]]&gt;Table834[[#This Row],[Credit.]]),Table834[[#This Row],[Debit\]]-Table834[[#This Row],[Credit.]],""),"")</f>
        <v/>
      </c>
      <c r="AE134" s="34" t="str">
        <f>IFERROR(IF(AND(OR(Table834[[#This Row],[Classification]]="Income",Table834[[#This Row],[Classification]]="Cost of Goods Sold"),Table834[[#This Row],[Credit.]]&gt;Table834[[#This Row],[Debit\]]),Table834[[#This Row],[Credit.]]-Table834[[#This Row],[Debit\]],""),"")</f>
        <v/>
      </c>
      <c r="AF134" s="34"/>
      <c r="AG134" s="34" t="str">
        <f>IFERROR(IF(AND(Table834[[#This Row],[Classification]]="Assets",Table834[[#This Row],[Debit\]]-Table834[[#This Row],[Credit.]]),Table834[[#This Row],[Debit\]]-Table834[[#This Row],[Credit.]],""),"")</f>
        <v/>
      </c>
      <c r="AH134" s="34" t="str">
        <f>IFERROR(IF(AND(OR(Table834[[#This Row],[Classification]]="Liabilities",Table834[[#This Row],[Classification]]="Owner´s Equity"),Table834[[#This Row],[Credit.]]&gt;Table834[[#This Row],[Debit\]]),Table834[[#This Row],[Credit.]]-Table834[[#This Row],[Debit\]],""),"")</f>
        <v/>
      </c>
    </row>
    <row r="135" spans="2:34" hidden="1" x14ac:dyDescent="0.25">
      <c r="B135" s="34"/>
      <c r="C135" s="45"/>
      <c r="D135" s="34"/>
      <c r="E135" s="34"/>
      <c r="G135" s="39"/>
      <c r="H135" s="40"/>
      <c r="I135" s="41"/>
      <c r="J135" s="41"/>
      <c r="L135" s="34">
        <v>128</v>
      </c>
      <c r="M135" s="35"/>
      <c r="N135" s="35"/>
      <c r="O135" s="34">
        <f>IFERROR(SUMIF(Table431[,],Table633[[#This Row],[Accounts Name]],Table431[,3]),"")</f>
        <v>0</v>
      </c>
      <c r="P135" s="34">
        <f>IFERROR(SUMIF(Table431[,],Table633[[#This Row],[Accounts Name]],Table431[,2]),"")</f>
        <v>0</v>
      </c>
      <c r="S135" s="36">
        <f t="shared" si="1"/>
        <v>128</v>
      </c>
      <c r="T135" s="34"/>
      <c r="U135" s="37"/>
      <c r="V135" s="34">
        <f>IFERROR(SUMIF(Table633[Sub-Accounts],Table834[[#This Row],[Update your chart of accounts here]],Table633[Debit]),"")</f>
        <v>0</v>
      </c>
      <c r="W135" s="34">
        <f>IFERROR(SUMIF(Table633[Sub-Accounts],Table834[[#This Row],[Update your chart of accounts here]],Table633[Credit]),"")</f>
        <v>0</v>
      </c>
      <c r="X135" s="34"/>
      <c r="Y135" s="34"/>
      <c r="Z135" s="34"/>
      <c r="AA135" s="34"/>
      <c r="AB135" s="34">
        <f>MAX(Table834[[#This Row],[Debit]]+Table834[[#This Row],[Debit -]]-Table834[[#This Row],[Credit]]-Table834[[#This Row],[Credit +]],0)</f>
        <v>0</v>
      </c>
      <c r="AC135" s="34">
        <f>MAX(Table834[[#This Row],[Credit]]-Table834[[#This Row],[Debit]]+Table834[[#This Row],[Credit +]]-Table834[[#This Row],[Debit -]],0)</f>
        <v>0</v>
      </c>
      <c r="AD135" s="34" t="str">
        <f>IFERROR(IF(AND(OR(Table834[[#This Row],[Classification]]="Expense",Table834[[#This Row],[Classification]]="Cost of Goods Sold"),Table834[[#This Row],[Debit\]]&gt;Table834[[#This Row],[Credit.]]),Table834[[#This Row],[Debit\]]-Table834[[#This Row],[Credit.]],""),"")</f>
        <v/>
      </c>
      <c r="AE135" s="34" t="str">
        <f>IFERROR(IF(AND(OR(Table834[[#This Row],[Classification]]="Income",Table834[[#This Row],[Classification]]="Cost of Goods Sold"),Table834[[#This Row],[Credit.]]&gt;Table834[[#This Row],[Debit\]]),Table834[[#This Row],[Credit.]]-Table834[[#This Row],[Debit\]],""),"")</f>
        <v/>
      </c>
      <c r="AF135" s="34"/>
      <c r="AG135" s="34" t="str">
        <f>IFERROR(IF(AND(Table834[[#This Row],[Classification]]="Assets",Table834[[#This Row],[Debit\]]-Table834[[#This Row],[Credit.]]),Table834[[#This Row],[Debit\]]-Table834[[#This Row],[Credit.]],""),"")</f>
        <v/>
      </c>
      <c r="AH135" s="34" t="str">
        <f>IFERROR(IF(AND(OR(Table834[[#This Row],[Classification]]="Liabilities",Table834[[#This Row],[Classification]]="Owner´s Equity"),Table834[[#This Row],[Credit.]]&gt;Table834[[#This Row],[Debit\]]),Table834[[#This Row],[Credit.]]-Table834[[#This Row],[Debit\]],""),"")</f>
        <v/>
      </c>
    </row>
    <row r="136" spans="2:34" hidden="1" x14ac:dyDescent="0.25">
      <c r="B136" s="34"/>
      <c r="C136" s="45"/>
      <c r="D136" s="34"/>
      <c r="E136" s="34"/>
      <c r="G136" s="39"/>
      <c r="H136" s="40"/>
      <c r="I136" s="41"/>
      <c r="J136" s="41"/>
      <c r="L136" s="34">
        <v>129</v>
      </c>
      <c r="M136" s="35"/>
      <c r="N136" s="35"/>
      <c r="O136" s="34">
        <f>IFERROR(SUMIF(Table431[,],Table633[[#This Row],[Accounts Name]],Table431[,3]),"")</f>
        <v>0</v>
      </c>
      <c r="P136" s="34">
        <f>IFERROR(SUMIF(Table431[,],Table633[[#This Row],[Accounts Name]],Table431[,2]),"")</f>
        <v>0</v>
      </c>
      <c r="S136" s="36">
        <f t="shared" si="1"/>
        <v>129</v>
      </c>
      <c r="T136" s="34"/>
      <c r="U136" s="37"/>
      <c r="V136" s="34">
        <f>IFERROR(SUMIF(Table633[Sub-Accounts],Table834[[#This Row],[Update your chart of accounts here]],Table633[Debit]),"")</f>
        <v>0</v>
      </c>
      <c r="W136" s="34">
        <f>IFERROR(SUMIF(Table633[Sub-Accounts],Table834[[#This Row],[Update your chart of accounts here]],Table633[Credit]),"")</f>
        <v>0</v>
      </c>
      <c r="X136" s="34"/>
      <c r="Y136" s="34"/>
      <c r="Z136" s="34"/>
      <c r="AA136" s="34"/>
      <c r="AB136" s="34">
        <f>MAX(Table834[[#This Row],[Debit]]+Table834[[#This Row],[Debit -]]-Table834[[#This Row],[Credit]]-Table834[[#This Row],[Credit +]],0)</f>
        <v>0</v>
      </c>
      <c r="AC136" s="34">
        <f>MAX(Table834[[#This Row],[Credit]]-Table834[[#This Row],[Debit]]+Table834[[#This Row],[Credit +]]-Table834[[#This Row],[Debit -]],0)</f>
        <v>0</v>
      </c>
      <c r="AD136" s="34" t="str">
        <f>IFERROR(IF(AND(OR(Table834[[#This Row],[Classification]]="Expense",Table834[[#This Row],[Classification]]="Cost of Goods Sold"),Table834[[#This Row],[Debit\]]&gt;Table834[[#This Row],[Credit.]]),Table834[[#This Row],[Debit\]]-Table834[[#This Row],[Credit.]],""),"")</f>
        <v/>
      </c>
      <c r="AE136" s="34" t="str">
        <f>IFERROR(IF(AND(OR(Table834[[#This Row],[Classification]]="Income",Table834[[#This Row],[Classification]]="Cost of Goods Sold"),Table834[[#This Row],[Credit.]]&gt;Table834[[#This Row],[Debit\]]),Table834[[#This Row],[Credit.]]-Table834[[#This Row],[Debit\]],""),"")</f>
        <v/>
      </c>
      <c r="AF136" s="34"/>
      <c r="AG136" s="34" t="str">
        <f>IFERROR(IF(AND(Table834[[#This Row],[Classification]]="Assets",Table834[[#This Row],[Debit\]]-Table834[[#This Row],[Credit.]]),Table834[[#This Row],[Debit\]]-Table834[[#This Row],[Credit.]],""),"")</f>
        <v/>
      </c>
      <c r="AH136" s="34" t="str">
        <f>IFERROR(IF(AND(OR(Table834[[#This Row],[Classification]]="Liabilities",Table834[[#This Row],[Classification]]="Owner´s Equity"),Table834[[#This Row],[Credit.]]&gt;Table834[[#This Row],[Debit\]]),Table834[[#This Row],[Credit.]]-Table834[[#This Row],[Debit\]],""),"")</f>
        <v/>
      </c>
    </row>
    <row r="137" spans="2:34" hidden="1" x14ac:dyDescent="0.25">
      <c r="B137" s="34"/>
      <c r="C137" s="45"/>
      <c r="D137" s="34"/>
      <c r="E137" s="34"/>
      <c r="G137" s="39"/>
      <c r="H137" s="43"/>
      <c r="I137" s="41"/>
      <c r="J137" s="41"/>
      <c r="L137" s="34">
        <v>130</v>
      </c>
      <c r="M137" s="35"/>
      <c r="N137" s="35"/>
      <c r="O137" s="34">
        <f>IFERROR(SUMIF(Table431[,],Table633[[#This Row],[Accounts Name]],Table431[,3]),"")</f>
        <v>0</v>
      </c>
      <c r="P137" s="34">
        <f>IFERROR(SUMIF(Table431[,],Table633[[#This Row],[Accounts Name]],Table431[,2]),"")</f>
        <v>0</v>
      </c>
      <c r="S137" s="36">
        <f t="shared" si="1"/>
        <v>130</v>
      </c>
      <c r="T137" s="34"/>
      <c r="U137" s="37"/>
      <c r="V137" s="34">
        <f>IFERROR(SUMIF(Table633[Sub-Accounts],Table834[[#This Row],[Update your chart of accounts here]],Table633[Debit]),"")</f>
        <v>0</v>
      </c>
      <c r="W137" s="34">
        <f>IFERROR(SUMIF(Table633[Sub-Accounts],Table834[[#This Row],[Update your chart of accounts here]],Table633[Credit]),"")</f>
        <v>0</v>
      </c>
      <c r="X137" s="34"/>
      <c r="Y137" s="34"/>
      <c r="Z137" s="34"/>
      <c r="AA137" s="34"/>
      <c r="AB137" s="34">
        <f>MAX(Table834[[#This Row],[Debit]]+Table834[[#This Row],[Debit -]]-Table834[[#This Row],[Credit]]-Table834[[#This Row],[Credit +]],0)</f>
        <v>0</v>
      </c>
      <c r="AC137" s="34">
        <f>MAX(Table834[[#This Row],[Credit]]-Table834[[#This Row],[Debit]]+Table834[[#This Row],[Credit +]]-Table834[[#This Row],[Debit -]],0)</f>
        <v>0</v>
      </c>
      <c r="AD137" s="34" t="str">
        <f>IFERROR(IF(AND(OR(Table834[[#This Row],[Classification]]="Expense",Table834[[#This Row],[Classification]]="Cost of Goods Sold"),Table834[[#This Row],[Debit\]]&gt;Table834[[#This Row],[Credit.]]),Table834[[#This Row],[Debit\]]-Table834[[#This Row],[Credit.]],""),"")</f>
        <v/>
      </c>
      <c r="AE137" s="34" t="str">
        <f>IFERROR(IF(AND(OR(Table834[[#This Row],[Classification]]="Income",Table834[[#This Row],[Classification]]="Cost of Goods Sold"),Table834[[#This Row],[Credit.]]&gt;Table834[[#This Row],[Debit\]]),Table834[[#This Row],[Credit.]]-Table834[[#This Row],[Debit\]],""),"")</f>
        <v/>
      </c>
      <c r="AF137" s="34"/>
      <c r="AG137" s="34" t="str">
        <f>IFERROR(IF(AND(Table834[[#This Row],[Classification]]="Assets",Table834[[#This Row],[Debit\]]-Table834[[#This Row],[Credit.]]),Table834[[#This Row],[Debit\]]-Table834[[#This Row],[Credit.]],""),"")</f>
        <v/>
      </c>
      <c r="AH137" s="34" t="str">
        <f>IFERROR(IF(AND(OR(Table834[[#This Row],[Classification]]="Liabilities",Table834[[#This Row],[Classification]]="Owner´s Equity"),Table834[[#This Row],[Credit.]]&gt;Table834[[#This Row],[Debit\]]),Table834[[#This Row],[Credit.]]-Table834[[#This Row],[Debit\]],""),"")</f>
        <v/>
      </c>
    </row>
    <row r="138" spans="2:34" hidden="1" x14ac:dyDescent="0.25">
      <c r="B138" s="34"/>
      <c r="C138" s="45"/>
      <c r="D138" s="34"/>
      <c r="E138" s="34"/>
      <c r="G138" s="39"/>
      <c r="H138" s="40"/>
      <c r="I138" s="41"/>
      <c r="J138" s="41"/>
      <c r="L138" s="34">
        <v>131</v>
      </c>
      <c r="M138" s="35"/>
      <c r="N138" s="35"/>
      <c r="O138" s="34">
        <f>IFERROR(SUMIF(Table431[,],Table633[[#This Row],[Accounts Name]],Table431[,3]),"")</f>
        <v>0</v>
      </c>
      <c r="P138" s="34">
        <f>IFERROR(SUMIF(Table431[,],Table633[[#This Row],[Accounts Name]],Table431[,2]),"")</f>
        <v>0</v>
      </c>
      <c r="S138" s="36">
        <f t="shared" ref="S138:S200" si="2">S137+1</f>
        <v>131</v>
      </c>
      <c r="T138" s="34"/>
      <c r="U138" s="37"/>
      <c r="V138" s="34">
        <f>IFERROR(SUMIF(Table633[Sub-Accounts],Table834[[#This Row],[Update your chart of accounts here]],Table633[Debit]),"")</f>
        <v>0</v>
      </c>
      <c r="W138" s="34">
        <f>IFERROR(SUMIF(Table633[Sub-Accounts],Table834[[#This Row],[Update your chart of accounts here]],Table633[Credit]),"")</f>
        <v>0</v>
      </c>
      <c r="X138" s="34"/>
      <c r="Y138" s="34"/>
      <c r="Z138" s="34"/>
      <c r="AA138" s="34"/>
      <c r="AB138" s="34">
        <f>MAX(Table834[[#This Row],[Debit]]+Table834[[#This Row],[Debit -]]-Table834[[#This Row],[Credit]]-Table834[[#This Row],[Credit +]],0)</f>
        <v>0</v>
      </c>
      <c r="AC138" s="34">
        <f>MAX(Table834[[#This Row],[Credit]]-Table834[[#This Row],[Debit]]+Table834[[#This Row],[Credit +]]-Table834[[#This Row],[Debit -]],0)</f>
        <v>0</v>
      </c>
      <c r="AD138" s="34" t="str">
        <f>IFERROR(IF(AND(OR(Table834[[#This Row],[Classification]]="Expense",Table834[[#This Row],[Classification]]="Cost of Goods Sold"),Table834[[#This Row],[Debit\]]&gt;Table834[[#This Row],[Credit.]]),Table834[[#This Row],[Debit\]]-Table834[[#This Row],[Credit.]],""),"")</f>
        <v/>
      </c>
      <c r="AE138" s="34" t="str">
        <f>IFERROR(IF(AND(OR(Table834[[#This Row],[Classification]]="Income",Table834[[#This Row],[Classification]]="Cost of Goods Sold"),Table834[[#This Row],[Credit.]]&gt;Table834[[#This Row],[Debit\]]),Table834[[#This Row],[Credit.]]-Table834[[#This Row],[Debit\]],""),"")</f>
        <v/>
      </c>
      <c r="AF138" s="34"/>
      <c r="AG138" s="34" t="str">
        <f>IFERROR(IF(AND(Table834[[#This Row],[Classification]]="Assets",Table834[[#This Row],[Debit\]]-Table834[[#This Row],[Credit.]]),Table834[[#This Row],[Debit\]]-Table834[[#This Row],[Credit.]],""),"")</f>
        <v/>
      </c>
      <c r="AH138" s="34" t="str">
        <f>IFERROR(IF(AND(OR(Table834[[#This Row],[Classification]]="Liabilities",Table834[[#This Row],[Classification]]="Owner´s Equity"),Table834[[#This Row],[Credit.]]&gt;Table834[[#This Row],[Debit\]]),Table834[[#This Row],[Credit.]]-Table834[[#This Row],[Debit\]],""),"")</f>
        <v/>
      </c>
    </row>
    <row r="139" spans="2:34" hidden="1" x14ac:dyDescent="0.25">
      <c r="B139" s="34"/>
      <c r="C139" s="45"/>
      <c r="D139" s="34"/>
      <c r="E139" s="34"/>
      <c r="G139" s="39"/>
      <c r="H139" s="40"/>
      <c r="I139" s="41"/>
      <c r="J139" s="41"/>
      <c r="L139" s="34">
        <v>132</v>
      </c>
      <c r="M139" s="35"/>
      <c r="N139" s="35"/>
      <c r="O139" s="34">
        <f>IFERROR(SUMIF(Table431[,],Table633[[#This Row],[Accounts Name]],Table431[,3]),"")</f>
        <v>0</v>
      </c>
      <c r="P139" s="34">
        <f>IFERROR(SUMIF(Table431[,],Table633[[#This Row],[Accounts Name]],Table431[,2]),"")</f>
        <v>0</v>
      </c>
      <c r="S139" s="36">
        <f t="shared" si="2"/>
        <v>132</v>
      </c>
      <c r="T139" s="34"/>
      <c r="U139" s="37"/>
      <c r="V139" s="34">
        <f>IFERROR(SUMIF(Table633[Sub-Accounts],Table834[[#This Row],[Update your chart of accounts here]],Table633[Debit]),"")</f>
        <v>0</v>
      </c>
      <c r="W139" s="34">
        <f>IFERROR(SUMIF(Table633[Sub-Accounts],Table834[[#This Row],[Update your chart of accounts here]],Table633[Credit]),"")</f>
        <v>0</v>
      </c>
      <c r="X139" s="34"/>
      <c r="Y139" s="34"/>
      <c r="Z139" s="34"/>
      <c r="AA139" s="34"/>
      <c r="AB139" s="34">
        <f>MAX(Table834[[#This Row],[Debit]]+Table834[[#This Row],[Debit -]]-Table834[[#This Row],[Credit]]-Table834[[#This Row],[Credit +]],0)</f>
        <v>0</v>
      </c>
      <c r="AC139" s="34">
        <f>MAX(Table834[[#This Row],[Credit]]-Table834[[#This Row],[Debit]]+Table834[[#This Row],[Credit +]]-Table834[[#This Row],[Debit -]],0)</f>
        <v>0</v>
      </c>
      <c r="AD139" s="34" t="str">
        <f>IFERROR(IF(AND(OR(Table834[[#This Row],[Classification]]="Expense",Table834[[#This Row],[Classification]]="Cost of Goods Sold"),Table834[[#This Row],[Debit\]]&gt;Table834[[#This Row],[Credit.]]),Table834[[#This Row],[Debit\]]-Table834[[#This Row],[Credit.]],""),"")</f>
        <v/>
      </c>
      <c r="AE139" s="34" t="str">
        <f>IFERROR(IF(AND(OR(Table834[[#This Row],[Classification]]="Income",Table834[[#This Row],[Classification]]="Cost of Goods Sold"),Table834[[#This Row],[Credit.]]&gt;Table834[[#This Row],[Debit\]]),Table834[[#This Row],[Credit.]]-Table834[[#This Row],[Debit\]],""),"")</f>
        <v/>
      </c>
      <c r="AF139" s="34"/>
      <c r="AG139" s="34" t="str">
        <f>IFERROR(IF(AND(Table834[[#This Row],[Classification]]="Assets",Table834[[#This Row],[Debit\]]-Table834[[#This Row],[Credit.]]),Table834[[#This Row],[Debit\]]-Table834[[#This Row],[Credit.]],""),"")</f>
        <v/>
      </c>
      <c r="AH139" s="34" t="str">
        <f>IFERROR(IF(AND(OR(Table834[[#This Row],[Classification]]="Liabilities",Table834[[#This Row],[Classification]]="Owner´s Equity"),Table834[[#This Row],[Credit.]]&gt;Table834[[#This Row],[Debit\]]),Table834[[#This Row],[Credit.]]-Table834[[#This Row],[Debit\]],""),"")</f>
        <v/>
      </c>
    </row>
    <row r="140" spans="2:34" hidden="1" x14ac:dyDescent="0.25">
      <c r="B140" s="34"/>
      <c r="C140" s="45"/>
      <c r="D140" s="34"/>
      <c r="E140" s="34"/>
      <c r="G140" s="39"/>
      <c r="H140" s="43"/>
      <c r="I140" s="41"/>
      <c r="J140" s="41"/>
      <c r="L140" s="34">
        <v>133</v>
      </c>
      <c r="M140" s="35"/>
      <c r="N140" s="35"/>
      <c r="O140" s="34">
        <f>IFERROR(SUMIF(Table431[,],Table633[[#This Row],[Accounts Name]],Table431[,3]),"")</f>
        <v>0</v>
      </c>
      <c r="P140" s="34">
        <f>IFERROR(SUMIF(Table431[,],Table633[[#This Row],[Accounts Name]],Table431[,2]),"")</f>
        <v>0</v>
      </c>
      <c r="S140" s="36">
        <f t="shared" si="2"/>
        <v>133</v>
      </c>
      <c r="T140" s="34"/>
      <c r="U140" s="37"/>
      <c r="V140" s="34">
        <f>IFERROR(SUMIF(Table633[Sub-Accounts],Table834[[#This Row],[Update your chart of accounts here]],Table633[Debit]),"")</f>
        <v>0</v>
      </c>
      <c r="W140" s="34">
        <f>IFERROR(SUMIF(Table633[Sub-Accounts],Table834[[#This Row],[Update your chart of accounts here]],Table633[Credit]),"")</f>
        <v>0</v>
      </c>
      <c r="X140" s="34"/>
      <c r="Y140" s="34"/>
      <c r="Z140" s="34"/>
      <c r="AA140" s="34"/>
      <c r="AB140" s="34">
        <f>MAX(Table834[[#This Row],[Debit]]+Table834[[#This Row],[Debit -]]-Table834[[#This Row],[Credit]]-Table834[[#This Row],[Credit +]],0)</f>
        <v>0</v>
      </c>
      <c r="AC140" s="34">
        <f>MAX(Table834[[#This Row],[Credit]]-Table834[[#This Row],[Debit]]+Table834[[#This Row],[Credit +]]-Table834[[#This Row],[Debit -]],0)</f>
        <v>0</v>
      </c>
      <c r="AD140" s="34" t="str">
        <f>IFERROR(IF(AND(OR(Table834[[#This Row],[Classification]]="Expense",Table834[[#This Row],[Classification]]="Cost of Goods Sold"),Table834[[#This Row],[Debit\]]&gt;Table834[[#This Row],[Credit.]]),Table834[[#This Row],[Debit\]]-Table834[[#This Row],[Credit.]],""),"")</f>
        <v/>
      </c>
      <c r="AE140" s="34" t="str">
        <f>IFERROR(IF(AND(OR(Table834[[#This Row],[Classification]]="Income",Table834[[#This Row],[Classification]]="Cost of Goods Sold"),Table834[[#This Row],[Credit.]]&gt;Table834[[#This Row],[Debit\]]),Table834[[#This Row],[Credit.]]-Table834[[#This Row],[Debit\]],""),"")</f>
        <v/>
      </c>
      <c r="AF140" s="34"/>
      <c r="AG140" s="34" t="str">
        <f>IFERROR(IF(AND(Table834[[#This Row],[Classification]]="Assets",Table834[[#This Row],[Debit\]]-Table834[[#This Row],[Credit.]]),Table834[[#This Row],[Debit\]]-Table834[[#This Row],[Credit.]],""),"")</f>
        <v/>
      </c>
      <c r="AH140" s="34" t="str">
        <f>IFERROR(IF(AND(OR(Table834[[#This Row],[Classification]]="Liabilities",Table834[[#This Row],[Classification]]="Owner´s Equity"),Table834[[#This Row],[Credit.]]&gt;Table834[[#This Row],[Debit\]]),Table834[[#This Row],[Credit.]]-Table834[[#This Row],[Debit\]],""),"")</f>
        <v/>
      </c>
    </row>
    <row r="141" spans="2:34" hidden="1" x14ac:dyDescent="0.25">
      <c r="B141" s="34"/>
      <c r="C141" s="45"/>
      <c r="D141" s="34"/>
      <c r="E141" s="34"/>
      <c r="G141" s="39"/>
      <c r="H141" s="40"/>
      <c r="I141" s="41"/>
      <c r="J141" s="41"/>
      <c r="L141" s="34">
        <v>134</v>
      </c>
      <c r="M141" s="35"/>
      <c r="N141" s="35"/>
      <c r="O141" s="34">
        <f>IFERROR(SUMIF(Table431[,],Table633[[#This Row],[Accounts Name]],Table431[,3]),"")</f>
        <v>0</v>
      </c>
      <c r="P141" s="34">
        <f>IFERROR(SUMIF(Table431[,],Table633[[#This Row],[Accounts Name]],Table431[,2]),"")</f>
        <v>0</v>
      </c>
      <c r="S141" s="36">
        <f t="shared" si="2"/>
        <v>134</v>
      </c>
      <c r="T141" s="34"/>
      <c r="U141" s="37"/>
      <c r="V141" s="34">
        <f>IFERROR(SUMIF(Table633[Sub-Accounts],Table834[[#This Row],[Update your chart of accounts here]],Table633[Debit]),"")</f>
        <v>0</v>
      </c>
      <c r="W141" s="34">
        <f>IFERROR(SUMIF(Table633[Sub-Accounts],Table834[[#This Row],[Update your chart of accounts here]],Table633[Credit]),"")</f>
        <v>0</v>
      </c>
      <c r="X141" s="34"/>
      <c r="Y141" s="34"/>
      <c r="Z141" s="34"/>
      <c r="AA141" s="34"/>
      <c r="AB141" s="34">
        <f>MAX(Table834[[#This Row],[Debit]]+Table834[[#This Row],[Debit -]]-Table834[[#This Row],[Credit]]-Table834[[#This Row],[Credit +]],0)</f>
        <v>0</v>
      </c>
      <c r="AC141" s="34">
        <f>MAX(Table834[[#This Row],[Credit]]-Table834[[#This Row],[Debit]]+Table834[[#This Row],[Credit +]]-Table834[[#This Row],[Debit -]],0)</f>
        <v>0</v>
      </c>
      <c r="AD141" s="34" t="str">
        <f>IFERROR(IF(AND(OR(Table834[[#This Row],[Classification]]="Expense",Table834[[#This Row],[Classification]]="Cost of Goods Sold"),Table834[[#This Row],[Debit\]]&gt;Table834[[#This Row],[Credit.]]),Table834[[#This Row],[Debit\]]-Table834[[#This Row],[Credit.]],""),"")</f>
        <v/>
      </c>
      <c r="AE141" s="34" t="str">
        <f>IFERROR(IF(AND(OR(Table834[[#This Row],[Classification]]="Income",Table834[[#This Row],[Classification]]="Cost of Goods Sold"),Table834[[#This Row],[Credit.]]&gt;Table834[[#This Row],[Debit\]]),Table834[[#This Row],[Credit.]]-Table834[[#This Row],[Debit\]],""),"")</f>
        <v/>
      </c>
      <c r="AF141" s="34"/>
      <c r="AG141" s="34" t="str">
        <f>IFERROR(IF(AND(Table834[[#This Row],[Classification]]="Assets",Table834[[#This Row],[Debit\]]-Table834[[#This Row],[Credit.]]),Table834[[#This Row],[Debit\]]-Table834[[#This Row],[Credit.]],""),"")</f>
        <v/>
      </c>
      <c r="AH141" s="34" t="str">
        <f>IFERROR(IF(AND(OR(Table834[[#This Row],[Classification]]="Liabilities",Table834[[#This Row],[Classification]]="Owner´s Equity"),Table834[[#This Row],[Credit.]]&gt;Table834[[#This Row],[Debit\]]),Table834[[#This Row],[Credit.]]-Table834[[#This Row],[Debit\]],""),"")</f>
        <v/>
      </c>
    </row>
    <row r="142" spans="2:34" hidden="1" x14ac:dyDescent="0.25">
      <c r="B142" s="34"/>
      <c r="C142" s="45"/>
      <c r="D142" s="34"/>
      <c r="E142" s="34"/>
      <c r="G142" s="39"/>
      <c r="H142" s="40"/>
      <c r="I142" s="41"/>
      <c r="J142" s="41"/>
      <c r="L142" s="34">
        <v>135</v>
      </c>
      <c r="M142" s="35"/>
      <c r="N142" s="35"/>
      <c r="O142" s="34">
        <f>IFERROR(SUMIF(Table431[,],Table633[[#This Row],[Accounts Name]],Table431[,3]),"")</f>
        <v>0</v>
      </c>
      <c r="P142" s="34">
        <f>IFERROR(SUMIF(Table431[,],Table633[[#This Row],[Accounts Name]],Table431[,2]),"")</f>
        <v>0</v>
      </c>
      <c r="S142" s="36">
        <f t="shared" si="2"/>
        <v>135</v>
      </c>
      <c r="T142" s="34"/>
      <c r="U142" s="37"/>
      <c r="V142" s="34">
        <f>IFERROR(SUMIF(Table633[Sub-Accounts],Table834[[#This Row],[Update your chart of accounts here]],Table633[Debit]),"")</f>
        <v>0</v>
      </c>
      <c r="W142" s="34">
        <f>IFERROR(SUMIF(Table633[Sub-Accounts],Table834[[#This Row],[Update your chart of accounts here]],Table633[Credit]),"")</f>
        <v>0</v>
      </c>
      <c r="X142" s="34"/>
      <c r="Y142" s="34"/>
      <c r="Z142" s="34"/>
      <c r="AA142" s="34"/>
      <c r="AB142" s="34">
        <f>MAX(Table834[[#This Row],[Debit]]+Table834[[#This Row],[Debit -]]-Table834[[#This Row],[Credit]]-Table834[[#This Row],[Credit +]],0)</f>
        <v>0</v>
      </c>
      <c r="AC142" s="34">
        <f>MAX(Table834[[#This Row],[Credit]]-Table834[[#This Row],[Debit]]+Table834[[#This Row],[Credit +]]-Table834[[#This Row],[Debit -]],0)</f>
        <v>0</v>
      </c>
      <c r="AD142" s="34" t="str">
        <f>IFERROR(IF(AND(OR(Table834[[#This Row],[Classification]]="Expense",Table834[[#This Row],[Classification]]="Cost of Goods Sold"),Table834[[#This Row],[Debit\]]&gt;Table834[[#This Row],[Credit.]]),Table834[[#This Row],[Debit\]]-Table834[[#This Row],[Credit.]],""),"")</f>
        <v/>
      </c>
      <c r="AE142" s="34" t="str">
        <f>IFERROR(IF(AND(OR(Table834[[#This Row],[Classification]]="Income",Table834[[#This Row],[Classification]]="Cost of Goods Sold"),Table834[[#This Row],[Credit.]]&gt;Table834[[#This Row],[Debit\]]),Table834[[#This Row],[Credit.]]-Table834[[#This Row],[Debit\]],""),"")</f>
        <v/>
      </c>
      <c r="AF142" s="34"/>
      <c r="AG142" s="34" t="str">
        <f>IFERROR(IF(AND(Table834[[#This Row],[Classification]]="Assets",Table834[[#This Row],[Debit\]]-Table834[[#This Row],[Credit.]]),Table834[[#This Row],[Debit\]]-Table834[[#This Row],[Credit.]],""),"")</f>
        <v/>
      </c>
      <c r="AH142" s="34" t="str">
        <f>IFERROR(IF(AND(OR(Table834[[#This Row],[Classification]]="Liabilities",Table834[[#This Row],[Classification]]="Owner´s Equity"),Table834[[#This Row],[Credit.]]&gt;Table834[[#This Row],[Debit\]]),Table834[[#This Row],[Credit.]]-Table834[[#This Row],[Debit\]],""),"")</f>
        <v/>
      </c>
    </row>
    <row r="143" spans="2:34" hidden="1" x14ac:dyDescent="0.25">
      <c r="B143" s="34"/>
      <c r="C143" s="45"/>
      <c r="D143" s="34"/>
      <c r="E143" s="34"/>
      <c r="G143" s="39"/>
      <c r="H143" s="43"/>
      <c r="I143" s="41"/>
      <c r="J143" s="41"/>
      <c r="L143" s="34">
        <v>136</v>
      </c>
      <c r="M143" s="35"/>
      <c r="N143" s="35"/>
      <c r="O143" s="34">
        <f>IFERROR(SUMIF(Table431[,],Table633[[#This Row],[Accounts Name]],Table431[,3]),"")</f>
        <v>0</v>
      </c>
      <c r="P143" s="34">
        <f>IFERROR(SUMIF(Table431[,],Table633[[#This Row],[Accounts Name]],Table431[,2]),"")</f>
        <v>0</v>
      </c>
      <c r="S143" s="36">
        <f t="shared" si="2"/>
        <v>136</v>
      </c>
      <c r="T143" s="34"/>
      <c r="U143" s="37"/>
      <c r="V143" s="34">
        <f>IFERROR(SUMIF(Table633[Sub-Accounts],Table834[[#This Row],[Update your chart of accounts here]],Table633[Debit]),"")</f>
        <v>0</v>
      </c>
      <c r="W143" s="34">
        <f>IFERROR(SUMIF(Table633[Sub-Accounts],Table834[[#This Row],[Update your chart of accounts here]],Table633[Credit]),"")</f>
        <v>0</v>
      </c>
      <c r="X143" s="34"/>
      <c r="Y143" s="34"/>
      <c r="Z143" s="34"/>
      <c r="AA143" s="34"/>
      <c r="AB143" s="34">
        <f>MAX(Table834[[#This Row],[Debit]]+Table834[[#This Row],[Debit -]]-Table834[[#This Row],[Credit]]-Table834[[#This Row],[Credit +]],0)</f>
        <v>0</v>
      </c>
      <c r="AC143" s="34">
        <f>MAX(Table834[[#This Row],[Credit]]-Table834[[#This Row],[Debit]]+Table834[[#This Row],[Credit +]]-Table834[[#This Row],[Debit -]],0)</f>
        <v>0</v>
      </c>
      <c r="AD143" s="34" t="str">
        <f>IFERROR(IF(AND(OR(Table834[[#This Row],[Classification]]="Expense",Table834[[#This Row],[Classification]]="Cost of Goods Sold"),Table834[[#This Row],[Debit\]]&gt;Table834[[#This Row],[Credit.]]),Table834[[#This Row],[Debit\]]-Table834[[#This Row],[Credit.]],""),"")</f>
        <v/>
      </c>
      <c r="AE143" s="34" t="str">
        <f>IFERROR(IF(AND(OR(Table834[[#This Row],[Classification]]="Income",Table834[[#This Row],[Classification]]="Cost of Goods Sold"),Table834[[#This Row],[Credit.]]&gt;Table834[[#This Row],[Debit\]]),Table834[[#This Row],[Credit.]]-Table834[[#This Row],[Debit\]],""),"")</f>
        <v/>
      </c>
      <c r="AF143" s="34"/>
      <c r="AG143" s="34" t="str">
        <f>IFERROR(IF(AND(Table834[[#This Row],[Classification]]="Assets",Table834[[#This Row],[Debit\]]-Table834[[#This Row],[Credit.]]),Table834[[#This Row],[Debit\]]-Table834[[#This Row],[Credit.]],""),"")</f>
        <v/>
      </c>
      <c r="AH143" s="34" t="str">
        <f>IFERROR(IF(AND(OR(Table834[[#This Row],[Classification]]="Liabilities",Table834[[#This Row],[Classification]]="Owner´s Equity"),Table834[[#This Row],[Credit.]]&gt;Table834[[#This Row],[Debit\]]),Table834[[#This Row],[Credit.]]-Table834[[#This Row],[Debit\]],""),"")</f>
        <v/>
      </c>
    </row>
    <row r="144" spans="2:34" hidden="1" x14ac:dyDescent="0.25">
      <c r="B144" s="34"/>
      <c r="C144" s="45"/>
      <c r="D144" s="34"/>
      <c r="E144" s="34"/>
      <c r="G144" s="39"/>
      <c r="H144" s="40"/>
      <c r="I144" s="41"/>
      <c r="J144" s="41"/>
      <c r="L144" s="34">
        <v>137</v>
      </c>
      <c r="M144" s="35"/>
      <c r="N144" s="35"/>
      <c r="O144" s="34">
        <f>IFERROR(SUMIF(Table431[,],Table633[[#This Row],[Accounts Name]],Table431[,3]),"")</f>
        <v>0</v>
      </c>
      <c r="P144" s="34">
        <f>IFERROR(SUMIF(Table431[,],Table633[[#This Row],[Accounts Name]],Table431[,2]),"")</f>
        <v>0</v>
      </c>
      <c r="S144" s="36">
        <f t="shared" si="2"/>
        <v>137</v>
      </c>
      <c r="T144" s="34"/>
      <c r="U144" s="37"/>
      <c r="V144" s="34">
        <f>IFERROR(SUMIF(Table633[Sub-Accounts],Table834[[#This Row],[Update your chart of accounts here]],Table633[Debit]),"")</f>
        <v>0</v>
      </c>
      <c r="W144" s="34">
        <f>IFERROR(SUMIF(Table633[Sub-Accounts],Table834[[#This Row],[Update your chart of accounts here]],Table633[Credit]),"")</f>
        <v>0</v>
      </c>
      <c r="X144" s="34"/>
      <c r="Y144" s="34"/>
      <c r="Z144" s="34"/>
      <c r="AA144" s="34"/>
      <c r="AB144" s="34">
        <f>MAX(Table834[[#This Row],[Debit]]+Table834[[#This Row],[Debit -]]-Table834[[#This Row],[Credit]]-Table834[[#This Row],[Credit +]],0)</f>
        <v>0</v>
      </c>
      <c r="AC144" s="34">
        <f>MAX(Table834[[#This Row],[Credit]]-Table834[[#This Row],[Debit]]+Table834[[#This Row],[Credit +]]-Table834[[#This Row],[Debit -]],0)</f>
        <v>0</v>
      </c>
      <c r="AD144" s="34" t="str">
        <f>IFERROR(IF(AND(OR(Table834[[#This Row],[Classification]]="Expense",Table834[[#This Row],[Classification]]="Cost of Goods Sold"),Table834[[#This Row],[Debit\]]&gt;Table834[[#This Row],[Credit.]]),Table834[[#This Row],[Debit\]]-Table834[[#This Row],[Credit.]],""),"")</f>
        <v/>
      </c>
      <c r="AE144" s="34" t="str">
        <f>IFERROR(IF(AND(OR(Table834[[#This Row],[Classification]]="Income",Table834[[#This Row],[Classification]]="Cost of Goods Sold"),Table834[[#This Row],[Credit.]]&gt;Table834[[#This Row],[Debit\]]),Table834[[#This Row],[Credit.]]-Table834[[#This Row],[Debit\]],""),"")</f>
        <v/>
      </c>
      <c r="AF144" s="34"/>
      <c r="AG144" s="34" t="str">
        <f>IFERROR(IF(AND(Table834[[#This Row],[Classification]]="Assets",Table834[[#This Row],[Debit\]]-Table834[[#This Row],[Credit.]]),Table834[[#This Row],[Debit\]]-Table834[[#This Row],[Credit.]],""),"")</f>
        <v/>
      </c>
      <c r="AH144" s="34" t="str">
        <f>IFERROR(IF(AND(OR(Table834[[#This Row],[Classification]]="Liabilities",Table834[[#This Row],[Classification]]="Owner´s Equity"),Table834[[#This Row],[Credit.]]&gt;Table834[[#This Row],[Debit\]]),Table834[[#This Row],[Credit.]]-Table834[[#This Row],[Debit\]],""),"")</f>
        <v/>
      </c>
    </row>
    <row r="145" spans="2:34" hidden="1" x14ac:dyDescent="0.25">
      <c r="B145" s="34"/>
      <c r="C145" s="45"/>
      <c r="D145" s="34"/>
      <c r="E145" s="34"/>
      <c r="G145" s="39"/>
      <c r="H145" s="40"/>
      <c r="I145" s="41"/>
      <c r="J145" s="41"/>
      <c r="L145" s="34">
        <v>138</v>
      </c>
      <c r="M145" s="35"/>
      <c r="N145" s="35"/>
      <c r="O145" s="34">
        <f>IFERROR(SUMIF(Table431[,],Table633[[#This Row],[Accounts Name]],Table431[,3]),"")</f>
        <v>0</v>
      </c>
      <c r="P145" s="34">
        <f>IFERROR(SUMIF(Table431[,],Table633[[#This Row],[Accounts Name]],Table431[,2]),"")</f>
        <v>0</v>
      </c>
      <c r="S145" s="36">
        <f t="shared" si="2"/>
        <v>138</v>
      </c>
      <c r="T145" s="34"/>
      <c r="U145" s="37"/>
      <c r="V145" s="34">
        <f>IFERROR(SUMIF(Table633[Sub-Accounts],Table834[[#This Row],[Update your chart of accounts here]],Table633[Debit]),"")</f>
        <v>0</v>
      </c>
      <c r="W145" s="34">
        <f>IFERROR(SUMIF(Table633[Sub-Accounts],Table834[[#This Row],[Update your chart of accounts here]],Table633[Credit]),"")</f>
        <v>0</v>
      </c>
      <c r="X145" s="34"/>
      <c r="Y145" s="34"/>
      <c r="Z145" s="34"/>
      <c r="AA145" s="34"/>
      <c r="AB145" s="34">
        <f>MAX(Table834[[#This Row],[Debit]]+Table834[[#This Row],[Debit -]]-Table834[[#This Row],[Credit]]-Table834[[#This Row],[Credit +]],0)</f>
        <v>0</v>
      </c>
      <c r="AC145" s="34">
        <f>MAX(Table834[[#This Row],[Credit]]-Table834[[#This Row],[Debit]]+Table834[[#This Row],[Credit +]]-Table834[[#This Row],[Debit -]],0)</f>
        <v>0</v>
      </c>
      <c r="AD145" s="34" t="str">
        <f>IFERROR(IF(AND(OR(Table834[[#This Row],[Classification]]="Expense",Table834[[#This Row],[Classification]]="Cost of Goods Sold"),Table834[[#This Row],[Debit\]]&gt;Table834[[#This Row],[Credit.]]),Table834[[#This Row],[Debit\]]-Table834[[#This Row],[Credit.]],""),"")</f>
        <v/>
      </c>
      <c r="AE145" s="34" t="str">
        <f>IFERROR(IF(AND(OR(Table834[[#This Row],[Classification]]="Income",Table834[[#This Row],[Classification]]="Cost of Goods Sold"),Table834[[#This Row],[Credit.]]&gt;Table834[[#This Row],[Debit\]]),Table834[[#This Row],[Credit.]]-Table834[[#This Row],[Debit\]],""),"")</f>
        <v/>
      </c>
      <c r="AF145" s="34"/>
      <c r="AG145" s="34" t="str">
        <f>IFERROR(IF(AND(Table834[[#This Row],[Classification]]="Assets",Table834[[#This Row],[Debit\]]-Table834[[#This Row],[Credit.]]),Table834[[#This Row],[Debit\]]-Table834[[#This Row],[Credit.]],""),"")</f>
        <v/>
      </c>
      <c r="AH145" s="34" t="str">
        <f>IFERROR(IF(AND(OR(Table834[[#This Row],[Classification]]="Liabilities",Table834[[#This Row],[Classification]]="Owner´s Equity"),Table834[[#This Row],[Credit.]]&gt;Table834[[#This Row],[Debit\]]),Table834[[#This Row],[Credit.]]-Table834[[#This Row],[Debit\]],""),"")</f>
        <v/>
      </c>
    </row>
    <row r="146" spans="2:34" hidden="1" x14ac:dyDescent="0.25">
      <c r="B146" s="34"/>
      <c r="C146" s="45"/>
      <c r="D146" s="34"/>
      <c r="E146" s="34"/>
      <c r="G146" s="39"/>
      <c r="H146" s="43"/>
      <c r="I146" s="41"/>
      <c r="J146" s="41"/>
      <c r="L146" s="34">
        <v>139</v>
      </c>
      <c r="M146" s="35"/>
      <c r="N146" s="35"/>
      <c r="O146" s="34">
        <f>IFERROR(SUMIF(Table431[,],Table633[[#This Row],[Accounts Name]],Table431[,3]),"")</f>
        <v>0</v>
      </c>
      <c r="P146" s="34">
        <f>IFERROR(SUMIF(Table431[,],Table633[[#This Row],[Accounts Name]],Table431[,2]),"")</f>
        <v>0</v>
      </c>
      <c r="S146" s="36">
        <f t="shared" si="2"/>
        <v>139</v>
      </c>
      <c r="T146" s="34"/>
      <c r="U146" s="37"/>
      <c r="V146" s="34">
        <f>IFERROR(SUMIF(Table633[Sub-Accounts],Table834[[#This Row],[Update your chart of accounts here]],Table633[Debit]),"")</f>
        <v>0</v>
      </c>
      <c r="W146" s="34">
        <f>IFERROR(SUMIF(Table633[Sub-Accounts],Table834[[#This Row],[Update your chart of accounts here]],Table633[Credit]),"")</f>
        <v>0</v>
      </c>
      <c r="X146" s="34"/>
      <c r="Y146" s="34"/>
      <c r="Z146" s="34"/>
      <c r="AA146" s="34"/>
      <c r="AB146" s="34">
        <f>MAX(Table834[[#This Row],[Debit]]+Table834[[#This Row],[Debit -]]-Table834[[#This Row],[Credit]]-Table834[[#This Row],[Credit +]],0)</f>
        <v>0</v>
      </c>
      <c r="AC146" s="34">
        <f>MAX(Table834[[#This Row],[Credit]]-Table834[[#This Row],[Debit]]+Table834[[#This Row],[Credit +]]-Table834[[#This Row],[Debit -]],0)</f>
        <v>0</v>
      </c>
      <c r="AD146" s="34" t="str">
        <f>IFERROR(IF(AND(OR(Table834[[#This Row],[Classification]]="Expense",Table834[[#This Row],[Classification]]="Cost of Goods Sold"),Table834[[#This Row],[Debit\]]&gt;Table834[[#This Row],[Credit.]]),Table834[[#This Row],[Debit\]]-Table834[[#This Row],[Credit.]],""),"")</f>
        <v/>
      </c>
      <c r="AE146" s="34" t="str">
        <f>IFERROR(IF(AND(OR(Table834[[#This Row],[Classification]]="Income",Table834[[#This Row],[Classification]]="Cost of Goods Sold"),Table834[[#This Row],[Credit.]]&gt;Table834[[#This Row],[Debit\]]),Table834[[#This Row],[Credit.]]-Table834[[#This Row],[Debit\]],""),"")</f>
        <v/>
      </c>
      <c r="AF146" s="34"/>
      <c r="AG146" s="34" t="str">
        <f>IFERROR(IF(AND(Table834[[#This Row],[Classification]]="Assets",Table834[[#This Row],[Debit\]]-Table834[[#This Row],[Credit.]]),Table834[[#This Row],[Debit\]]-Table834[[#This Row],[Credit.]],""),"")</f>
        <v/>
      </c>
      <c r="AH146" s="34" t="str">
        <f>IFERROR(IF(AND(OR(Table834[[#This Row],[Classification]]="Liabilities",Table834[[#This Row],[Classification]]="Owner´s Equity"),Table834[[#This Row],[Credit.]]&gt;Table834[[#This Row],[Debit\]]),Table834[[#This Row],[Credit.]]-Table834[[#This Row],[Debit\]],""),"")</f>
        <v/>
      </c>
    </row>
    <row r="147" spans="2:34" hidden="1" x14ac:dyDescent="0.25">
      <c r="B147" s="34"/>
      <c r="C147" s="45"/>
      <c r="D147" s="34"/>
      <c r="E147" s="34"/>
      <c r="G147" s="39"/>
      <c r="H147" s="40"/>
      <c r="I147" s="41"/>
      <c r="J147" s="41"/>
      <c r="L147" s="34">
        <v>140</v>
      </c>
      <c r="M147" s="35"/>
      <c r="N147" s="35"/>
      <c r="O147" s="34">
        <f>IFERROR(SUMIF(Table431[,],Table633[[#This Row],[Accounts Name]],Table431[,3]),"")</f>
        <v>0</v>
      </c>
      <c r="P147" s="34">
        <f>IFERROR(SUMIF(Table431[,],Table633[[#This Row],[Accounts Name]],Table431[,2]),"")</f>
        <v>0</v>
      </c>
      <c r="S147" s="36">
        <f t="shared" si="2"/>
        <v>140</v>
      </c>
      <c r="T147" s="34"/>
      <c r="U147" s="37"/>
      <c r="V147" s="34">
        <f>IFERROR(SUMIF(Table633[Sub-Accounts],Table834[[#This Row],[Update your chart of accounts here]],Table633[Debit]),"")</f>
        <v>0</v>
      </c>
      <c r="W147" s="34">
        <f>IFERROR(SUMIF(Table633[Sub-Accounts],Table834[[#This Row],[Update your chart of accounts here]],Table633[Credit]),"")</f>
        <v>0</v>
      </c>
      <c r="X147" s="34"/>
      <c r="Y147" s="34"/>
      <c r="Z147" s="34"/>
      <c r="AA147" s="34"/>
      <c r="AB147" s="34">
        <f>MAX(Table834[[#This Row],[Debit]]+Table834[[#This Row],[Debit -]]-Table834[[#This Row],[Credit]]-Table834[[#This Row],[Credit +]],0)</f>
        <v>0</v>
      </c>
      <c r="AC147" s="34">
        <f>MAX(Table834[[#This Row],[Credit]]-Table834[[#This Row],[Debit]]+Table834[[#This Row],[Credit +]]-Table834[[#This Row],[Debit -]],0)</f>
        <v>0</v>
      </c>
      <c r="AD147" s="34" t="str">
        <f>IFERROR(IF(AND(OR(Table834[[#This Row],[Classification]]="Expense",Table834[[#This Row],[Classification]]="Cost of Goods Sold"),Table834[[#This Row],[Debit\]]&gt;Table834[[#This Row],[Credit.]]),Table834[[#This Row],[Debit\]]-Table834[[#This Row],[Credit.]],""),"")</f>
        <v/>
      </c>
      <c r="AE147" s="34" t="str">
        <f>IFERROR(IF(AND(OR(Table834[[#This Row],[Classification]]="Income",Table834[[#This Row],[Classification]]="Cost of Goods Sold"),Table834[[#This Row],[Credit.]]&gt;Table834[[#This Row],[Debit\]]),Table834[[#This Row],[Credit.]]-Table834[[#This Row],[Debit\]],""),"")</f>
        <v/>
      </c>
      <c r="AF147" s="34"/>
      <c r="AG147" s="34" t="str">
        <f>IFERROR(IF(AND(Table834[[#This Row],[Classification]]="Assets",Table834[[#This Row],[Debit\]]-Table834[[#This Row],[Credit.]]),Table834[[#This Row],[Debit\]]-Table834[[#This Row],[Credit.]],""),"")</f>
        <v/>
      </c>
      <c r="AH147" s="34" t="str">
        <f>IFERROR(IF(AND(OR(Table834[[#This Row],[Classification]]="Liabilities",Table834[[#This Row],[Classification]]="Owner´s Equity"),Table834[[#This Row],[Credit.]]&gt;Table834[[#This Row],[Debit\]]),Table834[[#This Row],[Credit.]]-Table834[[#This Row],[Debit\]],""),"")</f>
        <v/>
      </c>
    </row>
    <row r="148" spans="2:34" hidden="1" x14ac:dyDescent="0.25">
      <c r="B148" s="34"/>
      <c r="C148" s="45"/>
      <c r="D148" s="34"/>
      <c r="E148" s="34"/>
      <c r="G148" s="39"/>
      <c r="H148" s="40"/>
      <c r="I148" s="41"/>
      <c r="J148" s="41"/>
      <c r="L148" s="34">
        <v>141</v>
      </c>
      <c r="M148" s="35"/>
      <c r="N148" s="35"/>
      <c r="O148" s="34">
        <f>IFERROR(SUMIF(Table431[,],Table633[[#This Row],[Accounts Name]],Table431[,3]),"")</f>
        <v>0</v>
      </c>
      <c r="P148" s="34">
        <f>IFERROR(SUMIF(Table431[,],Table633[[#This Row],[Accounts Name]],Table431[,2]),"")</f>
        <v>0</v>
      </c>
      <c r="S148" s="36">
        <f t="shared" si="2"/>
        <v>141</v>
      </c>
      <c r="T148" s="34"/>
      <c r="U148" s="37"/>
      <c r="V148" s="34">
        <f>IFERROR(SUMIF(Table633[Sub-Accounts],Table834[[#This Row],[Update your chart of accounts here]],Table633[Debit]),"")</f>
        <v>0</v>
      </c>
      <c r="W148" s="34">
        <f>IFERROR(SUMIF(Table633[Sub-Accounts],Table834[[#This Row],[Update your chart of accounts here]],Table633[Credit]),"")</f>
        <v>0</v>
      </c>
      <c r="X148" s="34"/>
      <c r="Y148" s="34"/>
      <c r="Z148" s="34"/>
      <c r="AA148" s="34"/>
      <c r="AB148" s="34">
        <f>MAX(Table834[[#This Row],[Debit]]+Table834[[#This Row],[Debit -]]-Table834[[#This Row],[Credit]]-Table834[[#This Row],[Credit +]],0)</f>
        <v>0</v>
      </c>
      <c r="AC148" s="34">
        <f>MAX(Table834[[#This Row],[Credit]]-Table834[[#This Row],[Debit]]+Table834[[#This Row],[Credit +]]-Table834[[#This Row],[Debit -]],0)</f>
        <v>0</v>
      </c>
      <c r="AD148" s="34" t="str">
        <f>IFERROR(IF(AND(OR(Table834[[#This Row],[Classification]]="Expense",Table834[[#This Row],[Classification]]="Cost of Goods Sold"),Table834[[#This Row],[Debit\]]&gt;Table834[[#This Row],[Credit.]]),Table834[[#This Row],[Debit\]]-Table834[[#This Row],[Credit.]],""),"")</f>
        <v/>
      </c>
      <c r="AE148" s="34" t="str">
        <f>IFERROR(IF(AND(OR(Table834[[#This Row],[Classification]]="Income",Table834[[#This Row],[Classification]]="Cost of Goods Sold"),Table834[[#This Row],[Credit.]]&gt;Table834[[#This Row],[Debit\]]),Table834[[#This Row],[Credit.]]-Table834[[#This Row],[Debit\]],""),"")</f>
        <v/>
      </c>
      <c r="AF148" s="34"/>
      <c r="AG148" s="34" t="str">
        <f>IFERROR(IF(AND(Table834[[#This Row],[Classification]]="Assets",Table834[[#This Row],[Debit\]]-Table834[[#This Row],[Credit.]]),Table834[[#This Row],[Debit\]]-Table834[[#This Row],[Credit.]],""),"")</f>
        <v/>
      </c>
      <c r="AH148" s="34" t="str">
        <f>IFERROR(IF(AND(OR(Table834[[#This Row],[Classification]]="Liabilities",Table834[[#This Row],[Classification]]="Owner´s Equity"),Table834[[#This Row],[Credit.]]&gt;Table834[[#This Row],[Debit\]]),Table834[[#This Row],[Credit.]]-Table834[[#This Row],[Debit\]],""),"")</f>
        <v/>
      </c>
    </row>
    <row r="149" spans="2:34" hidden="1" x14ac:dyDescent="0.25">
      <c r="B149" s="34"/>
      <c r="C149" s="45"/>
      <c r="D149" s="34"/>
      <c r="E149" s="34"/>
      <c r="G149" s="39"/>
      <c r="H149" s="43"/>
      <c r="I149" s="41"/>
      <c r="J149" s="41"/>
      <c r="L149" s="34">
        <v>142</v>
      </c>
      <c r="M149" s="35"/>
      <c r="N149" s="35"/>
      <c r="O149" s="34">
        <f>IFERROR(SUMIF(Table431[,],Table633[[#This Row],[Accounts Name]],Table431[,3]),"")</f>
        <v>0</v>
      </c>
      <c r="P149" s="34">
        <f>IFERROR(SUMIF(Table431[,],Table633[[#This Row],[Accounts Name]],Table431[,2]),"")</f>
        <v>0</v>
      </c>
      <c r="S149" s="36">
        <f t="shared" si="2"/>
        <v>142</v>
      </c>
      <c r="T149" s="34"/>
      <c r="U149" s="37"/>
      <c r="V149" s="34">
        <f>IFERROR(SUMIF(Table633[Sub-Accounts],Table834[[#This Row],[Update your chart of accounts here]],Table633[Debit]),"")</f>
        <v>0</v>
      </c>
      <c r="W149" s="34">
        <f>IFERROR(SUMIF(Table633[Sub-Accounts],Table834[[#This Row],[Update your chart of accounts here]],Table633[Credit]),"")</f>
        <v>0</v>
      </c>
      <c r="X149" s="34"/>
      <c r="Y149" s="34"/>
      <c r="Z149" s="34"/>
      <c r="AA149" s="34"/>
      <c r="AB149" s="34">
        <f>MAX(Table834[[#This Row],[Debit]]+Table834[[#This Row],[Debit -]]-Table834[[#This Row],[Credit]]-Table834[[#This Row],[Credit +]],0)</f>
        <v>0</v>
      </c>
      <c r="AC149" s="34">
        <f>MAX(Table834[[#This Row],[Credit]]-Table834[[#This Row],[Debit]]+Table834[[#This Row],[Credit +]]-Table834[[#This Row],[Debit -]],0)</f>
        <v>0</v>
      </c>
      <c r="AD149" s="34" t="str">
        <f>IFERROR(IF(AND(OR(Table834[[#This Row],[Classification]]="Expense",Table834[[#This Row],[Classification]]="Cost of Goods Sold"),Table834[[#This Row],[Debit\]]&gt;Table834[[#This Row],[Credit.]]),Table834[[#This Row],[Debit\]]-Table834[[#This Row],[Credit.]],""),"")</f>
        <v/>
      </c>
      <c r="AE149" s="34" t="str">
        <f>IFERROR(IF(AND(OR(Table834[[#This Row],[Classification]]="Income",Table834[[#This Row],[Classification]]="Cost of Goods Sold"),Table834[[#This Row],[Credit.]]&gt;Table834[[#This Row],[Debit\]]),Table834[[#This Row],[Credit.]]-Table834[[#This Row],[Debit\]],""),"")</f>
        <v/>
      </c>
      <c r="AF149" s="34"/>
      <c r="AG149" s="34" t="str">
        <f>IFERROR(IF(AND(Table834[[#This Row],[Classification]]="Assets",Table834[[#This Row],[Debit\]]-Table834[[#This Row],[Credit.]]),Table834[[#This Row],[Debit\]]-Table834[[#This Row],[Credit.]],""),"")</f>
        <v/>
      </c>
      <c r="AH149" s="34" t="str">
        <f>IFERROR(IF(AND(OR(Table834[[#This Row],[Classification]]="Liabilities",Table834[[#This Row],[Classification]]="Owner´s Equity"),Table834[[#This Row],[Credit.]]&gt;Table834[[#This Row],[Debit\]]),Table834[[#This Row],[Credit.]]-Table834[[#This Row],[Debit\]],""),"")</f>
        <v/>
      </c>
    </row>
    <row r="150" spans="2:34" hidden="1" x14ac:dyDescent="0.25">
      <c r="B150" s="34"/>
      <c r="C150" s="45"/>
      <c r="D150" s="34"/>
      <c r="E150" s="34"/>
      <c r="G150" s="39"/>
      <c r="H150" s="40"/>
      <c r="I150" s="41"/>
      <c r="J150" s="41"/>
      <c r="L150" s="34">
        <v>143</v>
      </c>
      <c r="M150" s="35"/>
      <c r="N150" s="35"/>
      <c r="O150" s="34">
        <f>IFERROR(SUMIF(Table431[,],Table633[[#This Row],[Accounts Name]],Table431[,3]),"")</f>
        <v>0</v>
      </c>
      <c r="P150" s="34">
        <f>IFERROR(SUMIF(Table431[,],Table633[[#This Row],[Accounts Name]],Table431[,2]),"")</f>
        <v>0</v>
      </c>
      <c r="S150" s="36">
        <f t="shared" si="2"/>
        <v>143</v>
      </c>
      <c r="T150" s="34"/>
      <c r="U150" s="37"/>
      <c r="V150" s="34">
        <f>IFERROR(SUMIF(Table633[Sub-Accounts],Table834[[#This Row],[Update your chart of accounts here]],Table633[Debit]),"")</f>
        <v>0</v>
      </c>
      <c r="W150" s="34">
        <f>IFERROR(SUMIF(Table633[Sub-Accounts],Table834[[#This Row],[Update your chart of accounts here]],Table633[Credit]),"")</f>
        <v>0</v>
      </c>
      <c r="X150" s="34"/>
      <c r="Y150" s="34"/>
      <c r="Z150" s="34"/>
      <c r="AA150" s="34"/>
      <c r="AB150" s="34">
        <f>MAX(Table834[[#This Row],[Debit]]+Table834[[#This Row],[Debit -]]-Table834[[#This Row],[Credit]]-Table834[[#This Row],[Credit +]],0)</f>
        <v>0</v>
      </c>
      <c r="AC150" s="34">
        <f>MAX(Table834[[#This Row],[Credit]]-Table834[[#This Row],[Debit]]+Table834[[#This Row],[Credit +]]-Table834[[#This Row],[Debit -]],0)</f>
        <v>0</v>
      </c>
      <c r="AD150" s="34" t="str">
        <f>IFERROR(IF(AND(OR(Table834[[#This Row],[Classification]]="Expense",Table834[[#This Row],[Classification]]="Cost of Goods Sold"),Table834[[#This Row],[Debit\]]&gt;Table834[[#This Row],[Credit.]]),Table834[[#This Row],[Debit\]]-Table834[[#This Row],[Credit.]],""),"")</f>
        <v/>
      </c>
      <c r="AE150" s="34" t="str">
        <f>IFERROR(IF(AND(OR(Table834[[#This Row],[Classification]]="Income",Table834[[#This Row],[Classification]]="Cost of Goods Sold"),Table834[[#This Row],[Credit.]]&gt;Table834[[#This Row],[Debit\]]),Table834[[#This Row],[Credit.]]-Table834[[#This Row],[Debit\]],""),"")</f>
        <v/>
      </c>
      <c r="AF150" s="34"/>
      <c r="AG150" s="34" t="str">
        <f>IFERROR(IF(AND(Table834[[#This Row],[Classification]]="Assets",Table834[[#This Row],[Debit\]]-Table834[[#This Row],[Credit.]]),Table834[[#This Row],[Debit\]]-Table834[[#This Row],[Credit.]],""),"")</f>
        <v/>
      </c>
      <c r="AH150" s="34" t="str">
        <f>IFERROR(IF(AND(OR(Table834[[#This Row],[Classification]]="Liabilities",Table834[[#This Row],[Classification]]="Owner´s Equity"),Table834[[#This Row],[Credit.]]&gt;Table834[[#This Row],[Debit\]]),Table834[[#This Row],[Credit.]]-Table834[[#This Row],[Debit\]],""),"")</f>
        <v/>
      </c>
    </row>
    <row r="151" spans="2:34" hidden="1" x14ac:dyDescent="0.25">
      <c r="B151" s="34"/>
      <c r="C151" s="45"/>
      <c r="D151" s="34"/>
      <c r="E151" s="34"/>
      <c r="G151" s="39"/>
      <c r="H151" s="40"/>
      <c r="I151" s="41"/>
      <c r="J151" s="41"/>
      <c r="L151" s="34">
        <v>144</v>
      </c>
      <c r="M151" s="35"/>
      <c r="N151" s="35"/>
      <c r="O151" s="34">
        <f>IFERROR(SUMIF(Table431[,],Table633[[#This Row],[Accounts Name]],Table431[,3]),"")</f>
        <v>0</v>
      </c>
      <c r="P151" s="34">
        <f>IFERROR(SUMIF(Table431[,],Table633[[#This Row],[Accounts Name]],Table431[,2]),"")</f>
        <v>0</v>
      </c>
      <c r="S151" s="36">
        <f t="shared" si="2"/>
        <v>144</v>
      </c>
      <c r="T151" s="34"/>
      <c r="U151" s="37"/>
      <c r="V151" s="34">
        <f>IFERROR(SUMIF(Table633[Sub-Accounts],Table834[[#This Row],[Update your chart of accounts here]],Table633[Debit]),"")</f>
        <v>0</v>
      </c>
      <c r="W151" s="34">
        <f>IFERROR(SUMIF(Table633[Sub-Accounts],Table834[[#This Row],[Update your chart of accounts here]],Table633[Credit]),"")</f>
        <v>0</v>
      </c>
      <c r="X151" s="34"/>
      <c r="Y151" s="34"/>
      <c r="Z151" s="34"/>
      <c r="AA151" s="34"/>
      <c r="AB151" s="34">
        <f>MAX(Table834[[#This Row],[Debit]]+Table834[[#This Row],[Debit -]]-Table834[[#This Row],[Credit]]-Table834[[#This Row],[Credit +]],0)</f>
        <v>0</v>
      </c>
      <c r="AC151" s="34">
        <f>MAX(Table834[[#This Row],[Credit]]-Table834[[#This Row],[Debit]]+Table834[[#This Row],[Credit +]]-Table834[[#This Row],[Debit -]],0)</f>
        <v>0</v>
      </c>
      <c r="AD151" s="34" t="str">
        <f>IFERROR(IF(AND(OR(Table834[[#This Row],[Classification]]="Expense",Table834[[#This Row],[Classification]]="Cost of Goods Sold"),Table834[[#This Row],[Debit\]]&gt;Table834[[#This Row],[Credit.]]),Table834[[#This Row],[Debit\]]-Table834[[#This Row],[Credit.]],""),"")</f>
        <v/>
      </c>
      <c r="AE151" s="34" t="str">
        <f>IFERROR(IF(AND(OR(Table834[[#This Row],[Classification]]="Income",Table834[[#This Row],[Classification]]="Cost of Goods Sold"),Table834[[#This Row],[Credit.]]&gt;Table834[[#This Row],[Debit\]]),Table834[[#This Row],[Credit.]]-Table834[[#This Row],[Debit\]],""),"")</f>
        <v/>
      </c>
      <c r="AF151" s="34"/>
      <c r="AG151" s="34" t="str">
        <f>IFERROR(IF(AND(Table834[[#This Row],[Classification]]="Assets",Table834[[#This Row],[Debit\]]-Table834[[#This Row],[Credit.]]),Table834[[#This Row],[Debit\]]-Table834[[#This Row],[Credit.]],""),"")</f>
        <v/>
      </c>
      <c r="AH151" s="34" t="str">
        <f>IFERROR(IF(AND(OR(Table834[[#This Row],[Classification]]="Liabilities",Table834[[#This Row],[Classification]]="Owner´s Equity"),Table834[[#This Row],[Credit.]]&gt;Table834[[#This Row],[Debit\]]),Table834[[#This Row],[Credit.]]-Table834[[#This Row],[Debit\]],""),"")</f>
        <v/>
      </c>
    </row>
    <row r="152" spans="2:34" hidden="1" x14ac:dyDescent="0.25">
      <c r="B152" s="34"/>
      <c r="C152" s="45"/>
      <c r="D152" s="34"/>
      <c r="E152" s="34"/>
      <c r="G152" s="39"/>
      <c r="H152" s="43"/>
      <c r="I152" s="41"/>
      <c r="J152" s="41"/>
      <c r="L152" s="34">
        <v>145</v>
      </c>
      <c r="M152" s="35"/>
      <c r="N152" s="35"/>
      <c r="O152" s="34">
        <f>IFERROR(SUMIF(Table431[,],Table633[[#This Row],[Accounts Name]],Table431[,3]),"")</f>
        <v>0</v>
      </c>
      <c r="P152" s="34">
        <f>IFERROR(SUMIF(Table431[,],Table633[[#This Row],[Accounts Name]],Table431[,2]),"")</f>
        <v>0</v>
      </c>
      <c r="S152" s="36">
        <f t="shared" si="2"/>
        <v>145</v>
      </c>
      <c r="T152" s="34"/>
      <c r="U152" s="37"/>
      <c r="V152" s="34">
        <f>IFERROR(SUMIF(Table633[Sub-Accounts],Table834[[#This Row],[Update your chart of accounts here]],Table633[Debit]),"")</f>
        <v>0</v>
      </c>
      <c r="W152" s="34">
        <f>IFERROR(SUMIF(Table633[Sub-Accounts],Table834[[#This Row],[Update your chart of accounts here]],Table633[Credit]),"")</f>
        <v>0</v>
      </c>
      <c r="X152" s="34"/>
      <c r="Y152" s="34"/>
      <c r="Z152" s="34"/>
      <c r="AA152" s="34"/>
      <c r="AB152" s="34">
        <f>MAX(Table834[[#This Row],[Debit]]+Table834[[#This Row],[Debit -]]-Table834[[#This Row],[Credit]]-Table834[[#This Row],[Credit +]],0)</f>
        <v>0</v>
      </c>
      <c r="AC152" s="34">
        <f>MAX(Table834[[#This Row],[Credit]]-Table834[[#This Row],[Debit]]+Table834[[#This Row],[Credit +]]-Table834[[#This Row],[Debit -]],0)</f>
        <v>0</v>
      </c>
      <c r="AD152" s="34" t="str">
        <f>IFERROR(IF(AND(OR(Table834[[#This Row],[Classification]]="Expense",Table834[[#This Row],[Classification]]="Cost of Goods Sold"),Table834[[#This Row],[Debit\]]&gt;Table834[[#This Row],[Credit.]]),Table834[[#This Row],[Debit\]]-Table834[[#This Row],[Credit.]],""),"")</f>
        <v/>
      </c>
      <c r="AE152" s="34" t="str">
        <f>IFERROR(IF(AND(OR(Table834[[#This Row],[Classification]]="Income",Table834[[#This Row],[Classification]]="Cost of Goods Sold"),Table834[[#This Row],[Credit.]]&gt;Table834[[#This Row],[Debit\]]),Table834[[#This Row],[Credit.]]-Table834[[#This Row],[Debit\]],""),"")</f>
        <v/>
      </c>
      <c r="AF152" s="34"/>
      <c r="AG152" s="34" t="str">
        <f>IFERROR(IF(AND(Table834[[#This Row],[Classification]]="Assets",Table834[[#This Row],[Debit\]]-Table834[[#This Row],[Credit.]]),Table834[[#This Row],[Debit\]]-Table834[[#This Row],[Credit.]],""),"")</f>
        <v/>
      </c>
      <c r="AH152" s="34" t="str">
        <f>IFERROR(IF(AND(OR(Table834[[#This Row],[Classification]]="Liabilities",Table834[[#This Row],[Classification]]="Owner´s Equity"),Table834[[#This Row],[Credit.]]&gt;Table834[[#This Row],[Debit\]]),Table834[[#This Row],[Credit.]]-Table834[[#This Row],[Debit\]],""),"")</f>
        <v/>
      </c>
    </row>
    <row r="153" spans="2:34" hidden="1" x14ac:dyDescent="0.25">
      <c r="B153" s="34"/>
      <c r="C153" s="45"/>
      <c r="D153" s="34"/>
      <c r="E153" s="34"/>
      <c r="G153" s="39"/>
      <c r="H153" s="40"/>
      <c r="I153" s="41"/>
      <c r="J153" s="41"/>
      <c r="L153" s="34">
        <v>146</v>
      </c>
      <c r="M153" s="35"/>
      <c r="N153" s="35"/>
      <c r="O153" s="34">
        <f>IFERROR(SUMIF(Table431[,],Table633[[#This Row],[Accounts Name]],Table431[,3]),"")</f>
        <v>0</v>
      </c>
      <c r="P153" s="34">
        <f>IFERROR(SUMIF(Table431[,],Table633[[#This Row],[Accounts Name]],Table431[,2]),"")</f>
        <v>0</v>
      </c>
      <c r="S153" s="36">
        <f t="shared" si="2"/>
        <v>146</v>
      </c>
      <c r="T153" s="34"/>
      <c r="U153" s="37"/>
      <c r="V153" s="34">
        <f>IFERROR(SUMIF(Table633[Sub-Accounts],Table834[[#This Row],[Update your chart of accounts here]],Table633[Debit]),"")</f>
        <v>0</v>
      </c>
      <c r="W153" s="34">
        <f>IFERROR(SUMIF(Table633[Sub-Accounts],Table834[[#This Row],[Update your chart of accounts here]],Table633[Credit]),"")</f>
        <v>0</v>
      </c>
      <c r="X153" s="34"/>
      <c r="Y153" s="34"/>
      <c r="Z153" s="34"/>
      <c r="AA153" s="34"/>
      <c r="AB153" s="34">
        <f>MAX(Table834[[#This Row],[Debit]]+Table834[[#This Row],[Debit -]]-Table834[[#This Row],[Credit]]-Table834[[#This Row],[Credit +]],0)</f>
        <v>0</v>
      </c>
      <c r="AC153" s="34">
        <f>MAX(Table834[[#This Row],[Credit]]-Table834[[#This Row],[Debit]]+Table834[[#This Row],[Credit +]]-Table834[[#This Row],[Debit -]],0)</f>
        <v>0</v>
      </c>
      <c r="AD153" s="34" t="str">
        <f>IFERROR(IF(AND(OR(Table834[[#This Row],[Classification]]="Expense",Table834[[#This Row],[Classification]]="Cost of Goods Sold"),Table834[[#This Row],[Debit\]]&gt;Table834[[#This Row],[Credit.]]),Table834[[#This Row],[Debit\]]-Table834[[#This Row],[Credit.]],""),"")</f>
        <v/>
      </c>
      <c r="AE153" s="34" t="str">
        <f>IFERROR(IF(AND(OR(Table834[[#This Row],[Classification]]="Income",Table834[[#This Row],[Classification]]="Cost of Goods Sold"),Table834[[#This Row],[Credit.]]&gt;Table834[[#This Row],[Debit\]]),Table834[[#This Row],[Credit.]]-Table834[[#This Row],[Debit\]],""),"")</f>
        <v/>
      </c>
      <c r="AF153" s="34"/>
      <c r="AG153" s="34" t="str">
        <f>IFERROR(IF(AND(Table834[[#This Row],[Classification]]="Assets",Table834[[#This Row],[Debit\]]-Table834[[#This Row],[Credit.]]),Table834[[#This Row],[Debit\]]-Table834[[#This Row],[Credit.]],""),"")</f>
        <v/>
      </c>
      <c r="AH153" s="34" t="str">
        <f>IFERROR(IF(AND(OR(Table834[[#This Row],[Classification]]="Liabilities",Table834[[#This Row],[Classification]]="Owner´s Equity"),Table834[[#This Row],[Credit.]]&gt;Table834[[#This Row],[Debit\]]),Table834[[#This Row],[Credit.]]-Table834[[#This Row],[Debit\]],""),"")</f>
        <v/>
      </c>
    </row>
    <row r="154" spans="2:34" hidden="1" x14ac:dyDescent="0.25">
      <c r="B154" s="34"/>
      <c r="C154" s="45"/>
      <c r="D154" s="34"/>
      <c r="E154" s="34"/>
      <c r="G154" s="39"/>
      <c r="H154" s="40"/>
      <c r="I154" s="41"/>
      <c r="J154" s="41"/>
      <c r="L154" s="34">
        <v>147</v>
      </c>
      <c r="M154" s="35"/>
      <c r="N154" s="35"/>
      <c r="O154" s="34">
        <f>IFERROR(SUMIF(Table431[,],Table633[[#This Row],[Accounts Name]],Table431[,3]),"")</f>
        <v>0</v>
      </c>
      <c r="P154" s="34">
        <f>IFERROR(SUMIF(Table431[,],Table633[[#This Row],[Accounts Name]],Table431[,2]),"")</f>
        <v>0</v>
      </c>
      <c r="S154" s="36">
        <f t="shared" si="2"/>
        <v>147</v>
      </c>
      <c r="T154" s="34"/>
      <c r="U154" s="37"/>
      <c r="V154" s="34">
        <f>IFERROR(SUMIF(Table633[Sub-Accounts],Table834[[#This Row],[Update your chart of accounts here]],Table633[Debit]),"")</f>
        <v>0</v>
      </c>
      <c r="W154" s="34">
        <f>IFERROR(SUMIF(Table633[Sub-Accounts],Table834[[#This Row],[Update your chart of accounts here]],Table633[Credit]),"")</f>
        <v>0</v>
      </c>
      <c r="X154" s="34"/>
      <c r="Y154" s="34"/>
      <c r="Z154" s="34"/>
      <c r="AA154" s="34"/>
      <c r="AB154" s="34">
        <f>MAX(Table834[[#This Row],[Debit]]+Table834[[#This Row],[Debit -]]-Table834[[#This Row],[Credit]]-Table834[[#This Row],[Credit +]],0)</f>
        <v>0</v>
      </c>
      <c r="AC154" s="34">
        <f>MAX(Table834[[#This Row],[Credit]]-Table834[[#This Row],[Debit]]+Table834[[#This Row],[Credit +]]-Table834[[#This Row],[Debit -]],0)</f>
        <v>0</v>
      </c>
      <c r="AD154" s="34" t="str">
        <f>IFERROR(IF(AND(OR(Table834[[#This Row],[Classification]]="Expense",Table834[[#This Row],[Classification]]="Cost of Goods Sold"),Table834[[#This Row],[Debit\]]&gt;Table834[[#This Row],[Credit.]]),Table834[[#This Row],[Debit\]]-Table834[[#This Row],[Credit.]],""),"")</f>
        <v/>
      </c>
      <c r="AE154" s="34" t="str">
        <f>IFERROR(IF(AND(OR(Table834[[#This Row],[Classification]]="Income",Table834[[#This Row],[Classification]]="Cost of Goods Sold"),Table834[[#This Row],[Credit.]]&gt;Table834[[#This Row],[Debit\]]),Table834[[#This Row],[Credit.]]-Table834[[#This Row],[Debit\]],""),"")</f>
        <v/>
      </c>
      <c r="AF154" s="34"/>
      <c r="AG154" s="34" t="str">
        <f>IFERROR(IF(AND(Table834[[#This Row],[Classification]]="Assets",Table834[[#This Row],[Debit\]]-Table834[[#This Row],[Credit.]]),Table834[[#This Row],[Debit\]]-Table834[[#This Row],[Credit.]],""),"")</f>
        <v/>
      </c>
      <c r="AH154" s="34" t="str">
        <f>IFERROR(IF(AND(OR(Table834[[#This Row],[Classification]]="Liabilities",Table834[[#This Row],[Classification]]="Owner´s Equity"),Table834[[#This Row],[Credit.]]&gt;Table834[[#This Row],[Debit\]]),Table834[[#This Row],[Credit.]]-Table834[[#This Row],[Debit\]],""),"")</f>
        <v/>
      </c>
    </row>
    <row r="155" spans="2:34" hidden="1" x14ac:dyDescent="0.25">
      <c r="B155" s="34"/>
      <c r="C155" s="45"/>
      <c r="D155" s="34"/>
      <c r="E155" s="34"/>
      <c r="G155" s="39"/>
      <c r="H155" s="43"/>
      <c r="I155" s="41"/>
      <c r="J155" s="41"/>
      <c r="L155" s="34">
        <v>148</v>
      </c>
      <c r="M155" s="35"/>
      <c r="N155" s="35"/>
      <c r="O155" s="34">
        <f>IFERROR(SUMIF(Table431[,],Table633[[#This Row],[Accounts Name]],Table431[,3]),"")</f>
        <v>0</v>
      </c>
      <c r="P155" s="34">
        <f>IFERROR(SUMIF(Table431[,],Table633[[#This Row],[Accounts Name]],Table431[,2]),"")</f>
        <v>0</v>
      </c>
      <c r="S155" s="36">
        <f t="shared" si="2"/>
        <v>148</v>
      </c>
      <c r="T155" s="34"/>
      <c r="U155" s="37"/>
      <c r="V155" s="34">
        <f>IFERROR(SUMIF(Table633[Sub-Accounts],Table834[[#This Row],[Update your chart of accounts here]],Table633[Debit]),"")</f>
        <v>0</v>
      </c>
      <c r="W155" s="34">
        <f>IFERROR(SUMIF(Table633[Sub-Accounts],Table834[[#This Row],[Update your chart of accounts here]],Table633[Credit]),"")</f>
        <v>0</v>
      </c>
      <c r="X155" s="34"/>
      <c r="Y155" s="34"/>
      <c r="Z155" s="34"/>
      <c r="AA155" s="34"/>
      <c r="AB155" s="34">
        <f>MAX(Table834[[#This Row],[Debit]]+Table834[[#This Row],[Debit -]]-Table834[[#This Row],[Credit]]-Table834[[#This Row],[Credit +]],0)</f>
        <v>0</v>
      </c>
      <c r="AC155" s="34">
        <f>MAX(Table834[[#This Row],[Credit]]-Table834[[#This Row],[Debit]]+Table834[[#This Row],[Credit +]]-Table834[[#This Row],[Debit -]],0)</f>
        <v>0</v>
      </c>
      <c r="AD155" s="34" t="str">
        <f>IFERROR(IF(AND(OR(Table834[[#This Row],[Classification]]="Expense",Table834[[#This Row],[Classification]]="Cost of Goods Sold"),Table834[[#This Row],[Debit\]]&gt;Table834[[#This Row],[Credit.]]),Table834[[#This Row],[Debit\]]-Table834[[#This Row],[Credit.]],""),"")</f>
        <v/>
      </c>
      <c r="AE155" s="34" t="str">
        <f>IFERROR(IF(AND(OR(Table834[[#This Row],[Classification]]="Income",Table834[[#This Row],[Classification]]="Cost of Goods Sold"),Table834[[#This Row],[Credit.]]&gt;Table834[[#This Row],[Debit\]]),Table834[[#This Row],[Credit.]]-Table834[[#This Row],[Debit\]],""),"")</f>
        <v/>
      </c>
      <c r="AF155" s="34"/>
      <c r="AG155" s="34" t="str">
        <f>IFERROR(IF(AND(Table834[[#This Row],[Classification]]="Assets",Table834[[#This Row],[Debit\]]-Table834[[#This Row],[Credit.]]),Table834[[#This Row],[Debit\]]-Table834[[#This Row],[Credit.]],""),"")</f>
        <v/>
      </c>
      <c r="AH155" s="34" t="str">
        <f>IFERROR(IF(AND(OR(Table834[[#This Row],[Classification]]="Liabilities",Table834[[#This Row],[Classification]]="Owner´s Equity"),Table834[[#This Row],[Credit.]]&gt;Table834[[#This Row],[Debit\]]),Table834[[#This Row],[Credit.]]-Table834[[#This Row],[Debit\]],""),"")</f>
        <v/>
      </c>
    </row>
    <row r="156" spans="2:34" hidden="1" x14ac:dyDescent="0.25">
      <c r="B156" s="34"/>
      <c r="C156" s="45"/>
      <c r="D156" s="34"/>
      <c r="E156" s="34"/>
      <c r="G156" s="39"/>
      <c r="H156" s="40"/>
      <c r="I156" s="41"/>
      <c r="J156" s="41"/>
      <c r="L156" s="34">
        <v>149</v>
      </c>
      <c r="M156" s="35"/>
      <c r="N156" s="35"/>
      <c r="O156" s="34">
        <f>IFERROR(SUMIF(Table431[,],Table633[[#This Row],[Accounts Name]],Table431[,3]),"")</f>
        <v>0</v>
      </c>
      <c r="P156" s="34">
        <f>IFERROR(SUMIF(Table431[,],Table633[[#This Row],[Accounts Name]],Table431[,2]),"")</f>
        <v>0</v>
      </c>
      <c r="S156" s="36">
        <f t="shared" si="2"/>
        <v>149</v>
      </c>
      <c r="T156" s="34"/>
      <c r="U156" s="37"/>
      <c r="V156" s="34">
        <f>IFERROR(SUMIF(Table633[Sub-Accounts],Table834[[#This Row],[Update your chart of accounts here]],Table633[Debit]),"")</f>
        <v>0</v>
      </c>
      <c r="W156" s="34">
        <f>IFERROR(SUMIF(Table633[Sub-Accounts],Table834[[#This Row],[Update your chart of accounts here]],Table633[Credit]),"")</f>
        <v>0</v>
      </c>
      <c r="X156" s="34"/>
      <c r="Y156" s="34"/>
      <c r="Z156" s="34"/>
      <c r="AA156" s="34"/>
      <c r="AB156" s="34">
        <f>MAX(Table834[[#This Row],[Debit]]+Table834[[#This Row],[Debit -]]-Table834[[#This Row],[Credit]]-Table834[[#This Row],[Credit +]],0)</f>
        <v>0</v>
      </c>
      <c r="AC156" s="34">
        <f>MAX(Table834[[#This Row],[Credit]]-Table834[[#This Row],[Debit]]+Table834[[#This Row],[Credit +]]-Table834[[#This Row],[Debit -]],0)</f>
        <v>0</v>
      </c>
      <c r="AD156" s="34" t="str">
        <f>IFERROR(IF(AND(OR(Table834[[#This Row],[Classification]]="Expense",Table834[[#This Row],[Classification]]="Cost of Goods Sold"),Table834[[#This Row],[Debit\]]&gt;Table834[[#This Row],[Credit.]]),Table834[[#This Row],[Debit\]]-Table834[[#This Row],[Credit.]],""),"")</f>
        <v/>
      </c>
      <c r="AE156" s="34" t="str">
        <f>IFERROR(IF(AND(OR(Table834[[#This Row],[Classification]]="Income",Table834[[#This Row],[Classification]]="Cost of Goods Sold"),Table834[[#This Row],[Credit.]]&gt;Table834[[#This Row],[Debit\]]),Table834[[#This Row],[Credit.]]-Table834[[#This Row],[Debit\]],""),"")</f>
        <v/>
      </c>
      <c r="AF156" s="34"/>
      <c r="AG156" s="34" t="str">
        <f>IFERROR(IF(AND(Table834[[#This Row],[Classification]]="Assets",Table834[[#This Row],[Debit\]]-Table834[[#This Row],[Credit.]]),Table834[[#This Row],[Debit\]]-Table834[[#This Row],[Credit.]],""),"")</f>
        <v/>
      </c>
      <c r="AH156" s="34" t="str">
        <f>IFERROR(IF(AND(OR(Table834[[#This Row],[Classification]]="Liabilities",Table834[[#This Row],[Classification]]="Owner´s Equity"),Table834[[#This Row],[Credit.]]&gt;Table834[[#This Row],[Debit\]]),Table834[[#This Row],[Credit.]]-Table834[[#This Row],[Debit\]],""),"")</f>
        <v/>
      </c>
    </row>
    <row r="157" spans="2:34" hidden="1" x14ac:dyDescent="0.25">
      <c r="B157" s="34"/>
      <c r="C157" s="45"/>
      <c r="D157" s="34"/>
      <c r="E157" s="34"/>
      <c r="G157" s="39"/>
      <c r="H157" s="40"/>
      <c r="I157" s="41"/>
      <c r="J157" s="41"/>
      <c r="L157" s="34">
        <v>150</v>
      </c>
      <c r="M157" s="35"/>
      <c r="N157" s="35"/>
      <c r="O157" s="34">
        <f>IFERROR(SUMIF(Table431[,],Table633[[#This Row],[Accounts Name]],Table431[,3]),"")</f>
        <v>0</v>
      </c>
      <c r="P157" s="34">
        <f>IFERROR(SUMIF(Table431[,],Table633[[#This Row],[Accounts Name]],Table431[,2]),"")</f>
        <v>0</v>
      </c>
      <c r="S157" s="36">
        <f t="shared" si="2"/>
        <v>150</v>
      </c>
      <c r="T157" s="34"/>
      <c r="U157" s="37"/>
      <c r="V157" s="34">
        <f>IFERROR(SUMIF(Table633[Sub-Accounts],Table834[[#This Row],[Update your chart of accounts here]],Table633[Debit]),"")</f>
        <v>0</v>
      </c>
      <c r="W157" s="34">
        <f>IFERROR(SUMIF(Table633[Sub-Accounts],Table834[[#This Row],[Update your chart of accounts here]],Table633[Credit]),"")</f>
        <v>0</v>
      </c>
      <c r="X157" s="34"/>
      <c r="Y157" s="34"/>
      <c r="Z157" s="34"/>
      <c r="AA157" s="34"/>
      <c r="AB157" s="34">
        <f>MAX(Table834[[#This Row],[Debit]]+Table834[[#This Row],[Debit -]]-Table834[[#This Row],[Credit]]-Table834[[#This Row],[Credit +]],0)</f>
        <v>0</v>
      </c>
      <c r="AC157" s="34">
        <f>MAX(Table834[[#This Row],[Credit]]-Table834[[#This Row],[Debit]]+Table834[[#This Row],[Credit +]]-Table834[[#This Row],[Debit -]],0)</f>
        <v>0</v>
      </c>
      <c r="AD157" s="34" t="str">
        <f>IFERROR(IF(AND(OR(Table834[[#This Row],[Classification]]="Expense",Table834[[#This Row],[Classification]]="Cost of Goods Sold"),Table834[[#This Row],[Debit\]]&gt;Table834[[#This Row],[Credit.]]),Table834[[#This Row],[Debit\]]-Table834[[#This Row],[Credit.]],""),"")</f>
        <v/>
      </c>
      <c r="AE157" s="34" t="str">
        <f>IFERROR(IF(AND(OR(Table834[[#This Row],[Classification]]="Income",Table834[[#This Row],[Classification]]="Cost of Goods Sold"),Table834[[#This Row],[Credit.]]&gt;Table834[[#This Row],[Debit\]]),Table834[[#This Row],[Credit.]]-Table834[[#This Row],[Debit\]],""),"")</f>
        <v/>
      </c>
      <c r="AF157" s="34"/>
      <c r="AG157" s="34" t="str">
        <f>IFERROR(IF(AND(Table834[[#This Row],[Classification]]="Assets",Table834[[#This Row],[Debit\]]-Table834[[#This Row],[Credit.]]),Table834[[#This Row],[Debit\]]-Table834[[#This Row],[Credit.]],""),"")</f>
        <v/>
      </c>
      <c r="AH157" s="34" t="str">
        <f>IFERROR(IF(AND(OR(Table834[[#This Row],[Classification]]="Liabilities",Table834[[#This Row],[Classification]]="Owner´s Equity"),Table834[[#This Row],[Credit.]]&gt;Table834[[#This Row],[Debit\]]),Table834[[#This Row],[Credit.]]-Table834[[#This Row],[Debit\]],""),"")</f>
        <v/>
      </c>
    </row>
    <row r="158" spans="2:34" hidden="1" x14ac:dyDescent="0.25">
      <c r="B158" s="34"/>
      <c r="C158" s="45"/>
      <c r="D158" s="34"/>
      <c r="E158" s="34"/>
      <c r="G158" s="39"/>
      <c r="H158" s="43"/>
      <c r="I158" s="41"/>
      <c r="J158" s="41"/>
      <c r="L158" s="34">
        <v>151</v>
      </c>
      <c r="M158" s="35"/>
      <c r="N158" s="35"/>
      <c r="O158" s="34">
        <f>IFERROR(SUMIF(Table431[,],Table633[[#This Row],[Accounts Name]],Table431[,3]),"")</f>
        <v>0</v>
      </c>
      <c r="P158" s="34">
        <f>IFERROR(SUMIF(Table431[,],Table633[[#This Row],[Accounts Name]],Table431[,2]),"")</f>
        <v>0</v>
      </c>
      <c r="S158" s="36">
        <f t="shared" si="2"/>
        <v>151</v>
      </c>
      <c r="T158" s="34"/>
      <c r="U158" s="37"/>
      <c r="V158" s="34">
        <f>IFERROR(SUMIF(Table633[Sub-Accounts],Table834[[#This Row],[Update your chart of accounts here]],Table633[Debit]),"")</f>
        <v>0</v>
      </c>
      <c r="W158" s="34">
        <f>IFERROR(SUMIF(Table633[Sub-Accounts],Table834[[#This Row],[Update your chart of accounts here]],Table633[Credit]),"")</f>
        <v>0</v>
      </c>
      <c r="X158" s="34"/>
      <c r="Y158" s="34"/>
      <c r="Z158" s="34"/>
      <c r="AA158" s="34"/>
      <c r="AB158" s="34">
        <f>MAX(Table834[[#This Row],[Debit]]+Table834[[#This Row],[Debit -]]-Table834[[#This Row],[Credit]]-Table834[[#This Row],[Credit +]],0)</f>
        <v>0</v>
      </c>
      <c r="AC158" s="34">
        <f>MAX(Table834[[#This Row],[Credit]]-Table834[[#This Row],[Debit]]+Table834[[#This Row],[Credit +]]-Table834[[#This Row],[Debit -]],0)</f>
        <v>0</v>
      </c>
      <c r="AD158" s="34" t="str">
        <f>IFERROR(IF(AND(OR(Table834[[#This Row],[Classification]]="Expense",Table834[[#This Row],[Classification]]="Cost of Goods Sold"),Table834[[#This Row],[Debit\]]&gt;Table834[[#This Row],[Credit.]]),Table834[[#This Row],[Debit\]]-Table834[[#This Row],[Credit.]],""),"")</f>
        <v/>
      </c>
      <c r="AE158" s="34" t="str">
        <f>IFERROR(IF(AND(OR(Table834[[#This Row],[Classification]]="Income",Table834[[#This Row],[Classification]]="Cost of Goods Sold"),Table834[[#This Row],[Credit.]]&gt;Table834[[#This Row],[Debit\]]),Table834[[#This Row],[Credit.]]-Table834[[#This Row],[Debit\]],""),"")</f>
        <v/>
      </c>
      <c r="AF158" s="34"/>
      <c r="AG158" s="34" t="str">
        <f>IFERROR(IF(AND(Table834[[#This Row],[Classification]]="Assets",Table834[[#This Row],[Debit\]]-Table834[[#This Row],[Credit.]]),Table834[[#This Row],[Debit\]]-Table834[[#This Row],[Credit.]],""),"")</f>
        <v/>
      </c>
      <c r="AH158" s="34" t="str">
        <f>IFERROR(IF(AND(OR(Table834[[#This Row],[Classification]]="Liabilities",Table834[[#This Row],[Classification]]="Owner´s Equity"),Table834[[#This Row],[Credit.]]&gt;Table834[[#This Row],[Debit\]]),Table834[[#This Row],[Credit.]]-Table834[[#This Row],[Debit\]],""),"")</f>
        <v/>
      </c>
    </row>
    <row r="159" spans="2:34" hidden="1" x14ac:dyDescent="0.25">
      <c r="B159" s="34"/>
      <c r="C159" s="45"/>
      <c r="D159" s="34"/>
      <c r="E159" s="34"/>
      <c r="G159" s="39"/>
      <c r="H159" s="40"/>
      <c r="I159" s="41"/>
      <c r="J159" s="41"/>
      <c r="L159" s="34">
        <v>152</v>
      </c>
      <c r="M159" s="35"/>
      <c r="N159" s="35"/>
      <c r="O159" s="34">
        <f>IFERROR(SUMIF(Table431[,],Table633[[#This Row],[Accounts Name]],Table431[,3]),"")</f>
        <v>0</v>
      </c>
      <c r="P159" s="34">
        <f>IFERROR(SUMIF(Table431[,],Table633[[#This Row],[Accounts Name]],Table431[,2]),"")</f>
        <v>0</v>
      </c>
      <c r="S159" s="36">
        <f t="shared" si="2"/>
        <v>152</v>
      </c>
      <c r="T159" s="34"/>
      <c r="U159" s="37"/>
      <c r="V159" s="34">
        <f>IFERROR(SUMIF(Table633[Sub-Accounts],Table834[[#This Row],[Update your chart of accounts here]],Table633[Debit]),"")</f>
        <v>0</v>
      </c>
      <c r="W159" s="34">
        <f>IFERROR(SUMIF(Table633[Sub-Accounts],Table834[[#This Row],[Update your chart of accounts here]],Table633[Credit]),"")</f>
        <v>0</v>
      </c>
      <c r="X159" s="34"/>
      <c r="Y159" s="34"/>
      <c r="Z159" s="34"/>
      <c r="AA159" s="34"/>
      <c r="AB159" s="34">
        <f>MAX(Table834[[#This Row],[Debit]]+Table834[[#This Row],[Debit -]]-Table834[[#This Row],[Credit]]-Table834[[#This Row],[Credit +]],0)</f>
        <v>0</v>
      </c>
      <c r="AC159" s="34">
        <f>MAX(Table834[[#This Row],[Credit]]-Table834[[#This Row],[Debit]]+Table834[[#This Row],[Credit +]]-Table834[[#This Row],[Debit -]],0)</f>
        <v>0</v>
      </c>
      <c r="AD159" s="34" t="str">
        <f>IFERROR(IF(AND(OR(Table834[[#This Row],[Classification]]="Expense",Table834[[#This Row],[Classification]]="Cost of Goods Sold"),Table834[[#This Row],[Debit\]]&gt;Table834[[#This Row],[Credit.]]),Table834[[#This Row],[Debit\]]-Table834[[#This Row],[Credit.]],""),"")</f>
        <v/>
      </c>
      <c r="AE159" s="34" t="str">
        <f>IFERROR(IF(AND(OR(Table834[[#This Row],[Classification]]="Income",Table834[[#This Row],[Classification]]="Cost of Goods Sold"),Table834[[#This Row],[Credit.]]&gt;Table834[[#This Row],[Debit\]]),Table834[[#This Row],[Credit.]]-Table834[[#This Row],[Debit\]],""),"")</f>
        <v/>
      </c>
      <c r="AF159" s="34"/>
      <c r="AG159" s="34" t="str">
        <f>IFERROR(IF(AND(Table834[[#This Row],[Classification]]="Assets",Table834[[#This Row],[Debit\]]-Table834[[#This Row],[Credit.]]),Table834[[#This Row],[Debit\]]-Table834[[#This Row],[Credit.]],""),"")</f>
        <v/>
      </c>
      <c r="AH159" s="34" t="str">
        <f>IFERROR(IF(AND(OR(Table834[[#This Row],[Classification]]="Liabilities",Table834[[#This Row],[Classification]]="Owner´s Equity"),Table834[[#This Row],[Credit.]]&gt;Table834[[#This Row],[Debit\]]),Table834[[#This Row],[Credit.]]-Table834[[#This Row],[Debit\]],""),"")</f>
        <v/>
      </c>
    </row>
    <row r="160" spans="2:34" hidden="1" x14ac:dyDescent="0.25">
      <c r="B160" s="34"/>
      <c r="C160" s="45"/>
      <c r="D160" s="34"/>
      <c r="E160" s="34"/>
      <c r="G160" s="39"/>
      <c r="H160" s="40"/>
      <c r="I160" s="41"/>
      <c r="J160" s="41"/>
      <c r="L160" s="34">
        <v>153</v>
      </c>
      <c r="M160" s="35"/>
      <c r="N160" s="35"/>
      <c r="O160" s="34">
        <f>IFERROR(SUMIF(Table431[,],Table633[[#This Row],[Accounts Name]],Table431[,3]),"")</f>
        <v>0</v>
      </c>
      <c r="P160" s="34">
        <f>IFERROR(SUMIF(Table431[,],Table633[[#This Row],[Accounts Name]],Table431[,2]),"")</f>
        <v>0</v>
      </c>
      <c r="S160" s="36">
        <f t="shared" si="2"/>
        <v>153</v>
      </c>
      <c r="T160" s="34"/>
      <c r="U160" s="37"/>
      <c r="V160" s="34">
        <f>IFERROR(SUMIF(Table633[Sub-Accounts],Table834[[#This Row],[Update your chart of accounts here]],Table633[Debit]),"")</f>
        <v>0</v>
      </c>
      <c r="W160" s="34">
        <f>IFERROR(SUMIF(Table633[Sub-Accounts],Table834[[#This Row],[Update your chart of accounts here]],Table633[Credit]),"")</f>
        <v>0</v>
      </c>
      <c r="X160" s="34"/>
      <c r="Y160" s="34"/>
      <c r="Z160" s="34"/>
      <c r="AA160" s="34"/>
      <c r="AB160" s="34">
        <f>MAX(Table834[[#This Row],[Debit]]+Table834[[#This Row],[Debit -]]-Table834[[#This Row],[Credit]]-Table834[[#This Row],[Credit +]],0)</f>
        <v>0</v>
      </c>
      <c r="AC160" s="34">
        <f>MAX(Table834[[#This Row],[Credit]]-Table834[[#This Row],[Debit]]+Table834[[#This Row],[Credit +]]-Table834[[#This Row],[Debit -]],0)</f>
        <v>0</v>
      </c>
      <c r="AD160" s="34" t="str">
        <f>IFERROR(IF(AND(OR(Table834[[#This Row],[Classification]]="Expense",Table834[[#This Row],[Classification]]="Cost of Goods Sold"),Table834[[#This Row],[Debit\]]&gt;Table834[[#This Row],[Credit.]]),Table834[[#This Row],[Debit\]]-Table834[[#This Row],[Credit.]],""),"")</f>
        <v/>
      </c>
      <c r="AE160" s="34" t="str">
        <f>IFERROR(IF(AND(OR(Table834[[#This Row],[Classification]]="Income",Table834[[#This Row],[Classification]]="Cost of Goods Sold"),Table834[[#This Row],[Credit.]]&gt;Table834[[#This Row],[Debit\]]),Table834[[#This Row],[Credit.]]-Table834[[#This Row],[Debit\]],""),"")</f>
        <v/>
      </c>
      <c r="AF160" s="34"/>
      <c r="AG160" s="34" t="str">
        <f>IFERROR(IF(AND(Table834[[#This Row],[Classification]]="Assets",Table834[[#This Row],[Debit\]]-Table834[[#This Row],[Credit.]]),Table834[[#This Row],[Debit\]]-Table834[[#This Row],[Credit.]],""),"")</f>
        <v/>
      </c>
      <c r="AH160" s="34" t="str">
        <f>IFERROR(IF(AND(OR(Table834[[#This Row],[Classification]]="Liabilities",Table834[[#This Row],[Classification]]="Owner´s Equity"),Table834[[#This Row],[Credit.]]&gt;Table834[[#This Row],[Debit\]]),Table834[[#This Row],[Credit.]]-Table834[[#This Row],[Debit\]],""),"")</f>
        <v/>
      </c>
    </row>
    <row r="161" spans="2:34" hidden="1" x14ac:dyDescent="0.25">
      <c r="B161" s="34"/>
      <c r="C161" s="45"/>
      <c r="D161" s="34"/>
      <c r="E161" s="34"/>
      <c r="G161" s="39"/>
      <c r="H161" s="43"/>
      <c r="I161" s="41"/>
      <c r="J161" s="41"/>
      <c r="L161" s="34">
        <v>154</v>
      </c>
      <c r="M161" s="35"/>
      <c r="N161" s="35"/>
      <c r="O161" s="34">
        <f>IFERROR(SUMIF(Table431[,],Table633[[#This Row],[Accounts Name]],Table431[,3]),"")</f>
        <v>0</v>
      </c>
      <c r="P161" s="34">
        <f>IFERROR(SUMIF(Table431[,],Table633[[#This Row],[Accounts Name]],Table431[,2]),"")</f>
        <v>0</v>
      </c>
      <c r="S161" s="36">
        <f t="shared" si="2"/>
        <v>154</v>
      </c>
      <c r="T161" s="34"/>
      <c r="U161" s="37"/>
      <c r="V161" s="34">
        <f>IFERROR(SUMIF(Table633[Sub-Accounts],Table834[[#This Row],[Update your chart of accounts here]],Table633[Debit]),"")</f>
        <v>0</v>
      </c>
      <c r="W161" s="34">
        <f>IFERROR(SUMIF(Table633[Sub-Accounts],Table834[[#This Row],[Update your chart of accounts here]],Table633[Credit]),"")</f>
        <v>0</v>
      </c>
      <c r="X161" s="34"/>
      <c r="Y161" s="34"/>
      <c r="Z161" s="34"/>
      <c r="AA161" s="34"/>
      <c r="AB161" s="34">
        <f>MAX(Table834[[#This Row],[Debit]]+Table834[[#This Row],[Debit -]]-Table834[[#This Row],[Credit]]-Table834[[#This Row],[Credit +]],0)</f>
        <v>0</v>
      </c>
      <c r="AC161" s="34">
        <f>MAX(Table834[[#This Row],[Credit]]-Table834[[#This Row],[Debit]]+Table834[[#This Row],[Credit +]]-Table834[[#This Row],[Debit -]],0)</f>
        <v>0</v>
      </c>
      <c r="AD161" s="34" t="str">
        <f>IFERROR(IF(AND(OR(Table834[[#This Row],[Classification]]="Expense",Table834[[#This Row],[Classification]]="Cost of Goods Sold"),Table834[[#This Row],[Debit\]]&gt;Table834[[#This Row],[Credit.]]),Table834[[#This Row],[Debit\]]-Table834[[#This Row],[Credit.]],""),"")</f>
        <v/>
      </c>
      <c r="AE161" s="34" t="str">
        <f>IFERROR(IF(AND(OR(Table834[[#This Row],[Classification]]="Income",Table834[[#This Row],[Classification]]="Cost of Goods Sold"),Table834[[#This Row],[Credit.]]&gt;Table834[[#This Row],[Debit\]]),Table834[[#This Row],[Credit.]]-Table834[[#This Row],[Debit\]],""),"")</f>
        <v/>
      </c>
      <c r="AF161" s="34"/>
      <c r="AG161" s="34" t="str">
        <f>IFERROR(IF(AND(Table834[[#This Row],[Classification]]="Assets",Table834[[#This Row],[Debit\]]-Table834[[#This Row],[Credit.]]),Table834[[#This Row],[Debit\]]-Table834[[#This Row],[Credit.]],""),"")</f>
        <v/>
      </c>
      <c r="AH161" s="34" t="str">
        <f>IFERROR(IF(AND(OR(Table834[[#This Row],[Classification]]="Liabilities",Table834[[#This Row],[Classification]]="Owner´s Equity"),Table834[[#This Row],[Credit.]]&gt;Table834[[#This Row],[Debit\]]),Table834[[#This Row],[Credit.]]-Table834[[#This Row],[Debit\]],""),"")</f>
        <v/>
      </c>
    </row>
    <row r="162" spans="2:34" hidden="1" x14ac:dyDescent="0.25">
      <c r="B162" s="34"/>
      <c r="C162" s="45"/>
      <c r="D162" s="34"/>
      <c r="E162" s="34"/>
      <c r="G162" s="39"/>
      <c r="H162" s="40"/>
      <c r="I162" s="41"/>
      <c r="J162" s="41"/>
      <c r="L162" s="34">
        <v>155</v>
      </c>
      <c r="M162" s="35"/>
      <c r="N162" s="35"/>
      <c r="O162" s="34">
        <f>IFERROR(SUMIF(Table431[,],Table633[[#This Row],[Accounts Name]],Table431[,3]),"")</f>
        <v>0</v>
      </c>
      <c r="P162" s="34">
        <f>IFERROR(SUMIF(Table431[,],Table633[[#This Row],[Accounts Name]],Table431[,2]),"")</f>
        <v>0</v>
      </c>
      <c r="S162" s="36">
        <f t="shared" si="2"/>
        <v>155</v>
      </c>
      <c r="T162" s="34"/>
      <c r="U162" s="37"/>
      <c r="V162" s="34">
        <f>IFERROR(SUMIF(Table633[Sub-Accounts],Table834[[#This Row],[Update your chart of accounts here]],Table633[Debit]),"")</f>
        <v>0</v>
      </c>
      <c r="W162" s="34">
        <f>IFERROR(SUMIF(Table633[Sub-Accounts],Table834[[#This Row],[Update your chart of accounts here]],Table633[Credit]),"")</f>
        <v>0</v>
      </c>
      <c r="X162" s="34"/>
      <c r="Y162" s="34"/>
      <c r="Z162" s="34"/>
      <c r="AA162" s="34"/>
      <c r="AB162" s="34">
        <f>MAX(Table834[[#This Row],[Debit]]+Table834[[#This Row],[Debit -]]-Table834[[#This Row],[Credit]]-Table834[[#This Row],[Credit +]],0)</f>
        <v>0</v>
      </c>
      <c r="AC162" s="34">
        <f>MAX(Table834[[#This Row],[Credit]]-Table834[[#This Row],[Debit]]+Table834[[#This Row],[Credit +]]-Table834[[#This Row],[Debit -]],0)</f>
        <v>0</v>
      </c>
      <c r="AD162" s="34" t="str">
        <f>IFERROR(IF(AND(OR(Table834[[#This Row],[Classification]]="Expense",Table834[[#This Row],[Classification]]="Cost of Goods Sold"),Table834[[#This Row],[Debit\]]&gt;Table834[[#This Row],[Credit.]]),Table834[[#This Row],[Debit\]]-Table834[[#This Row],[Credit.]],""),"")</f>
        <v/>
      </c>
      <c r="AE162" s="34" t="str">
        <f>IFERROR(IF(AND(OR(Table834[[#This Row],[Classification]]="Income",Table834[[#This Row],[Classification]]="Cost of Goods Sold"),Table834[[#This Row],[Credit.]]&gt;Table834[[#This Row],[Debit\]]),Table834[[#This Row],[Credit.]]-Table834[[#This Row],[Debit\]],""),"")</f>
        <v/>
      </c>
      <c r="AF162" s="34"/>
      <c r="AG162" s="34" t="str">
        <f>IFERROR(IF(AND(Table834[[#This Row],[Classification]]="Assets",Table834[[#This Row],[Debit\]]-Table834[[#This Row],[Credit.]]),Table834[[#This Row],[Debit\]]-Table834[[#This Row],[Credit.]],""),"")</f>
        <v/>
      </c>
      <c r="AH162" s="34" t="str">
        <f>IFERROR(IF(AND(OR(Table834[[#This Row],[Classification]]="Liabilities",Table834[[#This Row],[Classification]]="Owner´s Equity"),Table834[[#This Row],[Credit.]]&gt;Table834[[#This Row],[Debit\]]),Table834[[#This Row],[Credit.]]-Table834[[#This Row],[Debit\]],""),"")</f>
        <v/>
      </c>
    </row>
    <row r="163" spans="2:34" hidden="1" x14ac:dyDescent="0.25">
      <c r="B163" s="34"/>
      <c r="C163" s="45"/>
      <c r="D163" s="34"/>
      <c r="E163" s="34"/>
      <c r="G163" s="39"/>
      <c r="H163" s="40"/>
      <c r="I163" s="41"/>
      <c r="J163" s="41"/>
      <c r="L163" s="34">
        <v>156</v>
      </c>
      <c r="M163" s="35"/>
      <c r="N163" s="35"/>
      <c r="O163" s="34">
        <f>IFERROR(SUMIF(Table431[,],Table633[[#This Row],[Accounts Name]],Table431[,3]),"")</f>
        <v>0</v>
      </c>
      <c r="P163" s="34">
        <f>IFERROR(SUMIF(Table431[,],Table633[[#This Row],[Accounts Name]],Table431[,2]),"")</f>
        <v>0</v>
      </c>
      <c r="S163" s="36">
        <f t="shared" si="2"/>
        <v>156</v>
      </c>
      <c r="T163" s="34"/>
      <c r="U163" s="37"/>
      <c r="V163" s="34">
        <f>IFERROR(SUMIF(Table633[Sub-Accounts],Table834[[#This Row],[Update your chart of accounts here]],Table633[Debit]),"")</f>
        <v>0</v>
      </c>
      <c r="W163" s="34">
        <f>IFERROR(SUMIF(Table633[Sub-Accounts],Table834[[#This Row],[Update your chart of accounts here]],Table633[Credit]),"")</f>
        <v>0</v>
      </c>
      <c r="X163" s="34"/>
      <c r="Y163" s="34"/>
      <c r="Z163" s="34"/>
      <c r="AA163" s="34"/>
      <c r="AB163" s="34">
        <f>MAX(Table834[[#This Row],[Debit]]+Table834[[#This Row],[Debit -]]-Table834[[#This Row],[Credit]]-Table834[[#This Row],[Credit +]],0)</f>
        <v>0</v>
      </c>
      <c r="AC163" s="34">
        <f>MAX(Table834[[#This Row],[Credit]]-Table834[[#This Row],[Debit]]+Table834[[#This Row],[Credit +]]-Table834[[#This Row],[Debit -]],0)</f>
        <v>0</v>
      </c>
      <c r="AD163" s="34" t="str">
        <f>IFERROR(IF(AND(OR(Table834[[#This Row],[Classification]]="Expense",Table834[[#This Row],[Classification]]="Cost of Goods Sold"),Table834[[#This Row],[Debit\]]&gt;Table834[[#This Row],[Credit.]]),Table834[[#This Row],[Debit\]]-Table834[[#This Row],[Credit.]],""),"")</f>
        <v/>
      </c>
      <c r="AE163" s="34" t="str">
        <f>IFERROR(IF(AND(OR(Table834[[#This Row],[Classification]]="Income",Table834[[#This Row],[Classification]]="Cost of Goods Sold"),Table834[[#This Row],[Credit.]]&gt;Table834[[#This Row],[Debit\]]),Table834[[#This Row],[Credit.]]-Table834[[#This Row],[Debit\]],""),"")</f>
        <v/>
      </c>
      <c r="AF163" s="34"/>
      <c r="AG163" s="34" t="str">
        <f>IFERROR(IF(AND(Table834[[#This Row],[Classification]]="Assets",Table834[[#This Row],[Debit\]]-Table834[[#This Row],[Credit.]]),Table834[[#This Row],[Debit\]]-Table834[[#This Row],[Credit.]],""),"")</f>
        <v/>
      </c>
      <c r="AH163" s="34" t="str">
        <f>IFERROR(IF(AND(OR(Table834[[#This Row],[Classification]]="Liabilities",Table834[[#This Row],[Classification]]="Owner´s Equity"),Table834[[#This Row],[Credit.]]&gt;Table834[[#This Row],[Debit\]]),Table834[[#This Row],[Credit.]]-Table834[[#This Row],[Debit\]],""),"")</f>
        <v/>
      </c>
    </row>
    <row r="164" spans="2:34" hidden="1" x14ac:dyDescent="0.25">
      <c r="B164" s="34"/>
      <c r="C164" s="45"/>
      <c r="D164" s="34"/>
      <c r="E164" s="34"/>
      <c r="G164" s="39"/>
      <c r="H164" s="43"/>
      <c r="I164" s="41"/>
      <c r="J164" s="41"/>
      <c r="L164" s="34">
        <v>157</v>
      </c>
      <c r="M164" s="35"/>
      <c r="N164" s="35"/>
      <c r="O164" s="34">
        <f>IFERROR(SUMIF(Table431[,],Table633[[#This Row],[Accounts Name]],Table431[,3]),"")</f>
        <v>0</v>
      </c>
      <c r="P164" s="34">
        <f>IFERROR(SUMIF(Table431[,],Table633[[#This Row],[Accounts Name]],Table431[,2]),"")</f>
        <v>0</v>
      </c>
      <c r="S164" s="36">
        <f t="shared" si="2"/>
        <v>157</v>
      </c>
      <c r="T164" s="34"/>
      <c r="U164" s="37"/>
      <c r="V164" s="34">
        <f>IFERROR(SUMIF(Table633[Sub-Accounts],Table834[[#This Row],[Update your chart of accounts here]],Table633[Debit]),"")</f>
        <v>0</v>
      </c>
      <c r="W164" s="34">
        <f>IFERROR(SUMIF(Table633[Sub-Accounts],Table834[[#This Row],[Update your chart of accounts here]],Table633[Credit]),"")</f>
        <v>0</v>
      </c>
      <c r="X164" s="34"/>
      <c r="Y164" s="34"/>
      <c r="Z164" s="34"/>
      <c r="AA164" s="34"/>
      <c r="AB164" s="34">
        <f>MAX(Table834[[#This Row],[Debit]]+Table834[[#This Row],[Debit -]]-Table834[[#This Row],[Credit]]-Table834[[#This Row],[Credit +]],0)</f>
        <v>0</v>
      </c>
      <c r="AC164" s="34">
        <f>MAX(Table834[[#This Row],[Credit]]-Table834[[#This Row],[Debit]]+Table834[[#This Row],[Credit +]]-Table834[[#This Row],[Debit -]],0)</f>
        <v>0</v>
      </c>
      <c r="AD164" s="34" t="str">
        <f>IFERROR(IF(AND(OR(Table834[[#This Row],[Classification]]="Expense",Table834[[#This Row],[Classification]]="Cost of Goods Sold"),Table834[[#This Row],[Debit\]]&gt;Table834[[#This Row],[Credit.]]),Table834[[#This Row],[Debit\]]-Table834[[#This Row],[Credit.]],""),"")</f>
        <v/>
      </c>
      <c r="AE164" s="34" t="str">
        <f>IFERROR(IF(AND(OR(Table834[[#This Row],[Classification]]="Income",Table834[[#This Row],[Classification]]="Cost of Goods Sold"),Table834[[#This Row],[Credit.]]&gt;Table834[[#This Row],[Debit\]]),Table834[[#This Row],[Credit.]]-Table834[[#This Row],[Debit\]],""),"")</f>
        <v/>
      </c>
      <c r="AF164" s="34"/>
      <c r="AG164" s="34" t="str">
        <f>IFERROR(IF(AND(Table834[[#This Row],[Classification]]="Assets",Table834[[#This Row],[Debit\]]-Table834[[#This Row],[Credit.]]),Table834[[#This Row],[Debit\]]-Table834[[#This Row],[Credit.]],""),"")</f>
        <v/>
      </c>
      <c r="AH164" s="34" t="str">
        <f>IFERROR(IF(AND(OR(Table834[[#This Row],[Classification]]="Liabilities",Table834[[#This Row],[Classification]]="Owner´s Equity"),Table834[[#This Row],[Credit.]]&gt;Table834[[#This Row],[Debit\]]),Table834[[#This Row],[Credit.]]-Table834[[#This Row],[Debit\]],""),"")</f>
        <v/>
      </c>
    </row>
    <row r="165" spans="2:34" hidden="1" x14ac:dyDescent="0.25">
      <c r="B165" s="34"/>
      <c r="C165" s="45"/>
      <c r="D165" s="34"/>
      <c r="E165" s="34"/>
      <c r="G165" s="39"/>
      <c r="H165" s="40"/>
      <c r="I165" s="41"/>
      <c r="J165" s="41"/>
      <c r="L165" s="34">
        <v>158</v>
      </c>
      <c r="M165" s="35"/>
      <c r="N165" s="35"/>
      <c r="O165" s="34">
        <f>IFERROR(SUMIF(Table431[,],Table633[[#This Row],[Accounts Name]],Table431[,3]),"")</f>
        <v>0</v>
      </c>
      <c r="P165" s="34">
        <f>IFERROR(SUMIF(Table431[,],Table633[[#This Row],[Accounts Name]],Table431[,2]),"")</f>
        <v>0</v>
      </c>
      <c r="S165" s="36">
        <f t="shared" si="2"/>
        <v>158</v>
      </c>
      <c r="T165" s="34"/>
      <c r="U165" s="37"/>
      <c r="V165" s="34">
        <f>IFERROR(SUMIF(Table633[Sub-Accounts],Table834[[#This Row],[Update your chart of accounts here]],Table633[Debit]),"")</f>
        <v>0</v>
      </c>
      <c r="W165" s="34">
        <f>IFERROR(SUMIF(Table633[Sub-Accounts],Table834[[#This Row],[Update your chart of accounts here]],Table633[Credit]),"")</f>
        <v>0</v>
      </c>
      <c r="X165" s="34"/>
      <c r="Y165" s="34"/>
      <c r="Z165" s="34"/>
      <c r="AA165" s="34"/>
      <c r="AB165" s="34">
        <f>MAX(Table834[[#This Row],[Debit]]+Table834[[#This Row],[Debit -]]-Table834[[#This Row],[Credit]]-Table834[[#This Row],[Credit +]],0)</f>
        <v>0</v>
      </c>
      <c r="AC165" s="34">
        <f>MAX(Table834[[#This Row],[Credit]]-Table834[[#This Row],[Debit]]+Table834[[#This Row],[Credit +]]-Table834[[#This Row],[Debit -]],0)</f>
        <v>0</v>
      </c>
      <c r="AD165" s="34" t="str">
        <f>IFERROR(IF(AND(OR(Table834[[#This Row],[Classification]]="Expense",Table834[[#This Row],[Classification]]="Cost of Goods Sold"),Table834[[#This Row],[Debit\]]&gt;Table834[[#This Row],[Credit.]]),Table834[[#This Row],[Debit\]]-Table834[[#This Row],[Credit.]],""),"")</f>
        <v/>
      </c>
      <c r="AE165" s="34" t="str">
        <f>IFERROR(IF(AND(OR(Table834[[#This Row],[Classification]]="Income",Table834[[#This Row],[Classification]]="Cost of Goods Sold"),Table834[[#This Row],[Credit.]]&gt;Table834[[#This Row],[Debit\]]),Table834[[#This Row],[Credit.]]-Table834[[#This Row],[Debit\]],""),"")</f>
        <v/>
      </c>
      <c r="AF165" s="34"/>
      <c r="AG165" s="34" t="str">
        <f>IFERROR(IF(AND(Table834[[#This Row],[Classification]]="Assets",Table834[[#This Row],[Debit\]]-Table834[[#This Row],[Credit.]]),Table834[[#This Row],[Debit\]]-Table834[[#This Row],[Credit.]],""),"")</f>
        <v/>
      </c>
      <c r="AH165" s="34" t="str">
        <f>IFERROR(IF(AND(OR(Table834[[#This Row],[Classification]]="Liabilities",Table834[[#This Row],[Classification]]="Owner´s Equity"),Table834[[#This Row],[Credit.]]&gt;Table834[[#This Row],[Debit\]]),Table834[[#This Row],[Credit.]]-Table834[[#This Row],[Debit\]],""),"")</f>
        <v/>
      </c>
    </row>
    <row r="166" spans="2:34" hidden="1" x14ac:dyDescent="0.25">
      <c r="B166" s="34"/>
      <c r="C166" s="45"/>
      <c r="D166" s="34"/>
      <c r="E166" s="34"/>
      <c r="G166" s="39"/>
      <c r="H166" s="40"/>
      <c r="I166" s="41"/>
      <c r="J166" s="41"/>
      <c r="L166" s="34">
        <v>159</v>
      </c>
      <c r="M166" s="35"/>
      <c r="N166" s="35"/>
      <c r="O166" s="34">
        <f>IFERROR(SUMIF(Table431[,],Table633[[#This Row],[Accounts Name]],Table431[,3]),"")</f>
        <v>0</v>
      </c>
      <c r="P166" s="34">
        <f>IFERROR(SUMIF(Table431[,],Table633[[#This Row],[Accounts Name]],Table431[,2]),"")</f>
        <v>0</v>
      </c>
      <c r="S166" s="36">
        <f t="shared" si="2"/>
        <v>159</v>
      </c>
      <c r="T166" s="34"/>
      <c r="U166" s="37"/>
      <c r="V166" s="34">
        <f>IFERROR(SUMIF(Table633[Sub-Accounts],Table834[[#This Row],[Update your chart of accounts here]],Table633[Debit]),"")</f>
        <v>0</v>
      </c>
      <c r="W166" s="34">
        <f>IFERROR(SUMIF(Table633[Sub-Accounts],Table834[[#This Row],[Update your chart of accounts here]],Table633[Credit]),"")</f>
        <v>0</v>
      </c>
      <c r="X166" s="34"/>
      <c r="Y166" s="34"/>
      <c r="Z166" s="34"/>
      <c r="AA166" s="34"/>
      <c r="AB166" s="34">
        <f>MAX(Table834[[#This Row],[Debit]]+Table834[[#This Row],[Debit -]]-Table834[[#This Row],[Credit]]-Table834[[#This Row],[Credit +]],0)</f>
        <v>0</v>
      </c>
      <c r="AC166" s="34">
        <f>MAX(Table834[[#This Row],[Credit]]-Table834[[#This Row],[Debit]]+Table834[[#This Row],[Credit +]]-Table834[[#This Row],[Debit -]],0)</f>
        <v>0</v>
      </c>
      <c r="AD166" s="34" t="str">
        <f>IFERROR(IF(AND(OR(Table834[[#This Row],[Classification]]="Expense",Table834[[#This Row],[Classification]]="Cost of Goods Sold"),Table834[[#This Row],[Debit\]]&gt;Table834[[#This Row],[Credit.]]),Table834[[#This Row],[Debit\]]-Table834[[#This Row],[Credit.]],""),"")</f>
        <v/>
      </c>
      <c r="AE166" s="34" t="str">
        <f>IFERROR(IF(AND(OR(Table834[[#This Row],[Classification]]="Income",Table834[[#This Row],[Classification]]="Cost of Goods Sold"),Table834[[#This Row],[Credit.]]&gt;Table834[[#This Row],[Debit\]]),Table834[[#This Row],[Credit.]]-Table834[[#This Row],[Debit\]],""),"")</f>
        <v/>
      </c>
      <c r="AF166" s="34"/>
      <c r="AG166" s="34" t="str">
        <f>IFERROR(IF(AND(Table834[[#This Row],[Classification]]="Assets",Table834[[#This Row],[Debit\]]-Table834[[#This Row],[Credit.]]),Table834[[#This Row],[Debit\]]-Table834[[#This Row],[Credit.]],""),"")</f>
        <v/>
      </c>
      <c r="AH166" s="34" t="str">
        <f>IFERROR(IF(AND(OR(Table834[[#This Row],[Classification]]="Liabilities",Table834[[#This Row],[Classification]]="Owner´s Equity"),Table834[[#This Row],[Credit.]]&gt;Table834[[#This Row],[Debit\]]),Table834[[#This Row],[Credit.]]-Table834[[#This Row],[Debit\]],""),"")</f>
        <v/>
      </c>
    </row>
    <row r="167" spans="2:34" hidden="1" x14ac:dyDescent="0.25">
      <c r="B167" s="34"/>
      <c r="C167" s="45"/>
      <c r="D167" s="34"/>
      <c r="E167" s="34"/>
      <c r="G167" s="39"/>
      <c r="H167" s="43"/>
      <c r="I167" s="41"/>
      <c r="J167" s="41"/>
      <c r="L167" s="34">
        <v>160</v>
      </c>
      <c r="M167" s="35"/>
      <c r="N167" s="35"/>
      <c r="O167" s="34">
        <f>IFERROR(SUMIF(Table431[,],Table633[[#This Row],[Accounts Name]],Table431[,3]),"")</f>
        <v>0</v>
      </c>
      <c r="P167" s="34">
        <f>IFERROR(SUMIF(Table431[,],Table633[[#This Row],[Accounts Name]],Table431[,2]),"")</f>
        <v>0</v>
      </c>
      <c r="S167" s="36">
        <f t="shared" si="2"/>
        <v>160</v>
      </c>
      <c r="T167" s="34"/>
      <c r="U167" s="37"/>
      <c r="V167" s="34">
        <f>IFERROR(SUMIF(Table633[Sub-Accounts],Table834[[#This Row],[Update your chart of accounts here]],Table633[Debit]),"")</f>
        <v>0</v>
      </c>
      <c r="W167" s="34">
        <f>IFERROR(SUMIF(Table633[Sub-Accounts],Table834[[#This Row],[Update your chart of accounts here]],Table633[Credit]),"")</f>
        <v>0</v>
      </c>
      <c r="X167" s="34"/>
      <c r="Y167" s="34"/>
      <c r="Z167" s="34"/>
      <c r="AA167" s="34"/>
      <c r="AB167" s="34">
        <f>MAX(Table834[[#This Row],[Debit]]+Table834[[#This Row],[Debit -]]-Table834[[#This Row],[Credit]]-Table834[[#This Row],[Credit +]],0)</f>
        <v>0</v>
      </c>
      <c r="AC167" s="34">
        <f>MAX(Table834[[#This Row],[Credit]]-Table834[[#This Row],[Debit]]+Table834[[#This Row],[Credit +]]-Table834[[#This Row],[Debit -]],0)</f>
        <v>0</v>
      </c>
      <c r="AD167" s="34" t="str">
        <f>IFERROR(IF(AND(OR(Table834[[#This Row],[Classification]]="Expense",Table834[[#This Row],[Classification]]="Cost of Goods Sold"),Table834[[#This Row],[Debit\]]&gt;Table834[[#This Row],[Credit.]]),Table834[[#This Row],[Debit\]]-Table834[[#This Row],[Credit.]],""),"")</f>
        <v/>
      </c>
      <c r="AE167" s="34" t="str">
        <f>IFERROR(IF(AND(OR(Table834[[#This Row],[Classification]]="Income",Table834[[#This Row],[Classification]]="Cost of Goods Sold"),Table834[[#This Row],[Credit.]]&gt;Table834[[#This Row],[Debit\]]),Table834[[#This Row],[Credit.]]-Table834[[#This Row],[Debit\]],""),"")</f>
        <v/>
      </c>
      <c r="AF167" s="34"/>
      <c r="AG167" s="34" t="str">
        <f>IFERROR(IF(AND(Table834[[#This Row],[Classification]]="Assets",Table834[[#This Row],[Debit\]]-Table834[[#This Row],[Credit.]]),Table834[[#This Row],[Debit\]]-Table834[[#This Row],[Credit.]],""),"")</f>
        <v/>
      </c>
      <c r="AH167" s="34" t="str">
        <f>IFERROR(IF(AND(OR(Table834[[#This Row],[Classification]]="Liabilities",Table834[[#This Row],[Classification]]="Owner´s Equity"),Table834[[#This Row],[Credit.]]&gt;Table834[[#This Row],[Debit\]]),Table834[[#This Row],[Credit.]]-Table834[[#This Row],[Debit\]],""),"")</f>
        <v/>
      </c>
    </row>
    <row r="168" spans="2:34" hidden="1" x14ac:dyDescent="0.25">
      <c r="B168" s="34"/>
      <c r="C168" s="45"/>
      <c r="D168" s="34"/>
      <c r="E168" s="34"/>
      <c r="G168" s="39"/>
      <c r="H168" s="40"/>
      <c r="I168" s="41"/>
      <c r="J168" s="41"/>
      <c r="L168" s="34">
        <v>161</v>
      </c>
      <c r="M168" s="35"/>
      <c r="N168" s="35"/>
      <c r="O168" s="34">
        <f>IFERROR(SUMIF(Table431[,],Table633[[#This Row],[Accounts Name]],Table431[,3]),"")</f>
        <v>0</v>
      </c>
      <c r="P168" s="34">
        <f>IFERROR(SUMIF(Table431[,],Table633[[#This Row],[Accounts Name]],Table431[,2]),"")</f>
        <v>0</v>
      </c>
      <c r="S168" s="36">
        <f t="shared" si="2"/>
        <v>161</v>
      </c>
      <c r="T168" s="34"/>
      <c r="U168" s="37"/>
      <c r="V168" s="34">
        <f>IFERROR(SUMIF(Table633[Sub-Accounts],Table834[[#This Row],[Update your chart of accounts here]],Table633[Debit]),"")</f>
        <v>0</v>
      </c>
      <c r="W168" s="34">
        <f>IFERROR(SUMIF(Table633[Sub-Accounts],Table834[[#This Row],[Update your chart of accounts here]],Table633[Credit]),"")</f>
        <v>0</v>
      </c>
      <c r="X168" s="34"/>
      <c r="Y168" s="34"/>
      <c r="Z168" s="34"/>
      <c r="AA168" s="34"/>
      <c r="AB168" s="34">
        <f>MAX(Table834[[#This Row],[Debit]]+Table834[[#This Row],[Debit -]]-Table834[[#This Row],[Credit]]-Table834[[#This Row],[Credit +]],0)</f>
        <v>0</v>
      </c>
      <c r="AC168" s="34">
        <f>MAX(Table834[[#This Row],[Credit]]-Table834[[#This Row],[Debit]]+Table834[[#This Row],[Credit +]]-Table834[[#This Row],[Debit -]],0)</f>
        <v>0</v>
      </c>
      <c r="AD168" s="34" t="str">
        <f>IFERROR(IF(AND(OR(Table834[[#This Row],[Classification]]="Expense",Table834[[#This Row],[Classification]]="Cost of Goods Sold"),Table834[[#This Row],[Debit\]]&gt;Table834[[#This Row],[Credit.]]),Table834[[#This Row],[Debit\]]-Table834[[#This Row],[Credit.]],""),"")</f>
        <v/>
      </c>
      <c r="AE168" s="34" t="str">
        <f>IFERROR(IF(AND(OR(Table834[[#This Row],[Classification]]="Income",Table834[[#This Row],[Classification]]="Cost of Goods Sold"),Table834[[#This Row],[Credit.]]&gt;Table834[[#This Row],[Debit\]]),Table834[[#This Row],[Credit.]]-Table834[[#This Row],[Debit\]],""),"")</f>
        <v/>
      </c>
      <c r="AF168" s="34"/>
      <c r="AG168" s="34" t="str">
        <f>IFERROR(IF(AND(Table834[[#This Row],[Classification]]="Assets",Table834[[#This Row],[Debit\]]-Table834[[#This Row],[Credit.]]),Table834[[#This Row],[Debit\]]-Table834[[#This Row],[Credit.]],""),"")</f>
        <v/>
      </c>
      <c r="AH168" s="34" t="str">
        <f>IFERROR(IF(AND(OR(Table834[[#This Row],[Classification]]="Liabilities",Table834[[#This Row],[Classification]]="Owner´s Equity"),Table834[[#This Row],[Credit.]]&gt;Table834[[#This Row],[Debit\]]),Table834[[#This Row],[Credit.]]-Table834[[#This Row],[Debit\]],""),"")</f>
        <v/>
      </c>
    </row>
    <row r="169" spans="2:34" hidden="1" x14ac:dyDescent="0.25">
      <c r="B169" s="34"/>
      <c r="C169" s="45"/>
      <c r="D169" s="34"/>
      <c r="E169" s="34"/>
      <c r="G169" s="39"/>
      <c r="H169" s="40"/>
      <c r="I169" s="41"/>
      <c r="J169" s="41"/>
      <c r="L169" s="34">
        <v>162</v>
      </c>
      <c r="M169" s="35"/>
      <c r="N169" s="35"/>
      <c r="O169" s="34">
        <f>IFERROR(SUMIF(Table431[,],Table633[[#This Row],[Accounts Name]],Table431[,3]),"")</f>
        <v>0</v>
      </c>
      <c r="P169" s="34">
        <f>IFERROR(SUMIF(Table431[,],Table633[[#This Row],[Accounts Name]],Table431[,2]),"")</f>
        <v>0</v>
      </c>
      <c r="S169" s="36">
        <f t="shared" si="2"/>
        <v>162</v>
      </c>
      <c r="T169" s="34"/>
      <c r="U169" s="37"/>
      <c r="V169" s="34">
        <f>IFERROR(SUMIF(Table633[Sub-Accounts],Table834[[#This Row],[Update your chart of accounts here]],Table633[Debit]),"")</f>
        <v>0</v>
      </c>
      <c r="W169" s="34">
        <f>IFERROR(SUMIF(Table633[Sub-Accounts],Table834[[#This Row],[Update your chart of accounts here]],Table633[Credit]),"")</f>
        <v>0</v>
      </c>
      <c r="X169" s="34"/>
      <c r="Y169" s="34"/>
      <c r="Z169" s="34"/>
      <c r="AA169" s="34"/>
      <c r="AB169" s="34">
        <f>MAX(Table834[[#This Row],[Debit]]+Table834[[#This Row],[Debit -]]-Table834[[#This Row],[Credit]]-Table834[[#This Row],[Credit +]],0)</f>
        <v>0</v>
      </c>
      <c r="AC169" s="34">
        <f>MAX(Table834[[#This Row],[Credit]]-Table834[[#This Row],[Debit]]+Table834[[#This Row],[Credit +]]-Table834[[#This Row],[Debit -]],0)</f>
        <v>0</v>
      </c>
      <c r="AD169" s="34" t="str">
        <f>IFERROR(IF(AND(OR(Table834[[#This Row],[Classification]]="Expense",Table834[[#This Row],[Classification]]="Cost of Goods Sold"),Table834[[#This Row],[Debit\]]&gt;Table834[[#This Row],[Credit.]]),Table834[[#This Row],[Debit\]]-Table834[[#This Row],[Credit.]],""),"")</f>
        <v/>
      </c>
      <c r="AE169" s="34" t="str">
        <f>IFERROR(IF(AND(OR(Table834[[#This Row],[Classification]]="Income",Table834[[#This Row],[Classification]]="Cost of Goods Sold"),Table834[[#This Row],[Credit.]]&gt;Table834[[#This Row],[Debit\]]),Table834[[#This Row],[Credit.]]-Table834[[#This Row],[Debit\]],""),"")</f>
        <v/>
      </c>
      <c r="AF169" s="34"/>
      <c r="AG169" s="34" t="str">
        <f>IFERROR(IF(AND(Table834[[#This Row],[Classification]]="Assets",Table834[[#This Row],[Debit\]]-Table834[[#This Row],[Credit.]]),Table834[[#This Row],[Debit\]]-Table834[[#This Row],[Credit.]],""),"")</f>
        <v/>
      </c>
      <c r="AH169" s="34" t="str">
        <f>IFERROR(IF(AND(OR(Table834[[#This Row],[Classification]]="Liabilities",Table834[[#This Row],[Classification]]="Owner´s Equity"),Table834[[#This Row],[Credit.]]&gt;Table834[[#This Row],[Debit\]]),Table834[[#This Row],[Credit.]]-Table834[[#This Row],[Debit\]],""),"")</f>
        <v/>
      </c>
    </row>
    <row r="170" spans="2:34" hidden="1" x14ac:dyDescent="0.25">
      <c r="B170" s="34"/>
      <c r="C170" s="45"/>
      <c r="D170" s="34"/>
      <c r="E170" s="34"/>
      <c r="G170" s="39"/>
      <c r="H170" s="43"/>
      <c r="I170" s="41"/>
      <c r="J170" s="41"/>
      <c r="L170" s="34">
        <v>163</v>
      </c>
      <c r="M170" s="35"/>
      <c r="N170" s="35"/>
      <c r="O170" s="34">
        <f>IFERROR(SUMIF(Table431[,],Table633[[#This Row],[Accounts Name]],Table431[,3]),"")</f>
        <v>0</v>
      </c>
      <c r="P170" s="34">
        <f>IFERROR(SUMIF(Table431[,],Table633[[#This Row],[Accounts Name]],Table431[,2]),"")</f>
        <v>0</v>
      </c>
      <c r="S170" s="36">
        <f t="shared" si="2"/>
        <v>163</v>
      </c>
      <c r="T170" s="34"/>
      <c r="U170" s="37"/>
      <c r="V170" s="34">
        <f>IFERROR(SUMIF(Table633[Sub-Accounts],Table834[[#This Row],[Update your chart of accounts here]],Table633[Debit]),"")</f>
        <v>0</v>
      </c>
      <c r="W170" s="34">
        <f>IFERROR(SUMIF(Table633[Sub-Accounts],Table834[[#This Row],[Update your chart of accounts here]],Table633[Credit]),"")</f>
        <v>0</v>
      </c>
      <c r="X170" s="34"/>
      <c r="Y170" s="34"/>
      <c r="Z170" s="34"/>
      <c r="AA170" s="34"/>
      <c r="AB170" s="34">
        <f>MAX(Table834[[#This Row],[Debit]]+Table834[[#This Row],[Debit -]]-Table834[[#This Row],[Credit]]-Table834[[#This Row],[Credit +]],0)</f>
        <v>0</v>
      </c>
      <c r="AC170" s="34">
        <f>MAX(Table834[[#This Row],[Credit]]-Table834[[#This Row],[Debit]]+Table834[[#This Row],[Credit +]]-Table834[[#This Row],[Debit -]],0)</f>
        <v>0</v>
      </c>
      <c r="AD170" s="34" t="str">
        <f>IFERROR(IF(AND(OR(Table834[[#This Row],[Classification]]="Expense",Table834[[#This Row],[Classification]]="Cost of Goods Sold"),Table834[[#This Row],[Debit\]]&gt;Table834[[#This Row],[Credit.]]),Table834[[#This Row],[Debit\]]-Table834[[#This Row],[Credit.]],""),"")</f>
        <v/>
      </c>
      <c r="AE170" s="34" t="str">
        <f>IFERROR(IF(AND(OR(Table834[[#This Row],[Classification]]="Income",Table834[[#This Row],[Classification]]="Cost of Goods Sold"),Table834[[#This Row],[Credit.]]&gt;Table834[[#This Row],[Debit\]]),Table834[[#This Row],[Credit.]]-Table834[[#This Row],[Debit\]],""),"")</f>
        <v/>
      </c>
      <c r="AF170" s="34"/>
      <c r="AG170" s="34" t="str">
        <f>IFERROR(IF(AND(Table834[[#This Row],[Classification]]="Assets",Table834[[#This Row],[Debit\]]-Table834[[#This Row],[Credit.]]),Table834[[#This Row],[Debit\]]-Table834[[#This Row],[Credit.]],""),"")</f>
        <v/>
      </c>
      <c r="AH170" s="34" t="str">
        <f>IFERROR(IF(AND(OR(Table834[[#This Row],[Classification]]="Liabilities",Table834[[#This Row],[Classification]]="Owner´s Equity"),Table834[[#This Row],[Credit.]]&gt;Table834[[#This Row],[Debit\]]),Table834[[#This Row],[Credit.]]-Table834[[#This Row],[Debit\]],""),"")</f>
        <v/>
      </c>
    </row>
    <row r="171" spans="2:34" hidden="1" x14ac:dyDescent="0.25">
      <c r="B171" s="34"/>
      <c r="C171" s="45"/>
      <c r="D171" s="34"/>
      <c r="E171" s="34"/>
      <c r="G171" s="39"/>
      <c r="H171" s="40"/>
      <c r="I171" s="41"/>
      <c r="J171" s="41"/>
      <c r="L171" s="34">
        <v>164</v>
      </c>
      <c r="M171" s="35"/>
      <c r="N171" s="35"/>
      <c r="O171" s="34">
        <f>IFERROR(SUMIF(Table431[,],Table633[[#This Row],[Accounts Name]],Table431[,3]),"")</f>
        <v>0</v>
      </c>
      <c r="P171" s="34">
        <f>IFERROR(SUMIF(Table431[,],Table633[[#This Row],[Accounts Name]],Table431[,2]),"")</f>
        <v>0</v>
      </c>
      <c r="S171" s="36">
        <f t="shared" si="2"/>
        <v>164</v>
      </c>
      <c r="T171" s="34"/>
      <c r="U171" s="37"/>
      <c r="V171" s="34">
        <f>IFERROR(SUMIF(Table633[Sub-Accounts],Table834[[#This Row],[Update your chart of accounts here]],Table633[Debit]),"")</f>
        <v>0</v>
      </c>
      <c r="W171" s="34">
        <f>IFERROR(SUMIF(Table633[Sub-Accounts],Table834[[#This Row],[Update your chart of accounts here]],Table633[Credit]),"")</f>
        <v>0</v>
      </c>
      <c r="X171" s="34"/>
      <c r="Y171" s="34"/>
      <c r="Z171" s="34"/>
      <c r="AA171" s="34"/>
      <c r="AB171" s="34">
        <f>MAX(Table834[[#This Row],[Debit]]+Table834[[#This Row],[Debit -]]-Table834[[#This Row],[Credit]]-Table834[[#This Row],[Credit +]],0)</f>
        <v>0</v>
      </c>
      <c r="AC171" s="34">
        <f>MAX(Table834[[#This Row],[Credit]]-Table834[[#This Row],[Debit]]+Table834[[#This Row],[Credit +]]-Table834[[#This Row],[Debit -]],0)</f>
        <v>0</v>
      </c>
      <c r="AD171" s="34" t="str">
        <f>IFERROR(IF(AND(OR(Table834[[#This Row],[Classification]]="Expense",Table834[[#This Row],[Classification]]="Cost of Goods Sold"),Table834[[#This Row],[Debit\]]&gt;Table834[[#This Row],[Credit.]]),Table834[[#This Row],[Debit\]]-Table834[[#This Row],[Credit.]],""),"")</f>
        <v/>
      </c>
      <c r="AE171" s="34" t="str">
        <f>IFERROR(IF(AND(OR(Table834[[#This Row],[Classification]]="Income",Table834[[#This Row],[Classification]]="Cost of Goods Sold"),Table834[[#This Row],[Credit.]]&gt;Table834[[#This Row],[Debit\]]),Table834[[#This Row],[Credit.]]-Table834[[#This Row],[Debit\]],""),"")</f>
        <v/>
      </c>
      <c r="AF171" s="34"/>
      <c r="AG171" s="34" t="str">
        <f>IFERROR(IF(AND(Table834[[#This Row],[Classification]]="Assets",Table834[[#This Row],[Debit\]]-Table834[[#This Row],[Credit.]]),Table834[[#This Row],[Debit\]]-Table834[[#This Row],[Credit.]],""),"")</f>
        <v/>
      </c>
      <c r="AH171" s="34" t="str">
        <f>IFERROR(IF(AND(OR(Table834[[#This Row],[Classification]]="Liabilities",Table834[[#This Row],[Classification]]="Owner´s Equity"),Table834[[#This Row],[Credit.]]&gt;Table834[[#This Row],[Debit\]]),Table834[[#This Row],[Credit.]]-Table834[[#This Row],[Debit\]],""),"")</f>
        <v/>
      </c>
    </row>
    <row r="172" spans="2:34" hidden="1" x14ac:dyDescent="0.25">
      <c r="B172" s="34"/>
      <c r="C172" s="45"/>
      <c r="D172" s="34"/>
      <c r="E172" s="34"/>
      <c r="G172" s="39"/>
      <c r="H172" s="40"/>
      <c r="I172" s="41"/>
      <c r="J172" s="41"/>
      <c r="L172" s="34">
        <v>165</v>
      </c>
      <c r="M172" s="35"/>
      <c r="N172" s="35"/>
      <c r="O172" s="34">
        <f>IFERROR(SUMIF(Table431[,],Table633[[#This Row],[Accounts Name]],Table431[,3]),"")</f>
        <v>0</v>
      </c>
      <c r="P172" s="34">
        <f>IFERROR(SUMIF(Table431[,],Table633[[#This Row],[Accounts Name]],Table431[,2]),"")</f>
        <v>0</v>
      </c>
      <c r="S172" s="36">
        <f t="shared" si="2"/>
        <v>165</v>
      </c>
      <c r="T172" s="34"/>
      <c r="U172" s="37"/>
      <c r="V172" s="34">
        <f>IFERROR(SUMIF(Table633[Sub-Accounts],Table834[[#This Row],[Update your chart of accounts here]],Table633[Debit]),"")</f>
        <v>0</v>
      </c>
      <c r="W172" s="34">
        <f>IFERROR(SUMIF(Table633[Sub-Accounts],Table834[[#This Row],[Update your chart of accounts here]],Table633[Credit]),"")</f>
        <v>0</v>
      </c>
      <c r="X172" s="34"/>
      <c r="Y172" s="34"/>
      <c r="Z172" s="34"/>
      <c r="AA172" s="34"/>
      <c r="AB172" s="34">
        <f>MAX(Table834[[#This Row],[Debit]]+Table834[[#This Row],[Debit -]]-Table834[[#This Row],[Credit]]-Table834[[#This Row],[Credit +]],0)</f>
        <v>0</v>
      </c>
      <c r="AC172" s="34">
        <f>MAX(Table834[[#This Row],[Credit]]-Table834[[#This Row],[Debit]]+Table834[[#This Row],[Credit +]]-Table834[[#This Row],[Debit -]],0)</f>
        <v>0</v>
      </c>
      <c r="AD172" s="34" t="str">
        <f>IFERROR(IF(AND(OR(Table834[[#This Row],[Classification]]="Expense",Table834[[#This Row],[Classification]]="Cost of Goods Sold"),Table834[[#This Row],[Debit\]]&gt;Table834[[#This Row],[Credit.]]),Table834[[#This Row],[Debit\]]-Table834[[#This Row],[Credit.]],""),"")</f>
        <v/>
      </c>
      <c r="AE172" s="34" t="str">
        <f>IFERROR(IF(AND(OR(Table834[[#This Row],[Classification]]="Income",Table834[[#This Row],[Classification]]="Cost of Goods Sold"),Table834[[#This Row],[Credit.]]&gt;Table834[[#This Row],[Debit\]]),Table834[[#This Row],[Credit.]]-Table834[[#This Row],[Debit\]],""),"")</f>
        <v/>
      </c>
      <c r="AF172" s="34"/>
      <c r="AG172" s="34" t="str">
        <f>IFERROR(IF(AND(Table834[[#This Row],[Classification]]="Assets",Table834[[#This Row],[Debit\]]-Table834[[#This Row],[Credit.]]),Table834[[#This Row],[Debit\]]-Table834[[#This Row],[Credit.]],""),"")</f>
        <v/>
      </c>
      <c r="AH172" s="34" t="str">
        <f>IFERROR(IF(AND(OR(Table834[[#This Row],[Classification]]="Liabilities",Table834[[#This Row],[Classification]]="Owner´s Equity"),Table834[[#This Row],[Credit.]]&gt;Table834[[#This Row],[Debit\]]),Table834[[#This Row],[Credit.]]-Table834[[#This Row],[Debit\]],""),"")</f>
        <v/>
      </c>
    </row>
    <row r="173" spans="2:34" hidden="1" x14ac:dyDescent="0.25">
      <c r="B173" s="34"/>
      <c r="C173" s="45"/>
      <c r="D173" s="34"/>
      <c r="E173" s="34"/>
      <c r="G173" s="39"/>
      <c r="H173" s="43"/>
      <c r="I173" s="41"/>
      <c r="J173" s="41"/>
      <c r="L173" s="34">
        <v>166</v>
      </c>
      <c r="M173" s="35"/>
      <c r="N173" s="35"/>
      <c r="O173" s="34">
        <f>IFERROR(SUMIF(Table431[,],Table633[[#This Row],[Accounts Name]],Table431[,3]),"")</f>
        <v>0</v>
      </c>
      <c r="P173" s="34">
        <f>IFERROR(SUMIF(Table431[,],Table633[[#This Row],[Accounts Name]],Table431[,2]),"")</f>
        <v>0</v>
      </c>
      <c r="S173" s="36">
        <f t="shared" si="2"/>
        <v>166</v>
      </c>
      <c r="T173" s="34"/>
      <c r="U173" s="37"/>
      <c r="V173" s="34">
        <f>IFERROR(SUMIF(Table633[Sub-Accounts],Table834[[#This Row],[Update your chart of accounts here]],Table633[Debit]),"")</f>
        <v>0</v>
      </c>
      <c r="W173" s="34">
        <f>IFERROR(SUMIF(Table633[Sub-Accounts],Table834[[#This Row],[Update your chart of accounts here]],Table633[Credit]),"")</f>
        <v>0</v>
      </c>
      <c r="X173" s="34"/>
      <c r="Y173" s="34"/>
      <c r="Z173" s="34"/>
      <c r="AA173" s="34"/>
      <c r="AB173" s="34">
        <f>MAX(Table834[[#This Row],[Debit]]+Table834[[#This Row],[Debit -]]-Table834[[#This Row],[Credit]]-Table834[[#This Row],[Credit +]],0)</f>
        <v>0</v>
      </c>
      <c r="AC173" s="34">
        <f>MAX(Table834[[#This Row],[Credit]]-Table834[[#This Row],[Debit]]+Table834[[#This Row],[Credit +]]-Table834[[#This Row],[Debit -]],0)</f>
        <v>0</v>
      </c>
      <c r="AD173" s="34" t="str">
        <f>IFERROR(IF(AND(OR(Table834[[#This Row],[Classification]]="Expense",Table834[[#This Row],[Classification]]="Cost of Goods Sold"),Table834[[#This Row],[Debit\]]&gt;Table834[[#This Row],[Credit.]]),Table834[[#This Row],[Debit\]]-Table834[[#This Row],[Credit.]],""),"")</f>
        <v/>
      </c>
      <c r="AE173" s="34" t="str">
        <f>IFERROR(IF(AND(OR(Table834[[#This Row],[Classification]]="Income",Table834[[#This Row],[Classification]]="Cost of Goods Sold"),Table834[[#This Row],[Credit.]]&gt;Table834[[#This Row],[Debit\]]),Table834[[#This Row],[Credit.]]-Table834[[#This Row],[Debit\]],""),"")</f>
        <v/>
      </c>
      <c r="AF173" s="34"/>
      <c r="AG173" s="34" t="str">
        <f>IFERROR(IF(AND(Table834[[#This Row],[Classification]]="Assets",Table834[[#This Row],[Debit\]]-Table834[[#This Row],[Credit.]]),Table834[[#This Row],[Debit\]]-Table834[[#This Row],[Credit.]],""),"")</f>
        <v/>
      </c>
      <c r="AH173" s="34" t="str">
        <f>IFERROR(IF(AND(OR(Table834[[#This Row],[Classification]]="Liabilities",Table834[[#This Row],[Classification]]="Owner´s Equity"),Table834[[#This Row],[Credit.]]&gt;Table834[[#This Row],[Debit\]]),Table834[[#This Row],[Credit.]]-Table834[[#This Row],[Debit\]],""),"")</f>
        <v/>
      </c>
    </row>
    <row r="174" spans="2:34" hidden="1" x14ac:dyDescent="0.25">
      <c r="B174" s="34"/>
      <c r="C174" s="45"/>
      <c r="D174" s="34"/>
      <c r="E174" s="34"/>
      <c r="G174" s="39"/>
      <c r="H174" s="40"/>
      <c r="I174" s="41"/>
      <c r="J174" s="41"/>
      <c r="L174" s="34">
        <v>167</v>
      </c>
      <c r="M174" s="35"/>
      <c r="N174" s="35"/>
      <c r="O174" s="34">
        <f>IFERROR(SUMIF(Table431[,],Table633[[#This Row],[Accounts Name]],Table431[,3]),"")</f>
        <v>0</v>
      </c>
      <c r="P174" s="34">
        <f>IFERROR(SUMIF(Table431[,],Table633[[#This Row],[Accounts Name]],Table431[,2]),"")</f>
        <v>0</v>
      </c>
      <c r="S174" s="36">
        <f t="shared" si="2"/>
        <v>167</v>
      </c>
      <c r="T174" s="34"/>
      <c r="U174" s="37"/>
      <c r="V174" s="34">
        <f>IFERROR(SUMIF(Table633[Sub-Accounts],Table834[[#This Row],[Update your chart of accounts here]],Table633[Debit]),"")</f>
        <v>0</v>
      </c>
      <c r="W174" s="34">
        <f>IFERROR(SUMIF(Table633[Sub-Accounts],Table834[[#This Row],[Update your chart of accounts here]],Table633[Credit]),"")</f>
        <v>0</v>
      </c>
      <c r="X174" s="34"/>
      <c r="Y174" s="34"/>
      <c r="Z174" s="34"/>
      <c r="AA174" s="34"/>
      <c r="AB174" s="34">
        <f>MAX(Table834[[#This Row],[Debit]]+Table834[[#This Row],[Debit -]]-Table834[[#This Row],[Credit]]-Table834[[#This Row],[Credit +]],0)</f>
        <v>0</v>
      </c>
      <c r="AC174" s="34">
        <f>MAX(Table834[[#This Row],[Credit]]-Table834[[#This Row],[Debit]]+Table834[[#This Row],[Credit +]]-Table834[[#This Row],[Debit -]],0)</f>
        <v>0</v>
      </c>
      <c r="AD174" s="34" t="str">
        <f>IFERROR(IF(AND(OR(Table834[[#This Row],[Classification]]="Expense",Table834[[#This Row],[Classification]]="Cost of Goods Sold"),Table834[[#This Row],[Debit\]]&gt;Table834[[#This Row],[Credit.]]),Table834[[#This Row],[Debit\]]-Table834[[#This Row],[Credit.]],""),"")</f>
        <v/>
      </c>
      <c r="AE174" s="34" t="str">
        <f>IFERROR(IF(AND(OR(Table834[[#This Row],[Classification]]="Income",Table834[[#This Row],[Classification]]="Cost of Goods Sold"),Table834[[#This Row],[Credit.]]&gt;Table834[[#This Row],[Debit\]]),Table834[[#This Row],[Credit.]]-Table834[[#This Row],[Debit\]],""),"")</f>
        <v/>
      </c>
      <c r="AF174" s="34"/>
      <c r="AG174" s="34" t="str">
        <f>IFERROR(IF(AND(Table834[[#This Row],[Classification]]="Assets",Table834[[#This Row],[Debit\]]-Table834[[#This Row],[Credit.]]),Table834[[#This Row],[Debit\]]-Table834[[#This Row],[Credit.]],""),"")</f>
        <v/>
      </c>
      <c r="AH174" s="34" t="str">
        <f>IFERROR(IF(AND(OR(Table834[[#This Row],[Classification]]="Liabilities",Table834[[#This Row],[Classification]]="Owner´s Equity"),Table834[[#This Row],[Credit.]]&gt;Table834[[#This Row],[Debit\]]),Table834[[#This Row],[Credit.]]-Table834[[#This Row],[Debit\]],""),"")</f>
        <v/>
      </c>
    </row>
    <row r="175" spans="2:34" hidden="1" x14ac:dyDescent="0.25">
      <c r="B175" s="34"/>
      <c r="C175" s="45"/>
      <c r="D175" s="34"/>
      <c r="E175" s="34"/>
      <c r="G175" s="39"/>
      <c r="H175" s="40"/>
      <c r="I175" s="41"/>
      <c r="J175" s="41"/>
      <c r="L175" s="34">
        <v>168</v>
      </c>
      <c r="M175" s="35"/>
      <c r="N175" s="35"/>
      <c r="O175" s="34">
        <f>IFERROR(SUMIF(Table431[,],Table633[[#This Row],[Accounts Name]],Table431[,3]),"")</f>
        <v>0</v>
      </c>
      <c r="P175" s="34">
        <f>IFERROR(SUMIF(Table431[,],Table633[[#This Row],[Accounts Name]],Table431[,2]),"")</f>
        <v>0</v>
      </c>
      <c r="S175" s="36">
        <f t="shared" si="2"/>
        <v>168</v>
      </c>
      <c r="T175" s="34"/>
      <c r="U175" s="37"/>
      <c r="V175" s="34">
        <f>IFERROR(SUMIF(Table633[Sub-Accounts],Table834[[#This Row],[Update your chart of accounts here]],Table633[Debit]),"")</f>
        <v>0</v>
      </c>
      <c r="W175" s="34">
        <f>IFERROR(SUMIF(Table633[Sub-Accounts],Table834[[#This Row],[Update your chart of accounts here]],Table633[Credit]),"")</f>
        <v>0</v>
      </c>
      <c r="X175" s="34"/>
      <c r="Y175" s="34"/>
      <c r="Z175" s="34"/>
      <c r="AA175" s="34"/>
      <c r="AB175" s="34">
        <f>MAX(Table834[[#This Row],[Debit]]+Table834[[#This Row],[Debit -]]-Table834[[#This Row],[Credit]]-Table834[[#This Row],[Credit +]],0)</f>
        <v>0</v>
      </c>
      <c r="AC175" s="34">
        <f>MAX(Table834[[#This Row],[Credit]]-Table834[[#This Row],[Debit]]+Table834[[#This Row],[Credit +]]-Table834[[#This Row],[Debit -]],0)</f>
        <v>0</v>
      </c>
      <c r="AD175" s="34" t="str">
        <f>IFERROR(IF(AND(OR(Table834[[#This Row],[Classification]]="Expense",Table834[[#This Row],[Classification]]="Cost of Goods Sold"),Table834[[#This Row],[Debit\]]&gt;Table834[[#This Row],[Credit.]]),Table834[[#This Row],[Debit\]]-Table834[[#This Row],[Credit.]],""),"")</f>
        <v/>
      </c>
      <c r="AE175" s="34" t="str">
        <f>IFERROR(IF(AND(OR(Table834[[#This Row],[Classification]]="Income",Table834[[#This Row],[Classification]]="Cost of Goods Sold"),Table834[[#This Row],[Credit.]]&gt;Table834[[#This Row],[Debit\]]),Table834[[#This Row],[Credit.]]-Table834[[#This Row],[Debit\]],""),"")</f>
        <v/>
      </c>
      <c r="AF175" s="34"/>
      <c r="AG175" s="34" t="str">
        <f>IFERROR(IF(AND(Table834[[#This Row],[Classification]]="Assets",Table834[[#This Row],[Debit\]]-Table834[[#This Row],[Credit.]]),Table834[[#This Row],[Debit\]]-Table834[[#This Row],[Credit.]],""),"")</f>
        <v/>
      </c>
      <c r="AH175" s="34" t="str">
        <f>IFERROR(IF(AND(OR(Table834[[#This Row],[Classification]]="Liabilities",Table834[[#This Row],[Classification]]="Owner´s Equity"),Table834[[#This Row],[Credit.]]&gt;Table834[[#This Row],[Debit\]]),Table834[[#This Row],[Credit.]]-Table834[[#This Row],[Debit\]],""),"")</f>
        <v/>
      </c>
    </row>
    <row r="176" spans="2:34" hidden="1" x14ac:dyDescent="0.25">
      <c r="B176" s="34"/>
      <c r="C176" s="45"/>
      <c r="D176" s="34"/>
      <c r="E176" s="34"/>
      <c r="G176" s="39"/>
      <c r="H176" s="43"/>
      <c r="I176" s="41"/>
      <c r="J176" s="41"/>
      <c r="L176" s="34">
        <v>169</v>
      </c>
      <c r="M176" s="35"/>
      <c r="N176" s="35"/>
      <c r="O176" s="34">
        <f>IFERROR(SUMIF(Table431[,],Table633[[#This Row],[Accounts Name]],Table431[,3]),"")</f>
        <v>0</v>
      </c>
      <c r="P176" s="34">
        <f>IFERROR(SUMIF(Table431[,],Table633[[#This Row],[Accounts Name]],Table431[,2]),"")</f>
        <v>0</v>
      </c>
      <c r="S176" s="36">
        <f t="shared" si="2"/>
        <v>169</v>
      </c>
      <c r="T176" s="34"/>
      <c r="U176" s="37"/>
      <c r="V176" s="34">
        <f>IFERROR(SUMIF(Table633[Sub-Accounts],Table834[[#This Row],[Update your chart of accounts here]],Table633[Debit]),"")</f>
        <v>0</v>
      </c>
      <c r="W176" s="34">
        <f>IFERROR(SUMIF(Table633[Sub-Accounts],Table834[[#This Row],[Update your chart of accounts here]],Table633[Credit]),"")</f>
        <v>0</v>
      </c>
      <c r="X176" s="34"/>
      <c r="Y176" s="34"/>
      <c r="Z176" s="34"/>
      <c r="AA176" s="34"/>
      <c r="AB176" s="34">
        <f>MAX(Table834[[#This Row],[Debit]]+Table834[[#This Row],[Debit -]]-Table834[[#This Row],[Credit]]-Table834[[#This Row],[Credit +]],0)</f>
        <v>0</v>
      </c>
      <c r="AC176" s="34">
        <f>MAX(Table834[[#This Row],[Credit]]-Table834[[#This Row],[Debit]]+Table834[[#This Row],[Credit +]]-Table834[[#This Row],[Debit -]],0)</f>
        <v>0</v>
      </c>
      <c r="AD176" s="34" t="str">
        <f>IFERROR(IF(AND(OR(Table834[[#This Row],[Classification]]="Expense",Table834[[#This Row],[Classification]]="Cost of Goods Sold"),Table834[[#This Row],[Debit\]]&gt;Table834[[#This Row],[Credit.]]),Table834[[#This Row],[Debit\]]-Table834[[#This Row],[Credit.]],""),"")</f>
        <v/>
      </c>
      <c r="AE176" s="34" t="str">
        <f>IFERROR(IF(AND(OR(Table834[[#This Row],[Classification]]="Income",Table834[[#This Row],[Classification]]="Cost of Goods Sold"),Table834[[#This Row],[Credit.]]&gt;Table834[[#This Row],[Debit\]]),Table834[[#This Row],[Credit.]]-Table834[[#This Row],[Debit\]],""),"")</f>
        <v/>
      </c>
      <c r="AF176" s="34"/>
      <c r="AG176" s="34" t="str">
        <f>IFERROR(IF(AND(Table834[[#This Row],[Classification]]="Assets",Table834[[#This Row],[Debit\]]-Table834[[#This Row],[Credit.]]),Table834[[#This Row],[Debit\]]-Table834[[#This Row],[Credit.]],""),"")</f>
        <v/>
      </c>
      <c r="AH176" s="34" t="str">
        <f>IFERROR(IF(AND(OR(Table834[[#This Row],[Classification]]="Liabilities",Table834[[#This Row],[Classification]]="Owner´s Equity"),Table834[[#This Row],[Credit.]]&gt;Table834[[#This Row],[Debit\]]),Table834[[#This Row],[Credit.]]-Table834[[#This Row],[Debit\]],""),"")</f>
        <v/>
      </c>
    </row>
    <row r="177" spans="2:34" hidden="1" x14ac:dyDescent="0.25">
      <c r="B177" s="34"/>
      <c r="C177" s="45"/>
      <c r="D177" s="34"/>
      <c r="E177" s="34"/>
      <c r="G177" s="39"/>
      <c r="H177" s="40"/>
      <c r="I177" s="41"/>
      <c r="J177" s="41"/>
      <c r="L177" s="34">
        <v>170</v>
      </c>
      <c r="M177" s="35"/>
      <c r="N177" s="35"/>
      <c r="O177" s="34">
        <f>IFERROR(SUMIF(Table431[,],Table633[[#This Row],[Accounts Name]],Table431[,3]),"")</f>
        <v>0</v>
      </c>
      <c r="P177" s="34">
        <f>IFERROR(SUMIF(Table431[,],Table633[[#This Row],[Accounts Name]],Table431[,2]),"")</f>
        <v>0</v>
      </c>
      <c r="S177" s="36">
        <f t="shared" si="2"/>
        <v>170</v>
      </c>
      <c r="T177" s="34"/>
      <c r="U177" s="37"/>
      <c r="V177" s="34">
        <f>IFERROR(SUMIF(Table633[Sub-Accounts],Table834[[#This Row],[Update your chart of accounts here]],Table633[Debit]),"")</f>
        <v>0</v>
      </c>
      <c r="W177" s="34">
        <f>IFERROR(SUMIF(Table633[Sub-Accounts],Table834[[#This Row],[Update your chart of accounts here]],Table633[Credit]),"")</f>
        <v>0</v>
      </c>
      <c r="X177" s="34"/>
      <c r="Y177" s="34"/>
      <c r="Z177" s="34"/>
      <c r="AA177" s="34"/>
      <c r="AB177" s="34">
        <f>MAX(Table834[[#This Row],[Debit]]+Table834[[#This Row],[Debit -]]-Table834[[#This Row],[Credit]]-Table834[[#This Row],[Credit +]],0)</f>
        <v>0</v>
      </c>
      <c r="AC177" s="34">
        <f>MAX(Table834[[#This Row],[Credit]]-Table834[[#This Row],[Debit]]+Table834[[#This Row],[Credit +]]-Table834[[#This Row],[Debit -]],0)</f>
        <v>0</v>
      </c>
      <c r="AD177" s="34" t="str">
        <f>IFERROR(IF(AND(OR(Table834[[#This Row],[Classification]]="Expense",Table834[[#This Row],[Classification]]="Cost of Goods Sold"),Table834[[#This Row],[Debit\]]&gt;Table834[[#This Row],[Credit.]]),Table834[[#This Row],[Debit\]]-Table834[[#This Row],[Credit.]],""),"")</f>
        <v/>
      </c>
      <c r="AE177" s="34" t="str">
        <f>IFERROR(IF(AND(OR(Table834[[#This Row],[Classification]]="Income",Table834[[#This Row],[Classification]]="Cost of Goods Sold"),Table834[[#This Row],[Credit.]]&gt;Table834[[#This Row],[Debit\]]),Table834[[#This Row],[Credit.]]-Table834[[#This Row],[Debit\]],""),"")</f>
        <v/>
      </c>
      <c r="AF177" s="34"/>
      <c r="AG177" s="34" t="str">
        <f>IFERROR(IF(AND(Table834[[#This Row],[Classification]]="Assets",Table834[[#This Row],[Debit\]]-Table834[[#This Row],[Credit.]]),Table834[[#This Row],[Debit\]]-Table834[[#This Row],[Credit.]],""),"")</f>
        <v/>
      </c>
      <c r="AH177" s="34" t="str">
        <f>IFERROR(IF(AND(OR(Table834[[#This Row],[Classification]]="Liabilities",Table834[[#This Row],[Classification]]="Owner´s Equity"),Table834[[#This Row],[Credit.]]&gt;Table834[[#This Row],[Debit\]]),Table834[[#This Row],[Credit.]]-Table834[[#This Row],[Debit\]],""),"")</f>
        <v/>
      </c>
    </row>
    <row r="178" spans="2:34" hidden="1" x14ac:dyDescent="0.25">
      <c r="B178" s="34"/>
      <c r="C178" s="45"/>
      <c r="D178" s="34"/>
      <c r="E178" s="34"/>
      <c r="G178" s="39"/>
      <c r="H178" s="40"/>
      <c r="I178" s="41"/>
      <c r="J178" s="41"/>
      <c r="L178" s="34">
        <v>171</v>
      </c>
      <c r="M178" s="35"/>
      <c r="N178" s="35"/>
      <c r="O178" s="34">
        <f>IFERROR(SUMIF(Table431[,],Table633[[#This Row],[Accounts Name]],Table431[,3]),"")</f>
        <v>0</v>
      </c>
      <c r="P178" s="34">
        <f>IFERROR(SUMIF(Table431[,],Table633[[#This Row],[Accounts Name]],Table431[,2]),"")</f>
        <v>0</v>
      </c>
      <c r="S178" s="36">
        <f t="shared" si="2"/>
        <v>171</v>
      </c>
      <c r="T178" s="34"/>
      <c r="U178" s="37"/>
      <c r="V178" s="34">
        <f>IFERROR(SUMIF(Table633[Sub-Accounts],Table834[[#This Row],[Update your chart of accounts here]],Table633[Debit]),"")</f>
        <v>0</v>
      </c>
      <c r="W178" s="34">
        <f>IFERROR(SUMIF(Table633[Sub-Accounts],Table834[[#This Row],[Update your chart of accounts here]],Table633[Credit]),"")</f>
        <v>0</v>
      </c>
      <c r="X178" s="34"/>
      <c r="Y178" s="34"/>
      <c r="Z178" s="34"/>
      <c r="AA178" s="34"/>
      <c r="AB178" s="34">
        <f>MAX(Table834[[#This Row],[Debit]]+Table834[[#This Row],[Debit -]]-Table834[[#This Row],[Credit]]-Table834[[#This Row],[Credit +]],0)</f>
        <v>0</v>
      </c>
      <c r="AC178" s="34">
        <f>MAX(Table834[[#This Row],[Credit]]-Table834[[#This Row],[Debit]]+Table834[[#This Row],[Credit +]]-Table834[[#This Row],[Debit -]],0)</f>
        <v>0</v>
      </c>
      <c r="AD178" s="34" t="str">
        <f>IFERROR(IF(AND(OR(Table834[[#This Row],[Classification]]="Expense",Table834[[#This Row],[Classification]]="Cost of Goods Sold"),Table834[[#This Row],[Debit\]]&gt;Table834[[#This Row],[Credit.]]),Table834[[#This Row],[Debit\]]-Table834[[#This Row],[Credit.]],""),"")</f>
        <v/>
      </c>
      <c r="AE178" s="34" t="str">
        <f>IFERROR(IF(AND(OR(Table834[[#This Row],[Classification]]="Income",Table834[[#This Row],[Classification]]="Cost of Goods Sold"),Table834[[#This Row],[Credit.]]&gt;Table834[[#This Row],[Debit\]]),Table834[[#This Row],[Credit.]]-Table834[[#This Row],[Debit\]],""),"")</f>
        <v/>
      </c>
      <c r="AF178" s="34"/>
      <c r="AG178" s="34" t="str">
        <f>IFERROR(IF(AND(Table834[[#This Row],[Classification]]="Assets",Table834[[#This Row],[Debit\]]-Table834[[#This Row],[Credit.]]),Table834[[#This Row],[Debit\]]-Table834[[#This Row],[Credit.]],""),"")</f>
        <v/>
      </c>
      <c r="AH178" s="34" t="str">
        <f>IFERROR(IF(AND(OR(Table834[[#This Row],[Classification]]="Liabilities",Table834[[#This Row],[Classification]]="Owner´s Equity"),Table834[[#This Row],[Credit.]]&gt;Table834[[#This Row],[Debit\]]),Table834[[#This Row],[Credit.]]-Table834[[#This Row],[Debit\]],""),"")</f>
        <v/>
      </c>
    </row>
    <row r="179" spans="2:34" hidden="1" x14ac:dyDescent="0.25">
      <c r="B179" s="34"/>
      <c r="C179" s="45"/>
      <c r="D179" s="34"/>
      <c r="E179" s="34"/>
      <c r="G179" s="39"/>
      <c r="H179" s="43"/>
      <c r="I179" s="41"/>
      <c r="J179" s="41"/>
      <c r="L179" s="34">
        <v>172</v>
      </c>
      <c r="M179" s="35"/>
      <c r="N179" s="35"/>
      <c r="O179" s="34">
        <f>IFERROR(SUMIF(Table431[,],Table633[[#This Row],[Accounts Name]],Table431[,3]),"")</f>
        <v>0</v>
      </c>
      <c r="P179" s="34">
        <f>IFERROR(SUMIF(Table431[,],Table633[[#This Row],[Accounts Name]],Table431[,2]),"")</f>
        <v>0</v>
      </c>
      <c r="S179" s="36">
        <f t="shared" si="2"/>
        <v>172</v>
      </c>
      <c r="T179" s="34"/>
      <c r="U179" s="37"/>
      <c r="V179" s="34">
        <f>IFERROR(SUMIF(Table633[Sub-Accounts],Table834[[#This Row],[Update your chart of accounts here]],Table633[Debit]),"")</f>
        <v>0</v>
      </c>
      <c r="W179" s="34">
        <f>IFERROR(SUMIF(Table633[Sub-Accounts],Table834[[#This Row],[Update your chart of accounts here]],Table633[Credit]),"")</f>
        <v>0</v>
      </c>
      <c r="X179" s="34"/>
      <c r="Y179" s="34"/>
      <c r="Z179" s="34"/>
      <c r="AA179" s="34"/>
      <c r="AB179" s="34">
        <f>MAX(Table834[[#This Row],[Debit]]+Table834[[#This Row],[Debit -]]-Table834[[#This Row],[Credit]]-Table834[[#This Row],[Credit +]],0)</f>
        <v>0</v>
      </c>
      <c r="AC179" s="34">
        <f>MAX(Table834[[#This Row],[Credit]]-Table834[[#This Row],[Debit]]+Table834[[#This Row],[Credit +]]-Table834[[#This Row],[Debit -]],0)</f>
        <v>0</v>
      </c>
      <c r="AD179" s="34" t="str">
        <f>IFERROR(IF(AND(OR(Table834[[#This Row],[Classification]]="Expense",Table834[[#This Row],[Classification]]="Cost of Goods Sold"),Table834[[#This Row],[Debit\]]&gt;Table834[[#This Row],[Credit.]]),Table834[[#This Row],[Debit\]]-Table834[[#This Row],[Credit.]],""),"")</f>
        <v/>
      </c>
      <c r="AE179" s="34" t="str">
        <f>IFERROR(IF(AND(OR(Table834[[#This Row],[Classification]]="Income",Table834[[#This Row],[Classification]]="Cost of Goods Sold"),Table834[[#This Row],[Credit.]]&gt;Table834[[#This Row],[Debit\]]),Table834[[#This Row],[Credit.]]-Table834[[#This Row],[Debit\]],""),"")</f>
        <v/>
      </c>
      <c r="AF179" s="34"/>
      <c r="AG179" s="34" t="str">
        <f>IFERROR(IF(AND(Table834[[#This Row],[Classification]]="Assets",Table834[[#This Row],[Debit\]]-Table834[[#This Row],[Credit.]]),Table834[[#This Row],[Debit\]]-Table834[[#This Row],[Credit.]],""),"")</f>
        <v/>
      </c>
      <c r="AH179" s="34" t="str">
        <f>IFERROR(IF(AND(OR(Table834[[#This Row],[Classification]]="Liabilities",Table834[[#This Row],[Classification]]="Owner´s Equity"),Table834[[#This Row],[Credit.]]&gt;Table834[[#This Row],[Debit\]]),Table834[[#This Row],[Credit.]]-Table834[[#This Row],[Debit\]],""),"")</f>
        <v/>
      </c>
    </row>
    <row r="180" spans="2:34" hidden="1" x14ac:dyDescent="0.25">
      <c r="B180" s="34"/>
      <c r="C180" s="45"/>
      <c r="D180" s="34"/>
      <c r="E180" s="34"/>
      <c r="G180" s="39"/>
      <c r="H180" s="40"/>
      <c r="I180" s="41"/>
      <c r="J180" s="41"/>
      <c r="L180" s="34">
        <v>173</v>
      </c>
      <c r="M180" s="35"/>
      <c r="N180" s="35"/>
      <c r="O180" s="34">
        <f>IFERROR(SUMIF(Table431[,],Table633[[#This Row],[Accounts Name]],Table431[,3]),"")</f>
        <v>0</v>
      </c>
      <c r="P180" s="34">
        <f>IFERROR(SUMIF(Table431[,],Table633[[#This Row],[Accounts Name]],Table431[,2]),"")</f>
        <v>0</v>
      </c>
      <c r="S180" s="36">
        <f t="shared" si="2"/>
        <v>173</v>
      </c>
      <c r="T180" s="34"/>
      <c r="U180" s="37"/>
      <c r="V180" s="34">
        <f>IFERROR(SUMIF(Table633[Sub-Accounts],Table834[[#This Row],[Update your chart of accounts here]],Table633[Debit]),"")</f>
        <v>0</v>
      </c>
      <c r="W180" s="34">
        <f>IFERROR(SUMIF(Table633[Sub-Accounts],Table834[[#This Row],[Update your chart of accounts here]],Table633[Credit]),"")</f>
        <v>0</v>
      </c>
      <c r="X180" s="34"/>
      <c r="Y180" s="34"/>
      <c r="Z180" s="34"/>
      <c r="AA180" s="34"/>
      <c r="AB180" s="34">
        <f>MAX(Table834[[#This Row],[Debit]]+Table834[[#This Row],[Debit -]]-Table834[[#This Row],[Credit]]-Table834[[#This Row],[Credit +]],0)</f>
        <v>0</v>
      </c>
      <c r="AC180" s="34">
        <f>MAX(Table834[[#This Row],[Credit]]-Table834[[#This Row],[Debit]]+Table834[[#This Row],[Credit +]]-Table834[[#This Row],[Debit -]],0)</f>
        <v>0</v>
      </c>
      <c r="AD180" s="34" t="str">
        <f>IFERROR(IF(AND(OR(Table834[[#This Row],[Classification]]="Expense",Table834[[#This Row],[Classification]]="Cost of Goods Sold"),Table834[[#This Row],[Debit\]]&gt;Table834[[#This Row],[Credit.]]),Table834[[#This Row],[Debit\]]-Table834[[#This Row],[Credit.]],""),"")</f>
        <v/>
      </c>
      <c r="AE180" s="34" t="str">
        <f>IFERROR(IF(AND(OR(Table834[[#This Row],[Classification]]="Income",Table834[[#This Row],[Classification]]="Cost of Goods Sold"),Table834[[#This Row],[Credit.]]&gt;Table834[[#This Row],[Debit\]]),Table834[[#This Row],[Credit.]]-Table834[[#This Row],[Debit\]],""),"")</f>
        <v/>
      </c>
      <c r="AF180" s="34"/>
      <c r="AG180" s="34" t="str">
        <f>IFERROR(IF(AND(Table834[[#This Row],[Classification]]="Assets",Table834[[#This Row],[Debit\]]-Table834[[#This Row],[Credit.]]),Table834[[#This Row],[Debit\]]-Table834[[#This Row],[Credit.]],""),"")</f>
        <v/>
      </c>
      <c r="AH180" s="34" t="str">
        <f>IFERROR(IF(AND(OR(Table834[[#This Row],[Classification]]="Liabilities",Table834[[#This Row],[Classification]]="Owner´s Equity"),Table834[[#This Row],[Credit.]]&gt;Table834[[#This Row],[Debit\]]),Table834[[#This Row],[Credit.]]-Table834[[#This Row],[Debit\]],""),"")</f>
        <v/>
      </c>
    </row>
    <row r="181" spans="2:34" hidden="1" x14ac:dyDescent="0.25">
      <c r="B181" s="34"/>
      <c r="C181" s="45"/>
      <c r="D181" s="34"/>
      <c r="E181" s="34"/>
      <c r="G181" s="39"/>
      <c r="H181" s="40"/>
      <c r="I181" s="41"/>
      <c r="J181" s="41"/>
      <c r="L181" s="34">
        <v>174</v>
      </c>
      <c r="M181" s="35"/>
      <c r="N181" s="35"/>
      <c r="O181" s="34">
        <f>IFERROR(SUMIF(Table431[,],Table633[[#This Row],[Accounts Name]],Table431[,3]),"")</f>
        <v>0</v>
      </c>
      <c r="P181" s="34">
        <f>IFERROR(SUMIF(Table431[,],Table633[[#This Row],[Accounts Name]],Table431[,2]),"")</f>
        <v>0</v>
      </c>
      <c r="S181" s="36">
        <f t="shared" si="2"/>
        <v>174</v>
      </c>
      <c r="T181" s="34"/>
      <c r="U181" s="37"/>
      <c r="V181" s="34">
        <f>IFERROR(SUMIF(Table633[Sub-Accounts],Table834[[#This Row],[Update your chart of accounts here]],Table633[Debit]),"")</f>
        <v>0</v>
      </c>
      <c r="W181" s="34">
        <f>IFERROR(SUMIF(Table633[Sub-Accounts],Table834[[#This Row],[Update your chart of accounts here]],Table633[Credit]),"")</f>
        <v>0</v>
      </c>
      <c r="X181" s="34"/>
      <c r="Y181" s="34"/>
      <c r="Z181" s="34"/>
      <c r="AA181" s="34"/>
      <c r="AB181" s="34">
        <f>MAX(Table834[[#This Row],[Debit]]+Table834[[#This Row],[Debit -]]-Table834[[#This Row],[Credit]]-Table834[[#This Row],[Credit +]],0)</f>
        <v>0</v>
      </c>
      <c r="AC181" s="34">
        <f>MAX(Table834[[#This Row],[Credit]]-Table834[[#This Row],[Debit]]+Table834[[#This Row],[Credit +]]-Table834[[#This Row],[Debit -]],0)</f>
        <v>0</v>
      </c>
      <c r="AD181" s="34" t="str">
        <f>IFERROR(IF(AND(OR(Table834[[#This Row],[Classification]]="Expense",Table834[[#This Row],[Classification]]="Cost of Goods Sold"),Table834[[#This Row],[Debit\]]&gt;Table834[[#This Row],[Credit.]]),Table834[[#This Row],[Debit\]]-Table834[[#This Row],[Credit.]],""),"")</f>
        <v/>
      </c>
      <c r="AE181" s="34" t="str">
        <f>IFERROR(IF(AND(OR(Table834[[#This Row],[Classification]]="Income",Table834[[#This Row],[Classification]]="Cost of Goods Sold"),Table834[[#This Row],[Credit.]]&gt;Table834[[#This Row],[Debit\]]),Table834[[#This Row],[Credit.]]-Table834[[#This Row],[Debit\]],""),"")</f>
        <v/>
      </c>
      <c r="AF181" s="34"/>
      <c r="AG181" s="34" t="str">
        <f>IFERROR(IF(AND(Table834[[#This Row],[Classification]]="Assets",Table834[[#This Row],[Debit\]]-Table834[[#This Row],[Credit.]]),Table834[[#This Row],[Debit\]]-Table834[[#This Row],[Credit.]],""),"")</f>
        <v/>
      </c>
      <c r="AH181" s="34" t="str">
        <f>IFERROR(IF(AND(OR(Table834[[#This Row],[Classification]]="Liabilities",Table834[[#This Row],[Classification]]="Owner´s Equity"),Table834[[#This Row],[Credit.]]&gt;Table834[[#This Row],[Debit\]]),Table834[[#This Row],[Credit.]]-Table834[[#This Row],[Debit\]],""),"")</f>
        <v/>
      </c>
    </row>
    <row r="182" spans="2:34" hidden="1" x14ac:dyDescent="0.25">
      <c r="B182" s="34"/>
      <c r="C182" s="45"/>
      <c r="D182" s="34"/>
      <c r="E182" s="34"/>
      <c r="G182" s="39"/>
      <c r="H182" s="43"/>
      <c r="I182" s="41"/>
      <c r="J182" s="41"/>
      <c r="L182" s="34">
        <v>175</v>
      </c>
      <c r="M182" s="35"/>
      <c r="N182" s="35"/>
      <c r="O182" s="34">
        <f>IFERROR(SUMIF(Table431[,],Table633[[#This Row],[Accounts Name]],Table431[,3]),"")</f>
        <v>0</v>
      </c>
      <c r="P182" s="34">
        <f>IFERROR(SUMIF(Table431[,],Table633[[#This Row],[Accounts Name]],Table431[,2]),"")</f>
        <v>0</v>
      </c>
      <c r="S182" s="36">
        <f t="shared" si="2"/>
        <v>175</v>
      </c>
      <c r="T182" s="34"/>
      <c r="U182" s="37"/>
      <c r="V182" s="34">
        <f>IFERROR(SUMIF(Table633[Sub-Accounts],Table834[[#This Row],[Update your chart of accounts here]],Table633[Debit]),"")</f>
        <v>0</v>
      </c>
      <c r="W182" s="34">
        <f>IFERROR(SUMIF(Table633[Sub-Accounts],Table834[[#This Row],[Update your chart of accounts here]],Table633[Credit]),"")</f>
        <v>0</v>
      </c>
      <c r="X182" s="34"/>
      <c r="Y182" s="34"/>
      <c r="Z182" s="34"/>
      <c r="AA182" s="34"/>
      <c r="AB182" s="34">
        <f>MAX(Table834[[#This Row],[Debit]]+Table834[[#This Row],[Debit -]]-Table834[[#This Row],[Credit]]-Table834[[#This Row],[Credit +]],0)</f>
        <v>0</v>
      </c>
      <c r="AC182" s="34">
        <f>MAX(Table834[[#This Row],[Credit]]-Table834[[#This Row],[Debit]]+Table834[[#This Row],[Credit +]]-Table834[[#This Row],[Debit -]],0)</f>
        <v>0</v>
      </c>
      <c r="AD182" s="34" t="str">
        <f>IFERROR(IF(AND(OR(Table834[[#This Row],[Classification]]="Expense",Table834[[#This Row],[Classification]]="Cost of Goods Sold"),Table834[[#This Row],[Debit\]]&gt;Table834[[#This Row],[Credit.]]),Table834[[#This Row],[Debit\]]-Table834[[#This Row],[Credit.]],""),"")</f>
        <v/>
      </c>
      <c r="AE182" s="34" t="str">
        <f>IFERROR(IF(AND(OR(Table834[[#This Row],[Classification]]="Income",Table834[[#This Row],[Classification]]="Cost of Goods Sold"),Table834[[#This Row],[Credit.]]&gt;Table834[[#This Row],[Debit\]]),Table834[[#This Row],[Credit.]]-Table834[[#This Row],[Debit\]],""),"")</f>
        <v/>
      </c>
      <c r="AF182" s="34"/>
      <c r="AG182" s="34" t="str">
        <f>IFERROR(IF(AND(Table834[[#This Row],[Classification]]="Assets",Table834[[#This Row],[Debit\]]-Table834[[#This Row],[Credit.]]),Table834[[#This Row],[Debit\]]-Table834[[#This Row],[Credit.]],""),"")</f>
        <v/>
      </c>
      <c r="AH182" s="34" t="str">
        <f>IFERROR(IF(AND(OR(Table834[[#This Row],[Classification]]="Liabilities",Table834[[#This Row],[Classification]]="Owner´s Equity"),Table834[[#This Row],[Credit.]]&gt;Table834[[#This Row],[Debit\]]),Table834[[#This Row],[Credit.]]-Table834[[#This Row],[Debit\]],""),"")</f>
        <v/>
      </c>
    </row>
    <row r="183" spans="2:34" hidden="1" x14ac:dyDescent="0.25">
      <c r="B183" s="34"/>
      <c r="C183" s="45"/>
      <c r="D183" s="34"/>
      <c r="E183" s="34"/>
      <c r="G183" s="39"/>
      <c r="H183" s="40"/>
      <c r="I183" s="41"/>
      <c r="J183" s="41"/>
      <c r="L183" s="34">
        <v>176</v>
      </c>
      <c r="M183" s="35"/>
      <c r="N183" s="35"/>
      <c r="O183" s="34">
        <f>IFERROR(SUMIF(Table431[,],Table633[[#This Row],[Accounts Name]],Table431[,3]),"")</f>
        <v>0</v>
      </c>
      <c r="P183" s="34">
        <f>IFERROR(SUMIF(Table431[,],Table633[[#This Row],[Accounts Name]],Table431[,2]),"")</f>
        <v>0</v>
      </c>
      <c r="S183" s="36">
        <f t="shared" si="2"/>
        <v>176</v>
      </c>
      <c r="T183" s="34"/>
      <c r="U183" s="37"/>
      <c r="V183" s="34">
        <f>IFERROR(SUMIF(Table633[Sub-Accounts],Table834[[#This Row],[Update your chart of accounts here]],Table633[Debit]),"")</f>
        <v>0</v>
      </c>
      <c r="W183" s="34">
        <f>IFERROR(SUMIF(Table633[Sub-Accounts],Table834[[#This Row],[Update your chart of accounts here]],Table633[Credit]),"")</f>
        <v>0</v>
      </c>
      <c r="X183" s="34"/>
      <c r="Y183" s="34"/>
      <c r="Z183" s="34"/>
      <c r="AA183" s="34"/>
      <c r="AB183" s="34">
        <f>MAX(Table834[[#This Row],[Debit]]+Table834[[#This Row],[Debit -]]-Table834[[#This Row],[Credit]]-Table834[[#This Row],[Credit +]],0)</f>
        <v>0</v>
      </c>
      <c r="AC183" s="34">
        <f>MAX(Table834[[#This Row],[Credit]]-Table834[[#This Row],[Debit]]+Table834[[#This Row],[Credit +]]-Table834[[#This Row],[Debit -]],0)</f>
        <v>0</v>
      </c>
      <c r="AD183" s="34" t="str">
        <f>IFERROR(IF(AND(OR(Table834[[#This Row],[Classification]]="Expense",Table834[[#This Row],[Classification]]="Cost of Goods Sold"),Table834[[#This Row],[Debit\]]&gt;Table834[[#This Row],[Credit.]]),Table834[[#This Row],[Debit\]]-Table834[[#This Row],[Credit.]],""),"")</f>
        <v/>
      </c>
      <c r="AE183" s="34" t="str">
        <f>IFERROR(IF(AND(OR(Table834[[#This Row],[Classification]]="Income",Table834[[#This Row],[Classification]]="Cost of Goods Sold"),Table834[[#This Row],[Credit.]]&gt;Table834[[#This Row],[Debit\]]),Table834[[#This Row],[Credit.]]-Table834[[#This Row],[Debit\]],""),"")</f>
        <v/>
      </c>
      <c r="AF183" s="34"/>
      <c r="AG183" s="34" t="str">
        <f>IFERROR(IF(AND(Table834[[#This Row],[Classification]]="Assets",Table834[[#This Row],[Debit\]]-Table834[[#This Row],[Credit.]]),Table834[[#This Row],[Debit\]]-Table834[[#This Row],[Credit.]],""),"")</f>
        <v/>
      </c>
      <c r="AH183" s="34" t="str">
        <f>IFERROR(IF(AND(OR(Table834[[#This Row],[Classification]]="Liabilities",Table834[[#This Row],[Classification]]="Owner´s Equity"),Table834[[#This Row],[Credit.]]&gt;Table834[[#This Row],[Debit\]]),Table834[[#This Row],[Credit.]]-Table834[[#This Row],[Debit\]],""),"")</f>
        <v/>
      </c>
    </row>
    <row r="184" spans="2:34" hidden="1" x14ac:dyDescent="0.25">
      <c r="B184" s="34"/>
      <c r="C184" s="45"/>
      <c r="D184" s="34"/>
      <c r="E184" s="34"/>
      <c r="G184" s="39"/>
      <c r="H184" s="40"/>
      <c r="I184" s="41"/>
      <c r="J184" s="41"/>
      <c r="L184" s="34">
        <v>177</v>
      </c>
      <c r="M184" s="35"/>
      <c r="N184" s="35"/>
      <c r="O184" s="34">
        <f>IFERROR(SUMIF(Table431[,],Table633[[#This Row],[Accounts Name]],Table431[,3]),"")</f>
        <v>0</v>
      </c>
      <c r="P184" s="34">
        <f>IFERROR(SUMIF(Table431[,],Table633[[#This Row],[Accounts Name]],Table431[,2]),"")</f>
        <v>0</v>
      </c>
      <c r="S184" s="36">
        <f t="shared" si="2"/>
        <v>177</v>
      </c>
      <c r="T184" s="34"/>
      <c r="U184" s="37"/>
      <c r="V184" s="34">
        <f>IFERROR(SUMIF(Table633[Sub-Accounts],Table834[[#This Row],[Update your chart of accounts here]],Table633[Debit]),"")</f>
        <v>0</v>
      </c>
      <c r="W184" s="34">
        <f>IFERROR(SUMIF(Table633[Sub-Accounts],Table834[[#This Row],[Update your chart of accounts here]],Table633[Credit]),"")</f>
        <v>0</v>
      </c>
      <c r="X184" s="34"/>
      <c r="Y184" s="34"/>
      <c r="Z184" s="34"/>
      <c r="AA184" s="34"/>
      <c r="AB184" s="34">
        <f>MAX(Table834[[#This Row],[Debit]]+Table834[[#This Row],[Debit -]]-Table834[[#This Row],[Credit]]-Table834[[#This Row],[Credit +]],0)</f>
        <v>0</v>
      </c>
      <c r="AC184" s="34">
        <f>MAX(Table834[[#This Row],[Credit]]-Table834[[#This Row],[Debit]]+Table834[[#This Row],[Credit +]]-Table834[[#This Row],[Debit -]],0)</f>
        <v>0</v>
      </c>
      <c r="AD184" s="34" t="str">
        <f>IFERROR(IF(AND(OR(Table834[[#This Row],[Classification]]="Expense",Table834[[#This Row],[Classification]]="Cost of Goods Sold"),Table834[[#This Row],[Debit\]]&gt;Table834[[#This Row],[Credit.]]),Table834[[#This Row],[Debit\]]-Table834[[#This Row],[Credit.]],""),"")</f>
        <v/>
      </c>
      <c r="AE184" s="34" t="str">
        <f>IFERROR(IF(AND(OR(Table834[[#This Row],[Classification]]="Income",Table834[[#This Row],[Classification]]="Cost of Goods Sold"),Table834[[#This Row],[Credit.]]&gt;Table834[[#This Row],[Debit\]]),Table834[[#This Row],[Credit.]]-Table834[[#This Row],[Debit\]],""),"")</f>
        <v/>
      </c>
      <c r="AF184" s="34"/>
      <c r="AG184" s="34" t="str">
        <f>IFERROR(IF(AND(Table834[[#This Row],[Classification]]="Assets",Table834[[#This Row],[Debit\]]-Table834[[#This Row],[Credit.]]),Table834[[#This Row],[Debit\]]-Table834[[#This Row],[Credit.]],""),"")</f>
        <v/>
      </c>
      <c r="AH184" s="34" t="str">
        <f>IFERROR(IF(AND(OR(Table834[[#This Row],[Classification]]="Liabilities",Table834[[#This Row],[Classification]]="Owner´s Equity"),Table834[[#This Row],[Credit.]]&gt;Table834[[#This Row],[Debit\]]),Table834[[#This Row],[Credit.]]-Table834[[#This Row],[Debit\]],""),"")</f>
        <v/>
      </c>
    </row>
    <row r="185" spans="2:34" hidden="1" x14ac:dyDescent="0.25">
      <c r="B185" s="34"/>
      <c r="C185" s="45"/>
      <c r="D185" s="34"/>
      <c r="E185" s="34"/>
      <c r="G185" s="39"/>
      <c r="H185" s="43"/>
      <c r="I185" s="41"/>
      <c r="J185" s="41"/>
      <c r="L185" s="34">
        <v>178</v>
      </c>
      <c r="M185" s="35"/>
      <c r="N185" s="35"/>
      <c r="O185" s="34">
        <f>IFERROR(SUMIF(Table431[,],Table633[[#This Row],[Accounts Name]],Table431[,3]),"")</f>
        <v>0</v>
      </c>
      <c r="P185" s="34">
        <f>IFERROR(SUMIF(Table431[,],Table633[[#This Row],[Accounts Name]],Table431[,2]),"")</f>
        <v>0</v>
      </c>
      <c r="S185" s="36">
        <f t="shared" si="2"/>
        <v>178</v>
      </c>
      <c r="T185" s="34"/>
      <c r="U185" s="37"/>
      <c r="V185" s="34">
        <f>IFERROR(SUMIF(Table633[Sub-Accounts],Table834[[#This Row],[Update your chart of accounts here]],Table633[Debit]),"")</f>
        <v>0</v>
      </c>
      <c r="W185" s="34">
        <f>IFERROR(SUMIF(Table633[Sub-Accounts],Table834[[#This Row],[Update your chart of accounts here]],Table633[Credit]),"")</f>
        <v>0</v>
      </c>
      <c r="X185" s="34"/>
      <c r="Y185" s="34"/>
      <c r="Z185" s="34"/>
      <c r="AA185" s="34"/>
      <c r="AB185" s="34">
        <f>MAX(Table834[[#This Row],[Debit]]+Table834[[#This Row],[Debit -]]-Table834[[#This Row],[Credit]]-Table834[[#This Row],[Credit +]],0)</f>
        <v>0</v>
      </c>
      <c r="AC185" s="34">
        <f>MAX(Table834[[#This Row],[Credit]]-Table834[[#This Row],[Debit]]+Table834[[#This Row],[Credit +]]-Table834[[#This Row],[Debit -]],0)</f>
        <v>0</v>
      </c>
      <c r="AD185" s="34" t="str">
        <f>IFERROR(IF(AND(OR(Table834[[#This Row],[Classification]]="Expense",Table834[[#This Row],[Classification]]="Cost of Goods Sold"),Table834[[#This Row],[Debit\]]&gt;Table834[[#This Row],[Credit.]]),Table834[[#This Row],[Debit\]]-Table834[[#This Row],[Credit.]],""),"")</f>
        <v/>
      </c>
      <c r="AE185" s="34" t="str">
        <f>IFERROR(IF(AND(OR(Table834[[#This Row],[Classification]]="Income",Table834[[#This Row],[Classification]]="Cost of Goods Sold"),Table834[[#This Row],[Credit.]]&gt;Table834[[#This Row],[Debit\]]),Table834[[#This Row],[Credit.]]-Table834[[#This Row],[Debit\]],""),"")</f>
        <v/>
      </c>
      <c r="AF185" s="34"/>
      <c r="AG185" s="34" t="str">
        <f>IFERROR(IF(AND(Table834[[#This Row],[Classification]]="Assets",Table834[[#This Row],[Debit\]]-Table834[[#This Row],[Credit.]]),Table834[[#This Row],[Debit\]]-Table834[[#This Row],[Credit.]],""),"")</f>
        <v/>
      </c>
      <c r="AH185" s="34" t="str">
        <f>IFERROR(IF(AND(OR(Table834[[#This Row],[Classification]]="Liabilities",Table834[[#This Row],[Classification]]="Owner´s Equity"),Table834[[#This Row],[Credit.]]&gt;Table834[[#This Row],[Debit\]]),Table834[[#This Row],[Credit.]]-Table834[[#This Row],[Debit\]],""),"")</f>
        <v/>
      </c>
    </row>
    <row r="186" spans="2:34" hidden="1" x14ac:dyDescent="0.25">
      <c r="B186" s="34"/>
      <c r="C186" s="45"/>
      <c r="D186" s="34"/>
      <c r="E186" s="34"/>
      <c r="G186" s="39"/>
      <c r="H186" s="40"/>
      <c r="I186" s="41"/>
      <c r="J186" s="41"/>
      <c r="L186" s="34">
        <v>179</v>
      </c>
      <c r="M186" s="35"/>
      <c r="N186" s="35"/>
      <c r="O186" s="34">
        <f>IFERROR(SUMIF(Table431[,],Table633[[#This Row],[Accounts Name]],Table431[,3]),"")</f>
        <v>0</v>
      </c>
      <c r="P186" s="34">
        <f>IFERROR(SUMIF(Table431[,],Table633[[#This Row],[Accounts Name]],Table431[,2]),"")</f>
        <v>0</v>
      </c>
      <c r="S186" s="36">
        <f t="shared" si="2"/>
        <v>179</v>
      </c>
      <c r="T186" s="34"/>
      <c r="U186" s="37"/>
      <c r="V186" s="34">
        <f>IFERROR(SUMIF(Table633[Sub-Accounts],Table834[[#This Row],[Update your chart of accounts here]],Table633[Debit]),"")</f>
        <v>0</v>
      </c>
      <c r="W186" s="34">
        <f>IFERROR(SUMIF(Table633[Sub-Accounts],Table834[[#This Row],[Update your chart of accounts here]],Table633[Credit]),"")</f>
        <v>0</v>
      </c>
      <c r="X186" s="34"/>
      <c r="Y186" s="34"/>
      <c r="Z186" s="34"/>
      <c r="AA186" s="34"/>
      <c r="AB186" s="34">
        <f>MAX(Table834[[#This Row],[Debit]]+Table834[[#This Row],[Debit -]]-Table834[[#This Row],[Credit]]-Table834[[#This Row],[Credit +]],0)</f>
        <v>0</v>
      </c>
      <c r="AC186" s="34">
        <f>MAX(Table834[[#This Row],[Credit]]-Table834[[#This Row],[Debit]]+Table834[[#This Row],[Credit +]]-Table834[[#This Row],[Debit -]],0)</f>
        <v>0</v>
      </c>
      <c r="AD186" s="34" t="str">
        <f>IFERROR(IF(AND(OR(Table834[[#This Row],[Classification]]="Expense",Table834[[#This Row],[Classification]]="Cost of Goods Sold"),Table834[[#This Row],[Debit\]]&gt;Table834[[#This Row],[Credit.]]),Table834[[#This Row],[Debit\]]-Table834[[#This Row],[Credit.]],""),"")</f>
        <v/>
      </c>
      <c r="AE186" s="34" t="str">
        <f>IFERROR(IF(AND(OR(Table834[[#This Row],[Classification]]="Income",Table834[[#This Row],[Classification]]="Cost of Goods Sold"),Table834[[#This Row],[Credit.]]&gt;Table834[[#This Row],[Debit\]]),Table834[[#This Row],[Credit.]]-Table834[[#This Row],[Debit\]],""),"")</f>
        <v/>
      </c>
      <c r="AF186" s="34"/>
      <c r="AG186" s="34" t="str">
        <f>IFERROR(IF(AND(Table834[[#This Row],[Classification]]="Assets",Table834[[#This Row],[Debit\]]-Table834[[#This Row],[Credit.]]),Table834[[#This Row],[Debit\]]-Table834[[#This Row],[Credit.]],""),"")</f>
        <v/>
      </c>
      <c r="AH186" s="34" t="str">
        <f>IFERROR(IF(AND(OR(Table834[[#This Row],[Classification]]="Liabilities",Table834[[#This Row],[Classification]]="Owner´s Equity"),Table834[[#This Row],[Credit.]]&gt;Table834[[#This Row],[Debit\]]),Table834[[#This Row],[Credit.]]-Table834[[#This Row],[Debit\]],""),"")</f>
        <v/>
      </c>
    </row>
    <row r="187" spans="2:34" hidden="1" x14ac:dyDescent="0.25">
      <c r="B187" s="34"/>
      <c r="C187" s="45"/>
      <c r="D187" s="34"/>
      <c r="E187" s="34"/>
      <c r="G187" s="39"/>
      <c r="H187" s="40"/>
      <c r="I187" s="41"/>
      <c r="J187" s="41"/>
      <c r="L187" s="34">
        <v>180</v>
      </c>
      <c r="M187" s="35"/>
      <c r="N187" s="35"/>
      <c r="O187" s="34">
        <f>IFERROR(SUMIF(Table431[,],Table633[[#This Row],[Accounts Name]],Table431[,3]),"")</f>
        <v>0</v>
      </c>
      <c r="P187" s="34">
        <f>IFERROR(SUMIF(Table431[,],Table633[[#This Row],[Accounts Name]],Table431[,2]),"")</f>
        <v>0</v>
      </c>
      <c r="S187" s="36">
        <f t="shared" si="2"/>
        <v>180</v>
      </c>
      <c r="T187" s="34"/>
      <c r="U187" s="37"/>
      <c r="V187" s="34">
        <f>IFERROR(SUMIF(Table633[Sub-Accounts],Table834[[#This Row],[Update your chart of accounts here]],Table633[Debit]),"")</f>
        <v>0</v>
      </c>
      <c r="W187" s="34">
        <f>IFERROR(SUMIF(Table633[Sub-Accounts],Table834[[#This Row],[Update your chart of accounts here]],Table633[Credit]),"")</f>
        <v>0</v>
      </c>
      <c r="X187" s="34"/>
      <c r="Y187" s="34"/>
      <c r="Z187" s="34"/>
      <c r="AA187" s="34"/>
      <c r="AB187" s="34">
        <f>MAX(Table834[[#This Row],[Debit]]+Table834[[#This Row],[Debit -]]-Table834[[#This Row],[Credit]]-Table834[[#This Row],[Credit +]],0)</f>
        <v>0</v>
      </c>
      <c r="AC187" s="34">
        <f>MAX(Table834[[#This Row],[Credit]]-Table834[[#This Row],[Debit]]+Table834[[#This Row],[Credit +]]-Table834[[#This Row],[Debit -]],0)</f>
        <v>0</v>
      </c>
      <c r="AD187" s="34" t="str">
        <f>IFERROR(IF(AND(OR(Table834[[#This Row],[Classification]]="Expense",Table834[[#This Row],[Classification]]="Cost of Goods Sold"),Table834[[#This Row],[Debit\]]&gt;Table834[[#This Row],[Credit.]]),Table834[[#This Row],[Debit\]]-Table834[[#This Row],[Credit.]],""),"")</f>
        <v/>
      </c>
      <c r="AE187" s="34" t="str">
        <f>IFERROR(IF(AND(OR(Table834[[#This Row],[Classification]]="Income",Table834[[#This Row],[Classification]]="Cost of Goods Sold"),Table834[[#This Row],[Credit.]]&gt;Table834[[#This Row],[Debit\]]),Table834[[#This Row],[Credit.]]-Table834[[#This Row],[Debit\]],""),"")</f>
        <v/>
      </c>
      <c r="AF187" s="34"/>
      <c r="AG187" s="34" t="str">
        <f>IFERROR(IF(AND(Table834[[#This Row],[Classification]]="Assets",Table834[[#This Row],[Debit\]]-Table834[[#This Row],[Credit.]]),Table834[[#This Row],[Debit\]]-Table834[[#This Row],[Credit.]],""),"")</f>
        <v/>
      </c>
      <c r="AH187" s="34" t="str">
        <f>IFERROR(IF(AND(OR(Table834[[#This Row],[Classification]]="Liabilities",Table834[[#This Row],[Classification]]="Owner´s Equity"),Table834[[#This Row],[Credit.]]&gt;Table834[[#This Row],[Debit\]]),Table834[[#This Row],[Credit.]]-Table834[[#This Row],[Debit\]],""),"")</f>
        <v/>
      </c>
    </row>
    <row r="188" spans="2:34" hidden="1" x14ac:dyDescent="0.25">
      <c r="B188" s="34"/>
      <c r="C188" s="45"/>
      <c r="D188" s="34"/>
      <c r="E188" s="34"/>
      <c r="G188" s="39"/>
      <c r="H188" s="43"/>
      <c r="I188" s="41"/>
      <c r="J188" s="41"/>
      <c r="L188" s="34">
        <v>181</v>
      </c>
      <c r="M188" s="35"/>
      <c r="N188" s="35"/>
      <c r="O188" s="34">
        <f>IFERROR(SUMIF(Table431[,],Table633[[#This Row],[Accounts Name]],Table431[,3]),"")</f>
        <v>0</v>
      </c>
      <c r="P188" s="34">
        <f>IFERROR(SUMIF(Table431[,],Table633[[#This Row],[Accounts Name]],Table431[,2]),"")</f>
        <v>0</v>
      </c>
      <c r="S188" s="36">
        <f t="shared" si="2"/>
        <v>181</v>
      </c>
      <c r="T188" s="34"/>
      <c r="U188" s="37"/>
      <c r="V188" s="34">
        <f>IFERROR(SUMIF(Table633[Sub-Accounts],Table834[[#This Row],[Update your chart of accounts here]],Table633[Debit]),"")</f>
        <v>0</v>
      </c>
      <c r="W188" s="34">
        <f>IFERROR(SUMIF(Table633[Sub-Accounts],Table834[[#This Row],[Update your chart of accounts here]],Table633[Credit]),"")</f>
        <v>0</v>
      </c>
      <c r="X188" s="34"/>
      <c r="Y188" s="34"/>
      <c r="Z188" s="34"/>
      <c r="AA188" s="34"/>
      <c r="AB188" s="34">
        <f>MAX(Table834[[#This Row],[Debit]]+Table834[[#This Row],[Debit -]]-Table834[[#This Row],[Credit]]-Table834[[#This Row],[Credit +]],0)</f>
        <v>0</v>
      </c>
      <c r="AC188" s="34">
        <f>MAX(Table834[[#This Row],[Credit]]-Table834[[#This Row],[Debit]]+Table834[[#This Row],[Credit +]]-Table834[[#This Row],[Debit -]],0)</f>
        <v>0</v>
      </c>
      <c r="AD188" s="34" t="str">
        <f>IFERROR(IF(AND(OR(Table834[[#This Row],[Classification]]="Expense",Table834[[#This Row],[Classification]]="Cost of Goods Sold"),Table834[[#This Row],[Debit\]]&gt;Table834[[#This Row],[Credit.]]),Table834[[#This Row],[Debit\]]-Table834[[#This Row],[Credit.]],""),"")</f>
        <v/>
      </c>
      <c r="AE188" s="34" t="str">
        <f>IFERROR(IF(AND(OR(Table834[[#This Row],[Classification]]="Income",Table834[[#This Row],[Classification]]="Cost of Goods Sold"),Table834[[#This Row],[Credit.]]&gt;Table834[[#This Row],[Debit\]]),Table834[[#This Row],[Credit.]]-Table834[[#This Row],[Debit\]],""),"")</f>
        <v/>
      </c>
      <c r="AF188" s="34"/>
      <c r="AG188" s="34" t="str">
        <f>IFERROR(IF(AND(Table834[[#This Row],[Classification]]="Assets",Table834[[#This Row],[Debit\]]-Table834[[#This Row],[Credit.]]),Table834[[#This Row],[Debit\]]-Table834[[#This Row],[Credit.]],""),"")</f>
        <v/>
      </c>
      <c r="AH188" s="34" t="str">
        <f>IFERROR(IF(AND(OR(Table834[[#This Row],[Classification]]="Liabilities",Table834[[#This Row],[Classification]]="Owner´s Equity"),Table834[[#This Row],[Credit.]]&gt;Table834[[#This Row],[Debit\]]),Table834[[#This Row],[Credit.]]-Table834[[#This Row],[Debit\]],""),"")</f>
        <v/>
      </c>
    </row>
    <row r="189" spans="2:34" hidden="1" x14ac:dyDescent="0.25">
      <c r="B189" s="34"/>
      <c r="C189" s="45"/>
      <c r="D189" s="34"/>
      <c r="E189" s="34"/>
      <c r="G189" s="39"/>
      <c r="H189" s="40"/>
      <c r="I189" s="41"/>
      <c r="J189" s="41"/>
      <c r="L189" s="34">
        <v>182</v>
      </c>
      <c r="M189" s="35"/>
      <c r="N189" s="35"/>
      <c r="O189" s="34">
        <f>IFERROR(SUMIF(Table431[,],Table633[[#This Row],[Accounts Name]],Table431[,3]),"")</f>
        <v>0</v>
      </c>
      <c r="P189" s="34">
        <f>IFERROR(SUMIF(Table431[,],Table633[[#This Row],[Accounts Name]],Table431[,2]),"")</f>
        <v>0</v>
      </c>
      <c r="S189" s="36">
        <f t="shared" si="2"/>
        <v>182</v>
      </c>
      <c r="T189" s="34"/>
      <c r="U189" s="37"/>
      <c r="V189" s="34">
        <f>IFERROR(SUMIF(Table633[Sub-Accounts],Table834[[#This Row],[Update your chart of accounts here]],Table633[Debit]),"")</f>
        <v>0</v>
      </c>
      <c r="W189" s="34">
        <f>IFERROR(SUMIF(Table633[Sub-Accounts],Table834[[#This Row],[Update your chart of accounts here]],Table633[Credit]),"")</f>
        <v>0</v>
      </c>
      <c r="X189" s="34"/>
      <c r="Y189" s="34"/>
      <c r="Z189" s="34"/>
      <c r="AA189" s="34"/>
      <c r="AB189" s="34">
        <f>MAX(Table834[[#This Row],[Debit]]+Table834[[#This Row],[Debit -]]-Table834[[#This Row],[Credit]]-Table834[[#This Row],[Credit +]],0)</f>
        <v>0</v>
      </c>
      <c r="AC189" s="34">
        <f>MAX(Table834[[#This Row],[Credit]]-Table834[[#This Row],[Debit]]+Table834[[#This Row],[Credit +]]-Table834[[#This Row],[Debit -]],0)</f>
        <v>0</v>
      </c>
      <c r="AD189" s="34" t="str">
        <f>IFERROR(IF(AND(OR(Table834[[#This Row],[Classification]]="Expense",Table834[[#This Row],[Classification]]="Cost of Goods Sold"),Table834[[#This Row],[Debit\]]&gt;Table834[[#This Row],[Credit.]]),Table834[[#This Row],[Debit\]]-Table834[[#This Row],[Credit.]],""),"")</f>
        <v/>
      </c>
      <c r="AE189" s="34" t="str">
        <f>IFERROR(IF(AND(OR(Table834[[#This Row],[Classification]]="Income",Table834[[#This Row],[Classification]]="Cost of Goods Sold"),Table834[[#This Row],[Credit.]]&gt;Table834[[#This Row],[Debit\]]),Table834[[#This Row],[Credit.]]-Table834[[#This Row],[Debit\]],""),"")</f>
        <v/>
      </c>
      <c r="AF189" s="34"/>
      <c r="AG189" s="34" t="str">
        <f>IFERROR(IF(AND(Table834[[#This Row],[Classification]]="Assets",Table834[[#This Row],[Debit\]]-Table834[[#This Row],[Credit.]]),Table834[[#This Row],[Debit\]]-Table834[[#This Row],[Credit.]],""),"")</f>
        <v/>
      </c>
      <c r="AH189" s="34" t="str">
        <f>IFERROR(IF(AND(OR(Table834[[#This Row],[Classification]]="Liabilities",Table834[[#This Row],[Classification]]="Owner´s Equity"),Table834[[#This Row],[Credit.]]&gt;Table834[[#This Row],[Debit\]]),Table834[[#This Row],[Credit.]]-Table834[[#This Row],[Debit\]],""),"")</f>
        <v/>
      </c>
    </row>
    <row r="190" spans="2:34" hidden="1" x14ac:dyDescent="0.25">
      <c r="B190" s="34"/>
      <c r="C190" s="45"/>
      <c r="D190" s="34"/>
      <c r="E190" s="34"/>
      <c r="G190" s="39"/>
      <c r="H190" s="40"/>
      <c r="I190" s="41"/>
      <c r="J190" s="41"/>
      <c r="L190" s="34">
        <v>183</v>
      </c>
      <c r="M190" s="35"/>
      <c r="N190" s="35"/>
      <c r="O190" s="34">
        <f>IFERROR(SUMIF(Table431[,],Table633[[#This Row],[Accounts Name]],Table431[,3]),"")</f>
        <v>0</v>
      </c>
      <c r="P190" s="34">
        <f>IFERROR(SUMIF(Table431[,],Table633[[#This Row],[Accounts Name]],Table431[,2]),"")</f>
        <v>0</v>
      </c>
      <c r="S190" s="36">
        <f t="shared" si="2"/>
        <v>183</v>
      </c>
      <c r="T190" s="34"/>
      <c r="U190" s="37"/>
      <c r="V190" s="34">
        <f>IFERROR(SUMIF(Table633[Sub-Accounts],Table834[[#This Row],[Update your chart of accounts here]],Table633[Debit]),"")</f>
        <v>0</v>
      </c>
      <c r="W190" s="34">
        <f>IFERROR(SUMIF(Table633[Sub-Accounts],Table834[[#This Row],[Update your chart of accounts here]],Table633[Credit]),"")</f>
        <v>0</v>
      </c>
      <c r="X190" s="34"/>
      <c r="Y190" s="34"/>
      <c r="Z190" s="34"/>
      <c r="AA190" s="34"/>
      <c r="AB190" s="34">
        <f>MAX(Table834[[#This Row],[Debit]]+Table834[[#This Row],[Debit -]]-Table834[[#This Row],[Credit]]-Table834[[#This Row],[Credit +]],0)</f>
        <v>0</v>
      </c>
      <c r="AC190" s="34">
        <f>MAX(Table834[[#This Row],[Credit]]-Table834[[#This Row],[Debit]]+Table834[[#This Row],[Credit +]]-Table834[[#This Row],[Debit -]],0)</f>
        <v>0</v>
      </c>
      <c r="AD190" s="34" t="str">
        <f>IFERROR(IF(AND(OR(Table834[[#This Row],[Classification]]="Expense",Table834[[#This Row],[Classification]]="Cost of Goods Sold"),Table834[[#This Row],[Debit\]]&gt;Table834[[#This Row],[Credit.]]),Table834[[#This Row],[Debit\]]-Table834[[#This Row],[Credit.]],""),"")</f>
        <v/>
      </c>
      <c r="AE190" s="34" t="str">
        <f>IFERROR(IF(AND(OR(Table834[[#This Row],[Classification]]="Income",Table834[[#This Row],[Classification]]="Cost of Goods Sold"),Table834[[#This Row],[Credit.]]&gt;Table834[[#This Row],[Debit\]]),Table834[[#This Row],[Credit.]]-Table834[[#This Row],[Debit\]],""),"")</f>
        <v/>
      </c>
      <c r="AF190" s="34"/>
      <c r="AG190" s="34" t="str">
        <f>IFERROR(IF(AND(Table834[[#This Row],[Classification]]="Assets",Table834[[#This Row],[Debit\]]-Table834[[#This Row],[Credit.]]),Table834[[#This Row],[Debit\]]-Table834[[#This Row],[Credit.]],""),"")</f>
        <v/>
      </c>
      <c r="AH190" s="34" t="str">
        <f>IFERROR(IF(AND(OR(Table834[[#This Row],[Classification]]="Liabilities",Table834[[#This Row],[Classification]]="Owner´s Equity"),Table834[[#This Row],[Credit.]]&gt;Table834[[#This Row],[Debit\]]),Table834[[#This Row],[Credit.]]-Table834[[#This Row],[Debit\]],""),"")</f>
        <v/>
      </c>
    </row>
    <row r="191" spans="2:34" hidden="1" x14ac:dyDescent="0.25">
      <c r="B191" s="34"/>
      <c r="C191" s="45"/>
      <c r="D191" s="34"/>
      <c r="E191" s="34"/>
      <c r="G191" s="39"/>
      <c r="H191" s="43"/>
      <c r="I191" s="41"/>
      <c r="J191" s="41"/>
      <c r="L191" s="34">
        <v>184</v>
      </c>
      <c r="M191" s="35"/>
      <c r="N191" s="35"/>
      <c r="O191" s="34">
        <f>IFERROR(SUMIF(Table431[,],Table633[[#This Row],[Accounts Name]],Table431[,3]),"")</f>
        <v>0</v>
      </c>
      <c r="P191" s="34">
        <f>IFERROR(SUMIF(Table431[,],Table633[[#This Row],[Accounts Name]],Table431[,2]),"")</f>
        <v>0</v>
      </c>
      <c r="S191" s="36">
        <f t="shared" si="2"/>
        <v>184</v>
      </c>
      <c r="T191" s="34"/>
      <c r="U191" s="37"/>
      <c r="V191" s="34">
        <f>IFERROR(SUMIF(Table633[Sub-Accounts],Table834[[#This Row],[Update your chart of accounts here]],Table633[Debit]),"")</f>
        <v>0</v>
      </c>
      <c r="W191" s="34">
        <f>IFERROR(SUMIF(Table633[Sub-Accounts],Table834[[#This Row],[Update your chart of accounts here]],Table633[Credit]),"")</f>
        <v>0</v>
      </c>
      <c r="X191" s="34"/>
      <c r="Y191" s="34"/>
      <c r="Z191" s="34"/>
      <c r="AA191" s="34"/>
      <c r="AB191" s="34">
        <f>MAX(Table834[[#This Row],[Debit]]+Table834[[#This Row],[Debit -]]-Table834[[#This Row],[Credit]]-Table834[[#This Row],[Credit +]],0)</f>
        <v>0</v>
      </c>
      <c r="AC191" s="34">
        <f>MAX(Table834[[#This Row],[Credit]]-Table834[[#This Row],[Debit]]+Table834[[#This Row],[Credit +]]-Table834[[#This Row],[Debit -]],0)</f>
        <v>0</v>
      </c>
      <c r="AD191" s="34" t="str">
        <f>IFERROR(IF(AND(OR(Table834[[#This Row],[Classification]]="Expense",Table834[[#This Row],[Classification]]="Cost of Goods Sold"),Table834[[#This Row],[Debit\]]&gt;Table834[[#This Row],[Credit.]]),Table834[[#This Row],[Debit\]]-Table834[[#This Row],[Credit.]],""),"")</f>
        <v/>
      </c>
      <c r="AE191" s="34" t="str">
        <f>IFERROR(IF(AND(OR(Table834[[#This Row],[Classification]]="Income",Table834[[#This Row],[Classification]]="Cost of Goods Sold"),Table834[[#This Row],[Credit.]]&gt;Table834[[#This Row],[Debit\]]),Table834[[#This Row],[Credit.]]-Table834[[#This Row],[Debit\]],""),"")</f>
        <v/>
      </c>
      <c r="AF191" s="34"/>
      <c r="AG191" s="34" t="str">
        <f>IFERROR(IF(AND(Table834[[#This Row],[Classification]]="Assets",Table834[[#This Row],[Debit\]]-Table834[[#This Row],[Credit.]]),Table834[[#This Row],[Debit\]]-Table834[[#This Row],[Credit.]],""),"")</f>
        <v/>
      </c>
      <c r="AH191" s="34" t="str">
        <f>IFERROR(IF(AND(OR(Table834[[#This Row],[Classification]]="Liabilities",Table834[[#This Row],[Classification]]="Owner´s Equity"),Table834[[#This Row],[Credit.]]&gt;Table834[[#This Row],[Debit\]]),Table834[[#This Row],[Credit.]]-Table834[[#This Row],[Debit\]],""),"")</f>
        <v/>
      </c>
    </row>
    <row r="192" spans="2:34" hidden="1" x14ac:dyDescent="0.25">
      <c r="B192" s="34"/>
      <c r="C192" s="45"/>
      <c r="D192" s="34"/>
      <c r="E192" s="34"/>
      <c r="G192" s="39"/>
      <c r="H192" s="40"/>
      <c r="I192" s="41"/>
      <c r="J192" s="41"/>
      <c r="L192" s="34">
        <v>185</v>
      </c>
      <c r="M192" s="35"/>
      <c r="N192" s="35"/>
      <c r="O192" s="34">
        <f>IFERROR(SUMIF(Table431[,],Table633[[#This Row],[Accounts Name]],Table431[,3]),"")</f>
        <v>0</v>
      </c>
      <c r="P192" s="34">
        <f>IFERROR(SUMIF(Table431[,],Table633[[#This Row],[Accounts Name]],Table431[,2]),"")</f>
        <v>0</v>
      </c>
      <c r="S192" s="36">
        <f t="shared" si="2"/>
        <v>185</v>
      </c>
      <c r="T192" s="34"/>
      <c r="U192" s="37"/>
      <c r="V192" s="34">
        <f>IFERROR(SUMIF(Table633[Sub-Accounts],Table834[[#This Row],[Update your chart of accounts here]],Table633[Debit]),"")</f>
        <v>0</v>
      </c>
      <c r="W192" s="34">
        <f>IFERROR(SUMIF(Table633[Sub-Accounts],Table834[[#This Row],[Update your chart of accounts here]],Table633[Credit]),"")</f>
        <v>0</v>
      </c>
      <c r="X192" s="34"/>
      <c r="Y192" s="34"/>
      <c r="Z192" s="34"/>
      <c r="AA192" s="34"/>
      <c r="AB192" s="34">
        <f>MAX(Table834[[#This Row],[Debit]]+Table834[[#This Row],[Debit -]]-Table834[[#This Row],[Credit]]-Table834[[#This Row],[Credit +]],0)</f>
        <v>0</v>
      </c>
      <c r="AC192" s="34">
        <f>MAX(Table834[[#This Row],[Credit]]-Table834[[#This Row],[Debit]]+Table834[[#This Row],[Credit +]]-Table834[[#This Row],[Debit -]],0)</f>
        <v>0</v>
      </c>
      <c r="AD192" s="34" t="str">
        <f>IFERROR(IF(AND(OR(Table834[[#This Row],[Classification]]="Expense",Table834[[#This Row],[Classification]]="Cost of Goods Sold"),Table834[[#This Row],[Debit\]]&gt;Table834[[#This Row],[Credit.]]),Table834[[#This Row],[Debit\]]-Table834[[#This Row],[Credit.]],""),"")</f>
        <v/>
      </c>
      <c r="AE192" s="34" t="str">
        <f>IFERROR(IF(AND(OR(Table834[[#This Row],[Classification]]="Income",Table834[[#This Row],[Classification]]="Cost of Goods Sold"),Table834[[#This Row],[Credit.]]&gt;Table834[[#This Row],[Debit\]]),Table834[[#This Row],[Credit.]]-Table834[[#This Row],[Debit\]],""),"")</f>
        <v/>
      </c>
      <c r="AF192" s="34"/>
      <c r="AG192" s="34" t="str">
        <f>IFERROR(IF(AND(Table834[[#This Row],[Classification]]="Assets",Table834[[#This Row],[Debit\]]-Table834[[#This Row],[Credit.]]),Table834[[#This Row],[Debit\]]-Table834[[#This Row],[Credit.]],""),"")</f>
        <v/>
      </c>
      <c r="AH192" s="34" t="str">
        <f>IFERROR(IF(AND(OR(Table834[[#This Row],[Classification]]="Liabilities",Table834[[#This Row],[Classification]]="Owner´s Equity"),Table834[[#This Row],[Credit.]]&gt;Table834[[#This Row],[Debit\]]),Table834[[#This Row],[Credit.]]-Table834[[#This Row],[Debit\]],""),"")</f>
        <v/>
      </c>
    </row>
    <row r="193" spans="2:38" hidden="1" x14ac:dyDescent="0.25">
      <c r="B193" s="34"/>
      <c r="C193" s="45"/>
      <c r="D193" s="34"/>
      <c r="E193" s="34"/>
      <c r="G193" s="39"/>
      <c r="H193" s="40"/>
      <c r="I193" s="41"/>
      <c r="J193" s="41"/>
      <c r="L193" s="34">
        <v>186</v>
      </c>
      <c r="M193" s="35"/>
      <c r="N193" s="35"/>
      <c r="O193" s="34">
        <f>IFERROR(SUMIF(Table431[,],Table633[[#This Row],[Accounts Name]],Table431[,3]),"")</f>
        <v>0</v>
      </c>
      <c r="P193" s="34">
        <f>IFERROR(SUMIF(Table431[,],Table633[[#This Row],[Accounts Name]],Table431[,2]),"")</f>
        <v>0</v>
      </c>
      <c r="S193" s="36">
        <f t="shared" si="2"/>
        <v>186</v>
      </c>
      <c r="T193" s="34"/>
      <c r="U193" s="37"/>
      <c r="V193" s="34">
        <f>IFERROR(SUMIF(Table633[Sub-Accounts],Table834[[#This Row],[Update your chart of accounts here]],Table633[Debit]),"")</f>
        <v>0</v>
      </c>
      <c r="W193" s="34">
        <f>IFERROR(SUMIF(Table633[Sub-Accounts],Table834[[#This Row],[Update your chart of accounts here]],Table633[Credit]),"")</f>
        <v>0</v>
      </c>
      <c r="X193" s="34"/>
      <c r="Y193" s="34"/>
      <c r="Z193" s="34"/>
      <c r="AA193" s="34"/>
      <c r="AB193" s="34">
        <f>MAX(Table834[[#This Row],[Debit]]+Table834[[#This Row],[Debit -]]-Table834[[#This Row],[Credit]]-Table834[[#This Row],[Credit +]],0)</f>
        <v>0</v>
      </c>
      <c r="AC193" s="34">
        <f>MAX(Table834[[#This Row],[Credit]]-Table834[[#This Row],[Debit]]+Table834[[#This Row],[Credit +]]-Table834[[#This Row],[Debit -]],0)</f>
        <v>0</v>
      </c>
      <c r="AD193" s="34" t="str">
        <f>IFERROR(IF(AND(OR(Table834[[#This Row],[Classification]]="Expense",Table834[[#This Row],[Classification]]="Cost of Goods Sold"),Table834[[#This Row],[Debit\]]&gt;Table834[[#This Row],[Credit.]]),Table834[[#This Row],[Debit\]]-Table834[[#This Row],[Credit.]],""),"")</f>
        <v/>
      </c>
      <c r="AE193" s="34" t="str">
        <f>IFERROR(IF(AND(OR(Table834[[#This Row],[Classification]]="Income",Table834[[#This Row],[Classification]]="Cost of Goods Sold"),Table834[[#This Row],[Credit.]]&gt;Table834[[#This Row],[Debit\]]),Table834[[#This Row],[Credit.]]-Table834[[#This Row],[Debit\]],""),"")</f>
        <v/>
      </c>
      <c r="AF193" s="34"/>
      <c r="AG193" s="34" t="str">
        <f>IFERROR(IF(AND(Table834[[#This Row],[Classification]]="Assets",Table834[[#This Row],[Debit\]]-Table834[[#This Row],[Credit.]]),Table834[[#This Row],[Debit\]]-Table834[[#This Row],[Credit.]],""),"")</f>
        <v/>
      </c>
      <c r="AH193" s="34" t="str">
        <f>IFERROR(IF(AND(OR(Table834[[#This Row],[Classification]]="Liabilities",Table834[[#This Row],[Classification]]="Owner´s Equity"),Table834[[#This Row],[Credit.]]&gt;Table834[[#This Row],[Debit\]]),Table834[[#This Row],[Credit.]]-Table834[[#This Row],[Debit\]],""),"")</f>
        <v/>
      </c>
    </row>
    <row r="194" spans="2:38" hidden="1" x14ac:dyDescent="0.25">
      <c r="B194" s="34"/>
      <c r="C194" s="45"/>
      <c r="D194" s="34"/>
      <c r="E194" s="34"/>
      <c r="G194" s="39"/>
      <c r="H194" s="43"/>
      <c r="I194" s="41"/>
      <c r="J194" s="41"/>
      <c r="L194" s="34">
        <v>187</v>
      </c>
      <c r="M194" s="35"/>
      <c r="N194" s="35"/>
      <c r="O194" s="34">
        <f>IFERROR(SUMIF(Table431[,],Table633[[#This Row],[Accounts Name]],Table431[,3]),"")</f>
        <v>0</v>
      </c>
      <c r="P194" s="34">
        <f>IFERROR(SUMIF(Table431[,],Table633[[#This Row],[Accounts Name]],Table431[,2]),"")</f>
        <v>0</v>
      </c>
      <c r="S194" s="36">
        <f t="shared" si="2"/>
        <v>187</v>
      </c>
      <c r="T194" s="34"/>
      <c r="U194" s="37"/>
      <c r="V194" s="34">
        <f>IFERROR(SUMIF(Table633[Sub-Accounts],Table834[[#This Row],[Update your chart of accounts here]],Table633[Debit]),"")</f>
        <v>0</v>
      </c>
      <c r="W194" s="34">
        <f>IFERROR(SUMIF(Table633[Sub-Accounts],Table834[[#This Row],[Update your chart of accounts here]],Table633[Credit]),"")</f>
        <v>0</v>
      </c>
      <c r="X194" s="34"/>
      <c r="Y194" s="34"/>
      <c r="Z194" s="34"/>
      <c r="AA194" s="34"/>
      <c r="AB194" s="34">
        <f>MAX(Table834[[#This Row],[Debit]]+Table834[[#This Row],[Debit -]]-Table834[[#This Row],[Credit]]-Table834[[#This Row],[Credit +]],0)</f>
        <v>0</v>
      </c>
      <c r="AC194" s="34">
        <f>MAX(Table834[[#This Row],[Credit]]-Table834[[#This Row],[Debit]]+Table834[[#This Row],[Credit +]]-Table834[[#This Row],[Debit -]],0)</f>
        <v>0</v>
      </c>
      <c r="AD194" s="34" t="str">
        <f>IFERROR(IF(AND(OR(Table834[[#This Row],[Classification]]="Expense",Table834[[#This Row],[Classification]]="Cost of Goods Sold"),Table834[[#This Row],[Debit\]]&gt;Table834[[#This Row],[Credit.]]),Table834[[#This Row],[Debit\]]-Table834[[#This Row],[Credit.]],""),"")</f>
        <v/>
      </c>
      <c r="AE194" s="34" t="str">
        <f>IFERROR(IF(AND(OR(Table834[[#This Row],[Classification]]="Income",Table834[[#This Row],[Classification]]="Cost of Goods Sold"),Table834[[#This Row],[Credit.]]&gt;Table834[[#This Row],[Debit\]]),Table834[[#This Row],[Credit.]]-Table834[[#This Row],[Debit\]],""),"")</f>
        <v/>
      </c>
      <c r="AF194" s="34"/>
      <c r="AG194" s="34" t="str">
        <f>IFERROR(IF(AND(Table834[[#This Row],[Classification]]="Assets",Table834[[#This Row],[Debit\]]-Table834[[#This Row],[Credit.]]),Table834[[#This Row],[Debit\]]-Table834[[#This Row],[Credit.]],""),"")</f>
        <v/>
      </c>
      <c r="AH194" s="34" t="str">
        <f>IFERROR(IF(AND(OR(Table834[[#This Row],[Classification]]="Liabilities",Table834[[#This Row],[Classification]]="Owner´s Equity"),Table834[[#This Row],[Credit.]]&gt;Table834[[#This Row],[Debit\]]),Table834[[#This Row],[Credit.]]-Table834[[#This Row],[Debit\]],""),"")</f>
        <v/>
      </c>
    </row>
    <row r="195" spans="2:38" hidden="1" x14ac:dyDescent="0.25">
      <c r="B195" s="34"/>
      <c r="C195" s="45"/>
      <c r="D195" s="34"/>
      <c r="E195" s="34"/>
      <c r="G195" s="39"/>
      <c r="H195" s="40"/>
      <c r="I195" s="41"/>
      <c r="J195" s="41"/>
      <c r="L195" s="34">
        <v>188</v>
      </c>
      <c r="M195" s="35"/>
      <c r="N195" s="35"/>
      <c r="O195" s="34">
        <f>IFERROR(SUMIF(Table431[,],Table633[[#This Row],[Accounts Name]],Table431[,3]),"")</f>
        <v>0</v>
      </c>
      <c r="P195" s="34">
        <f>IFERROR(SUMIF(Table431[,],Table633[[#This Row],[Accounts Name]],Table431[,2]),"")</f>
        <v>0</v>
      </c>
      <c r="S195" s="36">
        <f t="shared" si="2"/>
        <v>188</v>
      </c>
      <c r="T195" s="34"/>
      <c r="U195" s="37"/>
      <c r="V195" s="34">
        <f>IFERROR(SUMIF(Table633[Sub-Accounts],Table834[[#This Row],[Update your chart of accounts here]],Table633[Debit]),"")</f>
        <v>0</v>
      </c>
      <c r="W195" s="34">
        <f>IFERROR(SUMIF(Table633[Sub-Accounts],Table834[[#This Row],[Update your chart of accounts here]],Table633[Credit]),"")</f>
        <v>0</v>
      </c>
      <c r="X195" s="34"/>
      <c r="Y195" s="34"/>
      <c r="Z195" s="34"/>
      <c r="AA195" s="34"/>
      <c r="AB195" s="34">
        <f>MAX(Table834[[#This Row],[Debit]]+Table834[[#This Row],[Debit -]]-Table834[[#This Row],[Credit]]-Table834[[#This Row],[Credit +]],0)</f>
        <v>0</v>
      </c>
      <c r="AC195" s="34">
        <f>MAX(Table834[[#This Row],[Credit]]-Table834[[#This Row],[Debit]]+Table834[[#This Row],[Credit +]]-Table834[[#This Row],[Debit -]],0)</f>
        <v>0</v>
      </c>
      <c r="AD195" s="34" t="str">
        <f>IFERROR(IF(AND(OR(Table834[[#This Row],[Classification]]="Expense",Table834[[#This Row],[Classification]]="Cost of Goods Sold"),Table834[[#This Row],[Debit\]]&gt;Table834[[#This Row],[Credit.]]),Table834[[#This Row],[Debit\]]-Table834[[#This Row],[Credit.]],""),"")</f>
        <v/>
      </c>
      <c r="AE195" s="34" t="str">
        <f>IFERROR(IF(AND(OR(Table834[[#This Row],[Classification]]="Income",Table834[[#This Row],[Classification]]="Cost of Goods Sold"),Table834[[#This Row],[Credit.]]&gt;Table834[[#This Row],[Debit\]]),Table834[[#This Row],[Credit.]]-Table834[[#This Row],[Debit\]],""),"")</f>
        <v/>
      </c>
      <c r="AF195" s="34"/>
      <c r="AG195" s="34" t="str">
        <f>IFERROR(IF(AND(Table834[[#This Row],[Classification]]="Assets",Table834[[#This Row],[Debit\]]-Table834[[#This Row],[Credit.]]),Table834[[#This Row],[Debit\]]-Table834[[#This Row],[Credit.]],""),"")</f>
        <v/>
      </c>
      <c r="AH195" s="34" t="str">
        <f>IFERROR(IF(AND(OR(Table834[[#This Row],[Classification]]="Liabilities",Table834[[#This Row],[Classification]]="Owner´s Equity"),Table834[[#This Row],[Credit.]]&gt;Table834[[#This Row],[Debit\]]),Table834[[#This Row],[Credit.]]-Table834[[#This Row],[Debit\]],""),"")</f>
        <v/>
      </c>
    </row>
    <row r="196" spans="2:38" hidden="1" x14ac:dyDescent="0.25">
      <c r="B196" s="34"/>
      <c r="C196" s="45"/>
      <c r="D196" s="34"/>
      <c r="E196" s="34"/>
      <c r="G196" s="39"/>
      <c r="H196" s="40"/>
      <c r="I196" s="41"/>
      <c r="J196" s="41"/>
      <c r="L196" s="34">
        <v>189</v>
      </c>
      <c r="M196" s="35"/>
      <c r="N196" s="35"/>
      <c r="O196" s="34">
        <f>IFERROR(SUMIF(Table431[,],Table633[[#This Row],[Accounts Name]],Table431[,3]),"")</f>
        <v>0</v>
      </c>
      <c r="P196" s="34">
        <f>IFERROR(SUMIF(Table431[,],Table633[[#This Row],[Accounts Name]],Table431[,2]),"")</f>
        <v>0</v>
      </c>
      <c r="S196" s="36">
        <f t="shared" si="2"/>
        <v>189</v>
      </c>
      <c r="T196" s="34"/>
      <c r="U196" s="37"/>
      <c r="V196" s="34">
        <f>IFERROR(SUMIF(Table633[Sub-Accounts],Table834[[#This Row],[Update your chart of accounts here]],Table633[Debit]),"")</f>
        <v>0</v>
      </c>
      <c r="W196" s="34">
        <f>IFERROR(SUMIF(Table633[Sub-Accounts],Table834[[#This Row],[Update your chart of accounts here]],Table633[Credit]),"")</f>
        <v>0</v>
      </c>
      <c r="X196" s="34"/>
      <c r="Y196" s="34"/>
      <c r="Z196" s="34"/>
      <c r="AA196" s="34"/>
      <c r="AB196" s="34">
        <f>MAX(Table834[[#This Row],[Debit]]+Table834[[#This Row],[Debit -]]-Table834[[#This Row],[Credit]]-Table834[[#This Row],[Credit +]],0)</f>
        <v>0</v>
      </c>
      <c r="AC196" s="34">
        <f>MAX(Table834[[#This Row],[Credit]]-Table834[[#This Row],[Debit]]+Table834[[#This Row],[Credit +]]-Table834[[#This Row],[Debit -]],0)</f>
        <v>0</v>
      </c>
      <c r="AD196" s="34" t="str">
        <f>IFERROR(IF(AND(OR(Table834[[#This Row],[Classification]]="Expense",Table834[[#This Row],[Classification]]="Cost of Goods Sold"),Table834[[#This Row],[Debit\]]&gt;Table834[[#This Row],[Credit.]]),Table834[[#This Row],[Debit\]]-Table834[[#This Row],[Credit.]],""),"")</f>
        <v/>
      </c>
      <c r="AE196" s="34" t="str">
        <f>IFERROR(IF(AND(OR(Table834[[#This Row],[Classification]]="Income",Table834[[#This Row],[Classification]]="Cost of Goods Sold"),Table834[[#This Row],[Credit.]]&gt;Table834[[#This Row],[Debit\]]),Table834[[#This Row],[Credit.]]-Table834[[#This Row],[Debit\]],""),"")</f>
        <v/>
      </c>
      <c r="AF196" s="34"/>
      <c r="AG196" s="34" t="str">
        <f>IFERROR(IF(AND(Table834[[#This Row],[Classification]]="Assets",Table834[[#This Row],[Debit\]]-Table834[[#This Row],[Credit.]]),Table834[[#This Row],[Debit\]]-Table834[[#This Row],[Credit.]],""),"")</f>
        <v/>
      </c>
      <c r="AH196" s="34" t="str">
        <f>IFERROR(IF(AND(OR(Table834[[#This Row],[Classification]]="Liabilities",Table834[[#This Row],[Classification]]="Owner´s Equity"),Table834[[#This Row],[Credit.]]&gt;Table834[[#This Row],[Debit\]]),Table834[[#This Row],[Credit.]]-Table834[[#This Row],[Debit\]],""),"")</f>
        <v/>
      </c>
    </row>
    <row r="197" spans="2:38" hidden="1" x14ac:dyDescent="0.25">
      <c r="B197" s="34"/>
      <c r="C197" s="45"/>
      <c r="D197" s="34"/>
      <c r="E197" s="34"/>
      <c r="G197" s="39"/>
      <c r="H197" s="43"/>
      <c r="I197" s="41"/>
      <c r="J197" s="41"/>
      <c r="L197" s="34">
        <v>190</v>
      </c>
      <c r="M197" s="35"/>
      <c r="N197" s="35"/>
      <c r="O197" s="34">
        <f>IFERROR(SUMIF(Table431[,],Table633[[#This Row],[Accounts Name]],Table431[,3]),"")</f>
        <v>0</v>
      </c>
      <c r="P197" s="34">
        <f>IFERROR(SUMIF(Table431[,],Table633[[#This Row],[Accounts Name]],Table431[,2]),"")</f>
        <v>0</v>
      </c>
      <c r="S197" s="36">
        <f t="shared" si="2"/>
        <v>190</v>
      </c>
      <c r="T197" s="34"/>
      <c r="U197" s="37"/>
      <c r="V197" s="34">
        <f>IFERROR(SUMIF(Table633[Sub-Accounts],Table834[[#This Row],[Update your chart of accounts here]],Table633[Debit]),"")</f>
        <v>0</v>
      </c>
      <c r="W197" s="34">
        <f>IFERROR(SUMIF(Table633[Sub-Accounts],Table834[[#This Row],[Update your chart of accounts here]],Table633[Credit]),"")</f>
        <v>0</v>
      </c>
      <c r="X197" s="34"/>
      <c r="Y197" s="34"/>
      <c r="Z197" s="34"/>
      <c r="AA197" s="34"/>
      <c r="AB197" s="34">
        <f>MAX(Table834[[#This Row],[Debit]]+Table834[[#This Row],[Debit -]]-Table834[[#This Row],[Credit]]-Table834[[#This Row],[Credit +]],0)</f>
        <v>0</v>
      </c>
      <c r="AC197" s="34">
        <f>MAX(Table834[[#This Row],[Credit]]-Table834[[#This Row],[Debit]]+Table834[[#This Row],[Credit +]]-Table834[[#This Row],[Debit -]],0)</f>
        <v>0</v>
      </c>
      <c r="AD197" s="34" t="str">
        <f>IFERROR(IF(AND(OR(Table834[[#This Row],[Classification]]="Expense",Table834[[#This Row],[Classification]]="Cost of Goods Sold"),Table834[[#This Row],[Debit\]]&gt;Table834[[#This Row],[Credit.]]),Table834[[#This Row],[Debit\]]-Table834[[#This Row],[Credit.]],""),"")</f>
        <v/>
      </c>
      <c r="AE197" s="34" t="str">
        <f>IFERROR(IF(AND(OR(Table834[[#This Row],[Classification]]="Income",Table834[[#This Row],[Classification]]="Cost of Goods Sold"),Table834[[#This Row],[Credit.]]&gt;Table834[[#This Row],[Debit\]]),Table834[[#This Row],[Credit.]]-Table834[[#This Row],[Debit\]],""),"")</f>
        <v/>
      </c>
      <c r="AF197" s="34"/>
      <c r="AG197" s="34" t="str">
        <f>IFERROR(IF(AND(Table834[[#This Row],[Classification]]="Assets",Table834[[#This Row],[Debit\]]-Table834[[#This Row],[Credit.]]),Table834[[#This Row],[Debit\]]-Table834[[#This Row],[Credit.]],""),"")</f>
        <v/>
      </c>
      <c r="AH197" s="34" t="str">
        <f>IFERROR(IF(AND(OR(Table834[[#This Row],[Classification]]="Liabilities",Table834[[#This Row],[Classification]]="Owner´s Equity"),Table834[[#This Row],[Credit.]]&gt;Table834[[#This Row],[Debit\]]),Table834[[#This Row],[Credit.]]-Table834[[#This Row],[Debit\]],""),"")</f>
        <v/>
      </c>
    </row>
    <row r="198" spans="2:38" hidden="1" x14ac:dyDescent="0.25">
      <c r="B198" s="34"/>
      <c r="C198" s="45"/>
      <c r="D198" s="34"/>
      <c r="E198" s="34"/>
      <c r="G198" s="39"/>
      <c r="H198" s="40"/>
      <c r="I198" s="41"/>
      <c r="J198" s="41"/>
      <c r="L198" s="34">
        <v>191</v>
      </c>
      <c r="M198" s="35"/>
      <c r="N198" s="35"/>
      <c r="O198" s="34">
        <f>IFERROR(SUMIF(Table431[,],Table633[[#This Row],[Accounts Name]],Table431[,3]),"")</f>
        <v>0</v>
      </c>
      <c r="P198" s="34">
        <f>IFERROR(SUMIF(Table431[,],Table633[[#This Row],[Accounts Name]],Table431[,2]),"")</f>
        <v>0</v>
      </c>
      <c r="S198" s="36">
        <f t="shared" si="2"/>
        <v>191</v>
      </c>
      <c r="T198" s="34"/>
      <c r="U198" s="37"/>
      <c r="V198" s="34">
        <f>IFERROR(SUMIF(Table633[Sub-Accounts],Table834[[#This Row],[Update your chart of accounts here]],Table633[Debit]),"")</f>
        <v>0</v>
      </c>
      <c r="W198" s="34">
        <f>IFERROR(SUMIF(Table633[Sub-Accounts],Table834[[#This Row],[Update your chart of accounts here]],Table633[Credit]),"")</f>
        <v>0</v>
      </c>
      <c r="X198" s="34"/>
      <c r="Y198" s="34"/>
      <c r="Z198" s="34"/>
      <c r="AA198" s="34"/>
      <c r="AB198" s="34">
        <f>MAX(Table834[[#This Row],[Debit]]+Table834[[#This Row],[Debit -]]-Table834[[#This Row],[Credit]]-Table834[[#This Row],[Credit +]],0)</f>
        <v>0</v>
      </c>
      <c r="AC198" s="34">
        <f>MAX(Table834[[#This Row],[Credit]]-Table834[[#This Row],[Debit]]+Table834[[#This Row],[Credit +]]-Table834[[#This Row],[Debit -]],0)</f>
        <v>0</v>
      </c>
      <c r="AD198" s="34" t="str">
        <f>IFERROR(IF(AND(OR(Table834[[#This Row],[Classification]]="Expense",Table834[[#This Row],[Classification]]="Cost of Goods Sold"),Table834[[#This Row],[Debit\]]&gt;Table834[[#This Row],[Credit.]]),Table834[[#This Row],[Debit\]]-Table834[[#This Row],[Credit.]],""),"")</f>
        <v/>
      </c>
      <c r="AE198" s="34" t="str">
        <f>IFERROR(IF(AND(OR(Table834[[#This Row],[Classification]]="Income",Table834[[#This Row],[Classification]]="Cost of Goods Sold"),Table834[[#This Row],[Credit.]]&gt;Table834[[#This Row],[Debit\]]),Table834[[#This Row],[Credit.]]-Table834[[#This Row],[Debit\]],""),"")</f>
        <v/>
      </c>
      <c r="AF198" s="34"/>
      <c r="AG198" s="34" t="str">
        <f>IFERROR(IF(AND(Table834[[#This Row],[Classification]]="Assets",Table834[[#This Row],[Debit\]]-Table834[[#This Row],[Credit.]]),Table834[[#This Row],[Debit\]]-Table834[[#This Row],[Credit.]],""),"")</f>
        <v/>
      </c>
      <c r="AH198" s="34" t="str">
        <f>IFERROR(IF(AND(OR(Table834[[#This Row],[Classification]]="Liabilities",Table834[[#This Row],[Classification]]="Owner´s Equity"),Table834[[#This Row],[Credit.]]&gt;Table834[[#This Row],[Debit\]]),Table834[[#This Row],[Credit.]]-Table834[[#This Row],[Debit\]],""),"")</f>
        <v/>
      </c>
    </row>
    <row r="199" spans="2:38" hidden="1" x14ac:dyDescent="0.25">
      <c r="B199" s="34"/>
      <c r="C199" s="45"/>
      <c r="D199" s="34"/>
      <c r="E199" s="34"/>
      <c r="G199" s="39"/>
      <c r="H199" s="40"/>
      <c r="I199" s="41"/>
      <c r="J199" s="41"/>
      <c r="L199" s="34">
        <v>192</v>
      </c>
      <c r="M199" s="35"/>
      <c r="N199" s="35"/>
      <c r="O199" s="34">
        <f>IFERROR(SUMIF(Table431[,],Table633[[#This Row],[Accounts Name]],Table431[,3]),"")</f>
        <v>0</v>
      </c>
      <c r="P199" s="34">
        <f>IFERROR(SUMIF(Table431[,],Table633[[#This Row],[Accounts Name]],Table431[,2]),"")</f>
        <v>0</v>
      </c>
      <c r="S199" s="36">
        <f t="shared" si="2"/>
        <v>192</v>
      </c>
      <c r="T199" s="34"/>
      <c r="U199" s="46"/>
      <c r="V199" s="34">
        <f>IFERROR(SUMIF(Table633[Sub-Accounts],Table834[[#This Row],[Update your chart of accounts here]],Table633[Debit]),"")</f>
        <v>0</v>
      </c>
      <c r="W199" s="34">
        <f>IFERROR(SUMIF(Table633[Sub-Accounts],Table834[[#This Row],[Update your chart of accounts here]],Table633[Credit]),"")</f>
        <v>0</v>
      </c>
      <c r="X199" s="34"/>
      <c r="Y199" s="34"/>
      <c r="Z199" s="34"/>
      <c r="AA199" s="34"/>
      <c r="AB199" s="34">
        <f>MAX(Table834[[#This Row],[Debit]]+Table834[[#This Row],[Debit -]]-Table834[[#This Row],[Credit]]-Table834[[#This Row],[Credit +]],0)</f>
        <v>0</v>
      </c>
      <c r="AC199" s="34">
        <f>MAX(Table834[[#This Row],[Credit]]-Table834[[#This Row],[Debit]]+Table834[[#This Row],[Credit +]]-Table834[[#This Row],[Debit -]],0)</f>
        <v>0</v>
      </c>
      <c r="AD199" s="34" t="str">
        <f>IFERROR(IF(AND(OR(Table834[[#This Row],[Classification]]="Expense",Table834[[#This Row],[Classification]]="Cost of Goods Sold"),Table834[[#This Row],[Debit\]]&gt;Table834[[#This Row],[Credit.]]),Table834[[#This Row],[Debit\]]-Table834[[#This Row],[Credit.]],""),"")</f>
        <v/>
      </c>
      <c r="AE199" s="34" t="str">
        <f>IFERROR(IF(AND(OR(Table834[[#This Row],[Classification]]="Income",Table834[[#This Row],[Classification]]="Cost of Goods Sold"),Table834[[#This Row],[Credit.]]&gt;Table834[[#This Row],[Debit\]]),Table834[[#This Row],[Credit.]]-Table834[[#This Row],[Debit\]],""),"")</f>
        <v/>
      </c>
      <c r="AF199" s="34"/>
      <c r="AG199" s="34" t="str">
        <f>IFERROR(IF(AND(Table834[[#This Row],[Classification]]="Assets",Table834[[#This Row],[Debit\]]-Table834[[#This Row],[Credit.]]),Table834[[#This Row],[Debit\]]-Table834[[#This Row],[Credit.]],""),"")</f>
        <v/>
      </c>
      <c r="AH199" s="34" t="str">
        <f>IFERROR(IF(AND(OR(Table834[[#This Row],[Classification]]="Liabilities",Table834[[#This Row],[Classification]]="Owner´s Equity"),Table834[[#This Row],[Credit.]]&gt;Table834[[#This Row],[Debit\]]),Table834[[#This Row],[Credit.]]-Table834[[#This Row],[Debit\]],""),"")</f>
        <v/>
      </c>
    </row>
    <row r="200" spans="2:38" hidden="1" x14ac:dyDescent="0.25">
      <c r="B200" s="34"/>
      <c r="C200" s="45"/>
      <c r="D200" s="34"/>
      <c r="E200" s="34"/>
      <c r="G200" s="39"/>
      <c r="H200" s="43"/>
      <c r="I200" s="41"/>
      <c r="J200" s="41"/>
      <c r="L200" s="34">
        <v>193</v>
      </c>
      <c r="M200" s="35"/>
      <c r="N200" s="35"/>
      <c r="O200" s="34">
        <f>IFERROR(SUMIF(Table431[,],Table633[[#This Row],[Accounts Name]],Table431[,3]),"")</f>
        <v>0</v>
      </c>
      <c r="P200" s="34">
        <f>IFERROR(SUMIF(Table431[,],Table633[[#This Row],[Accounts Name]],Table431[,2]),"")</f>
        <v>0</v>
      </c>
      <c r="S200" s="36">
        <f t="shared" si="2"/>
        <v>193</v>
      </c>
      <c r="T200" s="34"/>
      <c r="U200" s="47"/>
      <c r="V200" s="34">
        <f>IFERROR(SUMIF(Table633[Sub-Accounts],Table834[[#This Row],[Update your chart of accounts here]],Table633[Debit]),"")</f>
        <v>0</v>
      </c>
      <c r="W200" s="34">
        <f>IFERROR(SUMIF(Table633[Sub-Accounts],Table834[[#This Row],[Update your chart of accounts here]],Table633[Credit]),"")</f>
        <v>0</v>
      </c>
      <c r="X200" s="34"/>
      <c r="Y200" s="34"/>
      <c r="Z200" s="34"/>
      <c r="AA200" s="34"/>
      <c r="AB200" s="34">
        <f>MAX(Table834[[#This Row],[Debit]]+Table834[[#This Row],[Debit -]]-Table834[[#This Row],[Credit]]-Table834[[#This Row],[Credit +]],0)</f>
        <v>0</v>
      </c>
      <c r="AC200" s="34">
        <f>MAX(Table834[[#This Row],[Credit]]-Table834[[#This Row],[Debit]]+Table834[[#This Row],[Credit +]]-Table834[[#This Row],[Debit -]],0)</f>
        <v>0</v>
      </c>
      <c r="AD200" s="34" t="str">
        <f>IFERROR(IF(AND(OR(Table834[[#This Row],[Classification]]="Expense",Table834[[#This Row],[Classification]]="Cost of Goods Sold"),Table834[[#This Row],[Debit\]]&gt;Table834[[#This Row],[Credit.]]),Table834[[#This Row],[Debit\]]-Table834[[#This Row],[Credit.]],""),"")</f>
        <v/>
      </c>
      <c r="AE200" s="34" t="str">
        <f>IFERROR(IF(AND(OR(Table834[[#This Row],[Classification]]="Income",Table834[[#This Row],[Classification]]="Cost of Goods Sold"),Table834[[#This Row],[Credit.]]&gt;Table834[[#This Row],[Debit\]]),Table834[[#This Row],[Credit.]]-Table834[[#This Row],[Debit\]],""),"")</f>
        <v/>
      </c>
      <c r="AF200" s="34"/>
      <c r="AG200" s="34" t="str">
        <f>IFERROR(IF(AND(Table834[[#This Row],[Classification]]="Assets",Table834[[#This Row],[Debit\]]-Table834[[#This Row],[Credit.]]),Table834[[#This Row],[Debit\]]-Table834[[#This Row],[Credit.]],""),"")</f>
        <v/>
      </c>
      <c r="AH200" s="34" t="str">
        <f>IFERROR(IF(AND(OR(Table834[[#This Row],[Classification]]="Liabilities",Table834[[#This Row],[Classification]]="Owner´s Equity"),Table834[[#This Row],[Credit.]]&gt;Table834[[#This Row],[Debit\]]),Table834[[#This Row],[Credit.]]-Table834[[#This Row],[Debit\]],""),"")</f>
        <v/>
      </c>
      <c r="AI200" s="20" t="b">
        <f>Table834[[#Totals],[Debit .]]=Table834[[#Totals],[Credit'']]</f>
        <v>0</v>
      </c>
      <c r="AL200" s="20">
        <f>Table834[[#Totals],[Debit .]]-Table834[[#Totals],[Credit'']]</f>
        <v>0</v>
      </c>
    </row>
    <row r="201" spans="2:38" ht="15.75" thickBot="1" x14ac:dyDescent="0.3">
      <c r="B201" s="20" t="s">
        <v>60</v>
      </c>
      <c r="D201" s="57">
        <f>SUBTOTAL(109,Table431[,3])</f>
        <v>6373139.6100000003</v>
      </c>
      <c r="E201" s="57">
        <f>SUBTOTAL(109,Table431[,2])</f>
        <v>12625152.699999999</v>
      </c>
      <c r="G201" s="39"/>
      <c r="H201" s="40"/>
      <c r="I201" s="41"/>
      <c r="J201" s="41"/>
      <c r="L201" s="49" t="s">
        <v>60</v>
      </c>
      <c r="M201" s="35"/>
      <c r="N201" s="35"/>
      <c r="O201" s="48">
        <f>SUBTOTAL(109,Table633[Debit])</f>
        <v>8568388.6600000001</v>
      </c>
      <c r="P201" s="48">
        <f>SUBTOTAL(109,Table633[Credit])</f>
        <v>4047608.7</v>
      </c>
      <c r="S201" s="62" t="s">
        <v>60</v>
      </c>
      <c r="T201" s="63"/>
      <c r="U201" s="64"/>
      <c r="V201" s="63">
        <f>SUBTOTAL(109,Table834[Debit])</f>
        <v>33634688.240000002</v>
      </c>
      <c r="W201" s="63">
        <f>SUBTOTAL(109,Table834[Credit])</f>
        <v>33587719.600000001</v>
      </c>
      <c r="X201" s="63"/>
      <c r="Y201" s="63"/>
      <c r="Z201" s="63"/>
      <c r="AA201" s="63"/>
      <c r="AB201" s="63">
        <f>SUBTOTAL(109,Table834[Debit\])</f>
        <v>38476056.723225519</v>
      </c>
      <c r="AC201" s="63">
        <f>SUBTOTAL(109,Table834[Credit.])</f>
        <v>38476056.723225571</v>
      </c>
      <c r="AD201" s="63">
        <f>SUBTOTAL(109,Table834[[Debit ]])</f>
        <v>0</v>
      </c>
      <c r="AE201" s="63">
        <f>SUBTOTAL(109,Table834[Credit,])</f>
        <v>0</v>
      </c>
      <c r="AF201" s="63"/>
      <c r="AG201" s="63">
        <f>SUBTOTAL(109,Table834[Debit .])</f>
        <v>38476056.723225519</v>
      </c>
      <c r="AH201" s="63">
        <f>SUBTOTAL(109,Table834[Credit''])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63" priority="8">
      <formula>"Balanced"</formula>
    </cfRule>
  </conditionalFormatting>
  <dataValidations count="3">
    <dataValidation type="list" allowBlank="1" showInputMessage="1" showErrorMessage="1" sqref="T8:T200" xr:uid="{00000000-0002-0000-0C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C00-000001000000}">
      <formula1>P_LSub_Group</formula1>
    </dataValidation>
    <dataValidation type="list" allowBlank="1" showInputMessage="1" showErrorMessage="1" sqref="N8:N200" xr:uid="{00000000-0002-0000-0C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08563286-6C12-4B7E-ABFB-746C1C9B646E}">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A133184D-EE71-4F60-838B-3B5FF9423F58}">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33950AAE-245A-4D64-8286-12B5B5C44650}">
            <xm:f>NOT(ISERROR(SEARCH($T$407,T8)))</xm:f>
            <xm:f>$T$407</xm:f>
            <x14:dxf>
              <fill>
                <patternFill>
                  <bgColor rgb="FF7030A0"/>
                </patternFill>
              </fill>
            </x14:dxf>
          </x14:cfRule>
          <x14:cfRule type="containsText" priority="2" operator="containsText" id="{E0E091B0-964B-4221-B7D5-ABFF984B4F75}">
            <xm:f>NOT(ISERROR(SEARCH($T$406,T8)))</xm:f>
            <xm:f>$T$406</xm:f>
            <x14:dxf>
              <fill>
                <patternFill>
                  <bgColor rgb="FFFFFF00"/>
                </patternFill>
              </fill>
            </x14:dxf>
          </x14:cfRule>
          <x14:cfRule type="containsText" priority="3" operator="containsText" id="{1940BE34-F44D-49C0-8621-413D32478E29}">
            <xm:f>NOT(ISERROR(SEARCH($T$405,T8)))</xm:f>
            <xm:f>$T$405</xm:f>
            <x14:dxf>
              <fill>
                <patternFill>
                  <bgColor rgb="FF00B050"/>
                </patternFill>
              </fill>
            </x14:dxf>
          </x14:cfRule>
          <x14:cfRule type="containsText" priority="4" operator="containsText" id="{37DB4F65-4472-44FC-A117-B68D19B66E4B}">
            <xm:f>NOT(ISERROR(SEARCH($T$404,T8)))</xm:f>
            <xm:f>$T$404</xm:f>
            <x14:dxf>
              <fill>
                <patternFill>
                  <bgColor theme="0"/>
                </patternFill>
              </fill>
            </x14:dxf>
          </x14:cfRule>
          <x14:cfRule type="containsText" priority="5" operator="containsText" id="{96E794F3-C577-41E4-A7BF-78C7C5E7CE07}">
            <xm:f>NOT(ISERROR(SEARCH($T$403,T8)))</xm:f>
            <xm:f>$T$403</xm:f>
            <x14:dxf>
              <fill>
                <patternFill>
                  <bgColor rgb="FFFF0000"/>
                </patternFill>
              </fill>
            </x14:dxf>
          </x14:cfRule>
          <x14:cfRule type="containsText" priority="6" operator="containsText" id="{12D0BBAC-545F-4065-9CEA-1E31CB7ACB15}">
            <xm:f>NOT(ISERROR(SEARCH($T$402,T8)))</xm:f>
            <xm:f>$T$402</xm:f>
            <x14:dxf>
              <fill>
                <patternFill>
                  <bgColor theme="8" tint="-0.24994659260841701"/>
                </patternFill>
              </fill>
            </x14:dxf>
          </x14:cfRule>
          <xm:sqref>T8:T200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sheetPr>
  <dimension ref="B1:AN407"/>
  <sheetViews>
    <sheetView showGridLines="0" workbookViewId="0">
      <selection activeCell="U17" sqref="U17"/>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IFERROR(SUMIF(Table435[,],Table637[[#This Row],[Accounts Name]],Table435[,3]),"")</f>
        <v>3977142.74</v>
      </c>
      <c r="P8" s="34">
        <f>IFERROR(SUMIF(Table435[,],Table637[[#This Row],[Accounts Name]],Table435[,2]),"")</f>
        <v>0</v>
      </c>
      <c r="S8" s="36">
        <v>1</v>
      </c>
      <c r="T8" s="34" t="s">
        <v>11</v>
      </c>
      <c r="U8" s="37" t="s">
        <v>138</v>
      </c>
      <c r="V8" s="34">
        <f>IFERROR(SUMIF(Table637[Sub-Accounts],Table838[[#This Row],[Update your chart of accounts here]],Table637[Debit]),"")</f>
        <v>5942202.0100000007</v>
      </c>
      <c r="W8" s="34">
        <f>IFERROR(SUMIF(Table637[Sub-Accounts],Table838[[#This Row],[Update your chart of accounts here]],Table637[Credit]),"")</f>
        <v>0</v>
      </c>
      <c r="X8" s="34"/>
      <c r="Y8" s="34" t="s">
        <v>228</v>
      </c>
      <c r="Z8" s="34"/>
      <c r="AA8" s="34">
        <f>J25</f>
        <v>21</v>
      </c>
      <c r="AB8" s="34">
        <f>MAX(Table838[[#This Row],[Debit]]+Table838[[#This Row],[Debit -]]-Table838[[#This Row],[Credit]]-Table838[[#This Row],[Credit +]],0)</f>
        <v>5942181.0100000007</v>
      </c>
      <c r="AC8" s="34">
        <f>MAX(Table838[[#This Row],[Credit]]-Table838[[#This Row],[Debit]]+Table838[[#This Row],[Credit +]]-Table838[[#This Row],[Debit -]],0)</f>
        <v>0</v>
      </c>
      <c r="AD8" s="34" t="str">
        <f>IFERROR(IF(AND(OR(Table838[[#This Row],[Classification]]="Expense",Table838[[#This Row],[Classification]]="Cost of Goods Sold"),Table838[[#This Row],[Debit\]]&gt;Table838[[#This Row],[Credit.]]),Table838[[#This Row],[Debit\]]-Table838[[#This Row],[Credit.]],""),"")</f>
        <v/>
      </c>
      <c r="AE8" s="34" t="str">
        <f>IFERROR(IF(AND(OR(Table838[[#This Row],[Classification]]="Income",Table838[[#This Row],[Classification]]="Cost of Goods Sold"),Table838[[#This Row],[Credit.]]&gt;Table838[[#This Row],[Debit\]]),Table838[[#This Row],[Credit.]]-Table838[[#This Row],[Debit\]],""),"")</f>
        <v/>
      </c>
      <c r="AF8" s="34"/>
      <c r="AG8" s="34">
        <f>IFERROR(IF(AND(Table838[[#This Row],[Classification]]="Assets",Table838[[#This Row],[Debit\]]-Table838[[#This Row],[Credit.]]),Table838[[#This Row],[Debit\]]-Table838[[#This Row],[Credit.]],""),"")</f>
        <v>5942181.0100000007</v>
      </c>
      <c r="AH8" s="34" t="str">
        <f>IFERROR(IF(AND(OR(Table838[[#This Row],[Classification]]="Liabilities",Table838[[#This Row],[Classification]]="Owner´s Equity"),Table838[[#This Row],[Credit.]]&gt;Table838[[#This Row],[Debit\]]),Table838[[#This Row],[Credit.]]-Table838[[#This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IFERROR(SUMIF(Table435[,],Table637[[#This Row],[Accounts Name]],Table435[,3]),"")</f>
        <v>0</v>
      </c>
      <c r="P9" s="34">
        <f>IFERROR(SUMIF(Table435[,],Table637[[#This Row],[Accounts Name]],Table435[,2]),"")</f>
        <v>1699952.7</v>
      </c>
      <c r="S9" s="36">
        <f>S8+1</f>
        <v>2</v>
      </c>
      <c r="T9" s="34" t="s">
        <v>12</v>
      </c>
      <c r="U9" s="37" t="s">
        <v>139</v>
      </c>
      <c r="V9" s="34">
        <f>IFERROR(SUMIF(Table637[Sub-Accounts],Table838[[#This Row],[Update your chart of accounts here]],Table637[Debit]),"")</f>
        <v>0</v>
      </c>
      <c r="W9" s="34">
        <f>IFERROR(SUMIF(Table637[Sub-Accounts],Table838[[#This Row],[Update your chart of accounts here]],Table637[Credit]),"")</f>
        <v>3699952.7</v>
      </c>
      <c r="X9" s="34"/>
      <c r="Y9" s="34"/>
      <c r="Z9" s="34"/>
      <c r="AA9" s="34"/>
      <c r="AB9" s="34">
        <f>MAX(Table838[[#This Row],[Debit]]+Table838[[#This Row],[Debit -]]-Table838[[#This Row],[Credit]]-Table838[[#This Row],[Credit +]],0)</f>
        <v>0</v>
      </c>
      <c r="AC9" s="34">
        <f>MAX(Table838[[#This Row],[Credit]]-Table838[[#This Row],[Debit]]+Table838[[#This Row],[Credit +]]-Table838[[#This Row],[Debit -]],0)</f>
        <v>3699952.7</v>
      </c>
      <c r="AD9" s="34" t="str">
        <f>IFERROR(IF(AND(OR(Table838[[#This Row],[Classification]]="Expense",Table838[[#This Row],[Classification]]="Cost of Goods Sold"),Table838[[#This Row],[Debit\]]&gt;Table838[[#This Row],[Credit.]]),Table838[[#This Row],[Debit\]]-Table838[[#This Row],[Credit.]],""),"")</f>
        <v/>
      </c>
      <c r="AE9" s="34" t="str">
        <f>IFERROR(IF(AND(OR(Table838[[#This Row],[Classification]]="Income",Table838[[#This Row],[Classification]]="Cost of Goods Sold"),Table838[[#This Row],[Credit.]]&gt;Table838[[#This Row],[Debit\]]),Table838[[#This Row],[Credit.]]-Table838[[#This Row],[Debit\]],""),"")</f>
        <v/>
      </c>
      <c r="AF9" s="34"/>
      <c r="AG9" s="34" t="str">
        <f>IFERROR(IF(AND(Table838[[#This Row],[Classification]]="Assets",Table838[[#This Row],[Debit\]]-Table838[[#This Row],[Credit.]]),Table838[[#This Row],[Debit\]]-Table838[[#This Row],[Credit.]],""),"")</f>
        <v/>
      </c>
      <c r="AH9" s="34">
        <f>IFERROR(IF(AND(OR(Table838[[#This Row],[Classification]]="Liabilities",Table838[[#This Row],[Classification]]="Owner´s Equity"),Table838[[#This Row],[Credit.]]&gt;Table838[[#This Row],[Debit\]]),Table838[[#This Row],[Credit.]]-Table838[[#This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IFERROR(SUMIF(Table435[,],Table637[[#This Row],[Accounts Name]],Table435[,3]),"")</f>
        <v>0</v>
      </c>
      <c r="P10" s="34">
        <f>IFERROR(SUMIF(Table435[,],Table637[[#This Row],[Accounts Name]],Table435[,2]),"")</f>
        <v>2000000</v>
      </c>
      <c r="S10" s="36">
        <f t="shared" ref="S10:S73" si="0">S9+1</f>
        <v>3</v>
      </c>
      <c r="T10" s="34" t="s">
        <v>11</v>
      </c>
      <c r="U10" s="37" t="s">
        <v>172</v>
      </c>
      <c r="V10" s="34">
        <f>IFERROR(SUMIF(Table637[Sub-Accounts],Table838[[#This Row],[Update your chart of accounts here]],Table637[Debit]),"")</f>
        <v>4355552.28</v>
      </c>
      <c r="W10" s="34">
        <f>IFERROR(SUMIF(Table637[Sub-Accounts],Table838[[#This Row],[Update your chart of accounts here]],Table637[Credit]),"")</f>
        <v>2517904</v>
      </c>
      <c r="X10" s="34"/>
      <c r="Y10" s="34" t="s">
        <v>224</v>
      </c>
      <c r="Z10" s="34">
        <f>I12</f>
        <v>251563</v>
      </c>
      <c r="AA10" s="34">
        <f>Table536[[#This Row],[,2]]</f>
        <v>409278.51677448238</v>
      </c>
      <c r="AB10" s="34">
        <f>MAX(Table838[[#This Row],[Debit]]+Table838[[#This Row],[Debit -]]-Table838[[#This Row],[Credit]]-Table838[[#This Row],[Credit +]],0)</f>
        <v>1679932.7632255179</v>
      </c>
      <c r="AC10" s="34">
        <f>MAX(Table838[[#This Row],[Credit]]-Table838[[#This Row],[Debit]]+Table838[[#This Row],[Credit +]]-Table838[[#This Row],[Debit -]],0)</f>
        <v>0</v>
      </c>
      <c r="AD10" s="34" t="str">
        <f>IFERROR(IF(AND(OR(Table838[[#This Row],[Classification]]="Expense",Table838[[#This Row],[Classification]]="Cost of Goods Sold"),Table838[[#This Row],[Debit\]]&gt;Table838[[#This Row],[Credit.]]),Table838[[#This Row],[Debit\]]-Table838[[#This Row],[Credit.]],""),"")</f>
        <v/>
      </c>
      <c r="AE10" s="34" t="str">
        <f>IFERROR(IF(AND(OR(Table838[[#This Row],[Classification]]="Income",Table838[[#This Row],[Classification]]="Cost of Goods Sold"),Table838[[#This Row],[Credit.]]&gt;Table838[[#This Row],[Debit\]]),Table838[[#This Row],[Credit.]]-Table838[[#This Row],[Debit\]],""),"")</f>
        <v/>
      </c>
      <c r="AF10" s="34"/>
      <c r="AG10" s="34">
        <f>IFERROR(IF(AND(Table838[[#This Row],[Classification]]="Assets",Table838[[#This Row],[Debit\]]-Table838[[#This Row],[Credit.]]),Table838[[#This Row],[Debit\]]-Table838[[#This Row],[Credit.]],""),"")</f>
        <v>1679932.7632255179</v>
      </c>
      <c r="AH10" s="34" t="str">
        <f>IFERROR(IF(AND(OR(Table838[[#This Row],[Classification]]="Liabilities",Table838[[#This Row],[Classification]]="Owner´s Equity"),Table838[[#This Row],[Credit.]]&gt;Table838[[#This Row],[Debit\]]),Table838[[#This Row],[Credit.]]-Table838[[#This Row],[Debit\]],""),"")</f>
        <v/>
      </c>
    </row>
    <row r="11" spans="2:40" x14ac:dyDescent="0.25">
      <c r="B11" s="34"/>
      <c r="C11" s="42" t="s">
        <v>65</v>
      </c>
      <c r="D11" s="34"/>
      <c r="E11" s="34">
        <v>2000000</v>
      </c>
      <c r="G11" s="39"/>
      <c r="H11" s="43" t="s">
        <v>180</v>
      </c>
      <c r="I11" s="41"/>
      <c r="J11" s="41"/>
      <c r="L11" s="34">
        <v>4</v>
      </c>
      <c r="M11" s="35" t="s">
        <v>138</v>
      </c>
      <c r="N11" s="35" t="s">
        <v>66</v>
      </c>
      <c r="O11" s="34">
        <f>IFERROR(SUMIF(Table435[,],Table637[[#This Row],[Accounts Name]],Table435[,3]),"")</f>
        <v>219779.97</v>
      </c>
      <c r="P11" s="34">
        <f>IFERROR(SUMIF(Table435[,],Table637[[#This Row],[Accounts Name]],Table435[,2]),"")</f>
        <v>0</v>
      </c>
      <c r="S11" s="36">
        <f t="shared" si="0"/>
        <v>4</v>
      </c>
      <c r="T11" s="34" t="s">
        <v>11</v>
      </c>
      <c r="U11" s="37" t="s">
        <v>140</v>
      </c>
      <c r="V11" s="34">
        <f>IFERROR(SUMIF(Table637[Sub-Accounts],Table838[[#This Row],[Update your chart of accounts here]],Table637[Debit]),"")</f>
        <v>21108825.949999999</v>
      </c>
      <c r="W11" s="34">
        <f>IFERROR(SUMIF(Table637[Sub-Accounts],Table838[[#This Row],[Update your chart of accounts here]],Table637[Credit]),"")</f>
        <v>0</v>
      </c>
      <c r="X11" s="34"/>
      <c r="Y11" s="34" t="s">
        <v>231</v>
      </c>
      <c r="Z11" s="34"/>
      <c r="AA11" s="34">
        <f>J31</f>
        <v>2551250</v>
      </c>
      <c r="AB11" s="34">
        <f>MAX(Table838[[#This Row],[Debit]]+Table838[[#This Row],[Debit -]]-Table838[[#This Row],[Credit]]-Table838[[#This Row],[Credit +]],0)</f>
        <v>18557575.949999999</v>
      </c>
      <c r="AC11" s="34">
        <f>MAX(Table838[[#This Row],[Credit]]-Table838[[#This Row],[Debit]]+Table838[[#This Row],[Credit +]]-Table838[[#This Row],[Debit -]],0)</f>
        <v>0</v>
      </c>
      <c r="AD11" s="34" t="str">
        <f>IFERROR(IF(AND(OR(Table838[[#This Row],[Classification]]="Expense",Table838[[#This Row],[Classification]]="Cost of Goods Sold"),Table838[[#This Row],[Debit\]]&gt;Table838[[#This Row],[Credit.]]),Table838[[#This Row],[Debit\]]-Table838[[#This Row],[Credit.]],""),"")</f>
        <v/>
      </c>
      <c r="AE11" s="34" t="str">
        <f>IFERROR(IF(AND(OR(Table838[[#This Row],[Classification]]="Income",Table838[[#This Row],[Classification]]="Cost of Goods Sold"),Table838[[#This Row],[Credit.]]&gt;Table838[[#This Row],[Debit\]]),Table838[[#This Row],[Credit.]]-Table838[[#This Row],[Debit\]],""),"")</f>
        <v/>
      </c>
      <c r="AF11" s="34"/>
      <c r="AG11" s="34">
        <f>IFERROR(IF(AND(Table838[[#This Row],[Classification]]="Assets",Table838[[#This Row],[Debit\]]-Table838[[#This Row],[Credit.]]),Table838[[#This Row],[Debit\]]-Table838[[#This Row],[Credit.]],""),"")</f>
        <v>18557575.949999999</v>
      </c>
      <c r="AH11" s="34" t="str">
        <f>IFERROR(IF(AND(OR(Table838[[#This Row],[Classification]]="Liabilities",Table838[[#This Row],[Classification]]="Owner´s Equity"),Table838[[#This Row],[Credit.]]&gt;Table838[[#This Row],[Debit\]]),Table838[[#This Row],[Credit.]]-Table838[[#This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IFERROR(SUMIF(Table435[,],Table637[[#This Row],[Accounts Name]],Table435[,3]),"")</f>
        <v>1054457.3500000001</v>
      </c>
      <c r="P12" s="34">
        <f>IFERROR(SUMIF(Table435[,],Table637[[#This Row],[Accounts Name]],Table435[,2]),"")</f>
        <v>0</v>
      </c>
      <c r="S12" s="36">
        <f t="shared" si="0"/>
        <v>5</v>
      </c>
      <c r="T12" s="34" t="s">
        <v>61</v>
      </c>
      <c r="U12" s="37" t="s">
        <v>207</v>
      </c>
      <c r="V12" s="34">
        <f>IFERROR(SUMIF(Table637[Sub-Accounts],Table838[[#This Row],[Update your chart of accounts here]],Table637[Debit]),"")</f>
        <v>0</v>
      </c>
      <c r="W12" s="34">
        <f>IFERROR(SUMIF(Table637[Sub-Accounts],Table838[[#This Row],[Update your chart of accounts here]],Table637[Credit]),"")</f>
        <v>0</v>
      </c>
      <c r="X12" s="34"/>
      <c r="Y12" s="34"/>
      <c r="Z12" s="34">
        <f>AN7</f>
        <v>8341041.1232255697</v>
      </c>
      <c r="AA12" s="34">
        <f>AU6</f>
        <v>0</v>
      </c>
      <c r="AB12" s="34">
        <f>MAX(Table838[[#This Row],[Debit]]+Table838[[#This Row],[Debit -]]-Table838[[#This Row],[Credit]]-Table838[[#This Row],[Credit +]],0)</f>
        <v>8341041.1232255697</v>
      </c>
      <c r="AC12" s="34">
        <f>MAX(Table838[[#This Row],[Credit]]-Table838[[#This Row],[Debit]]+Table838[[#This Row],[Credit +]]-Table838[[#This Row],[Debit -]],0)</f>
        <v>0</v>
      </c>
      <c r="AD12" s="34">
        <f>IFERROR(IF(AND(OR(Table838[[#This Row],[Classification]]="Expense",Table838[[#This Row],[Classification]]="Cost of Goods Sold"),Table838[[#This Row],[Debit\]]&gt;Table838[[#This Row],[Credit.]]),Table838[[#This Row],[Debit\]]-Table838[[#This Row],[Credit.]],""),"")</f>
        <v>8341041.1232255697</v>
      </c>
      <c r="AE12" s="34" t="str">
        <f>IFERROR(IF(AND(OR(Table838[[#This Row],[Classification]]="Income",Table838[[#This Row],[Classification]]="Cost of Goods Sold"),Table838[[#This Row],[Credit.]]&gt;Table838[[#This Row],[Debit\]]),Table838[[#This Row],[Credit.]]-Table838[[#This Row],[Debit\]],""),"")</f>
        <v/>
      </c>
      <c r="AF12" s="34"/>
      <c r="AG12" s="34" t="str">
        <f>IFERROR(IF(AND(Table838[[#This Row],[Classification]]="Assets",Table838[[#This Row],[Debit\]]-Table838[[#This Row],[Credit.]]),Table838[[#This Row],[Debit\]]-Table838[[#This Row],[Credit.]],""),"")</f>
        <v/>
      </c>
      <c r="AH12" s="34" t="str">
        <f>IFERROR(IF(AND(OR(Table838[[#This Row],[Classification]]="Liabilities",Table838[[#This Row],[Classification]]="Owner´s Equity"),Table838[[#This Row],[Credit.]]&gt;Table838[[#This Row],[Debit\]]),Table838[[#This Row],[Credit.]]-Table838[[#This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IFERROR(SUMIF(Table435[,],Table637[[#This Row],[Accounts Name]],Table435[,3]),"")</f>
        <v>230653</v>
      </c>
      <c r="P13" s="34">
        <f>IFERROR(SUMIF(Table435[,],Table637[[#This Row],[Accounts Name]],Table435[,2]),"")</f>
        <v>0</v>
      </c>
      <c r="S13" s="36">
        <f t="shared" si="0"/>
        <v>6</v>
      </c>
      <c r="T13" s="34" t="s">
        <v>6</v>
      </c>
      <c r="U13" s="37" t="s">
        <v>142</v>
      </c>
      <c r="V13" s="34">
        <f>IFERROR(SUMIF(Table637[Sub-Accounts],Table838[[#This Row],[Update your chart of accounts here]],Table637[Debit]),"")</f>
        <v>3296400</v>
      </c>
      <c r="W13" s="34">
        <f>IFERROR(SUMIF(Table637[Sub-Accounts],Table838[[#This Row],[Update your chart of accounts here]],Table637[Credit]),"")</f>
        <v>0</v>
      </c>
      <c r="X13" s="34"/>
      <c r="Y13" s="34" t="s">
        <v>227</v>
      </c>
      <c r="Z13" s="65"/>
      <c r="AA13" s="34"/>
      <c r="AB13" s="34">
        <f>MAX(Table838[[#This Row],[Debit]]+Table838[[#This Row],[Debit -]]-Table838[[#This Row],[Credit]]-Table838[[#This Row],[Credit +]],0)</f>
        <v>3296400</v>
      </c>
      <c r="AC13" s="34">
        <f>MAX(Table838[[#This Row],[Credit]]-Table838[[#This Row],[Debit]]+Table838[[#This Row],[Credit +]]-Table838[[#This Row],[Debit -]],0)</f>
        <v>0</v>
      </c>
      <c r="AD13" s="34">
        <f>IFERROR(IF(AND(OR(Table838[[#This Row],[Classification]]="Expense",Table838[[#This Row],[Classification]]="Cost of Goods Sold"),Table838[[#This Row],[Debit\]]&gt;Table838[[#This Row],[Credit.]]),Table838[[#This Row],[Debit\]]-Table838[[#This Row],[Credit.]],""),"")</f>
        <v>3296400</v>
      </c>
      <c r="AE13" s="34" t="str">
        <f>IFERROR(IF(AND(OR(Table838[[#This Row],[Classification]]="Income",Table838[[#This Row],[Classification]]="Cost of Goods Sold"),Table838[[#This Row],[Credit.]]&gt;Table838[[#This Row],[Debit\]]),Table838[[#This Row],[Credit.]]-Table838[[#This Row],[Debit\]],""),"")</f>
        <v/>
      </c>
      <c r="AF13" s="34"/>
      <c r="AG13" s="34" t="str">
        <f>IFERROR(IF(AND(Table838[[#This Row],[Classification]]="Assets",Table838[[#This Row],[Debit\]]-Table838[[#This Row],[Credit.]]),Table838[[#This Row],[Debit\]]-Table838[[#This Row],[Credit.]],""),"")</f>
        <v/>
      </c>
      <c r="AH13" s="34" t="str">
        <f>IFERROR(IF(AND(OR(Table838[[#This Row],[Classification]]="Liabilities",Table838[[#This Row],[Classification]]="Owner´s Equity"),Table838[[#This Row],[Credit.]]&gt;Table838[[#This Row],[Debit\]]),Table838[[#This Row],[Credit.]]-Table838[[#This Row],[Debit\]],""),"")</f>
        <v/>
      </c>
    </row>
    <row r="14" spans="2:40" x14ac:dyDescent="0.25">
      <c r="B14" s="34"/>
      <c r="C14" s="38" t="s">
        <v>68</v>
      </c>
      <c r="D14" s="34">
        <v>230653</v>
      </c>
      <c r="E14" s="34"/>
      <c r="G14" s="39"/>
      <c r="H14" s="43" t="s">
        <v>184</v>
      </c>
      <c r="I14" s="41"/>
      <c r="J14" s="41"/>
      <c r="L14" s="34">
        <v>7</v>
      </c>
      <c r="M14" s="35" t="s">
        <v>138</v>
      </c>
      <c r="N14" s="35" t="s">
        <v>69</v>
      </c>
      <c r="O14" s="34">
        <f>IFERROR(SUMIF(Table435[,],Table637[[#This Row],[Accounts Name]],Table435[,3]),"")</f>
        <v>460168.95</v>
      </c>
      <c r="P14" s="34">
        <f>IFERROR(SUMIF(Table435[,],Table637[[#This Row],[Accounts Name]],Table435[,2]),"")</f>
        <v>0</v>
      </c>
      <c r="S14" s="36">
        <f t="shared" si="0"/>
        <v>7</v>
      </c>
      <c r="T14" s="34" t="s">
        <v>12</v>
      </c>
      <c r="U14" s="37" t="s">
        <v>141</v>
      </c>
      <c r="V14" s="34">
        <f>IFERROR(SUMIF(Table637[Sub-Accounts],Table838[[#This Row],[Update your chart of accounts here]],Table637[Debit]),"")</f>
        <v>0</v>
      </c>
      <c r="W14" s="34">
        <f>IFERROR(SUMIF(Table637[Sub-Accounts],Table838[[#This Row],[Update your chart of accounts here]],Table637[Credit]),"")</f>
        <v>15517383.640000001</v>
      </c>
      <c r="X14" s="34"/>
      <c r="Y14" s="34" t="s">
        <v>233</v>
      </c>
      <c r="Z14" s="34">
        <f>I18</f>
        <v>50000</v>
      </c>
      <c r="AA14" s="34">
        <f>J22</f>
        <v>115200</v>
      </c>
      <c r="AB14" s="34">
        <f>MAX(Table838[[#This Row],[Debit]]+Table838[[#This Row],[Debit -]]-Table838[[#This Row],[Credit]]-Table838[[#This Row],[Credit +]],0)</f>
        <v>0</v>
      </c>
      <c r="AC14" s="34">
        <f>MAX(Table838[[#This Row],[Credit]]-Table838[[#This Row],[Debit]]+Table838[[#This Row],[Credit +]]-Table838[[#This Row],[Debit -]],0)</f>
        <v>15582583.640000001</v>
      </c>
      <c r="AD14" s="34" t="str">
        <f>IFERROR(IF(AND(OR(Table838[[#This Row],[Classification]]="Expense",Table838[[#This Row],[Classification]]="Cost of Goods Sold"),Table838[[#This Row],[Debit\]]&gt;Table838[[#This Row],[Credit.]]),Table838[[#This Row],[Debit\]]-Table838[[#This Row],[Credit.]],""),"")</f>
        <v/>
      </c>
      <c r="AE14" s="34" t="str">
        <f>IFERROR(IF(AND(OR(Table838[[#This Row],[Classification]]="Income",Table838[[#This Row],[Classification]]="Cost of Goods Sold"),Table838[[#This Row],[Credit.]]&gt;Table838[[#This Row],[Debit\]]),Table838[[#This Row],[Credit.]]-Table838[[#This Row],[Debit\]],""),"")</f>
        <v/>
      </c>
      <c r="AF14" s="34"/>
      <c r="AG14" s="34" t="str">
        <f>IFERROR(IF(AND(Table838[[#This Row],[Classification]]="Assets",Table838[[#This Row],[Debit\]]-Table838[[#This Row],[Credit.]]),Table838[[#This Row],[Debit\]]-Table838[[#This Row],[Credit.]],""),"")</f>
        <v/>
      </c>
      <c r="AH14" s="34">
        <f>IFERROR(IF(AND(OR(Table838[[#This Row],[Classification]]="Liabilities",Table838[[#This Row],[Classification]]="Owner´s Equity"),Table838[[#This Row],[Credit.]]&gt;Table838[[#This Row],[Debit\]]),Table838[[#This Row],[Credit.]]-Table838[[#This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IFERROR(SUMIF(Table435[,],Table637[[#This Row],[Accounts Name]],Table435[,3]),"")</f>
        <v>17870623.949999999</v>
      </c>
      <c r="P15" s="34">
        <f>IFERROR(SUMIF(Table435[,],Table637[[#This Row],[Accounts Name]],Table435[,2]),"")</f>
        <v>0</v>
      </c>
      <c r="S15" s="36">
        <f t="shared" si="0"/>
        <v>8</v>
      </c>
      <c r="T15" s="34"/>
      <c r="U15" s="37" t="s">
        <v>208</v>
      </c>
      <c r="V15" s="34">
        <f>IFERROR(SUMIF(Table637[Sub-Accounts],Table838[[#This Row],[Update your chart of accounts here]],Table637[Debit]),"")</f>
        <v>0</v>
      </c>
      <c r="W15" s="34">
        <f>IFERROR(SUMIF(Table637[Sub-Accounts],Table838[[#This Row],[Update your chart of accounts here]],Table637[Credit]),"")</f>
        <v>0</v>
      </c>
      <c r="X15" s="34"/>
      <c r="Y15" s="34"/>
      <c r="Z15" s="34"/>
      <c r="AA15" s="34"/>
      <c r="AB15" s="34">
        <f>MAX(Table838[[#This Row],[Debit]]+Table838[[#This Row],[Debit -]]-Table838[[#This Row],[Credit]]-Table838[[#This Row],[Credit +]],0)</f>
        <v>0</v>
      </c>
      <c r="AC15" s="34">
        <f>MAX(Table838[[#This Row],[Credit]]-Table838[[#This Row],[Debit]]+Table838[[#This Row],[Credit +]]-Table838[[#This Row],[Debit -]],0)</f>
        <v>0</v>
      </c>
      <c r="AD15" s="34" t="str">
        <f>IFERROR(IF(AND(OR(Table838[[#This Row],[Classification]]="Expense",Table838[[#This Row],[Classification]]="Cost of Goods Sold"),Table838[[#This Row],[Debit\]]&gt;Table838[[#This Row],[Credit.]]),Table838[[#This Row],[Debit\]]-Table838[[#This Row],[Credit.]],""),"")</f>
        <v/>
      </c>
      <c r="AE15" s="34" t="str">
        <f>IFERROR(IF(AND(OR(Table838[[#This Row],[Classification]]="Income",Table838[[#This Row],[Classification]]="Cost of Goods Sold"),Table838[[#This Row],[Credit.]]&gt;Table838[[#This Row],[Debit\]]),Table838[[#This Row],[Credit.]]-Table838[[#This Row],[Debit\]],""),"")</f>
        <v/>
      </c>
      <c r="AF15" s="34"/>
      <c r="AG15" s="34" t="str">
        <f>IFERROR(IF(AND(Table838[[#This Row],[Classification]]="Assets",Table838[[#This Row],[Debit\]]-Table838[[#This Row],[Credit.]]),Table838[[#This Row],[Debit\]]-Table838[[#This Row],[Credit.]],""),"")</f>
        <v/>
      </c>
      <c r="AH15" s="34" t="str">
        <f>IFERROR(IF(AND(OR(Table838[[#This Row],[Classification]]="Liabilities",Table838[[#This Row],[Classification]]="Owner´s Equity"),Table838[[#This Row],[Credit.]]&gt;Table838[[#This Row],[Debit\]]),Table838[[#This Row],[Credit.]]-Table838[[#This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IFERROR(SUMIF(Table435[,],Table637[[#This Row],[Accounts Name]],Table435[,3]),"")</f>
        <v>0</v>
      </c>
      <c r="P16" s="34">
        <f>IFERROR(SUMIF(Table435[,],Table637[[#This Row],[Accounts Name]],Table435[,2]),"")</f>
        <v>8925200</v>
      </c>
      <c r="S16" s="36">
        <f t="shared" si="0"/>
        <v>9</v>
      </c>
      <c r="T16" s="34"/>
      <c r="U16" s="37" t="s">
        <v>209</v>
      </c>
      <c r="V16" s="34">
        <f>IFERROR(SUMIF(Table637[Sub-Accounts],Table838[[#This Row],[Update your chart of accounts here]],Table637[Debit]),"")</f>
        <v>0</v>
      </c>
      <c r="W16" s="34">
        <f>IFERROR(SUMIF(Table637[Sub-Accounts],Table838[[#This Row],[Update your chart of accounts here]],Table637[Credit]),"")</f>
        <v>0</v>
      </c>
      <c r="X16" s="34"/>
      <c r="Y16" s="34"/>
      <c r="Z16" s="34"/>
      <c r="AA16" s="34"/>
      <c r="AB16" s="34">
        <f>MAX(Table838[[#This Row],[Debit]]+Table838[[#This Row],[Debit -]]-Table838[[#This Row],[Credit]]-Table838[[#This Row],[Credit +]],0)</f>
        <v>0</v>
      </c>
      <c r="AC16" s="34">
        <f>MAX(Table838[[#This Row],[Credit]]-Table838[[#This Row],[Debit]]+Table838[[#This Row],[Credit +]]-Table838[[#This Row],[Debit -]],0)</f>
        <v>0</v>
      </c>
      <c r="AD16" s="34" t="str">
        <f>IFERROR(IF(AND(OR(Table838[[#This Row],[Classification]]="Expense",Table838[[#This Row],[Classification]]="Cost of Goods Sold"),Table838[[#This Row],[Debit\]]&gt;Table838[[#This Row],[Credit.]]),Table838[[#This Row],[Debit\]]-Table838[[#This Row],[Credit.]],""),"")</f>
        <v/>
      </c>
      <c r="AE16" s="34" t="str">
        <f>IFERROR(IF(AND(OR(Table838[[#This Row],[Classification]]="Income",Table838[[#This Row],[Classification]]="Cost of Goods Sold"),Table838[[#This Row],[Credit.]]&gt;Table838[[#This Row],[Debit\]]),Table838[[#This Row],[Credit.]]-Table838[[#This Row],[Debit\]],""),"")</f>
        <v/>
      </c>
      <c r="AF16" s="34"/>
      <c r="AG16" s="34" t="str">
        <f>IFERROR(IF(AND(Table838[[#This Row],[Classification]]="Assets",Table838[[#This Row],[Debit\]]-Table838[[#This Row],[Credit.]]),Table838[[#This Row],[Debit\]]-Table838[[#This Row],[Credit.]],""),"")</f>
        <v/>
      </c>
      <c r="AH16" s="34" t="str">
        <f>IFERROR(IF(AND(OR(Table838[[#This Row],[Classification]]="Liabilities",Table838[[#This Row],[Classification]]="Owner´s Equity"),Table838[[#This Row],[Credit.]]&gt;Table838[[#This Row],[Debit\]]),Table838[[#This Row],[Credit.]]-Table838[[#This Row],[Debit\]],""),"")</f>
        <v/>
      </c>
    </row>
    <row r="17" spans="2:34" x14ac:dyDescent="0.25">
      <c r="B17" s="34"/>
      <c r="C17" s="37" t="s">
        <v>71</v>
      </c>
      <c r="D17" s="34"/>
      <c r="E17" s="34">
        <v>8925200</v>
      </c>
      <c r="G17" s="39"/>
      <c r="H17" s="43" t="s">
        <v>185</v>
      </c>
      <c r="I17" s="41"/>
      <c r="J17" s="41"/>
      <c r="L17" s="34">
        <v>10</v>
      </c>
      <c r="M17" s="35" t="s">
        <v>142</v>
      </c>
      <c r="N17" s="35" t="s">
        <v>72</v>
      </c>
      <c r="O17" s="34">
        <f>IFERROR(SUMIF(Table435[,],Table637[[#This Row],[Accounts Name]],Table435[,3]),"")</f>
        <v>3296400</v>
      </c>
      <c r="P17" s="34">
        <f>IFERROR(SUMIF(Table435[,],Table637[[#This Row],[Accounts Name]],Table435[,2]),"")</f>
        <v>0</v>
      </c>
      <c r="S17" s="36">
        <f t="shared" si="0"/>
        <v>10</v>
      </c>
      <c r="T17" s="34" t="s">
        <v>48</v>
      </c>
      <c r="U17" s="37" t="s">
        <v>146</v>
      </c>
      <c r="V17" s="34">
        <f>IFERROR(SUMIF(Table637[Sub-Accounts],Table838[[#This Row],[Update your chart of accounts here]],Table637[Debit]),"")</f>
        <v>0</v>
      </c>
      <c r="W17" s="34">
        <f>IFERROR(SUMIF(Table637[Sub-Accounts],Table838[[#This Row],[Update your chart of accounts here]],Table637[Credit]),"")</f>
        <v>400</v>
      </c>
      <c r="X17" s="34"/>
      <c r="Y17" s="34"/>
      <c r="Z17" s="34"/>
      <c r="AA17" s="34"/>
      <c r="AB17" s="34">
        <f>MAX(Table838[[#This Row],[Debit]]+Table838[[#This Row],[Debit -]]-Table838[[#This Row],[Credit]]-Table838[[#This Row],[Credit +]],0)</f>
        <v>0</v>
      </c>
      <c r="AC17" s="34">
        <f>MAX(Table838[[#This Row],[Credit]]-Table838[[#This Row],[Debit]]+Table838[[#This Row],[Credit +]]-Table838[[#This Row],[Debit -]],0)</f>
        <v>400</v>
      </c>
      <c r="AD17" s="34" t="str">
        <f>IFERROR(IF(AND(OR(Table838[[#This Row],[Classification]]="Expense",Table838[[#This Row],[Classification]]="Cost of Goods Sold"),Table838[[#This Row],[Debit\]]&gt;Table838[[#This Row],[Credit.]]),Table838[[#This Row],[Debit\]]-Table838[[#This Row],[Credit.]],""),"")</f>
        <v/>
      </c>
      <c r="AE17" s="34" t="str">
        <f>IFERROR(IF(AND(OR(Table838[[#This Row],[Classification]]="Income",Table838[[#This Row],[Classification]]="Cost of Goods Sold"),Table838[[#This Row],[Credit.]]&gt;Table838[[#This Row],[Debit\]]),Table838[[#This Row],[Credit.]]-Table838[[#This Row],[Debit\]],""),"")</f>
        <v/>
      </c>
      <c r="AF17" s="34"/>
      <c r="AG17" s="34" t="str">
        <f>IFERROR(IF(AND(Table838[[#This Row],[Classification]]="Assets",Table838[[#This Row],[Debit\]]-Table838[[#This Row],[Credit.]]),Table838[[#This Row],[Debit\]]-Table838[[#This Row],[Credit.]],""),"")</f>
        <v/>
      </c>
      <c r="AH17" s="34">
        <f>IFERROR(IF(AND(OR(Table838[[#This Row],[Classification]]="Liabilities",Table838[[#This Row],[Classification]]="Owner´s Equity"),Table838[[#This Row],[Credit.]]&gt;Table838[[#This Row],[Debit\]]),Table838[[#This Row],[Credit.]]-Table838[[#This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IFERROR(SUMIF(Table435[,],Table637[[#This Row],[Accounts Name]],Table435[,3]),"")</f>
        <v>165000</v>
      </c>
      <c r="P18" s="34">
        <f>IFERROR(SUMIF(Table435[,],Table637[[#This Row],[Accounts Name]],Table435[,2]),"")</f>
        <v>0</v>
      </c>
      <c r="S18" s="36">
        <f t="shared" si="0"/>
        <v>11</v>
      </c>
      <c r="T18" s="34"/>
      <c r="U18" s="37" t="s">
        <v>210</v>
      </c>
      <c r="V18" s="34">
        <f>IFERROR(SUMIF(Table637[Sub-Accounts],Table838[[#This Row],[Update your chart of accounts here]],Table637[Debit]),"")</f>
        <v>0</v>
      </c>
      <c r="W18" s="34">
        <f>IFERROR(SUMIF(Table637[Sub-Accounts],Table838[[#This Row],[Update your chart of accounts here]],Table637[Credit]),"")</f>
        <v>0</v>
      </c>
      <c r="X18" s="34"/>
      <c r="Y18" s="34"/>
      <c r="Z18" s="34"/>
      <c r="AA18" s="34"/>
      <c r="AB18" s="34">
        <f>MAX(Table838[[#This Row],[Debit]]+Table838[[#This Row],[Debit -]]-Table838[[#This Row],[Credit]]-Table838[[#This Row],[Credit +]],0)</f>
        <v>0</v>
      </c>
      <c r="AC18" s="34">
        <f>MAX(Table838[[#This Row],[Credit]]-Table838[[#This Row],[Debit]]+Table838[[#This Row],[Credit +]]-Table838[[#This Row],[Debit -]],0)</f>
        <v>0</v>
      </c>
      <c r="AD18" s="34" t="str">
        <f>IFERROR(IF(AND(OR(Table838[[#This Row],[Classification]]="Expense",Table838[[#This Row],[Classification]]="Cost of Goods Sold"),Table838[[#This Row],[Debit\]]&gt;Table838[[#This Row],[Credit.]]),Table838[[#This Row],[Debit\]]-Table838[[#This Row],[Credit.]],""),"")</f>
        <v/>
      </c>
      <c r="AE18" s="34" t="str">
        <f>IFERROR(IF(AND(OR(Table838[[#This Row],[Classification]]="Income",Table838[[#This Row],[Classification]]="Cost of Goods Sold"),Table838[[#This Row],[Credit.]]&gt;Table838[[#This Row],[Debit\]]),Table838[[#This Row],[Credit.]]-Table838[[#This Row],[Debit\]],""),"")</f>
        <v/>
      </c>
      <c r="AF18" s="34"/>
      <c r="AG18" s="34" t="str">
        <f>IFERROR(IF(AND(Table838[[#This Row],[Classification]]="Assets",Table838[[#This Row],[Debit\]]-Table838[[#This Row],[Credit.]]),Table838[[#This Row],[Debit\]]-Table838[[#This Row],[Credit.]],""),"")</f>
        <v/>
      </c>
      <c r="AH18" s="34" t="str">
        <f>IFERROR(IF(AND(OR(Table838[[#This Row],[Classification]]="Liabilities",Table838[[#This Row],[Classification]]="Owner´s Equity"),Table838[[#This Row],[Credit.]]&gt;Table838[[#This Row],[Debit\]]),Table838[[#This Row],[Credit.]]-Table838[[#This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IFERROR(SUMIF(Table435[,],Table637[[#This Row],[Accounts Name]],Table435[,3]),"")</f>
        <v>676160</v>
      </c>
      <c r="P19" s="34">
        <f>IFERROR(SUMIF(Table435[,],Table637[[#This Row],[Accounts Name]],Table435[,2]),"")</f>
        <v>0</v>
      </c>
      <c r="S19" s="36">
        <f t="shared" si="0"/>
        <v>12</v>
      </c>
      <c r="T19" s="34"/>
      <c r="U19" s="37" t="s">
        <v>211</v>
      </c>
      <c r="V19" s="34">
        <f>IFERROR(SUMIF(Table637[Sub-Accounts],Table838[[#This Row],[Update your chart of accounts here]],Table637[Debit]),"")</f>
        <v>0</v>
      </c>
      <c r="W19" s="34">
        <f>IFERROR(SUMIF(Table637[Sub-Accounts],Table838[[#This Row],[Update your chart of accounts here]],Table637[Credit]),"")</f>
        <v>0</v>
      </c>
      <c r="X19" s="34"/>
      <c r="Y19" s="34"/>
      <c r="Z19" s="34"/>
      <c r="AA19" s="34"/>
      <c r="AB19" s="34">
        <f>MAX(Table838[[#This Row],[Debit]]+Table838[[#This Row],[Debit -]]-Table838[[#This Row],[Credit]]-Table838[[#This Row],[Credit +]],0)</f>
        <v>0</v>
      </c>
      <c r="AC19" s="34">
        <f>MAX(Table838[[#This Row],[Credit]]-Table838[[#This Row],[Debit]]+Table838[[#This Row],[Credit +]]-Table838[[#This Row],[Debit -]],0)</f>
        <v>0</v>
      </c>
      <c r="AD19" s="34" t="str">
        <f>IFERROR(IF(AND(OR(Table838[[#This Row],[Classification]]="Expense",Table838[[#This Row],[Classification]]="Cost of Goods Sold"),Table838[[#This Row],[Debit\]]&gt;Table838[[#This Row],[Credit.]]),Table838[[#This Row],[Debit\]]-Table838[[#This Row],[Credit.]],""),"")</f>
        <v/>
      </c>
      <c r="AE19" s="34" t="str">
        <f>IFERROR(IF(AND(OR(Table838[[#This Row],[Classification]]="Income",Table838[[#This Row],[Classification]]="Cost of Goods Sold"),Table838[[#This Row],[Credit.]]&gt;Table838[[#This Row],[Debit\]]),Table838[[#This Row],[Credit.]]-Table838[[#This Row],[Debit\]],""),"")</f>
        <v/>
      </c>
      <c r="AF19" s="34"/>
      <c r="AG19" s="34" t="str">
        <f>IFERROR(IF(AND(Table838[[#This Row],[Classification]]="Assets",Table838[[#This Row],[Debit\]]-Table838[[#This Row],[Credit.]]),Table838[[#This Row],[Debit\]]-Table838[[#This Row],[Credit.]],""),"")</f>
        <v/>
      </c>
      <c r="AH19" s="34" t="str">
        <f>IFERROR(IF(AND(OR(Table838[[#This Row],[Classification]]="Liabilities",Table838[[#This Row],[Classification]]="Owner´s Equity"),Table838[[#This Row],[Credit.]]&gt;Table838[[#This Row],[Debit\]]),Table838[[#This Row],[Credit.]]-Table838[[#This Row],[Debit\]],""),"")</f>
        <v/>
      </c>
    </row>
    <row r="20" spans="2:34" hidden="1" x14ac:dyDescent="0.25">
      <c r="B20" s="34"/>
      <c r="C20" s="37" t="s">
        <v>74</v>
      </c>
      <c r="D20" s="34">
        <v>676160</v>
      </c>
      <c r="E20" s="34"/>
      <c r="G20" s="39"/>
      <c r="H20" s="43" t="s">
        <v>187</v>
      </c>
      <c r="I20" s="41"/>
      <c r="J20" s="41"/>
      <c r="L20" s="34">
        <v>13</v>
      </c>
      <c r="M20" s="35" t="s">
        <v>143</v>
      </c>
      <c r="N20" s="35" t="s">
        <v>75</v>
      </c>
      <c r="O20" s="34">
        <f>IFERROR(SUMIF(Table435[,],Table637[[#This Row],[Accounts Name]],Table435[,3]),"")</f>
        <v>0</v>
      </c>
      <c r="P20" s="34">
        <f>IFERROR(SUMIF(Table435[,],Table637[[#This Row],[Accounts Name]],Table435[,2]),"")</f>
        <v>654898</v>
      </c>
      <c r="S20" s="36">
        <f t="shared" si="0"/>
        <v>13</v>
      </c>
      <c r="T20" s="34"/>
      <c r="U20" s="37" t="s">
        <v>212</v>
      </c>
      <c r="V20" s="34">
        <f>IFERROR(SUMIF(Table637[Sub-Accounts],Table838[[#This Row],[Update your chart of accounts here]],Table637[Debit]),"")</f>
        <v>0</v>
      </c>
      <c r="W20" s="34">
        <f>IFERROR(SUMIF(Table637[Sub-Accounts],Table838[[#This Row],[Update your chart of accounts here]],Table637[Credit]),"")</f>
        <v>0</v>
      </c>
      <c r="X20" s="34"/>
      <c r="Y20" s="34"/>
      <c r="Z20" s="34"/>
      <c r="AA20" s="34"/>
      <c r="AB20" s="34">
        <f>MAX(Table838[[#This Row],[Debit]]+Table838[[#This Row],[Debit -]]-Table838[[#This Row],[Credit]]-Table838[[#This Row],[Credit +]],0)</f>
        <v>0</v>
      </c>
      <c r="AC20" s="34">
        <f>MAX(Table838[[#This Row],[Credit]]-Table838[[#This Row],[Debit]]+Table838[[#This Row],[Credit +]]-Table838[[#This Row],[Debit -]],0)</f>
        <v>0</v>
      </c>
      <c r="AD20" s="34" t="str">
        <f>IFERROR(IF(AND(OR(Table838[[#This Row],[Classification]]="Expense",Table838[[#This Row],[Classification]]="Cost of Goods Sold"),Table838[[#This Row],[Debit\]]&gt;Table838[[#This Row],[Credit.]]),Table838[[#This Row],[Debit\]]-Table838[[#This Row],[Credit.]],""),"")</f>
        <v/>
      </c>
      <c r="AE20" s="34" t="str">
        <f>IFERROR(IF(AND(OR(Table838[[#This Row],[Classification]]="Income",Table838[[#This Row],[Classification]]="Cost of Goods Sold"),Table838[[#This Row],[Credit.]]&gt;Table838[[#This Row],[Debit\]]),Table838[[#This Row],[Credit.]]-Table838[[#This Row],[Debit\]],""),"")</f>
        <v/>
      </c>
      <c r="AF20" s="34"/>
      <c r="AG20" s="34" t="str">
        <f>IFERROR(IF(AND(Table838[[#This Row],[Classification]]="Assets",Table838[[#This Row],[Debit\]]-Table838[[#This Row],[Credit.]]),Table838[[#This Row],[Debit\]]-Table838[[#This Row],[Credit.]],""),"")</f>
        <v/>
      </c>
      <c r="AH20" s="34" t="str">
        <f>IFERROR(IF(AND(OR(Table838[[#This Row],[Classification]]="Liabilities",Table838[[#This Row],[Classification]]="Owner´s Equity"),Table838[[#This Row],[Credit.]]&gt;Table838[[#This Row],[Debit\]]),Table838[[#This Row],[Credit.]]-Table838[[#This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IFERROR(SUMIF(Table435[,],Table637[[#This Row],[Accounts Name]],Table435[,3]),"")</f>
        <v>828735.28</v>
      </c>
      <c r="P21" s="34">
        <f>IFERROR(SUMIF(Table435[,],Table637[[#This Row],[Accounts Name]],Table435[,2]),"")</f>
        <v>0</v>
      </c>
      <c r="S21" s="36">
        <f t="shared" si="0"/>
        <v>14</v>
      </c>
      <c r="T21" s="34"/>
      <c r="U21" s="37" t="s">
        <v>213</v>
      </c>
      <c r="V21" s="34">
        <f>IFERROR(SUMIF(Table637[Sub-Accounts],Table838[[#This Row],[Update your chart of accounts here]],Table637[Debit]),"")</f>
        <v>0</v>
      </c>
      <c r="W21" s="34">
        <f>IFERROR(SUMIF(Table637[Sub-Accounts],Table838[[#This Row],[Update your chart of accounts here]],Table637[Credit]),"")</f>
        <v>0</v>
      </c>
      <c r="X21" s="34"/>
      <c r="Y21" s="34"/>
      <c r="Z21" s="34"/>
      <c r="AA21" s="34"/>
      <c r="AB21" s="34">
        <f>MAX(Table838[[#This Row],[Debit]]+Table838[[#This Row],[Debit -]]-Table838[[#This Row],[Credit]]-Table838[[#This Row],[Credit +]],0)</f>
        <v>0</v>
      </c>
      <c r="AC21" s="34">
        <f>MAX(Table838[[#This Row],[Credit]]-Table838[[#This Row],[Debit]]+Table838[[#This Row],[Credit +]]-Table838[[#This Row],[Debit -]],0)</f>
        <v>0</v>
      </c>
      <c r="AD21" s="34" t="str">
        <f>IFERROR(IF(AND(OR(Table838[[#This Row],[Classification]]="Expense",Table838[[#This Row],[Classification]]="Cost of Goods Sold"),Table838[[#This Row],[Debit\]]&gt;Table838[[#This Row],[Credit.]]),Table838[[#This Row],[Debit\]]-Table838[[#This Row],[Credit.]],""),"")</f>
        <v/>
      </c>
      <c r="AE21" s="34" t="str">
        <f>IFERROR(IF(AND(OR(Table838[[#This Row],[Classification]]="Income",Table838[[#This Row],[Classification]]="Cost of Goods Sold"),Table838[[#This Row],[Credit.]]&gt;Table838[[#This Row],[Debit\]]),Table838[[#This Row],[Credit.]]-Table838[[#This Row],[Debit\]],""),"")</f>
        <v/>
      </c>
      <c r="AF21" s="34"/>
      <c r="AG21" s="34" t="str">
        <f>IFERROR(IF(AND(Table838[[#This Row],[Classification]]="Assets",Table838[[#This Row],[Debit\]]-Table838[[#This Row],[Credit.]]),Table838[[#This Row],[Debit\]]-Table838[[#This Row],[Credit.]],""),"")</f>
        <v/>
      </c>
      <c r="AH21" s="34" t="str">
        <f>IFERROR(IF(AND(OR(Table838[[#This Row],[Classification]]="Liabilities",Table838[[#This Row],[Classification]]="Owner´s Equity"),Table838[[#This Row],[Credit.]]&gt;Table838[[#This Row],[Debit\]]),Table838[[#This Row],[Credit.]]-Table838[[#This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IFERROR(SUMIF(Table435[,],Table637[[#This Row],[Accounts Name]],Table435[,3]),"")</f>
        <v>0</v>
      </c>
      <c r="P22" s="34">
        <f>IFERROR(SUMIF(Table435[,],Table637[[#This Row],[Accounts Name]],Table435[,2]),"")</f>
        <v>347656</v>
      </c>
      <c r="S22" s="36">
        <f t="shared" si="0"/>
        <v>15</v>
      </c>
      <c r="T22" s="34" t="s">
        <v>11</v>
      </c>
      <c r="U22" s="37" t="s">
        <v>144</v>
      </c>
      <c r="V22" s="34">
        <f>IFERROR(SUMIF(Table637[Sub-Accounts],Table838[[#This Row],[Update your chart of accounts here]],Table637[Debit]),"")</f>
        <v>2228108</v>
      </c>
      <c r="W22" s="34">
        <f>IFERROR(SUMIF(Table637[Sub-Accounts],Table838[[#This Row],[Update your chart of accounts here]],Table637[Credit]),"")</f>
        <v>0</v>
      </c>
      <c r="X22" s="34"/>
      <c r="Y22" s="34" t="s">
        <v>227</v>
      </c>
      <c r="Z22" s="34"/>
      <c r="AA22" s="34">
        <f>J19</f>
        <v>50000</v>
      </c>
      <c r="AB22" s="34">
        <f>MAX(Table838[[#This Row],[Debit]]+Table838[[#This Row],[Debit -]]-Table838[[#This Row],[Credit]]-Table838[[#This Row],[Credit +]],0)</f>
        <v>2178108</v>
      </c>
      <c r="AC22" s="34">
        <f>MAX(Table838[[#This Row],[Credit]]-Table838[[#This Row],[Debit]]+Table838[[#This Row],[Credit +]]-Table838[[#This Row],[Debit -]],0)</f>
        <v>0</v>
      </c>
      <c r="AD22" s="34" t="str">
        <f>IFERROR(IF(AND(OR(Table838[[#This Row],[Classification]]="Expense",Table838[[#This Row],[Classification]]="Cost of Goods Sold"),Table838[[#This Row],[Debit\]]&gt;Table838[[#This Row],[Credit.]]),Table838[[#This Row],[Debit\]]-Table838[[#This Row],[Credit.]],""),"")</f>
        <v/>
      </c>
      <c r="AE22" s="34" t="str">
        <f>IFERROR(IF(AND(OR(Table838[[#This Row],[Classification]]="Income",Table838[[#This Row],[Classification]]="Cost of Goods Sold"),Table838[[#This Row],[Credit.]]&gt;Table838[[#This Row],[Debit\]]),Table838[[#This Row],[Credit.]]-Table838[[#This Row],[Debit\]],""),"")</f>
        <v/>
      </c>
      <c r="AF22" s="34"/>
      <c r="AG22" s="34">
        <f>IFERROR(IF(AND(Table838[[#This Row],[Classification]]="Assets",Table838[[#This Row],[Debit\]]-Table838[[#This Row],[Credit.]]),Table838[[#This Row],[Debit\]]-Table838[[#This Row],[Credit.]],""),"")</f>
        <v>2178108</v>
      </c>
      <c r="AH22" s="34" t="str">
        <f>IFERROR(IF(AND(OR(Table838[[#This Row],[Classification]]="Liabilities",Table838[[#This Row],[Classification]]="Owner´s Equity"),Table838[[#This Row],[Credit.]]&gt;Table838[[#This Row],[Debit\]]),Table838[[#This Row],[Credit.]]-Table838[[#This Row],[Debit\]],""),"")</f>
        <v/>
      </c>
    </row>
    <row r="23" spans="2:34" hidden="1" x14ac:dyDescent="0.25">
      <c r="B23" s="34"/>
      <c r="C23" s="37" t="s">
        <v>77</v>
      </c>
      <c r="D23" s="34"/>
      <c r="E23" s="34">
        <v>347656</v>
      </c>
      <c r="G23" s="39"/>
      <c r="H23" s="43" t="s">
        <v>188</v>
      </c>
      <c r="I23" s="41"/>
      <c r="J23" s="41"/>
      <c r="L23" s="34">
        <v>16</v>
      </c>
      <c r="M23" s="35" t="s">
        <v>143</v>
      </c>
      <c r="N23" s="35" t="s">
        <v>78</v>
      </c>
      <c r="O23" s="34">
        <f>IFERROR(SUMIF(Table435[,],Table637[[#This Row],[Accounts Name]],Table435[,3]),"")</f>
        <v>1150000</v>
      </c>
      <c r="P23" s="34">
        <f>IFERROR(SUMIF(Table435[,],Table637[[#This Row],[Accounts Name]],Table435[,2]),"")</f>
        <v>0</v>
      </c>
      <c r="S23" s="36">
        <f t="shared" si="0"/>
        <v>16</v>
      </c>
      <c r="T23" s="34"/>
      <c r="U23" s="37" t="s">
        <v>214</v>
      </c>
      <c r="V23" s="34">
        <f>IFERROR(SUMIF(Table637[Sub-Accounts],Table838[[#This Row],[Update your chart of accounts here]],Table637[Debit]),"")</f>
        <v>0</v>
      </c>
      <c r="W23" s="34">
        <f>IFERROR(SUMIF(Table637[Sub-Accounts],Table838[[#This Row],[Update your chart of accounts here]],Table637[Credit]),"")</f>
        <v>0</v>
      </c>
      <c r="X23" s="34"/>
      <c r="Y23" s="34"/>
      <c r="Z23" s="34"/>
      <c r="AA23" s="34"/>
      <c r="AB23" s="34">
        <f>MAX(Table838[[#This Row],[Debit]]+Table838[[#This Row],[Debit -]]-Table838[[#This Row],[Credit]]-Table838[[#This Row],[Credit +]],0)</f>
        <v>0</v>
      </c>
      <c r="AC23" s="34">
        <f>MAX(Table838[[#This Row],[Credit]]-Table838[[#This Row],[Debit]]+Table838[[#This Row],[Credit +]]-Table838[[#This Row],[Debit -]],0)</f>
        <v>0</v>
      </c>
      <c r="AD23" s="34" t="str">
        <f>IFERROR(IF(AND(OR(Table838[[#This Row],[Classification]]="Expense",Table838[[#This Row],[Classification]]="Cost of Goods Sold"),Table838[[#This Row],[Debit\]]&gt;Table838[[#This Row],[Credit.]]),Table838[[#This Row],[Debit\]]-Table838[[#This Row],[Credit.]],""),"")</f>
        <v/>
      </c>
      <c r="AE23" s="34" t="str">
        <f>IFERROR(IF(AND(OR(Table838[[#This Row],[Classification]]="Income",Table838[[#This Row],[Classification]]="Cost of Goods Sold"),Table838[[#This Row],[Credit.]]&gt;Table838[[#This Row],[Debit\]]),Table838[[#This Row],[Credit.]]-Table838[[#This Row],[Debit\]],""),"")</f>
        <v/>
      </c>
      <c r="AF23" s="34"/>
      <c r="AG23" s="34" t="str">
        <f>IFERROR(IF(AND(Table838[[#This Row],[Classification]]="Assets",Table838[[#This Row],[Debit\]]-Table838[[#This Row],[Credit.]]),Table838[[#This Row],[Debit\]]-Table838[[#This Row],[Credit.]],""),"")</f>
        <v/>
      </c>
      <c r="AH23" s="34" t="str">
        <f>IFERROR(IF(AND(OR(Table838[[#This Row],[Classification]]="Liabilities",Table838[[#This Row],[Classification]]="Owner´s Equity"),Table838[[#This Row],[Credit.]]&gt;Table838[[#This Row],[Debit\]]),Table838[[#This Row],[Credit.]]-Table838[[#This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IFERROR(SUMIF(Table435[,],Table637[[#This Row],[Accounts Name]],Table435[,3]),"")</f>
        <v>375657</v>
      </c>
      <c r="P24" s="34">
        <f>IFERROR(SUMIF(Table435[,],Table637[[#This Row],[Accounts Name]],Table435[,2]),"")</f>
        <v>0</v>
      </c>
      <c r="S24" s="36">
        <f t="shared" si="0"/>
        <v>17</v>
      </c>
      <c r="T24" s="34" t="s">
        <v>48</v>
      </c>
      <c r="U24" s="37" t="s">
        <v>145</v>
      </c>
      <c r="V24" s="34">
        <f>IFERROR(SUMIF(Table637[Sub-Accounts],Table838[[#This Row],[Update your chart of accounts here]],Table637[Debit]),"")</f>
        <v>0</v>
      </c>
      <c r="W24" s="34">
        <f>IFERROR(SUMIF(Table637[Sub-Accounts],Table838[[#This Row],[Update your chart of accounts here]],Table637[Credit]),"")</f>
        <v>11852079.26</v>
      </c>
      <c r="X24" s="34"/>
      <c r="Y24" s="34" t="s">
        <v>226</v>
      </c>
      <c r="Z24" s="34">
        <f>I16</f>
        <v>1000000</v>
      </c>
      <c r="AA24" s="34"/>
      <c r="AB24" s="34">
        <f>MAX(Table838[[#This Row],[Debit]]+Table838[[#This Row],[Debit -]]-Table838[[#This Row],[Credit]]-Table838[[#This Row],[Credit +]],0)</f>
        <v>0</v>
      </c>
      <c r="AC24" s="34">
        <f>MAX(Table838[[#This Row],[Credit]]-Table838[[#This Row],[Debit]]+Table838[[#This Row],[Credit +]]-Table838[[#This Row],[Debit -]],0)</f>
        <v>10852079.26</v>
      </c>
      <c r="AD24" s="34" t="str">
        <f>IFERROR(IF(AND(OR(Table838[[#This Row],[Classification]]="Expense",Table838[[#This Row],[Classification]]="Cost of Goods Sold"),Table838[[#This Row],[Debit\]]&gt;Table838[[#This Row],[Credit.]]),Table838[[#This Row],[Debit\]]-Table838[[#This Row],[Credit.]],""),"")</f>
        <v/>
      </c>
      <c r="AE24" s="34" t="str">
        <f>IFERROR(IF(AND(OR(Table838[[#This Row],[Classification]]="Income",Table838[[#This Row],[Classification]]="Cost of Goods Sold"),Table838[[#This Row],[Credit.]]&gt;Table838[[#This Row],[Debit\]]),Table838[[#This Row],[Credit.]]-Table838[[#This Row],[Debit\]],""),"")</f>
        <v/>
      </c>
      <c r="AF24" s="34"/>
      <c r="AG24" s="34" t="str">
        <f>IFERROR(IF(AND(Table838[[#This Row],[Classification]]="Assets",Table838[[#This Row],[Debit\]]-Table838[[#This Row],[Credit.]]),Table838[[#This Row],[Debit\]]-Table838[[#This Row],[Credit.]],""),"")</f>
        <v/>
      </c>
      <c r="AH24" s="34">
        <f>IFERROR(IF(AND(OR(Table838[[#This Row],[Classification]]="Liabilities",Table838[[#This Row],[Classification]]="Owner´s Equity"),Table838[[#This Row],[Credit.]]&gt;Table838[[#This Row],[Debit\]]),Table838[[#This Row],[Credit.]]-Table838[[#This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IFERROR(SUMIF(Table435[,],Table637[[#This Row],[Accounts Name]],Table435[,3]),"")</f>
        <v>0</v>
      </c>
      <c r="P25" s="34">
        <f>IFERROR(SUMIF(Table435[,],Table637[[#This Row],[Accounts Name]],Table435[,2]),"")</f>
        <v>288789</v>
      </c>
      <c r="S25" s="36">
        <f t="shared" si="0"/>
        <v>18</v>
      </c>
      <c r="T25" s="34"/>
      <c r="U25" s="37" t="s">
        <v>215</v>
      </c>
      <c r="V25" s="34">
        <f>IFERROR(SUMIF(Table637[Sub-Accounts],Table838[[#This Row],[Update your chart of accounts here]],Table637[Debit]),"")</f>
        <v>0</v>
      </c>
      <c r="W25" s="34">
        <f>IFERROR(SUMIF(Table637[Sub-Accounts],Table838[[#This Row],[Update your chart of accounts here]],Table637[Credit]),"")</f>
        <v>0</v>
      </c>
      <c r="X25" s="34"/>
      <c r="Y25" s="34"/>
      <c r="Z25" s="34"/>
      <c r="AA25" s="34"/>
      <c r="AB25" s="34">
        <f>MAX(Table838[[#This Row],[Debit]]+Table838[[#This Row],[Debit -]]-Table838[[#This Row],[Credit]]-Table838[[#This Row],[Credit +]],0)</f>
        <v>0</v>
      </c>
      <c r="AC25" s="34">
        <f>MAX(Table838[[#This Row],[Credit]]-Table838[[#This Row],[Debit]]+Table838[[#This Row],[Credit +]]-Table838[[#This Row],[Debit -]],0)</f>
        <v>0</v>
      </c>
      <c r="AD25" s="34" t="str">
        <f>IFERROR(IF(AND(OR(Table838[[#This Row],[Classification]]="Expense",Table838[[#This Row],[Classification]]="Cost of Goods Sold"),Table838[[#This Row],[Debit\]]&gt;Table838[[#This Row],[Credit.]]),Table838[[#This Row],[Debit\]]-Table838[[#This Row],[Credit.]],""),"")</f>
        <v/>
      </c>
      <c r="AE25" s="34" t="str">
        <f>IFERROR(IF(AND(OR(Table838[[#This Row],[Classification]]="Income",Table838[[#This Row],[Classification]]="Cost of Goods Sold"),Table838[[#This Row],[Credit.]]&gt;Table838[[#This Row],[Debit\]]),Table838[[#This Row],[Credit.]]-Table838[[#This Row],[Debit\]],""),"")</f>
        <v/>
      </c>
      <c r="AF25" s="34"/>
      <c r="AG25" s="34" t="str">
        <f>IFERROR(IF(AND(Table838[[#This Row],[Classification]]="Assets",Table838[[#This Row],[Debit\]]-Table838[[#This Row],[Credit.]]),Table838[[#This Row],[Debit\]]-Table838[[#This Row],[Credit.]],""),"")</f>
        <v/>
      </c>
      <c r="AH25" s="34" t="str">
        <f>IFERROR(IF(AND(OR(Table838[[#This Row],[Classification]]="Liabilities",Table838[[#This Row],[Classification]]="Owner´s Equity"),Table838[[#This Row],[Credit.]]&gt;Table838[[#This Row],[Debit\]]),Table838[[#This Row],[Credit.]]-Table838[[#This Row],[Debit\]],""),"")</f>
        <v/>
      </c>
    </row>
    <row r="26" spans="2:34" hidden="1" x14ac:dyDescent="0.25">
      <c r="B26" s="34"/>
      <c r="C26" s="37" t="s">
        <v>80</v>
      </c>
      <c r="D26" s="34"/>
      <c r="E26" s="34">
        <v>288789</v>
      </c>
      <c r="G26" s="39"/>
      <c r="H26" s="43" t="s">
        <v>189</v>
      </c>
      <c r="I26" s="41"/>
      <c r="J26" s="41"/>
      <c r="L26" s="34">
        <v>19</v>
      </c>
      <c r="M26" s="35" t="s">
        <v>143</v>
      </c>
      <c r="N26" s="35" t="s">
        <v>81</v>
      </c>
      <c r="O26" s="34">
        <f>IFERROR(SUMIF(Table435[,],Table637[[#This Row],[Accounts Name]],Table435[,3]),"")</f>
        <v>975000</v>
      </c>
      <c r="P26" s="34">
        <f>IFERROR(SUMIF(Table435[,],Table637[[#This Row],[Accounts Name]],Table435[,2]),"")</f>
        <v>0</v>
      </c>
      <c r="S26" s="36">
        <f t="shared" si="0"/>
        <v>19</v>
      </c>
      <c r="T26" s="34" t="s">
        <v>62</v>
      </c>
      <c r="U26" s="37" t="s">
        <v>62</v>
      </c>
      <c r="V26" s="34">
        <f>IFERROR(SUMIF(Table637[Sub-Accounts],Table838[[#This Row],[Update your chart of accounts here]],Table637[Debit]),"")</f>
        <v>0</v>
      </c>
      <c r="W26" s="34">
        <f>IFERROR(SUMIF(Table637[Sub-Accounts],Table838[[#This Row],[Update your chart of accounts here]],Table637[Credit]),"")</f>
        <v>332888373.44999999</v>
      </c>
      <c r="X26" s="34"/>
      <c r="Y26" s="34" t="s">
        <v>228</v>
      </c>
      <c r="Z26" s="34">
        <f>I24</f>
        <v>21</v>
      </c>
      <c r="AA26" s="34"/>
      <c r="AB26" s="34">
        <f>MAX(Table838[[#This Row],[Debit]]+Table838[[#This Row],[Debit -]]-Table838[[#This Row],[Credit]]-Table838[[#This Row],[Credit +]],0)</f>
        <v>0</v>
      </c>
      <c r="AC26" s="34">
        <f>MAX(Table838[[#This Row],[Credit]]-Table838[[#This Row],[Debit]]+Table838[[#This Row],[Credit +]]-Table838[[#This Row],[Debit -]],0)</f>
        <v>332888352.44999999</v>
      </c>
      <c r="AD26" s="34" t="str">
        <f>IFERROR(IF(AND(OR(Table838[[#This Row],[Classification]]="Expense",Table838[[#This Row],[Classification]]="Cost of Goods Sold"),Table838[[#This Row],[Debit\]]&gt;Table838[[#This Row],[Credit.]]),Table838[[#This Row],[Debit\]]-Table838[[#This Row],[Credit.]],""),"")</f>
        <v/>
      </c>
      <c r="AE26" s="34">
        <f>IFERROR(IF(AND(OR(Table838[[#This Row],[Classification]]="Income",Table838[[#This Row],[Classification]]="Cost of Goods Sold"),Table838[[#This Row],[Credit.]]&gt;Table838[[#This Row],[Debit\]]),Table838[[#This Row],[Credit.]]-Table838[[#This Row],[Debit\]],""),"")</f>
        <v>332888352.44999999</v>
      </c>
      <c r="AF26" s="34"/>
      <c r="AG26" s="34" t="str">
        <f>IFERROR(IF(AND(Table838[[#This Row],[Classification]]="Assets",Table838[[#This Row],[Debit\]]-Table838[[#This Row],[Credit.]]),Table838[[#This Row],[Debit\]]-Table838[[#This Row],[Credit.]],""),"")</f>
        <v/>
      </c>
      <c r="AH26" s="34" t="str">
        <f>IFERROR(IF(AND(OR(Table838[[#This Row],[Classification]]="Liabilities",Table838[[#This Row],[Classification]]="Owner´s Equity"),Table838[[#This Row],[Credit.]]&gt;Table838[[#This Row],[Debit\]]),Table838[[#This Row],[Credit.]]-Table838[[#This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IFERROR(SUMIF(Table435[,],Table637[[#This Row],[Accounts Name]],Table435[,3]),"")</f>
        <v>0</v>
      </c>
      <c r="P27" s="34">
        <f>IFERROR(SUMIF(Table435[,],Table637[[#This Row],[Accounts Name]],Table435[,2]),"")</f>
        <v>426561</v>
      </c>
      <c r="S27" s="36">
        <f t="shared" si="0"/>
        <v>20</v>
      </c>
      <c r="T27" s="34" t="s">
        <v>62</v>
      </c>
      <c r="U27" s="37" t="s">
        <v>216</v>
      </c>
      <c r="V27" s="34">
        <f>IFERROR(SUMIF(Table637[Sub-Accounts],Table838[[#This Row],[Update your chart of accounts here]],Table637[Debit]),"")</f>
        <v>0</v>
      </c>
      <c r="W27" s="34">
        <f>IFERROR(SUMIF(Table637[Sub-Accounts],Table838[[#This Row],[Update your chart of accounts here]],Table637[Credit]),"")</f>
        <v>0</v>
      </c>
      <c r="X27" s="34"/>
      <c r="Y27" s="34" t="s">
        <v>225</v>
      </c>
      <c r="Z27" s="34"/>
      <c r="AA27" s="34">
        <f>J13</f>
        <v>251563</v>
      </c>
      <c r="AB27" s="34">
        <f>MAX(Table838[[#This Row],[Debit]]+Table838[[#This Row],[Debit -]]-Table838[[#This Row],[Credit]]-Table838[[#This Row],[Credit +]],0)</f>
        <v>0</v>
      </c>
      <c r="AC27" s="34">
        <f>MAX(Table838[[#This Row],[Credit]]-Table838[[#This Row],[Debit]]+Table838[[#This Row],[Credit +]]-Table838[[#This Row],[Debit -]],0)</f>
        <v>251563</v>
      </c>
      <c r="AD27" s="34" t="str">
        <f>IFERROR(IF(AND(OR(Table838[[#This Row],[Classification]]="Expense",Table838[[#This Row],[Classification]]="Cost of Goods Sold"),Table838[[#This Row],[Debit\]]&gt;Table838[[#This Row],[Credit.]]),Table838[[#This Row],[Debit\]]-Table838[[#This Row],[Credit.]],""),"")</f>
        <v/>
      </c>
      <c r="AE27" s="34">
        <f>IFERROR(IF(AND(OR(Table838[[#This Row],[Classification]]="Income",Table838[[#This Row],[Classification]]="Cost of Goods Sold"),Table838[[#This Row],[Credit.]]&gt;Table838[[#This Row],[Debit\]]),Table838[[#This Row],[Credit.]]-Table838[[#This Row],[Debit\]],""),"")</f>
        <v>251563</v>
      </c>
      <c r="AF27" s="34"/>
      <c r="AG27" s="34" t="str">
        <f>IFERROR(IF(AND(Table838[[#This Row],[Classification]]="Assets",Table838[[#This Row],[Debit\]]-Table838[[#This Row],[Credit.]]),Table838[[#This Row],[Debit\]]-Table838[[#This Row],[Credit.]],""),"")</f>
        <v/>
      </c>
      <c r="AH27" s="34" t="str">
        <f>IFERROR(IF(AND(OR(Table838[[#This Row],[Classification]]="Liabilities",Table838[[#This Row],[Classification]]="Owner´s Equity"),Table838[[#This Row],[Credit.]]&gt;Table838[[#This Row],[Debit\]]),Table838[[#This Row],[Credit.]]-Table838[[#This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IFERROR(SUMIF(Table435[,],Table637[[#This Row],[Accounts Name]],Table435[,3]),"")</f>
        <v>350000</v>
      </c>
      <c r="P28" s="34">
        <f>IFERROR(SUMIF(Table435[,],Table637[[#This Row],[Accounts Name]],Table435[,2]),"")</f>
        <v>0</v>
      </c>
      <c r="S28" s="36">
        <f t="shared" si="0"/>
        <v>21</v>
      </c>
      <c r="T28" s="34" t="s">
        <v>6</v>
      </c>
      <c r="U28" s="37" t="s">
        <v>147</v>
      </c>
      <c r="V28" s="34">
        <f>IFERROR(SUMIF(Table637[Sub-Accounts],Table838[[#This Row],[Update your chart of accounts here]],Table637[Debit]),"")</f>
        <v>316209838.63</v>
      </c>
      <c r="W28" s="34">
        <f>IFERROR(SUMIF(Table637[Sub-Accounts],Table838[[#This Row],[Update your chart of accounts here]],Table637[Credit]),"")</f>
        <v>0</v>
      </c>
      <c r="X28" s="34"/>
      <c r="Y28" s="34" t="s">
        <v>231</v>
      </c>
      <c r="Z28" s="34">
        <f>I30</f>
        <v>1379881</v>
      </c>
      <c r="AA28" s="34"/>
      <c r="AB28" s="34">
        <f>MAX(Table838[[#This Row],[Debit]]+Table838[[#This Row],[Debit -]]-Table838[[#This Row],[Credit]]-Table838[[#This Row],[Credit +]],0)</f>
        <v>317589719.63</v>
      </c>
      <c r="AC28" s="34">
        <f>MAX(Table838[[#This Row],[Credit]]-Table838[[#This Row],[Debit]]+Table838[[#This Row],[Credit +]]-Table838[[#This Row],[Debit -]],0)</f>
        <v>0</v>
      </c>
      <c r="AD28" s="34">
        <f>IFERROR(IF(AND(OR(Table838[[#This Row],[Classification]]="Expense",Table838[[#This Row],[Classification]]="Cost of Goods Sold"),Table838[[#This Row],[Debit\]]&gt;Table838[[#This Row],[Credit.]]),Table838[[#This Row],[Debit\]]-Table838[[#This Row],[Credit.]],""),"")</f>
        <v>317589719.63</v>
      </c>
      <c r="AE28" s="34" t="str">
        <f>IFERROR(IF(AND(OR(Table838[[#This Row],[Classification]]="Income",Table838[[#This Row],[Classification]]="Cost of Goods Sold"),Table838[[#This Row],[Credit.]]&gt;Table838[[#This Row],[Debit\]]),Table838[[#This Row],[Credit.]]-Table838[[#This Row],[Debit\]],""),"")</f>
        <v/>
      </c>
      <c r="AF28" s="34"/>
      <c r="AG28" s="34" t="str">
        <f>IFERROR(IF(AND(Table838[[#This Row],[Classification]]="Assets",Table838[[#This Row],[Debit\]]-Table838[[#This Row],[Credit.]]),Table838[[#This Row],[Debit\]]-Table838[[#This Row],[Credit.]],""),"")</f>
        <v/>
      </c>
      <c r="AH28" s="34" t="str">
        <f>IFERROR(IF(AND(OR(Table838[[#This Row],[Classification]]="Liabilities",Table838[[#This Row],[Classification]]="Owner´s Equity"),Table838[[#This Row],[Credit.]]&gt;Table838[[#This Row],[Debit\]]),Table838[[#This Row],[Credit.]]-Table838[[#This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IFERROR(SUMIF(Table435[,],Table637[[#This Row],[Accounts Name]],Table435[,3]),"")</f>
        <v>0</v>
      </c>
      <c r="P29" s="34">
        <f>IFERROR(SUMIF(Table435[,],Table637[[#This Row],[Accounts Name]],Table435[,2]),"")</f>
        <v>4840392.6399999997</v>
      </c>
      <c r="S29" s="36">
        <f t="shared" si="0"/>
        <v>22</v>
      </c>
      <c r="T29" s="34" t="s">
        <v>61</v>
      </c>
      <c r="U29" s="37" t="s">
        <v>151</v>
      </c>
      <c r="V29" s="34">
        <f>IFERROR(SUMIF(Table637[Sub-Accounts],Table838[[#This Row],[Update your chart of accounts here]],Table637[Debit]),"")</f>
        <v>3516485</v>
      </c>
      <c r="W29" s="34">
        <f>IFERROR(SUMIF(Table637[Sub-Accounts],Table838[[#This Row],[Update your chart of accounts here]],Table637[Credit]),"")</f>
        <v>0</v>
      </c>
      <c r="X29" s="34"/>
      <c r="Y29" s="34"/>
      <c r="Z29" s="34"/>
      <c r="AA29" s="34"/>
      <c r="AB29" s="34">
        <f>MAX(Table838[[#This Row],[Debit]]+Table838[[#This Row],[Debit -]]-Table838[[#This Row],[Credit]]-Table838[[#This Row],[Credit +]],0)</f>
        <v>3516485</v>
      </c>
      <c r="AC29" s="34">
        <f>MAX(Table838[[#This Row],[Credit]]-Table838[[#This Row],[Debit]]+Table838[[#This Row],[Credit +]]-Table838[[#This Row],[Debit -]],0)</f>
        <v>0</v>
      </c>
      <c r="AD29" s="34">
        <f>IFERROR(IF(AND(OR(Table838[[#This Row],[Classification]]="Expense",Table838[[#This Row],[Classification]]="Cost of Goods Sold"),Table838[[#This Row],[Debit\]]&gt;Table838[[#This Row],[Credit.]]),Table838[[#This Row],[Debit\]]-Table838[[#This Row],[Credit.]],""),"")</f>
        <v>3516485</v>
      </c>
      <c r="AE29" s="34" t="str">
        <f>IFERROR(IF(AND(OR(Table838[[#This Row],[Classification]]="Income",Table838[[#This Row],[Classification]]="Cost of Goods Sold"),Table838[[#This Row],[Credit.]]&gt;Table838[[#This Row],[Debit\]]),Table838[[#This Row],[Credit.]]-Table838[[#This Row],[Debit\]],""),"")</f>
        <v/>
      </c>
      <c r="AF29" s="34"/>
      <c r="AG29" s="34" t="str">
        <f>IFERROR(IF(AND(Table838[[#This Row],[Classification]]="Assets",Table838[[#This Row],[Debit\]]-Table838[[#This Row],[Credit.]]),Table838[[#This Row],[Debit\]]-Table838[[#This Row],[Credit.]],""),"")</f>
        <v/>
      </c>
      <c r="AH29" s="34" t="str">
        <f>IFERROR(IF(AND(OR(Table838[[#This Row],[Classification]]="Liabilities",Table838[[#This Row],[Classification]]="Owner´s Equity"),Table838[[#This Row],[Credit.]]&gt;Table838[[#This Row],[Debit\]]),Table838[[#This Row],[Credit.]]-Table838[[#This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IFERROR(SUMIF(Table435[,],Table637[[#This Row],[Accounts Name]],Table435[,3]),"")</f>
        <v>0</v>
      </c>
      <c r="P30" s="34">
        <f>IFERROR(SUMIF(Table435[,],Table637[[#This Row],[Accounts Name]],Table435[,2]),"")</f>
        <v>175000</v>
      </c>
      <c r="S30" s="36">
        <f t="shared" si="0"/>
        <v>23</v>
      </c>
      <c r="T30" s="34" t="s">
        <v>61</v>
      </c>
      <c r="U30" s="37" t="s">
        <v>167</v>
      </c>
      <c r="V30" s="34">
        <f>IFERROR(SUMIF(Table637[Sub-Accounts],Table838[[#This Row],[Update your chart of accounts here]],Table637[Debit]),"")</f>
        <v>395822.76</v>
      </c>
      <c r="W30" s="34">
        <f>IFERROR(SUMIF(Table637[Sub-Accounts],Table838[[#This Row],[Update your chart of accounts here]],Table637[Credit]),"")</f>
        <v>0</v>
      </c>
      <c r="X30" s="34"/>
      <c r="Y30" s="34" t="s">
        <v>231</v>
      </c>
      <c r="Z30" s="34">
        <f>I29</f>
        <v>325745</v>
      </c>
      <c r="AA30" s="34"/>
      <c r="AB30" s="34">
        <f>MAX(Table838[[#This Row],[Debit]]+Table838[[#This Row],[Debit -]]-Table838[[#This Row],[Credit]]-Table838[[#This Row],[Credit +]],0)</f>
        <v>721567.76</v>
      </c>
      <c r="AC30" s="34">
        <f>MAX(Table838[[#This Row],[Credit]]-Table838[[#This Row],[Debit]]+Table838[[#This Row],[Credit +]]-Table838[[#This Row],[Debit -]],0)</f>
        <v>0</v>
      </c>
      <c r="AD30" s="34">
        <f>IFERROR(IF(AND(OR(Table838[[#This Row],[Classification]]="Expense",Table838[[#This Row],[Classification]]="Cost of Goods Sold"),Table838[[#This Row],[Debit\]]&gt;Table838[[#This Row],[Credit.]]),Table838[[#This Row],[Debit\]]-Table838[[#This Row],[Credit.]],""),"")</f>
        <v>721567.76</v>
      </c>
      <c r="AE30" s="34" t="str">
        <f>IFERROR(IF(AND(OR(Table838[[#This Row],[Classification]]="Income",Table838[[#This Row],[Classification]]="Cost of Goods Sold"),Table838[[#This Row],[Credit.]]&gt;Table838[[#This Row],[Debit\]]),Table838[[#This Row],[Credit.]]-Table838[[#This Row],[Debit\]],""),"")</f>
        <v/>
      </c>
      <c r="AF30" s="34"/>
      <c r="AG30" s="34" t="str">
        <f>IFERROR(IF(AND(Table838[[#This Row],[Classification]]="Assets",Table838[[#This Row],[Debit\]]-Table838[[#This Row],[Credit.]]),Table838[[#This Row],[Debit\]]-Table838[[#This Row],[Credit.]],""),"")</f>
        <v/>
      </c>
      <c r="AH30" s="34" t="str">
        <f>IFERROR(IF(AND(OR(Table838[[#This Row],[Classification]]="Liabilities",Table838[[#This Row],[Classification]]="Owner´s Equity"),Table838[[#This Row],[Credit.]]&gt;Table838[[#This Row],[Debit\]]),Table838[[#This Row],[Credit.]]-Table838[[#This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IFERROR(SUMIF(Table435[,],Table637[[#This Row],[Accounts Name]],Table435[,3]),"")</f>
        <v>0</v>
      </c>
      <c r="P31" s="34">
        <f>IFERROR(SUMIF(Table435[,],Table637[[#This Row],[Accounts Name]],Table435[,2]),"")</f>
        <v>100000</v>
      </c>
      <c r="S31" s="36">
        <f t="shared" si="0"/>
        <v>24</v>
      </c>
      <c r="T31" s="34" t="s">
        <v>61</v>
      </c>
      <c r="U31" s="37" t="s">
        <v>166</v>
      </c>
      <c r="V31" s="34">
        <f>IFERROR(SUMIF(Table637[Sub-Accounts],Table838[[#This Row],[Update your chart of accounts here]],Table637[Debit]),"")</f>
        <v>1409746.56</v>
      </c>
      <c r="W31" s="34">
        <f>IFERROR(SUMIF(Table637[Sub-Accounts],Table838[[#This Row],[Update your chart of accounts here]],Table637[Credit]),"")</f>
        <v>0</v>
      </c>
      <c r="X31" s="34"/>
      <c r="Y31" s="34"/>
      <c r="Z31" s="34"/>
      <c r="AA31" s="34"/>
      <c r="AB31" s="34">
        <f>MAX(Table838[[#This Row],[Debit]]+Table838[[#This Row],[Debit -]]-Table838[[#This Row],[Credit]]-Table838[[#This Row],[Credit +]],0)</f>
        <v>1409746.56</v>
      </c>
      <c r="AC31" s="34">
        <f>MAX(Table838[[#This Row],[Credit]]-Table838[[#This Row],[Debit]]+Table838[[#This Row],[Credit +]]-Table838[[#This Row],[Debit -]],0)</f>
        <v>0</v>
      </c>
      <c r="AD31" s="34">
        <f>IFERROR(IF(AND(OR(Table838[[#This Row],[Classification]]="Expense",Table838[[#This Row],[Classification]]="Cost of Goods Sold"),Table838[[#This Row],[Debit\]]&gt;Table838[[#This Row],[Credit.]]),Table838[[#This Row],[Debit\]]-Table838[[#This Row],[Credit.]],""),"")</f>
        <v>1409746.56</v>
      </c>
      <c r="AE31" s="34" t="str">
        <f>IFERROR(IF(AND(OR(Table838[[#This Row],[Classification]]="Income",Table838[[#This Row],[Classification]]="Cost of Goods Sold"),Table838[[#This Row],[Credit.]]&gt;Table838[[#This Row],[Debit\]]),Table838[[#This Row],[Credit.]]-Table838[[#This Row],[Debit\]],""),"")</f>
        <v/>
      </c>
      <c r="AF31" s="34"/>
      <c r="AG31" s="34" t="str">
        <f>IFERROR(IF(AND(Table838[[#This Row],[Classification]]="Assets",Table838[[#This Row],[Debit\]]-Table838[[#This Row],[Credit.]]),Table838[[#This Row],[Debit\]]-Table838[[#This Row],[Credit.]],""),"")</f>
        <v/>
      </c>
      <c r="AH31" s="34" t="str">
        <f>IFERROR(IF(AND(OR(Table838[[#This Row],[Classification]]="Liabilities",Table838[[#This Row],[Classification]]="Owner´s Equity"),Table838[[#This Row],[Credit.]]&gt;Table838[[#This Row],[Debit\]]),Table838[[#This Row],[Credit.]]-Table838[[#This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IFERROR(SUMIF(Table435[,],Table637[[#This Row],[Accounts Name]],Table435[,3]),"")</f>
        <v>0</v>
      </c>
      <c r="P32" s="34">
        <f>IFERROR(SUMIF(Table435[,],Table637[[#This Row],[Accounts Name]],Table435[,2]),"")</f>
        <v>10050</v>
      </c>
      <c r="S32" s="36">
        <f t="shared" si="0"/>
        <v>25</v>
      </c>
      <c r="T32" s="34" t="s">
        <v>61</v>
      </c>
      <c r="U32" s="37" t="s">
        <v>175</v>
      </c>
      <c r="V32" s="34">
        <f>IFERROR(SUMIF(Table637[Sub-Accounts],Table838[[#This Row],[Update your chart of accounts here]],Table637[Debit]),"")</f>
        <v>0</v>
      </c>
      <c r="W32" s="34">
        <f>IFERROR(SUMIF(Table637[Sub-Accounts],Table838[[#This Row],[Update your chart of accounts here]],Table637[Credit]),"")</f>
        <v>0</v>
      </c>
      <c r="X32" s="34"/>
      <c r="Y32" s="34" t="s">
        <v>231</v>
      </c>
      <c r="Z32" s="34">
        <f>I27</f>
        <v>845624</v>
      </c>
      <c r="AA32" s="34"/>
      <c r="AB32" s="34">
        <f>MAX(Table838[[#This Row],[Debit]]+Table838[[#This Row],[Debit -]]-Table838[[#This Row],[Credit]]-Table838[[#This Row],[Credit +]],0)</f>
        <v>845624</v>
      </c>
      <c r="AC32" s="34">
        <f>MAX(Table838[[#This Row],[Credit]]-Table838[[#This Row],[Debit]]+Table838[[#This Row],[Credit +]]-Table838[[#This Row],[Debit -]],0)</f>
        <v>0</v>
      </c>
      <c r="AD32" s="34">
        <f>IFERROR(IF(AND(OR(Table838[[#This Row],[Classification]]="Expense",Table838[[#This Row],[Classification]]="Cost of Goods Sold"),Table838[[#This Row],[Debit\]]&gt;Table838[[#This Row],[Credit.]]),Table838[[#This Row],[Debit\]]-Table838[[#This Row],[Credit.]],""),"")</f>
        <v>845624</v>
      </c>
      <c r="AE32" s="34" t="str">
        <f>IFERROR(IF(AND(OR(Table838[[#This Row],[Classification]]="Income",Table838[[#This Row],[Classification]]="Cost of Goods Sold"),Table838[[#This Row],[Credit.]]&gt;Table838[[#This Row],[Debit\]]),Table838[[#This Row],[Credit.]]-Table838[[#This Row],[Debit\]],""),"")</f>
        <v/>
      </c>
      <c r="AF32" s="34"/>
      <c r="AG32" s="34" t="str">
        <f>IFERROR(IF(AND(Table838[[#This Row],[Classification]]="Assets",Table838[[#This Row],[Debit\]]-Table838[[#This Row],[Credit.]]),Table838[[#This Row],[Debit\]]-Table838[[#This Row],[Credit.]],""),"")</f>
        <v/>
      </c>
      <c r="AH32" s="34" t="str">
        <f>IFERROR(IF(AND(OR(Table838[[#This Row],[Classification]]="Liabilities",Table838[[#This Row],[Classification]]="Owner´s Equity"),Table838[[#This Row],[Credit.]]&gt;Table838[[#This Row],[Debit\]]),Table838[[#This Row],[Credit.]]-Table838[[#This Row],[Debit\]],""),"")</f>
        <v/>
      </c>
    </row>
    <row r="33" spans="2:34" hidden="1" x14ac:dyDescent="0.25">
      <c r="B33" s="34"/>
      <c r="C33" s="37" t="s">
        <v>87</v>
      </c>
      <c r="D33" s="34"/>
      <c r="E33" s="34">
        <v>10050</v>
      </c>
      <c r="G33" s="39"/>
      <c r="H33" s="40"/>
      <c r="I33" s="41"/>
      <c r="J33" s="41"/>
      <c r="L33" s="34">
        <v>26</v>
      </c>
      <c r="M33" s="35" t="s">
        <v>141</v>
      </c>
      <c r="N33" s="35" t="s">
        <v>88</v>
      </c>
      <c r="O33" s="34">
        <f>IFERROR(SUMIF(Table435[,],Table637[[#This Row],[Accounts Name]],Table435[,3]),"")</f>
        <v>0</v>
      </c>
      <c r="P33" s="34">
        <f>IFERROR(SUMIF(Table435[,],Table637[[#This Row],[Accounts Name]],Table435[,2]),"")</f>
        <v>4800</v>
      </c>
      <c r="S33" s="36">
        <f t="shared" si="0"/>
        <v>26</v>
      </c>
      <c r="T33" s="34" t="s">
        <v>61</v>
      </c>
      <c r="U33" s="37" t="s">
        <v>154</v>
      </c>
      <c r="V33" s="34">
        <f>IFERROR(SUMIF(Table637[Sub-Accounts],Table838[[#This Row],[Update your chart of accounts here]],Table637[Debit]),"")</f>
        <v>2500001</v>
      </c>
      <c r="W33" s="34">
        <f>IFERROR(SUMIF(Table637[Sub-Accounts],Table838[[#This Row],[Update your chart of accounts here]],Table637[Credit]),"")</f>
        <v>0</v>
      </c>
      <c r="X33" s="34"/>
      <c r="Y33" s="34"/>
      <c r="Z33" s="34"/>
      <c r="AA33" s="34"/>
      <c r="AB33" s="34">
        <f>MAX(Table838[[#This Row],[Debit]]+Table838[[#This Row],[Debit -]]-Table838[[#This Row],[Credit]]-Table838[[#This Row],[Credit +]],0)</f>
        <v>2500001</v>
      </c>
      <c r="AC33" s="34">
        <f>MAX(Table838[[#This Row],[Credit]]-Table838[[#This Row],[Debit]]+Table838[[#This Row],[Credit +]]-Table838[[#This Row],[Debit -]],0)</f>
        <v>0</v>
      </c>
      <c r="AD33" s="34">
        <f>IFERROR(IF(AND(OR(Table838[[#This Row],[Classification]]="Expense",Table838[[#This Row],[Classification]]="Cost of Goods Sold"),Table838[[#This Row],[Debit\]]&gt;Table838[[#This Row],[Credit.]]),Table838[[#This Row],[Debit\]]-Table838[[#This Row],[Credit.]],""),"")</f>
        <v>2500001</v>
      </c>
      <c r="AE33" s="34" t="str">
        <f>IFERROR(IF(AND(OR(Table838[[#This Row],[Classification]]="Income",Table838[[#This Row],[Classification]]="Cost of Goods Sold"),Table838[[#This Row],[Credit.]]&gt;Table838[[#This Row],[Debit\]]),Table838[[#This Row],[Credit.]]-Table838[[#This Row],[Debit\]],""),"")</f>
        <v/>
      </c>
      <c r="AF33" s="34"/>
      <c r="AG33" s="34" t="str">
        <f>IFERROR(IF(AND(Table838[[#This Row],[Classification]]="Assets",Table838[[#This Row],[Debit\]]-Table838[[#This Row],[Credit.]]),Table838[[#This Row],[Debit\]]-Table838[[#This Row],[Credit.]],""),"")</f>
        <v/>
      </c>
      <c r="AH33" s="34" t="str">
        <f>IFERROR(IF(AND(OR(Table838[[#This Row],[Classification]]="Liabilities",Table838[[#This Row],[Classification]]="Owner´s Equity"),Table838[[#This Row],[Credit.]]&gt;Table838[[#This Row],[Debit\]]),Table838[[#This Row],[Credit.]]-Table838[[#This Row],[Debit\]],""),"")</f>
        <v/>
      </c>
    </row>
    <row r="34" spans="2:34" hidden="1" x14ac:dyDescent="0.25">
      <c r="B34" s="34"/>
      <c r="C34" s="37" t="s">
        <v>88</v>
      </c>
      <c r="D34" s="34"/>
      <c r="E34" s="34">
        <v>4800</v>
      </c>
      <c r="G34" s="39"/>
      <c r="H34" s="40"/>
      <c r="I34" s="41"/>
      <c r="J34" s="41"/>
      <c r="L34" s="34">
        <v>27</v>
      </c>
      <c r="M34" s="35" t="s">
        <v>141</v>
      </c>
      <c r="N34" s="35" t="s">
        <v>89</v>
      </c>
      <c r="O34" s="34">
        <f>IFERROR(SUMIF(Table435[,],Table637[[#This Row],[Accounts Name]],Table435[,3]),"")</f>
        <v>0</v>
      </c>
      <c r="P34" s="34">
        <f>IFERROR(SUMIF(Table435[,],Table637[[#This Row],[Accounts Name]],Table435[,2]),"")</f>
        <v>110610</v>
      </c>
      <c r="S34" s="36">
        <f t="shared" si="0"/>
        <v>27</v>
      </c>
      <c r="T34" s="34" t="s">
        <v>61</v>
      </c>
      <c r="U34" s="37" t="s">
        <v>161</v>
      </c>
      <c r="V34" s="34">
        <f>IFERROR(SUMIF(Table637[Sub-Accounts],Table838[[#This Row],[Update your chart of accounts here]],Table637[Debit]),"")</f>
        <v>77850</v>
      </c>
      <c r="W34" s="34">
        <f>IFERROR(SUMIF(Table637[Sub-Accounts],Table838[[#This Row],[Update your chart of accounts here]],Table637[Credit]),"")</f>
        <v>0</v>
      </c>
      <c r="X34" s="34"/>
      <c r="Y34" s="34"/>
      <c r="Z34" s="34"/>
      <c r="AA34" s="34"/>
      <c r="AB34" s="34">
        <f>MAX(Table838[[#This Row],[Debit]]+Table838[[#This Row],[Debit -]]-Table838[[#This Row],[Credit]]-Table838[[#This Row],[Credit +]],0)</f>
        <v>77850</v>
      </c>
      <c r="AC34" s="34">
        <f>MAX(Table838[[#This Row],[Credit]]-Table838[[#This Row],[Debit]]+Table838[[#This Row],[Credit +]]-Table838[[#This Row],[Debit -]],0)</f>
        <v>0</v>
      </c>
      <c r="AD34" s="34">
        <f>IFERROR(IF(AND(OR(Table838[[#This Row],[Classification]]="Expense",Table838[[#This Row],[Classification]]="Cost of Goods Sold"),Table838[[#This Row],[Debit\]]&gt;Table838[[#This Row],[Credit.]]),Table838[[#This Row],[Debit\]]-Table838[[#This Row],[Credit.]],""),"")</f>
        <v>77850</v>
      </c>
      <c r="AE34" s="34" t="str">
        <f>IFERROR(IF(AND(OR(Table838[[#This Row],[Classification]]="Income",Table838[[#This Row],[Classification]]="Cost of Goods Sold"),Table838[[#This Row],[Credit.]]&gt;Table838[[#This Row],[Debit\]]),Table838[[#This Row],[Credit.]]-Table838[[#This Row],[Debit\]],""),"")</f>
        <v/>
      </c>
      <c r="AF34" s="34"/>
      <c r="AG34" s="34" t="str">
        <f>IFERROR(IF(AND(Table838[[#This Row],[Classification]]="Assets",Table838[[#This Row],[Debit\]]-Table838[[#This Row],[Credit.]]),Table838[[#This Row],[Debit\]]-Table838[[#This Row],[Credit.]],""),"")</f>
        <v/>
      </c>
      <c r="AH34" s="34" t="str">
        <f>IFERROR(IF(AND(OR(Table838[[#This Row],[Classification]]="Liabilities",Table838[[#This Row],[Classification]]="Owner´s Equity"),Table838[[#This Row],[Credit.]]&gt;Table838[[#This Row],[Debit\]]),Table838[[#This Row],[Credit.]]-Table838[[#This Row],[Debit\]],""),"")</f>
        <v/>
      </c>
    </row>
    <row r="35" spans="2:34" hidden="1" x14ac:dyDescent="0.25">
      <c r="B35" s="34"/>
      <c r="C35" s="37" t="s">
        <v>89</v>
      </c>
      <c r="D35" s="34"/>
      <c r="E35" s="34">
        <v>110610</v>
      </c>
      <c r="G35" s="39"/>
      <c r="H35" s="43"/>
      <c r="I35" s="41"/>
      <c r="J35" s="41"/>
      <c r="L35" s="34">
        <v>28</v>
      </c>
      <c r="M35" s="35" t="s">
        <v>141</v>
      </c>
      <c r="N35" s="35" t="s">
        <v>90</v>
      </c>
      <c r="O35" s="34">
        <f>IFERROR(SUMIF(Table435[,],Table637[[#This Row],[Accounts Name]],Table435[,3]),"")</f>
        <v>0</v>
      </c>
      <c r="P35" s="34">
        <f>IFERROR(SUMIF(Table435[,],Table637[[#This Row],[Accounts Name]],Table435[,2]),"")</f>
        <v>33200</v>
      </c>
      <c r="S35" s="36">
        <f t="shared" si="0"/>
        <v>28</v>
      </c>
      <c r="T35" s="34" t="s">
        <v>61</v>
      </c>
      <c r="U35" s="37" t="s">
        <v>162</v>
      </c>
      <c r="V35" s="34">
        <f>IFERROR(SUMIF(Table637[Sub-Accounts],Table838[[#This Row],[Update your chart of accounts here]],Table637[Debit]),"")</f>
        <v>268183.07</v>
      </c>
      <c r="W35" s="34">
        <f>IFERROR(SUMIF(Table637[Sub-Accounts],Table838[[#This Row],[Update your chart of accounts here]],Table637[Credit]),"")</f>
        <v>0</v>
      </c>
      <c r="X35" s="34"/>
      <c r="Y35" s="34"/>
      <c r="Z35" s="34">
        <f>I28</f>
        <v>0</v>
      </c>
      <c r="AA35" s="34"/>
      <c r="AB35" s="34">
        <f>MAX(Table838[[#This Row],[Debit]]+Table838[[#This Row],[Debit -]]-Table838[[#This Row],[Credit]]-Table838[[#This Row],[Credit +]],0)</f>
        <v>268183.07</v>
      </c>
      <c r="AC35" s="34">
        <f>MAX(Table838[[#This Row],[Credit]]-Table838[[#This Row],[Debit]]+Table838[[#This Row],[Credit +]]-Table838[[#This Row],[Debit -]],0)</f>
        <v>0</v>
      </c>
      <c r="AD35" s="34">
        <f>IFERROR(IF(AND(OR(Table838[[#This Row],[Classification]]="Expense",Table838[[#This Row],[Classification]]="Cost of Goods Sold"),Table838[[#This Row],[Debit\]]&gt;Table838[[#This Row],[Credit.]]),Table838[[#This Row],[Debit\]]-Table838[[#This Row],[Credit.]],""),"")</f>
        <v>268183.07</v>
      </c>
      <c r="AE35" s="34" t="str">
        <f>IFERROR(IF(AND(OR(Table838[[#This Row],[Classification]]="Income",Table838[[#This Row],[Classification]]="Cost of Goods Sold"),Table838[[#This Row],[Credit.]]&gt;Table838[[#This Row],[Debit\]]),Table838[[#This Row],[Credit.]]-Table838[[#This Row],[Debit\]],""),"")</f>
        <v/>
      </c>
      <c r="AF35" s="34"/>
      <c r="AG35" s="34" t="str">
        <f>IFERROR(IF(AND(Table838[[#This Row],[Classification]]="Assets",Table838[[#This Row],[Debit\]]-Table838[[#This Row],[Credit.]]),Table838[[#This Row],[Debit\]]-Table838[[#This Row],[Credit.]],""),"")</f>
        <v/>
      </c>
      <c r="AH35" s="34" t="str">
        <f>IFERROR(IF(AND(OR(Table838[[#This Row],[Classification]]="Liabilities",Table838[[#This Row],[Classification]]="Owner´s Equity"),Table838[[#This Row],[Credit.]]&gt;Table838[[#This Row],[Debit\]]),Table838[[#This Row],[Credit.]]-Table838[[#This Row],[Debit\]],""),"")</f>
        <v/>
      </c>
    </row>
    <row r="36" spans="2:34" hidden="1" x14ac:dyDescent="0.25">
      <c r="B36" s="34"/>
      <c r="C36" s="37" t="s">
        <v>90</v>
      </c>
      <c r="D36" s="34"/>
      <c r="E36" s="34">
        <v>33200</v>
      </c>
      <c r="G36" s="39"/>
      <c r="H36" s="40"/>
      <c r="I36" s="41"/>
      <c r="J36" s="41"/>
      <c r="L36" s="34">
        <v>29</v>
      </c>
      <c r="M36" s="35" t="s">
        <v>140</v>
      </c>
      <c r="N36" s="35" t="s">
        <v>91</v>
      </c>
      <c r="O36" s="34">
        <f>IFERROR(SUMIF(Table435[,],Table637[[#This Row],[Accounts Name]],Table435[,3]),"")</f>
        <v>124460</v>
      </c>
      <c r="P36" s="34">
        <f>IFERROR(SUMIF(Table435[,],Table637[[#This Row],[Accounts Name]],Table435[,2]),"")</f>
        <v>0</v>
      </c>
      <c r="S36" s="36">
        <f t="shared" si="0"/>
        <v>29</v>
      </c>
      <c r="T36" s="34" t="s">
        <v>61</v>
      </c>
      <c r="U36" s="37" t="s">
        <v>165</v>
      </c>
      <c r="V36" s="34">
        <f>IFERROR(SUMIF(Table637[Sub-Accounts],Table838[[#This Row],[Update your chart of accounts here]],Table637[Debit]),"")</f>
        <v>653656.38</v>
      </c>
      <c r="W36" s="34">
        <f>IFERROR(SUMIF(Table637[Sub-Accounts],Table838[[#This Row],[Update your chart of accounts here]],Table637[Credit]),"")</f>
        <v>0</v>
      </c>
      <c r="X36" s="34"/>
      <c r="Y36" s="34"/>
      <c r="Z36" s="34"/>
      <c r="AA36" s="34"/>
      <c r="AB36" s="34">
        <f>MAX(Table838[[#This Row],[Debit]]+Table838[[#This Row],[Debit -]]-Table838[[#This Row],[Credit]]-Table838[[#This Row],[Credit +]],0)</f>
        <v>653656.38</v>
      </c>
      <c r="AC36" s="34">
        <f>MAX(Table838[[#This Row],[Credit]]-Table838[[#This Row],[Debit]]+Table838[[#This Row],[Credit +]]-Table838[[#This Row],[Debit -]],0)</f>
        <v>0</v>
      </c>
      <c r="AD36" s="34">
        <f>IFERROR(IF(AND(OR(Table838[[#This Row],[Classification]]="Expense",Table838[[#This Row],[Classification]]="Cost of Goods Sold"),Table838[[#This Row],[Debit\]]&gt;Table838[[#This Row],[Credit.]]),Table838[[#This Row],[Debit\]]-Table838[[#This Row],[Credit.]],""),"")</f>
        <v>653656.38</v>
      </c>
      <c r="AE36" s="34" t="str">
        <f>IFERROR(IF(AND(OR(Table838[[#This Row],[Classification]]="Income",Table838[[#This Row],[Classification]]="Cost of Goods Sold"),Table838[[#This Row],[Credit.]]&gt;Table838[[#This Row],[Debit\]]),Table838[[#This Row],[Credit.]]-Table838[[#This Row],[Debit\]],""),"")</f>
        <v/>
      </c>
      <c r="AF36" s="34"/>
      <c r="AG36" s="34" t="str">
        <f>IFERROR(IF(AND(Table838[[#This Row],[Classification]]="Assets",Table838[[#This Row],[Debit\]]-Table838[[#This Row],[Credit.]]),Table838[[#This Row],[Debit\]]-Table838[[#This Row],[Credit.]],""),"")</f>
        <v/>
      </c>
      <c r="AH36" s="34" t="str">
        <f>IFERROR(IF(AND(OR(Table838[[#This Row],[Classification]]="Liabilities",Table838[[#This Row],[Classification]]="Owner´s Equity"),Table838[[#This Row],[Credit.]]&gt;Table838[[#This Row],[Debit\]]),Table838[[#This Row],[Credit.]]-Table838[[#This Row],[Debit\]],""),"")</f>
        <v/>
      </c>
    </row>
    <row r="37" spans="2:34" hidden="1" x14ac:dyDescent="0.25">
      <c r="B37" s="34"/>
      <c r="C37" s="37" t="s">
        <v>91</v>
      </c>
      <c r="D37" s="34">
        <v>124460</v>
      </c>
      <c r="E37" s="34"/>
      <c r="G37" s="39"/>
      <c r="H37" s="40"/>
      <c r="I37" s="41"/>
      <c r="J37" s="41"/>
      <c r="L37" s="34">
        <v>30</v>
      </c>
      <c r="M37" s="35" t="s">
        <v>144</v>
      </c>
      <c r="N37" s="35" t="s">
        <v>92</v>
      </c>
      <c r="O37" s="34">
        <f>IFERROR(SUMIF(Table435[,],Table637[[#This Row],[Accounts Name]],Table435[,3]),"")</f>
        <v>2228108</v>
      </c>
      <c r="P37" s="34">
        <f>IFERROR(SUMIF(Table435[,],Table637[[#This Row],[Accounts Name]],Table435[,2]),"")</f>
        <v>0</v>
      </c>
      <c r="S37" s="36">
        <f t="shared" si="0"/>
        <v>30</v>
      </c>
      <c r="T37" s="34" t="s">
        <v>61</v>
      </c>
      <c r="U37" s="37" t="s">
        <v>159</v>
      </c>
      <c r="V37" s="34">
        <f>IFERROR(SUMIF(Table637[Sub-Accounts],Table838[[#This Row],[Update your chart of accounts here]],Table637[Debit]),"")</f>
        <v>208578.65</v>
      </c>
      <c r="W37" s="34">
        <f>IFERROR(SUMIF(Table637[Sub-Accounts],Table838[[#This Row],[Update your chart of accounts here]],Table637[Credit]),"")</f>
        <v>0</v>
      </c>
      <c r="X37" s="34"/>
      <c r="Y37" s="34"/>
      <c r="Z37" s="34"/>
      <c r="AA37" s="34"/>
      <c r="AB37" s="34">
        <f>MAX(Table838[[#This Row],[Debit]]+Table838[[#This Row],[Debit -]]-Table838[[#This Row],[Credit]]-Table838[[#This Row],[Credit +]],0)</f>
        <v>208578.65</v>
      </c>
      <c r="AC37" s="34">
        <f>MAX(Table838[[#This Row],[Credit]]-Table838[[#This Row],[Debit]]+Table838[[#This Row],[Credit +]]-Table838[[#This Row],[Debit -]],0)</f>
        <v>0</v>
      </c>
      <c r="AD37" s="34">
        <f>IFERROR(IF(AND(OR(Table838[[#This Row],[Classification]]="Expense",Table838[[#This Row],[Classification]]="Cost of Goods Sold"),Table838[[#This Row],[Debit\]]&gt;Table838[[#This Row],[Credit.]]),Table838[[#This Row],[Debit\]]-Table838[[#This Row],[Credit.]],""),"")</f>
        <v>208578.65</v>
      </c>
      <c r="AE37" s="34" t="str">
        <f>IFERROR(IF(AND(OR(Table838[[#This Row],[Classification]]="Income",Table838[[#This Row],[Classification]]="Cost of Goods Sold"),Table838[[#This Row],[Credit.]]&gt;Table838[[#This Row],[Debit\]]),Table838[[#This Row],[Credit.]]-Table838[[#This Row],[Debit\]],""),"")</f>
        <v/>
      </c>
      <c r="AF37" s="34"/>
      <c r="AG37" s="34" t="str">
        <f>IFERROR(IF(AND(Table838[[#This Row],[Classification]]="Assets",Table838[[#This Row],[Debit\]]-Table838[[#This Row],[Credit.]]),Table838[[#This Row],[Debit\]]-Table838[[#This Row],[Credit.]],""),"")</f>
        <v/>
      </c>
      <c r="AH37" s="34" t="str">
        <f>IFERROR(IF(AND(OR(Table838[[#This Row],[Classification]]="Liabilities",Table838[[#This Row],[Classification]]="Owner´s Equity"),Table838[[#This Row],[Credit.]]&gt;Table838[[#This Row],[Debit\]]),Table838[[#This Row],[Credit.]]-Table838[[#This Row],[Debit\]],""),"")</f>
        <v/>
      </c>
    </row>
    <row r="38" spans="2:34" hidden="1" x14ac:dyDescent="0.25">
      <c r="B38" s="34"/>
      <c r="C38" s="37" t="s">
        <v>92</v>
      </c>
      <c r="D38" s="34">
        <v>2228108</v>
      </c>
      <c r="E38" s="34"/>
      <c r="G38" s="39"/>
      <c r="H38" s="43"/>
      <c r="I38" s="41"/>
      <c r="J38" s="41"/>
      <c r="L38" s="34">
        <v>31</v>
      </c>
      <c r="M38" s="35" t="s">
        <v>140</v>
      </c>
      <c r="N38" s="35" t="s">
        <v>93</v>
      </c>
      <c r="O38" s="34">
        <f>IFERROR(SUMIF(Table435[,],Table637[[#This Row],[Accounts Name]],Table435[,3]),"")</f>
        <v>510902</v>
      </c>
      <c r="P38" s="34">
        <f>IFERROR(SUMIF(Table435[,],Table637[[#This Row],[Accounts Name]],Table435[,2]),"")</f>
        <v>0</v>
      </c>
      <c r="S38" s="36">
        <f t="shared" si="0"/>
        <v>31</v>
      </c>
      <c r="T38" s="34" t="s">
        <v>61</v>
      </c>
      <c r="U38" s="37" t="s">
        <v>157</v>
      </c>
      <c r="V38" s="34">
        <f>IFERROR(SUMIF(Table637[Sub-Accounts],Table838[[#This Row],[Update your chart of accounts here]],Table637[Debit]),"")</f>
        <v>542263</v>
      </c>
      <c r="W38" s="34">
        <f>IFERROR(SUMIF(Table637[Sub-Accounts],Table838[[#This Row],[Update your chart of accounts here]],Table637[Credit]),"")</f>
        <v>0</v>
      </c>
      <c r="X38" s="34"/>
      <c r="Y38" s="34"/>
      <c r="Z38" s="34"/>
      <c r="AA38" s="34"/>
      <c r="AB38" s="34">
        <f>MAX(Table838[[#This Row],[Debit]]+Table838[[#This Row],[Debit -]]-Table838[[#This Row],[Credit]]-Table838[[#This Row],[Credit +]],0)</f>
        <v>542263</v>
      </c>
      <c r="AC38" s="34">
        <f>MAX(Table838[[#This Row],[Credit]]-Table838[[#This Row],[Debit]]+Table838[[#This Row],[Credit +]]-Table838[[#This Row],[Debit -]],0)</f>
        <v>0</v>
      </c>
      <c r="AD38" s="34">
        <f>IFERROR(IF(AND(OR(Table838[[#This Row],[Classification]]="Expense",Table838[[#This Row],[Classification]]="Cost of Goods Sold"),Table838[[#This Row],[Debit\]]&gt;Table838[[#This Row],[Credit.]]),Table838[[#This Row],[Debit\]]-Table838[[#This Row],[Credit.]],""),"")</f>
        <v>542263</v>
      </c>
      <c r="AE38" s="34" t="str">
        <f>IFERROR(IF(AND(OR(Table838[[#This Row],[Classification]]="Income",Table838[[#This Row],[Classification]]="Cost of Goods Sold"),Table838[[#This Row],[Credit.]]&gt;Table838[[#This Row],[Debit\]]),Table838[[#This Row],[Credit.]]-Table838[[#This Row],[Debit\]],""),"")</f>
        <v/>
      </c>
      <c r="AF38" s="34"/>
      <c r="AG38" s="34" t="str">
        <f>IFERROR(IF(AND(Table838[[#This Row],[Classification]]="Assets",Table838[[#This Row],[Debit\]]-Table838[[#This Row],[Credit.]]),Table838[[#This Row],[Debit\]]-Table838[[#This Row],[Credit.]],""),"")</f>
        <v/>
      </c>
      <c r="AH38" s="34" t="str">
        <f>IFERROR(IF(AND(OR(Table838[[#This Row],[Classification]]="Liabilities",Table838[[#This Row],[Classification]]="Owner´s Equity"),Table838[[#This Row],[Credit.]]&gt;Table838[[#This Row],[Debit\]]),Table838[[#This Row],[Credit.]]-Table838[[#This Row],[Debit\]],""),"")</f>
        <v/>
      </c>
    </row>
    <row r="39" spans="2:34" hidden="1" x14ac:dyDescent="0.25">
      <c r="B39" s="34"/>
      <c r="C39" s="37" t="s">
        <v>93</v>
      </c>
      <c r="D39" s="34">
        <v>510902</v>
      </c>
      <c r="E39" s="34"/>
      <c r="G39" s="39"/>
      <c r="H39" s="40"/>
      <c r="I39" s="41"/>
      <c r="J39" s="41"/>
      <c r="L39" s="34">
        <v>32</v>
      </c>
      <c r="M39" s="35" t="s">
        <v>140</v>
      </c>
      <c r="N39" s="35" t="s">
        <v>94</v>
      </c>
      <c r="O39" s="34">
        <f>IFERROR(SUMIF(Table435[,],Table637[[#This Row],[Accounts Name]],Table435[,3]),"")</f>
        <v>1702569</v>
      </c>
      <c r="P39" s="34">
        <f>IFERROR(SUMIF(Table435[,],Table637[[#This Row],[Accounts Name]],Table435[,2]),"")</f>
        <v>0</v>
      </c>
      <c r="S39" s="36">
        <f t="shared" si="0"/>
        <v>32</v>
      </c>
      <c r="T39" s="34" t="s">
        <v>61</v>
      </c>
      <c r="U39" s="37" t="s">
        <v>168</v>
      </c>
      <c r="V39" s="34">
        <f>IFERROR(SUMIF(Table637[Sub-Accounts],Table838[[#This Row],[Update your chart of accounts here]],Table637[Debit]),"")</f>
        <v>302989.64</v>
      </c>
      <c r="W39" s="34">
        <f>IFERROR(SUMIF(Table637[Sub-Accounts],Table838[[#This Row],[Update your chart of accounts here]],Table637[Credit]),"")</f>
        <v>0</v>
      </c>
      <c r="X39" s="34"/>
      <c r="Y39" s="34"/>
      <c r="Z39" s="34"/>
      <c r="AA39" s="34"/>
      <c r="AB39" s="34">
        <f>MAX(Table838[[#This Row],[Debit]]+Table838[[#This Row],[Debit -]]-Table838[[#This Row],[Credit]]-Table838[[#This Row],[Credit +]],0)</f>
        <v>302989.64</v>
      </c>
      <c r="AC39" s="34">
        <f>MAX(Table838[[#This Row],[Credit]]-Table838[[#This Row],[Debit]]+Table838[[#This Row],[Credit +]]-Table838[[#This Row],[Debit -]],0)</f>
        <v>0</v>
      </c>
      <c r="AD39" s="34">
        <f>IFERROR(IF(AND(OR(Table838[[#This Row],[Classification]]="Expense",Table838[[#This Row],[Classification]]="Cost of Goods Sold"),Table838[[#This Row],[Debit\]]&gt;Table838[[#This Row],[Credit.]]),Table838[[#This Row],[Debit\]]-Table838[[#This Row],[Credit.]],""),"")</f>
        <v>302989.64</v>
      </c>
      <c r="AE39" s="34" t="str">
        <f>IFERROR(IF(AND(OR(Table838[[#This Row],[Classification]]="Income",Table838[[#This Row],[Classification]]="Cost of Goods Sold"),Table838[[#This Row],[Credit.]]&gt;Table838[[#This Row],[Debit\]]),Table838[[#This Row],[Credit.]]-Table838[[#This Row],[Debit\]],""),"")</f>
        <v/>
      </c>
      <c r="AF39" s="34"/>
      <c r="AG39" s="34" t="str">
        <f>IFERROR(IF(AND(Table838[[#This Row],[Classification]]="Assets",Table838[[#This Row],[Debit\]]-Table838[[#This Row],[Credit.]]),Table838[[#This Row],[Debit\]]-Table838[[#This Row],[Credit.]],""),"")</f>
        <v/>
      </c>
      <c r="AH39" s="34" t="str">
        <f>IFERROR(IF(AND(OR(Table838[[#This Row],[Classification]]="Liabilities",Table838[[#This Row],[Classification]]="Owner´s Equity"),Table838[[#This Row],[Credit.]]&gt;Table838[[#This Row],[Debit\]]),Table838[[#This Row],[Credit.]]-Table838[[#This Row],[Debit\]],""),"")</f>
        <v/>
      </c>
    </row>
    <row r="40" spans="2:34" hidden="1" x14ac:dyDescent="0.25">
      <c r="B40" s="34"/>
      <c r="C40" s="37" t="s">
        <v>94</v>
      </c>
      <c r="D40" s="34">
        <v>1702569</v>
      </c>
      <c r="E40" s="34"/>
      <c r="G40" s="39"/>
      <c r="H40" s="40"/>
      <c r="I40" s="41"/>
      <c r="J40" s="41"/>
      <c r="L40" s="34">
        <v>33</v>
      </c>
      <c r="M40" s="35" t="s">
        <v>140</v>
      </c>
      <c r="N40" s="35" t="s">
        <v>95</v>
      </c>
      <c r="O40" s="34">
        <f>IFERROR(SUMIF(Table435[,],Table637[[#This Row],[Accounts Name]],Table435[,3]),"")</f>
        <v>735271</v>
      </c>
      <c r="P40" s="34">
        <f>IFERROR(SUMIF(Table435[,],Table637[[#This Row],[Accounts Name]],Table435[,2]),"")</f>
        <v>0</v>
      </c>
      <c r="S40" s="36">
        <f t="shared" si="0"/>
        <v>33</v>
      </c>
      <c r="T40" s="34" t="s">
        <v>61</v>
      </c>
      <c r="U40" s="37" t="s">
        <v>153</v>
      </c>
      <c r="V40" s="34">
        <f>IFERROR(SUMIF(Table637[Sub-Accounts],Table838[[#This Row],[Update your chart of accounts here]],Table637[Debit]),"")</f>
        <v>233250</v>
      </c>
      <c r="W40" s="34">
        <f>IFERROR(SUMIF(Table637[Sub-Accounts],Table838[[#This Row],[Update your chart of accounts here]],Table637[Credit]),"")</f>
        <v>0</v>
      </c>
      <c r="X40" s="34"/>
      <c r="Y40" s="34"/>
      <c r="Z40" s="34"/>
      <c r="AA40" s="34"/>
      <c r="AB40" s="34">
        <f>MAX(Table838[[#This Row],[Debit]]+Table838[[#This Row],[Debit -]]-Table838[[#This Row],[Credit]]-Table838[[#This Row],[Credit +]],0)</f>
        <v>233250</v>
      </c>
      <c r="AC40" s="34">
        <f>MAX(Table838[[#This Row],[Credit]]-Table838[[#This Row],[Debit]]+Table838[[#This Row],[Credit +]]-Table838[[#This Row],[Debit -]],0)</f>
        <v>0</v>
      </c>
      <c r="AD40" s="34">
        <f>IFERROR(IF(AND(OR(Table838[[#This Row],[Classification]]="Expense",Table838[[#This Row],[Classification]]="Cost of Goods Sold"),Table838[[#This Row],[Debit\]]&gt;Table838[[#This Row],[Credit.]]),Table838[[#This Row],[Debit\]]-Table838[[#This Row],[Credit.]],""),"")</f>
        <v>233250</v>
      </c>
      <c r="AE40" s="34" t="str">
        <f>IFERROR(IF(AND(OR(Table838[[#This Row],[Classification]]="Income",Table838[[#This Row],[Classification]]="Cost of Goods Sold"),Table838[[#This Row],[Credit.]]&gt;Table838[[#This Row],[Debit\]]),Table838[[#This Row],[Credit.]]-Table838[[#This Row],[Debit\]],""),"")</f>
        <v/>
      </c>
      <c r="AF40" s="34"/>
      <c r="AG40" s="34" t="str">
        <f>IFERROR(IF(AND(Table838[[#This Row],[Classification]]="Assets",Table838[[#This Row],[Debit\]]-Table838[[#This Row],[Credit.]]),Table838[[#This Row],[Debit\]]-Table838[[#This Row],[Credit.]],""),"")</f>
        <v/>
      </c>
      <c r="AH40" s="34" t="str">
        <f>IFERROR(IF(AND(OR(Table838[[#This Row],[Classification]]="Liabilities",Table838[[#This Row],[Classification]]="Owner´s Equity"),Table838[[#This Row],[Credit.]]&gt;Table838[[#This Row],[Debit\]]),Table838[[#This Row],[Credit.]]-Table838[[#This Row],[Debit\]],""),"")</f>
        <v/>
      </c>
    </row>
    <row r="41" spans="2:34" hidden="1" x14ac:dyDescent="0.25">
      <c r="B41" s="34"/>
      <c r="C41" s="37" t="s">
        <v>95</v>
      </c>
      <c r="D41" s="34">
        <v>735271</v>
      </c>
      <c r="E41" s="34"/>
      <c r="G41" s="39"/>
      <c r="H41" s="43"/>
      <c r="I41" s="41"/>
      <c r="J41" s="41"/>
      <c r="L41" s="34">
        <v>34</v>
      </c>
      <c r="M41" s="35" t="s">
        <v>141</v>
      </c>
      <c r="N41" s="35" t="s">
        <v>96</v>
      </c>
      <c r="O41" s="34">
        <f>IFERROR(SUMIF(Table435[,],Table637[[#This Row],[Accounts Name]],Table435[,3]),"")</f>
        <v>0</v>
      </c>
      <c r="P41" s="34">
        <f>IFERROR(SUMIF(Table435[,],Table637[[#This Row],[Accounts Name]],Table435[,2]),"")</f>
        <v>1318131</v>
      </c>
      <c r="S41" s="36">
        <f t="shared" si="0"/>
        <v>34</v>
      </c>
      <c r="T41" s="34" t="s">
        <v>61</v>
      </c>
      <c r="U41" s="37" t="s">
        <v>152</v>
      </c>
      <c r="V41" s="34">
        <f>IFERROR(SUMIF(Table637[Sub-Accounts],Table838[[#This Row],[Update your chart of accounts here]],Table637[Debit]),"")</f>
        <v>51948.32</v>
      </c>
      <c r="W41" s="34">
        <f>IFERROR(SUMIF(Table637[Sub-Accounts],Table838[[#This Row],[Update your chart of accounts here]],Table637[Credit]),"")</f>
        <v>0</v>
      </c>
      <c r="X41" s="34"/>
      <c r="Y41" s="34"/>
      <c r="Z41" s="34"/>
      <c r="AA41" s="34"/>
      <c r="AB41" s="34">
        <f>MAX(Table838[[#This Row],[Debit]]+Table838[[#This Row],[Debit -]]-Table838[[#This Row],[Credit]]-Table838[[#This Row],[Credit +]],0)</f>
        <v>51948.32</v>
      </c>
      <c r="AC41" s="34">
        <f>MAX(Table838[[#This Row],[Credit]]-Table838[[#This Row],[Debit]]+Table838[[#This Row],[Credit +]]-Table838[[#This Row],[Debit -]],0)</f>
        <v>0</v>
      </c>
      <c r="AD41" s="34">
        <f>IFERROR(IF(AND(OR(Table838[[#This Row],[Classification]]="Expense",Table838[[#This Row],[Classification]]="Cost of Goods Sold"),Table838[[#This Row],[Debit\]]&gt;Table838[[#This Row],[Credit.]]),Table838[[#This Row],[Debit\]]-Table838[[#This Row],[Credit.]],""),"")</f>
        <v>51948.32</v>
      </c>
      <c r="AE41" s="34" t="str">
        <f>IFERROR(IF(AND(OR(Table838[[#This Row],[Classification]]="Income",Table838[[#This Row],[Classification]]="Cost of Goods Sold"),Table838[[#This Row],[Credit.]]&gt;Table838[[#This Row],[Debit\]]),Table838[[#This Row],[Credit.]]-Table838[[#This Row],[Debit\]],""),"")</f>
        <v/>
      </c>
      <c r="AF41" s="34"/>
      <c r="AG41" s="34" t="str">
        <f>IFERROR(IF(AND(Table838[[#This Row],[Classification]]="Assets",Table838[[#This Row],[Debit\]]-Table838[[#This Row],[Credit.]]),Table838[[#This Row],[Debit\]]-Table838[[#This Row],[Credit.]],""),"")</f>
        <v/>
      </c>
      <c r="AH41" s="34" t="str">
        <f>IFERROR(IF(AND(OR(Table838[[#This Row],[Classification]]="Liabilities",Table838[[#This Row],[Classification]]="Owner´s Equity"),Table838[[#This Row],[Credit.]]&gt;Table838[[#This Row],[Debit\]]),Table838[[#This Row],[Credit.]]-Table838[[#This Row],[Debit\]],""),"")</f>
        <v/>
      </c>
    </row>
    <row r="42" spans="2:34" hidden="1" x14ac:dyDescent="0.25">
      <c r="B42" s="34"/>
      <c r="C42" s="37" t="s">
        <v>96</v>
      </c>
      <c r="D42" s="34"/>
      <c r="E42" s="34">
        <v>1318131</v>
      </c>
      <c r="G42" s="39"/>
      <c r="H42" s="40"/>
      <c r="I42" s="41"/>
      <c r="J42" s="41"/>
      <c r="L42" s="34">
        <v>35</v>
      </c>
      <c r="M42" s="35" t="s">
        <v>145</v>
      </c>
      <c r="N42" s="35" t="s">
        <v>97</v>
      </c>
      <c r="O42" s="34">
        <f>IFERROR(SUMIF(Table435[,],Table637[[#This Row],[Accounts Name]],Table435[,3]),"")</f>
        <v>0</v>
      </c>
      <c r="P42" s="34">
        <f>IFERROR(SUMIF(Table435[,],Table637[[#This Row],[Accounts Name]],Table435[,2]),"")</f>
        <v>11852079.26</v>
      </c>
      <c r="S42" s="36">
        <f t="shared" si="0"/>
        <v>35</v>
      </c>
      <c r="T42" s="34" t="s">
        <v>61</v>
      </c>
      <c r="U42" s="37" t="s">
        <v>156</v>
      </c>
      <c r="V42" s="34">
        <f>IFERROR(SUMIF(Table637[Sub-Accounts],Table838[[#This Row],[Update your chart of accounts here]],Table637[Debit]),"")</f>
        <v>219706</v>
      </c>
      <c r="W42" s="34">
        <f>IFERROR(SUMIF(Table637[Sub-Accounts],Table838[[#This Row],[Update your chart of accounts here]],Table637[Credit]),"")</f>
        <v>0</v>
      </c>
      <c r="X42" s="34"/>
      <c r="Y42" s="34"/>
      <c r="Z42" s="34"/>
      <c r="AA42" s="34"/>
      <c r="AB42" s="34">
        <f>MAX(Table838[[#This Row],[Debit]]+Table838[[#This Row],[Debit -]]-Table838[[#This Row],[Credit]]-Table838[[#This Row],[Credit +]],0)</f>
        <v>219706</v>
      </c>
      <c r="AC42" s="34">
        <f>MAX(Table838[[#This Row],[Credit]]-Table838[[#This Row],[Debit]]+Table838[[#This Row],[Credit +]]-Table838[[#This Row],[Debit -]],0)</f>
        <v>0</v>
      </c>
      <c r="AD42" s="34">
        <f>IFERROR(IF(AND(OR(Table838[[#This Row],[Classification]]="Expense",Table838[[#This Row],[Classification]]="Cost of Goods Sold"),Table838[[#This Row],[Debit\]]&gt;Table838[[#This Row],[Credit.]]),Table838[[#This Row],[Debit\]]-Table838[[#This Row],[Credit.]],""),"")</f>
        <v>219706</v>
      </c>
      <c r="AE42" s="34" t="str">
        <f>IFERROR(IF(AND(OR(Table838[[#This Row],[Classification]]="Income",Table838[[#This Row],[Classification]]="Cost of Goods Sold"),Table838[[#This Row],[Credit.]]&gt;Table838[[#This Row],[Debit\]]),Table838[[#This Row],[Credit.]]-Table838[[#This Row],[Debit\]],""),"")</f>
        <v/>
      </c>
      <c r="AF42" s="34"/>
      <c r="AG42" s="34" t="str">
        <f>IFERROR(IF(AND(Table838[[#This Row],[Classification]]="Assets",Table838[[#This Row],[Debit\]]-Table838[[#This Row],[Credit.]]),Table838[[#This Row],[Debit\]]-Table838[[#This Row],[Credit.]],""),"")</f>
        <v/>
      </c>
      <c r="AH42" s="34" t="str">
        <f>IFERROR(IF(AND(OR(Table838[[#This Row],[Classification]]="Liabilities",Table838[[#This Row],[Classification]]="Owner´s Equity"),Table838[[#This Row],[Credit.]]&gt;Table838[[#This Row],[Debit\]]),Table838[[#This Row],[Credit.]]-Table838[[#This Row],[Debit\]],""),"")</f>
        <v/>
      </c>
    </row>
    <row r="43" spans="2:34" hidden="1" x14ac:dyDescent="0.25">
      <c r="B43" s="34"/>
      <c r="C43" s="37" t="s">
        <v>97</v>
      </c>
      <c r="D43" s="34"/>
      <c r="E43" s="34">
        <v>11852079.26</v>
      </c>
      <c r="G43" s="39"/>
      <c r="H43" s="40"/>
      <c r="I43" s="41"/>
      <c r="J43" s="41"/>
      <c r="L43" s="34">
        <v>36</v>
      </c>
      <c r="M43" s="35" t="s">
        <v>146</v>
      </c>
      <c r="N43" s="35" t="s">
        <v>98</v>
      </c>
      <c r="O43" s="34">
        <f>IFERROR(SUMIF(Table435[,],Table637[[#This Row],[Accounts Name]],Table435[,3]),"")</f>
        <v>0</v>
      </c>
      <c r="P43" s="34">
        <f>IFERROR(SUMIF(Table435[,],Table637[[#This Row],[Accounts Name]],Table435[,2]),"")</f>
        <v>400</v>
      </c>
      <c r="S43" s="36">
        <f t="shared" si="0"/>
        <v>36</v>
      </c>
      <c r="T43" s="34" t="s">
        <v>61</v>
      </c>
      <c r="U43" s="37" t="s">
        <v>217</v>
      </c>
      <c r="V43" s="34">
        <f>IFERROR(SUMIF(Table637[Sub-Accounts],Table838[[#This Row],[Update your chart of accounts here]],Table637[Debit]),"")</f>
        <v>0</v>
      </c>
      <c r="W43" s="34">
        <f>IFERROR(SUMIF(Table637[Sub-Accounts],Table838[[#This Row],[Update your chart of accounts here]],Table637[Credit]),"")</f>
        <v>0</v>
      </c>
      <c r="X43" s="34"/>
      <c r="Y43" s="34"/>
      <c r="Z43" s="34"/>
      <c r="AA43" s="34"/>
      <c r="AB43" s="34">
        <f>MAX(Table838[[#This Row],[Debit]]+Table838[[#This Row],[Debit -]]-Table838[[#This Row],[Credit]]-Table838[[#This Row],[Credit +]],0)</f>
        <v>0</v>
      </c>
      <c r="AC43" s="34">
        <f>MAX(Table838[[#This Row],[Credit]]-Table838[[#This Row],[Debit]]+Table838[[#This Row],[Credit +]]-Table838[[#This Row],[Debit -]],0)</f>
        <v>0</v>
      </c>
      <c r="AD43" s="34" t="str">
        <f>IFERROR(IF(AND(OR(Table838[[#This Row],[Classification]]="Expense",Table838[[#This Row],[Classification]]="Cost of Goods Sold"),Table838[[#This Row],[Debit\]]&gt;Table838[[#This Row],[Credit.]]),Table838[[#This Row],[Debit\]]-Table838[[#This Row],[Credit.]],""),"")</f>
        <v/>
      </c>
      <c r="AE43" s="34" t="str">
        <f>IFERROR(IF(AND(OR(Table838[[#This Row],[Classification]]="Income",Table838[[#This Row],[Classification]]="Cost of Goods Sold"),Table838[[#This Row],[Credit.]]&gt;Table838[[#This Row],[Debit\]]),Table838[[#This Row],[Credit.]]-Table838[[#This Row],[Debit\]],""),"")</f>
        <v/>
      </c>
      <c r="AF43" s="34"/>
      <c r="AG43" s="34" t="str">
        <f>IFERROR(IF(AND(Table838[[#This Row],[Classification]]="Assets",Table838[[#This Row],[Debit\]]-Table838[[#This Row],[Credit.]]),Table838[[#This Row],[Debit\]]-Table838[[#This Row],[Credit.]],""),"")</f>
        <v/>
      </c>
      <c r="AH43" s="34" t="str">
        <f>IFERROR(IF(AND(OR(Table838[[#This Row],[Classification]]="Liabilities",Table838[[#This Row],[Classification]]="Owner´s Equity"),Table838[[#This Row],[Credit.]]&gt;Table838[[#This Row],[Debit\]]),Table838[[#This Row],[Credit.]]-Table838[[#This Row],[Debit\]],""),"")</f>
        <v/>
      </c>
    </row>
    <row r="44" spans="2:34" hidden="1" x14ac:dyDescent="0.25">
      <c r="B44" s="34"/>
      <c r="C44" s="37" t="s">
        <v>98</v>
      </c>
      <c r="D44" s="34"/>
      <c r="E44" s="34">
        <v>400</v>
      </c>
      <c r="G44" s="39"/>
      <c r="H44" s="43"/>
      <c r="I44" s="41"/>
      <c r="J44" s="41"/>
      <c r="L44" s="34">
        <v>37</v>
      </c>
      <c r="M44" s="35" t="s">
        <v>143</v>
      </c>
      <c r="N44" s="35" t="s">
        <v>99</v>
      </c>
      <c r="O44" s="34">
        <f>IFERROR(SUMIF(Table435[,],Table637[[#This Row],[Accounts Name]],Table435[,3]),"")</f>
        <v>0</v>
      </c>
      <c r="P44" s="34">
        <f>IFERROR(SUMIF(Table435[,],Table637[[#This Row],[Accounts Name]],Table435[,2]),"")</f>
        <v>800000</v>
      </c>
      <c r="S44" s="36">
        <f t="shared" si="0"/>
        <v>37</v>
      </c>
      <c r="T44" s="34" t="s">
        <v>61</v>
      </c>
      <c r="U44" s="37" t="s">
        <v>218</v>
      </c>
      <c r="V44" s="34">
        <f>IFERROR(SUMIF(Table637[Sub-Accounts],Table838[[#This Row],[Update your chart of accounts here]],Table637[Debit]),"")</f>
        <v>0</v>
      </c>
      <c r="W44" s="34">
        <f>IFERROR(SUMIF(Table637[Sub-Accounts],Table838[[#This Row],[Update your chart of accounts here]],Table637[Credit]),"")</f>
        <v>0</v>
      </c>
      <c r="X44" s="34"/>
      <c r="Y44" s="34"/>
      <c r="Z44" s="34"/>
      <c r="AA44" s="34"/>
      <c r="AB44" s="34">
        <f>MAX(Table838[[#This Row],[Debit]]+Table838[[#This Row],[Debit -]]-Table838[[#This Row],[Credit]]-Table838[[#This Row],[Credit +]],0)</f>
        <v>0</v>
      </c>
      <c r="AC44" s="34">
        <f>MAX(Table838[[#This Row],[Credit]]-Table838[[#This Row],[Debit]]+Table838[[#This Row],[Credit +]]-Table838[[#This Row],[Debit -]],0)</f>
        <v>0</v>
      </c>
      <c r="AD44" s="34" t="str">
        <f>IFERROR(IF(AND(OR(Table838[[#This Row],[Classification]]="Expense",Table838[[#This Row],[Classification]]="Cost of Goods Sold"),Table838[[#This Row],[Debit\]]&gt;Table838[[#This Row],[Credit.]]),Table838[[#This Row],[Debit\]]-Table838[[#This Row],[Credit.]],""),"")</f>
        <v/>
      </c>
      <c r="AE44" s="34" t="str">
        <f>IFERROR(IF(AND(OR(Table838[[#This Row],[Classification]]="Income",Table838[[#This Row],[Classification]]="Cost of Goods Sold"),Table838[[#This Row],[Credit.]]&gt;Table838[[#This Row],[Debit\]]),Table838[[#This Row],[Credit.]]-Table838[[#This Row],[Debit\]],""),"")</f>
        <v/>
      </c>
      <c r="AF44" s="34"/>
      <c r="AG44" s="34" t="str">
        <f>IFERROR(IF(AND(Table838[[#This Row],[Classification]]="Assets",Table838[[#This Row],[Debit\]]-Table838[[#This Row],[Credit.]]),Table838[[#This Row],[Debit\]]-Table838[[#This Row],[Credit.]],""),"")</f>
        <v/>
      </c>
      <c r="AH44" s="34" t="str">
        <f>IFERROR(IF(AND(OR(Table838[[#This Row],[Classification]]="Liabilities",Table838[[#This Row],[Classification]]="Owner´s Equity"),Table838[[#This Row],[Credit.]]&gt;Table838[[#This Row],[Debit\]]),Table838[[#This Row],[Credit.]]-Table838[[#This Row],[Debit\]],""),"")</f>
        <v/>
      </c>
    </row>
    <row r="45" spans="2:34" hidden="1" x14ac:dyDescent="0.25">
      <c r="B45" s="34"/>
      <c r="C45" s="37" t="s">
        <v>99</v>
      </c>
      <c r="D45" s="34"/>
      <c r="E45" s="34">
        <v>800000</v>
      </c>
      <c r="G45" s="39"/>
      <c r="H45" s="40"/>
      <c r="I45" s="41"/>
      <c r="J45" s="41"/>
      <c r="L45" s="34">
        <v>38</v>
      </c>
      <c r="M45" s="35" t="s">
        <v>62</v>
      </c>
      <c r="N45" s="35" t="s">
        <v>100</v>
      </c>
      <c r="O45" s="34">
        <f>IFERROR(SUMIF(Table435[,],Table637[[#This Row],[Accounts Name]],Table435[,3]),"")</f>
        <v>0</v>
      </c>
      <c r="P45" s="34">
        <f>IFERROR(SUMIF(Table435[,],Table637[[#This Row],[Accounts Name]],Table435[,2]),"")</f>
        <v>332888373.44999999</v>
      </c>
      <c r="S45" s="36">
        <f t="shared" si="0"/>
        <v>38</v>
      </c>
      <c r="T45" s="34" t="s">
        <v>61</v>
      </c>
      <c r="U45" s="37" t="s">
        <v>163</v>
      </c>
      <c r="V45" s="34">
        <f>IFERROR(SUMIF(Table637[Sub-Accounts],Table838[[#This Row],[Update your chart of accounts here]],Table637[Debit]),"")</f>
        <v>300</v>
      </c>
      <c r="W45" s="34">
        <f>IFERROR(SUMIF(Table637[Sub-Accounts],Table838[[#This Row],[Update your chart of accounts here]],Table637[Credit]),"")</f>
        <v>0</v>
      </c>
      <c r="X45" s="34"/>
      <c r="Y45" s="34"/>
      <c r="Z45" s="34"/>
      <c r="AA45" s="34"/>
      <c r="AB45" s="34">
        <f>MAX(Table838[[#This Row],[Debit]]+Table838[[#This Row],[Debit -]]-Table838[[#This Row],[Credit]]-Table838[[#This Row],[Credit +]],0)</f>
        <v>300</v>
      </c>
      <c r="AC45" s="34">
        <f>MAX(Table838[[#This Row],[Credit]]-Table838[[#This Row],[Debit]]+Table838[[#This Row],[Credit +]]-Table838[[#This Row],[Debit -]],0)</f>
        <v>0</v>
      </c>
      <c r="AD45" s="34">
        <f>IFERROR(IF(AND(OR(Table838[[#This Row],[Classification]]="Expense",Table838[[#This Row],[Classification]]="Cost of Goods Sold"),Table838[[#This Row],[Debit\]]&gt;Table838[[#This Row],[Credit.]]),Table838[[#This Row],[Debit\]]-Table838[[#This Row],[Credit.]],""),"")</f>
        <v>300</v>
      </c>
      <c r="AE45" s="34" t="str">
        <f>IFERROR(IF(AND(OR(Table838[[#This Row],[Classification]]="Income",Table838[[#This Row],[Classification]]="Cost of Goods Sold"),Table838[[#This Row],[Credit.]]&gt;Table838[[#This Row],[Debit\]]),Table838[[#This Row],[Credit.]]-Table838[[#This Row],[Debit\]],""),"")</f>
        <v/>
      </c>
      <c r="AF45" s="34"/>
      <c r="AG45" s="34" t="str">
        <f>IFERROR(IF(AND(Table838[[#This Row],[Classification]]="Assets",Table838[[#This Row],[Debit\]]-Table838[[#This Row],[Credit.]]),Table838[[#This Row],[Debit\]]-Table838[[#This Row],[Credit.]],""),"")</f>
        <v/>
      </c>
      <c r="AH45" s="34" t="str">
        <f>IFERROR(IF(AND(OR(Table838[[#This Row],[Classification]]="Liabilities",Table838[[#This Row],[Classification]]="Owner´s Equity"),Table838[[#This Row],[Credit.]]&gt;Table838[[#This Row],[Debit\]]),Table838[[#This Row],[Credit.]]-Table838[[#This Row],[Debit\]],""),"")</f>
        <v/>
      </c>
    </row>
    <row r="46" spans="2:34" hidden="1" x14ac:dyDescent="0.25">
      <c r="B46" s="34"/>
      <c r="C46" s="37" t="s">
        <v>100</v>
      </c>
      <c r="D46" s="34"/>
      <c r="E46" s="34">
        <v>332888373.44999999</v>
      </c>
      <c r="G46" s="39"/>
      <c r="H46" s="40"/>
      <c r="I46" s="41"/>
      <c r="J46" s="41"/>
      <c r="L46" s="34">
        <v>39</v>
      </c>
      <c r="M46" s="35" t="s">
        <v>147</v>
      </c>
      <c r="N46" s="35" t="s">
        <v>101</v>
      </c>
      <c r="O46" s="34">
        <f>IFERROR(SUMIF(Table435[,],Table637[[#This Row],[Accounts Name]],Table435[,3]),"")</f>
        <v>316209838.63</v>
      </c>
      <c r="P46" s="34">
        <f>IFERROR(SUMIF(Table435[,],Table637[[#This Row],[Accounts Name]],Table435[,2]),"")</f>
        <v>0</v>
      </c>
      <c r="S46" s="36">
        <f t="shared" si="0"/>
        <v>39</v>
      </c>
      <c r="T46" s="34" t="s">
        <v>61</v>
      </c>
      <c r="U46" s="37" t="s">
        <v>164</v>
      </c>
      <c r="V46" s="34">
        <f>IFERROR(SUMIF(Table637[Sub-Accounts],Table838[[#This Row],[Update your chart of accounts here]],Table637[Debit]),"")</f>
        <v>436840.42</v>
      </c>
      <c r="W46" s="34">
        <f>IFERROR(SUMIF(Table637[Sub-Accounts],Table838[[#This Row],[Update your chart of accounts here]],Table637[Credit]),"")</f>
        <v>0</v>
      </c>
      <c r="X46" s="34"/>
      <c r="Y46" s="34"/>
      <c r="Z46" s="34"/>
      <c r="AA46" s="34"/>
      <c r="AB46" s="34">
        <f>MAX(Table838[[#This Row],[Debit]]+Table838[[#This Row],[Debit -]]-Table838[[#This Row],[Credit]]-Table838[[#This Row],[Credit +]],0)</f>
        <v>436840.42</v>
      </c>
      <c r="AC46" s="34">
        <f>MAX(Table838[[#This Row],[Credit]]-Table838[[#This Row],[Debit]]+Table838[[#This Row],[Credit +]]-Table838[[#This Row],[Debit -]],0)</f>
        <v>0</v>
      </c>
      <c r="AD46" s="34">
        <f>IFERROR(IF(AND(OR(Table838[[#This Row],[Classification]]="Expense",Table838[[#This Row],[Classification]]="Cost of Goods Sold"),Table838[[#This Row],[Debit\]]&gt;Table838[[#This Row],[Credit.]]),Table838[[#This Row],[Debit\]]-Table838[[#This Row],[Credit.]],""),"")</f>
        <v>436840.42</v>
      </c>
      <c r="AE46" s="34" t="str">
        <f>IFERROR(IF(AND(OR(Table838[[#This Row],[Classification]]="Income",Table838[[#This Row],[Classification]]="Cost of Goods Sold"),Table838[[#This Row],[Credit.]]&gt;Table838[[#This Row],[Debit\]]),Table838[[#This Row],[Credit.]]-Table838[[#This Row],[Debit\]],""),"")</f>
        <v/>
      </c>
      <c r="AF46" s="34"/>
      <c r="AG46" s="34" t="str">
        <f>IFERROR(IF(AND(Table838[[#This Row],[Classification]]="Assets",Table838[[#This Row],[Debit\]]-Table838[[#This Row],[Credit.]]),Table838[[#This Row],[Debit\]]-Table838[[#This Row],[Credit.]],""),"")</f>
        <v/>
      </c>
      <c r="AH46" s="34" t="str">
        <f>IFERROR(IF(AND(OR(Table838[[#This Row],[Classification]]="Liabilities",Table838[[#This Row],[Classification]]="Owner´s Equity"),Table838[[#This Row],[Credit.]]&gt;Table838[[#This Row],[Debit\]]),Table838[[#This Row],[Credit.]]-Table838[[#This Row],[Debit\]],""),"")</f>
        <v/>
      </c>
    </row>
    <row r="47" spans="2:34" hidden="1" x14ac:dyDescent="0.25">
      <c r="B47" s="34"/>
      <c r="C47" s="37" t="s">
        <v>101</v>
      </c>
      <c r="D47" s="34">
        <v>316209838.63</v>
      </c>
      <c r="E47" s="34"/>
      <c r="G47" s="39"/>
      <c r="H47" s="43"/>
      <c r="I47" s="41"/>
      <c r="J47" s="41"/>
      <c r="L47" s="34">
        <v>40</v>
      </c>
      <c r="M47" s="35" t="s">
        <v>148</v>
      </c>
      <c r="N47" s="35" t="s">
        <v>102</v>
      </c>
      <c r="O47" s="34">
        <f>IFERROR(SUMIF(Table435[,],Table637[[#This Row],[Accounts Name]],Table435[,3]),"")</f>
        <v>568965.54</v>
      </c>
      <c r="P47" s="34">
        <f>IFERROR(SUMIF(Table435[,],Table637[[#This Row],[Accounts Name]],Table435[,2]),"")</f>
        <v>0</v>
      </c>
      <c r="S47" s="36">
        <f t="shared" si="0"/>
        <v>40</v>
      </c>
      <c r="T47" s="34" t="s">
        <v>61</v>
      </c>
      <c r="U47" s="37" t="s">
        <v>219</v>
      </c>
      <c r="V47" s="34">
        <f>IFERROR(SUMIF(Table637[Sub-Accounts],Table838[[#This Row],[Update your chart of accounts here]],Table637[Debit]),"")</f>
        <v>0</v>
      </c>
      <c r="W47" s="34">
        <f>IFERROR(SUMIF(Table637[Sub-Accounts],Table838[[#This Row],[Update your chart of accounts here]],Table637[Credit]),"")</f>
        <v>0</v>
      </c>
      <c r="X47" s="34"/>
      <c r="Y47" s="34"/>
      <c r="Z47" s="34"/>
      <c r="AA47" s="34"/>
      <c r="AB47" s="34">
        <f>MAX(Table838[[#This Row],[Debit]]+Table838[[#This Row],[Debit -]]-Table838[[#This Row],[Credit]]-Table838[[#This Row],[Credit +]],0)</f>
        <v>0</v>
      </c>
      <c r="AC47" s="34">
        <f>MAX(Table838[[#This Row],[Credit]]-Table838[[#This Row],[Debit]]+Table838[[#This Row],[Credit +]]-Table838[[#This Row],[Debit -]],0)</f>
        <v>0</v>
      </c>
      <c r="AD47" s="34" t="str">
        <f>IFERROR(IF(AND(OR(Table838[[#This Row],[Classification]]="Expense",Table838[[#This Row],[Classification]]="Cost of Goods Sold"),Table838[[#This Row],[Debit\]]&gt;Table838[[#This Row],[Credit.]]),Table838[[#This Row],[Debit\]]-Table838[[#This Row],[Credit.]],""),"")</f>
        <v/>
      </c>
      <c r="AE47" s="34" t="str">
        <f>IFERROR(IF(AND(OR(Table838[[#This Row],[Classification]]="Income",Table838[[#This Row],[Classification]]="Cost of Goods Sold"),Table838[[#This Row],[Credit.]]&gt;Table838[[#This Row],[Debit\]]),Table838[[#This Row],[Credit.]]-Table838[[#This Row],[Debit\]],""),"")</f>
        <v/>
      </c>
      <c r="AF47" s="34"/>
      <c r="AG47" s="34" t="str">
        <f>IFERROR(IF(AND(Table838[[#This Row],[Classification]]="Assets",Table838[[#This Row],[Debit\]]-Table838[[#This Row],[Credit.]]),Table838[[#This Row],[Debit\]]-Table838[[#This Row],[Credit.]],""),"")</f>
        <v/>
      </c>
      <c r="AH47" s="34" t="str">
        <f>IFERROR(IF(AND(OR(Table838[[#This Row],[Classification]]="Liabilities",Table838[[#This Row],[Classification]]="Owner´s Equity"),Table838[[#This Row],[Credit.]]&gt;Table838[[#This Row],[Debit\]]),Table838[[#This Row],[Credit.]]-Table838[[#This Row],[Debit\]],""),"")</f>
        <v/>
      </c>
    </row>
    <row r="48" spans="2:34" hidden="1" x14ac:dyDescent="0.25">
      <c r="B48" s="34"/>
      <c r="C48" s="37" t="s">
        <v>102</v>
      </c>
      <c r="D48" s="34">
        <v>568965.54</v>
      </c>
      <c r="E48" s="34"/>
      <c r="G48" s="39"/>
      <c r="H48" s="40"/>
      <c r="I48" s="41"/>
      <c r="J48" s="41"/>
      <c r="L48" s="34">
        <v>41</v>
      </c>
      <c r="M48" s="35" t="s">
        <v>149</v>
      </c>
      <c r="N48" s="35" t="s">
        <v>103</v>
      </c>
      <c r="O48" s="34">
        <f>IFERROR(SUMIF(Table435[,],Table637[[#This Row],[Accounts Name]],Table435[,3]),"")</f>
        <v>175000</v>
      </c>
      <c r="P48" s="34">
        <f>IFERROR(SUMIF(Table435[,],Table637[[#This Row],[Accounts Name]],Table435[,2]),"")</f>
        <v>0</v>
      </c>
      <c r="S48" s="36">
        <f t="shared" si="0"/>
        <v>41</v>
      </c>
      <c r="T48" s="34" t="s">
        <v>61</v>
      </c>
      <c r="U48" s="37" t="s">
        <v>169</v>
      </c>
      <c r="V48" s="34">
        <f>IFERROR(SUMIF(Table637[Sub-Accounts],Table838[[#This Row],[Update your chart of accounts here]],Table637[Debit]),"")</f>
        <v>2000</v>
      </c>
      <c r="W48" s="34">
        <f>IFERROR(SUMIF(Table637[Sub-Accounts],Table838[[#This Row],[Update your chart of accounts here]],Table637[Credit]),"")</f>
        <v>0</v>
      </c>
      <c r="X48" s="34"/>
      <c r="Y48" s="34"/>
      <c r="Z48" s="34"/>
      <c r="AA48" s="34"/>
      <c r="AB48" s="34">
        <f>MAX(Table838[[#This Row],[Debit]]+Table838[[#This Row],[Debit -]]-Table838[[#This Row],[Credit]]-Table838[[#This Row],[Credit +]],0)</f>
        <v>2000</v>
      </c>
      <c r="AC48" s="34">
        <f>MAX(Table838[[#This Row],[Credit]]-Table838[[#This Row],[Debit]]+Table838[[#This Row],[Credit +]]-Table838[[#This Row],[Debit -]],0)</f>
        <v>0</v>
      </c>
      <c r="AD48" s="34">
        <f>IFERROR(IF(AND(OR(Table838[[#This Row],[Classification]]="Expense",Table838[[#This Row],[Classification]]="Cost of Goods Sold"),Table838[[#This Row],[Debit\]]&gt;Table838[[#This Row],[Credit.]]),Table838[[#This Row],[Debit\]]-Table838[[#This Row],[Credit.]],""),"")</f>
        <v>2000</v>
      </c>
      <c r="AE48" s="34" t="str">
        <f>IFERROR(IF(AND(OR(Table838[[#This Row],[Classification]]="Income",Table838[[#This Row],[Classification]]="Cost of Goods Sold"),Table838[[#This Row],[Credit.]]&gt;Table838[[#This Row],[Debit\]]),Table838[[#This Row],[Credit.]]-Table838[[#This Row],[Debit\]],""),"")</f>
        <v/>
      </c>
      <c r="AF48" s="34"/>
      <c r="AG48" s="34" t="str">
        <f>IFERROR(IF(AND(Table838[[#This Row],[Classification]]="Assets",Table838[[#This Row],[Debit\]]-Table838[[#This Row],[Credit.]]),Table838[[#This Row],[Debit\]]-Table838[[#This Row],[Credit.]],""),"")</f>
        <v/>
      </c>
      <c r="AH48" s="34" t="str">
        <f>IFERROR(IF(AND(OR(Table838[[#This Row],[Classification]]="Liabilities",Table838[[#This Row],[Classification]]="Owner´s Equity"),Table838[[#This Row],[Credit.]]&gt;Table838[[#This Row],[Debit\]]),Table838[[#This Row],[Credit.]]-Table838[[#This Row],[Debit\]],""),"")</f>
        <v/>
      </c>
    </row>
    <row r="49" spans="2:34" hidden="1" x14ac:dyDescent="0.25">
      <c r="B49" s="34"/>
      <c r="C49" s="37" t="s">
        <v>103</v>
      </c>
      <c r="D49" s="34">
        <v>175000</v>
      </c>
      <c r="E49" s="34"/>
      <c r="G49" s="39"/>
      <c r="H49" s="40"/>
      <c r="I49" s="41"/>
      <c r="J49" s="41"/>
      <c r="L49" s="34">
        <v>42</v>
      </c>
      <c r="M49" s="35" t="s">
        <v>150</v>
      </c>
      <c r="N49" s="35" t="s">
        <v>104</v>
      </c>
      <c r="O49" s="34">
        <f>IFERROR(SUMIF(Table435[,],Table637[[#This Row],[Accounts Name]],Table435[,3]),"")</f>
        <v>176009.84</v>
      </c>
      <c r="P49" s="34">
        <f>IFERROR(SUMIF(Table435[,],Table637[[#This Row],[Accounts Name]],Table435[,2]),"")</f>
        <v>0</v>
      </c>
      <c r="S49" s="36">
        <f t="shared" si="0"/>
        <v>42</v>
      </c>
      <c r="T49" s="34" t="s">
        <v>61</v>
      </c>
      <c r="U49" s="37" t="s">
        <v>170</v>
      </c>
      <c r="V49" s="34">
        <f>IFERROR(SUMIF(Table637[Sub-Accounts],Table838[[#This Row],[Update your chart of accounts here]],Table637[Debit]),"")</f>
        <v>13250</v>
      </c>
      <c r="W49" s="34">
        <f>IFERROR(SUMIF(Table637[Sub-Accounts],Table838[[#This Row],[Update your chart of accounts here]],Table637[Credit]),"")</f>
        <v>0</v>
      </c>
      <c r="X49" s="34"/>
      <c r="Y49" s="34"/>
      <c r="Z49" s="34"/>
      <c r="AA49" s="34"/>
      <c r="AB49" s="34">
        <f>MAX(Table838[[#This Row],[Debit]]+Table838[[#This Row],[Debit -]]-Table838[[#This Row],[Credit]]-Table838[[#This Row],[Credit +]],0)</f>
        <v>13250</v>
      </c>
      <c r="AC49" s="34">
        <f>MAX(Table838[[#This Row],[Credit]]-Table838[[#This Row],[Debit]]+Table838[[#This Row],[Credit +]]-Table838[[#This Row],[Debit -]],0)</f>
        <v>0</v>
      </c>
      <c r="AD49" s="34">
        <f>IFERROR(IF(AND(OR(Table838[[#This Row],[Classification]]="Expense",Table838[[#This Row],[Classification]]="Cost of Goods Sold"),Table838[[#This Row],[Debit\]]&gt;Table838[[#This Row],[Credit.]]),Table838[[#This Row],[Debit\]]-Table838[[#This Row],[Credit.]],""),"")</f>
        <v>13250</v>
      </c>
      <c r="AE49" s="34" t="str">
        <f>IFERROR(IF(AND(OR(Table838[[#This Row],[Classification]]="Income",Table838[[#This Row],[Classification]]="Cost of Goods Sold"),Table838[[#This Row],[Credit.]]&gt;Table838[[#This Row],[Debit\]]),Table838[[#This Row],[Credit.]]-Table838[[#This Row],[Debit\]],""),"")</f>
        <v/>
      </c>
      <c r="AF49" s="34"/>
      <c r="AG49" s="34" t="str">
        <f>IFERROR(IF(AND(Table838[[#This Row],[Classification]]="Assets",Table838[[#This Row],[Debit\]]-Table838[[#This Row],[Credit.]]),Table838[[#This Row],[Debit\]]-Table838[[#This Row],[Credit.]],""),"")</f>
        <v/>
      </c>
      <c r="AH49" s="34" t="str">
        <f>IFERROR(IF(AND(OR(Table838[[#This Row],[Classification]]="Liabilities",Table838[[#This Row],[Classification]]="Owner´s Equity"),Table838[[#This Row],[Credit.]]&gt;Table838[[#This Row],[Debit\]]),Table838[[#This Row],[Credit.]]-Table838[[#This Row],[Debit\]],""),"")</f>
        <v/>
      </c>
    </row>
    <row r="50" spans="2:34" hidden="1" x14ac:dyDescent="0.25">
      <c r="B50" s="34"/>
      <c r="C50" s="37" t="s">
        <v>104</v>
      </c>
      <c r="D50" s="34">
        <v>176009.84</v>
      </c>
      <c r="E50" s="34"/>
      <c r="G50" s="39"/>
      <c r="H50" s="43"/>
      <c r="I50" s="41"/>
      <c r="J50" s="41"/>
      <c r="L50" s="34">
        <v>43</v>
      </c>
      <c r="M50" s="35" t="s">
        <v>151</v>
      </c>
      <c r="N50" s="35" t="s">
        <v>105</v>
      </c>
      <c r="O50" s="34">
        <f>IFERROR(SUMIF(Table435[,],Table637[[#This Row],[Accounts Name]],Table435[,3]),"")</f>
        <v>4000</v>
      </c>
      <c r="P50" s="34">
        <f>IFERROR(SUMIF(Table435[,],Table637[[#This Row],[Accounts Name]],Table435[,2]),"")</f>
        <v>0</v>
      </c>
      <c r="S50" s="36">
        <f t="shared" si="0"/>
        <v>43</v>
      </c>
      <c r="T50" s="34" t="s">
        <v>61</v>
      </c>
      <c r="U50" s="37" t="s">
        <v>220</v>
      </c>
      <c r="V50" s="34">
        <f>IFERROR(SUMIF(Table637[Sub-Accounts],Table838[[#This Row],[Update your chart of accounts here]],Table637[Debit]),"")</f>
        <v>0</v>
      </c>
      <c r="W50" s="34">
        <f>IFERROR(SUMIF(Table637[Sub-Accounts],Table838[[#This Row],[Update your chart of accounts here]],Table637[Credit]),"")</f>
        <v>0</v>
      </c>
      <c r="X50" s="34"/>
      <c r="Y50" s="34"/>
      <c r="Z50" s="34"/>
      <c r="AA50" s="34"/>
      <c r="AB50" s="34">
        <f>MAX(Table838[[#This Row],[Debit]]+Table838[[#This Row],[Debit -]]-Table838[[#This Row],[Credit]]-Table838[[#This Row],[Credit +]],0)</f>
        <v>0</v>
      </c>
      <c r="AC50" s="34">
        <f>MAX(Table838[[#This Row],[Credit]]-Table838[[#This Row],[Debit]]+Table838[[#This Row],[Credit +]]-Table838[[#This Row],[Debit -]],0)</f>
        <v>0</v>
      </c>
      <c r="AD50" s="34" t="str">
        <f>IFERROR(IF(AND(OR(Table838[[#This Row],[Classification]]="Expense",Table838[[#This Row],[Classification]]="Cost of Goods Sold"),Table838[[#This Row],[Debit\]]&gt;Table838[[#This Row],[Credit.]]),Table838[[#This Row],[Debit\]]-Table838[[#This Row],[Credit.]],""),"")</f>
        <v/>
      </c>
      <c r="AE50" s="34" t="str">
        <f>IFERROR(IF(AND(OR(Table838[[#This Row],[Classification]]="Income",Table838[[#This Row],[Classification]]="Cost of Goods Sold"),Table838[[#This Row],[Credit.]]&gt;Table838[[#This Row],[Debit\]]),Table838[[#This Row],[Credit.]]-Table838[[#This Row],[Debit\]],""),"")</f>
        <v/>
      </c>
      <c r="AF50" s="34"/>
      <c r="AG50" s="34" t="str">
        <f>IFERROR(IF(AND(Table838[[#This Row],[Classification]]="Assets",Table838[[#This Row],[Debit\]]-Table838[[#This Row],[Credit.]]),Table838[[#This Row],[Debit\]]-Table838[[#This Row],[Credit.]],""),"")</f>
        <v/>
      </c>
      <c r="AH50" s="34" t="str">
        <f>IFERROR(IF(AND(OR(Table838[[#This Row],[Classification]]="Liabilities",Table838[[#This Row],[Classification]]="Owner´s Equity"),Table838[[#This Row],[Credit.]]&gt;Table838[[#This Row],[Debit\]]),Table838[[#This Row],[Credit.]]-Table838[[#This Row],[Debit\]],""),"")</f>
        <v/>
      </c>
    </row>
    <row r="51" spans="2:34" hidden="1" x14ac:dyDescent="0.25">
      <c r="B51" s="34"/>
      <c r="C51" s="37" t="s">
        <v>105</v>
      </c>
      <c r="D51" s="34">
        <v>4000</v>
      </c>
      <c r="E51" s="34"/>
      <c r="G51" s="39"/>
      <c r="H51" s="40"/>
      <c r="I51" s="41"/>
      <c r="J51" s="41"/>
      <c r="L51" s="34">
        <v>44</v>
      </c>
      <c r="M51" s="35" t="s">
        <v>152</v>
      </c>
      <c r="N51" s="35" t="s">
        <v>106</v>
      </c>
      <c r="O51" s="34">
        <f>IFERROR(SUMIF(Table435[,],Table637[[#This Row],[Accounts Name]],Table435[,3]),"")</f>
        <v>50190.32</v>
      </c>
      <c r="P51" s="34">
        <f>IFERROR(SUMIF(Table435[,],Table637[[#This Row],[Accounts Name]],Table435[,2]),"")</f>
        <v>0</v>
      </c>
      <c r="S51" s="36">
        <f t="shared" si="0"/>
        <v>44</v>
      </c>
      <c r="T51" s="34" t="s">
        <v>61</v>
      </c>
      <c r="U51" s="37" t="s">
        <v>155</v>
      </c>
      <c r="V51" s="34">
        <f>IFERROR(SUMIF(Table637[Sub-Accounts],Table838[[#This Row],[Update your chart of accounts here]],Table637[Debit]),"")</f>
        <v>1000000</v>
      </c>
      <c r="W51" s="34">
        <f>IFERROR(SUMIF(Table637[Sub-Accounts],Table838[[#This Row],[Update your chart of accounts here]],Table637[Credit]),"")</f>
        <v>0</v>
      </c>
      <c r="X51" s="34"/>
      <c r="Y51" s="34" t="s">
        <v>226</v>
      </c>
      <c r="Z51" s="34"/>
      <c r="AA51" s="34">
        <f>J15</f>
        <v>1000000</v>
      </c>
      <c r="AB51" s="34">
        <f>MAX(Table838[[#This Row],[Debit]]+Table838[[#This Row],[Debit -]]-Table838[[#This Row],[Credit]]-Table838[[#This Row],[Credit +]],0)</f>
        <v>0</v>
      </c>
      <c r="AC51" s="34">
        <f>MAX(Table838[[#This Row],[Credit]]-Table838[[#This Row],[Debit]]+Table838[[#This Row],[Credit +]]-Table838[[#This Row],[Debit -]],0)</f>
        <v>0</v>
      </c>
      <c r="AD51" s="34" t="str">
        <f>IFERROR(IF(AND(OR(Table838[[#This Row],[Classification]]="Expense",Table838[[#This Row],[Classification]]="Cost of Goods Sold"),Table838[[#This Row],[Debit\]]&gt;Table838[[#This Row],[Credit.]]),Table838[[#This Row],[Debit\]]-Table838[[#This Row],[Credit.]],""),"")</f>
        <v/>
      </c>
      <c r="AE51" s="34" t="str">
        <f>IFERROR(IF(AND(OR(Table838[[#This Row],[Classification]]="Income",Table838[[#This Row],[Classification]]="Cost of Goods Sold"),Table838[[#This Row],[Credit.]]&gt;Table838[[#This Row],[Debit\]]),Table838[[#This Row],[Credit.]]-Table838[[#This Row],[Debit\]],""),"")</f>
        <v/>
      </c>
      <c r="AF51" s="34"/>
      <c r="AG51" s="34" t="str">
        <f>IFERROR(IF(AND(Table838[[#This Row],[Classification]]="Assets",Table838[[#This Row],[Debit\]]-Table838[[#This Row],[Credit.]]),Table838[[#This Row],[Debit\]]-Table838[[#This Row],[Credit.]],""),"")</f>
        <v/>
      </c>
      <c r="AH51" s="34" t="str">
        <f>IFERROR(IF(AND(OR(Table838[[#This Row],[Classification]]="Liabilities",Table838[[#This Row],[Classification]]="Owner´s Equity"),Table838[[#This Row],[Credit.]]&gt;Table838[[#This Row],[Debit\]]),Table838[[#This Row],[Credit.]]-Table838[[#This Row],[Debit\]],""),"")</f>
        <v/>
      </c>
    </row>
    <row r="52" spans="2:34" hidden="1" x14ac:dyDescent="0.25">
      <c r="B52" s="34"/>
      <c r="C52" s="37" t="s">
        <v>106</v>
      </c>
      <c r="D52" s="34">
        <v>50190.32</v>
      </c>
      <c r="E52" s="34"/>
      <c r="G52" s="39"/>
      <c r="H52" s="40"/>
      <c r="I52" s="41"/>
      <c r="J52" s="41"/>
      <c r="L52" s="34">
        <v>45</v>
      </c>
      <c r="M52" s="35" t="s">
        <v>153</v>
      </c>
      <c r="N52" s="35" t="s">
        <v>107</v>
      </c>
      <c r="O52" s="34">
        <f>IFERROR(SUMIF(Table435[,],Table637[[#This Row],[Accounts Name]],Table435[,3]),"")</f>
        <v>233250</v>
      </c>
      <c r="P52" s="34">
        <f>IFERROR(SUMIF(Table435[,],Table637[[#This Row],[Accounts Name]],Table435[,2]),"")</f>
        <v>0</v>
      </c>
      <c r="S52" s="36">
        <f t="shared" si="0"/>
        <v>45</v>
      </c>
      <c r="T52" s="34" t="s">
        <v>61</v>
      </c>
      <c r="U52" s="37" t="s">
        <v>171</v>
      </c>
      <c r="V52" s="34">
        <f>IFERROR(SUMIF(Table637[Sub-Accounts],Table838[[#This Row],[Update your chart of accounts here]],Table637[Debit]),"")</f>
        <v>0</v>
      </c>
      <c r="W52" s="34">
        <f>IFERROR(SUMIF(Table637[Sub-Accounts],Table838[[#This Row],[Update your chart of accounts here]],Table637[Credit]),"")</f>
        <v>0</v>
      </c>
      <c r="X52" s="34"/>
      <c r="Y52" s="34" t="s">
        <v>224</v>
      </c>
      <c r="Z52" s="34">
        <f>I9</f>
        <v>409278.51677448238</v>
      </c>
      <c r="AA52" s="34"/>
      <c r="AB52" s="34">
        <f>MAX(Table838[[#This Row],[Debit]]+Table838[[#This Row],[Debit -]]-Table838[[#This Row],[Credit]]-Table838[[#This Row],[Credit +]],0)</f>
        <v>409278.51677448238</v>
      </c>
      <c r="AC52" s="34">
        <f>MAX(Table838[[#This Row],[Credit]]-Table838[[#This Row],[Debit]]+Table838[[#This Row],[Credit +]]-Table838[[#This Row],[Debit -]],0)</f>
        <v>0</v>
      </c>
      <c r="AD52" s="34">
        <f>IFERROR(IF(AND(OR(Table838[[#This Row],[Classification]]="Expense",Table838[[#This Row],[Classification]]="Cost of Goods Sold"),Table838[[#This Row],[Debit\]]&gt;Table838[[#This Row],[Credit.]]),Table838[[#This Row],[Debit\]]-Table838[[#This Row],[Credit.]],""),"")</f>
        <v>409278.51677448238</v>
      </c>
      <c r="AE52" s="34" t="str">
        <f>IFERROR(IF(AND(OR(Table838[[#This Row],[Classification]]="Income",Table838[[#This Row],[Classification]]="Cost of Goods Sold"),Table838[[#This Row],[Credit.]]&gt;Table838[[#This Row],[Debit\]]),Table838[[#This Row],[Credit.]]-Table838[[#This Row],[Debit\]],""),"")</f>
        <v/>
      </c>
      <c r="AF52" s="34"/>
      <c r="AG52" s="34" t="str">
        <f>IFERROR(IF(AND(Table838[[#This Row],[Classification]]="Assets",Table838[[#This Row],[Debit\]]-Table838[[#This Row],[Credit.]]),Table838[[#This Row],[Debit\]]-Table838[[#This Row],[Credit.]],""),"")</f>
        <v/>
      </c>
      <c r="AH52" s="34" t="str">
        <f>IFERROR(IF(AND(OR(Table838[[#This Row],[Classification]]="Liabilities",Table838[[#This Row],[Classification]]="Owner´s Equity"),Table838[[#This Row],[Credit.]]&gt;Table838[[#This Row],[Debit\]]),Table838[[#This Row],[Credit.]]-Table838[[#This Row],[Debit\]],""),"")</f>
        <v/>
      </c>
    </row>
    <row r="53" spans="2:34" hidden="1" x14ac:dyDescent="0.25">
      <c r="B53" s="34"/>
      <c r="C53" s="37" t="s">
        <v>107</v>
      </c>
      <c r="D53" s="34">
        <v>233250</v>
      </c>
      <c r="E53" s="34"/>
      <c r="G53" s="39"/>
      <c r="H53" s="43"/>
      <c r="I53" s="41"/>
      <c r="J53" s="41"/>
      <c r="L53" s="34">
        <v>46</v>
      </c>
      <c r="M53" s="35" t="s">
        <v>154</v>
      </c>
      <c r="N53" s="35" t="s">
        <v>108</v>
      </c>
      <c r="O53" s="34">
        <f>IFERROR(SUMIF(Table435[,],Table637[[#This Row],[Accounts Name]],Table435[,3]),"")</f>
        <v>2500001</v>
      </c>
      <c r="P53" s="34">
        <f>IFERROR(SUMIF(Table435[,],Table637[[#This Row],[Accounts Name]],Table435[,2]),"")</f>
        <v>0</v>
      </c>
      <c r="S53" s="36">
        <f t="shared" si="0"/>
        <v>46</v>
      </c>
      <c r="T53" s="34" t="s">
        <v>61</v>
      </c>
      <c r="U53" s="37" t="s">
        <v>148</v>
      </c>
      <c r="V53" s="34">
        <f>IFERROR(SUMIF(Table637[Sub-Accounts],Table838[[#This Row],[Update your chart of accounts here]],Table637[Debit]),"")</f>
        <v>568965.54</v>
      </c>
      <c r="W53" s="34">
        <f>IFERROR(SUMIF(Table637[Sub-Accounts],Table838[[#This Row],[Update your chart of accounts here]],Table637[Credit]),"")</f>
        <v>0</v>
      </c>
      <c r="X53" s="34"/>
      <c r="Y53" s="34"/>
      <c r="Z53" s="34"/>
      <c r="AA53" s="34"/>
      <c r="AB53" s="34">
        <f>MAX(Table838[[#This Row],[Debit]]+Table838[[#This Row],[Debit -]]-Table838[[#This Row],[Credit]]-Table838[[#This Row],[Credit +]],0)</f>
        <v>568965.54</v>
      </c>
      <c r="AC53" s="34">
        <f>MAX(Table838[[#This Row],[Credit]]-Table838[[#This Row],[Debit]]+Table838[[#This Row],[Credit +]]-Table838[[#This Row],[Debit -]],0)</f>
        <v>0</v>
      </c>
      <c r="AD53" s="34">
        <f>IFERROR(IF(AND(OR(Table838[[#This Row],[Classification]]="Expense",Table838[[#This Row],[Classification]]="Cost of Goods Sold"),Table838[[#This Row],[Debit\]]&gt;Table838[[#This Row],[Credit.]]),Table838[[#This Row],[Debit\]]-Table838[[#This Row],[Credit.]],""),"")</f>
        <v>568965.54</v>
      </c>
      <c r="AE53" s="34" t="str">
        <f>IFERROR(IF(AND(OR(Table838[[#This Row],[Classification]]="Income",Table838[[#This Row],[Classification]]="Cost of Goods Sold"),Table838[[#This Row],[Credit.]]&gt;Table838[[#This Row],[Debit\]]),Table838[[#This Row],[Credit.]]-Table838[[#This Row],[Debit\]],""),"")</f>
        <v/>
      </c>
      <c r="AF53" s="34"/>
      <c r="AG53" s="34" t="str">
        <f>IFERROR(IF(AND(Table838[[#This Row],[Classification]]="Assets",Table838[[#This Row],[Debit\]]-Table838[[#This Row],[Credit.]]),Table838[[#This Row],[Debit\]]-Table838[[#This Row],[Credit.]],""),"")</f>
        <v/>
      </c>
      <c r="AH53" s="34" t="str">
        <f>IFERROR(IF(AND(OR(Table838[[#This Row],[Classification]]="Liabilities",Table838[[#This Row],[Classification]]="Owner´s Equity"),Table838[[#This Row],[Credit.]]&gt;Table838[[#This Row],[Debit\]]),Table838[[#This Row],[Credit.]]-Table838[[#This Row],[Debit\]],""),"")</f>
        <v/>
      </c>
    </row>
    <row r="54" spans="2:34" hidden="1" x14ac:dyDescent="0.25">
      <c r="B54" s="34"/>
      <c r="C54" s="37" t="s">
        <v>108</v>
      </c>
      <c r="D54" s="34">
        <v>2500001</v>
      </c>
      <c r="E54" s="34"/>
      <c r="G54" s="39"/>
      <c r="H54" s="40"/>
      <c r="I54" s="41"/>
      <c r="J54" s="41"/>
      <c r="L54" s="34">
        <v>47</v>
      </c>
      <c r="M54" s="35" t="s">
        <v>155</v>
      </c>
      <c r="N54" s="35" t="s">
        <v>109</v>
      </c>
      <c r="O54" s="34">
        <f>IFERROR(SUMIF(Table435[,],Table637[[#This Row],[Accounts Name]],Table435[,3]),"")</f>
        <v>1000000</v>
      </c>
      <c r="P54" s="34">
        <f>IFERROR(SUMIF(Table435[,],Table637[[#This Row],[Accounts Name]],Table435[,2]),"")</f>
        <v>0</v>
      </c>
      <c r="S54" s="36">
        <f t="shared" si="0"/>
        <v>47</v>
      </c>
      <c r="T54" s="34" t="s">
        <v>61</v>
      </c>
      <c r="U54" s="37" t="s">
        <v>158</v>
      </c>
      <c r="V54" s="34">
        <f>IFERROR(SUMIF(Table637[Sub-Accounts],Table838[[#This Row],[Update your chart of accounts here]],Table637[Debit]),"")</f>
        <v>436880</v>
      </c>
      <c r="W54" s="34">
        <f>IFERROR(SUMIF(Table637[Sub-Accounts],Table838[[#This Row],[Update your chart of accounts here]],Table637[Credit]),"")</f>
        <v>0</v>
      </c>
      <c r="X54" s="34"/>
      <c r="Y54" s="34"/>
      <c r="Z54" s="34"/>
      <c r="AA54" s="34"/>
      <c r="AB54" s="34">
        <f>MAX(Table838[[#This Row],[Debit]]+Table838[[#This Row],[Debit -]]-Table838[[#This Row],[Credit]]-Table838[[#This Row],[Credit +]],0)</f>
        <v>436880</v>
      </c>
      <c r="AC54" s="34">
        <f>MAX(Table838[[#This Row],[Credit]]-Table838[[#This Row],[Debit]]+Table838[[#This Row],[Credit +]]-Table838[[#This Row],[Debit -]],0)</f>
        <v>0</v>
      </c>
      <c r="AD54" s="34">
        <f>IFERROR(IF(AND(OR(Table838[[#This Row],[Classification]]="Expense",Table838[[#This Row],[Classification]]="Cost of Goods Sold"),Table838[[#This Row],[Debit\]]&gt;Table838[[#This Row],[Credit.]]),Table838[[#This Row],[Debit\]]-Table838[[#This Row],[Credit.]],""),"")</f>
        <v>436880</v>
      </c>
      <c r="AE54" s="34" t="str">
        <f>IFERROR(IF(AND(OR(Table838[[#This Row],[Classification]]="Income",Table838[[#This Row],[Classification]]="Cost of Goods Sold"),Table838[[#This Row],[Credit.]]&gt;Table838[[#This Row],[Debit\]]),Table838[[#This Row],[Credit.]]-Table838[[#This Row],[Debit\]],""),"")</f>
        <v/>
      </c>
      <c r="AF54" s="34"/>
      <c r="AG54" s="34" t="str">
        <f>IFERROR(IF(AND(Table838[[#This Row],[Classification]]="Assets",Table838[[#This Row],[Debit\]]-Table838[[#This Row],[Credit.]]),Table838[[#This Row],[Debit\]]-Table838[[#This Row],[Credit.]],""),"")</f>
        <v/>
      </c>
      <c r="AH54" s="34" t="str">
        <f>IFERROR(IF(AND(OR(Table838[[#This Row],[Classification]]="Liabilities",Table838[[#This Row],[Classification]]="Owner´s Equity"),Table838[[#This Row],[Credit.]]&gt;Table838[[#This Row],[Debit\]]),Table838[[#This Row],[Credit.]]-Table838[[#This Row],[Debit\]],""),"")</f>
        <v/>
      </c>
    </row>
    <row r="55" spans="2:34" hidden="1" x14ac:dyDescent="0.25">
      <c r="B55" s="34"/>
      <c r="C55" s="37" t="s">
        <v>109</v>
      </c>
      <c r="D55" s="34">
        <v>1000000</v>
      </c>
      <c r="E55" s="34"/>
      <c r="G55" s="39"/>
      <c r="H55" s="40"/>
      <c r="I55" s="41"/>
      <c r="J55" s="41"/>
      <c r="L55" s="34">
        <v>48</v>
      </c>
      <c r="M55" s="35" t="s">
        <v>156</v>
      </c>
      <c r="N55" s="35" t="s">
        <v>110</v>
      </c>
      <c r="O55" s="34">
        <f>IFERROR(SUMIF(Table435[,],Table637[[#This Row],[Accounts Name]],Table435[,3]),"")</f>
        <v>900</v>
      </c>
      <c r="P55" s="34">
        <f>IFERROR(SUMIF(Table435[,],Table637[[#This Row],[Accounts Name]],Table435[,2]),"")</f>
        <v>0</v>
      </c>
      <c r="S55" s="36">
        <f t="shared" si="0"/>
        <v>48</v>
      </c>
      <c r="T55" s="34" t="s">
        <v>61</v>
      </c>
      <c r="U55" s="37" t="s">
        <v>149</v>
      </c>
      <c r="V55" s="34">
        <f>IFERROR(SUMIF(Table637[Sub-Accounts],Table838[[#This Row],[Update your chart of accounts here]],Table637[Debit]),"")</f>
        <v>175000</v>
      </c>
      <c r="W55" s="34">
        <f>IFERROR(SUMIF(Table637[Sub-Accounts],Table838[[#This Row],[Update your chart of accounts here]],Table637[Credit]),"")</f>
        <v>0</v>
      </c>
      <c r="X55" s="34"/>
      <c r="Y55" s="34"/>
      <c r="Z55" s="34"/>
      <c r="AA55" s="34"/>
      <c r="AB55" s="34">
        <f>MAX(Table838[[#This Row],[Debit]]+Table838[[#This Row],[Debit -]]-Table838[[#This Row],[Credit]]-Table838[[#This Row],[Credit +]],0)</f>
        <v>175000</v>
      </c>
      <c r="AC55" s="34">
        <f>MAX(Table838[[#This Row],[Credit]]-Table838[[#This Row],[Debit]]+Table838[[#This Row],[Credit +]]-Table838[[#This Row],[Debit -]],0)</f>
        <v>0</v>
      </c>
      <c r="AD55" s="34">
        <f>IFERROR(IF(AND(OR(Table838[[#This Row],[Classification]]="Expense",Table838[[#This Row],[Classification]]="Cost of Goods Sold"),Table838[[#This Row],[Debit\]]&gt;Table838[[#This Row],[Credit.]]),Table838[[#This Row],[Debit\]]-Table838[[#This Row],[Credit.]],""),"")</f>
        <v>175000</v>
      </c>
      <c r="AE55" s="34" t="str">
        <f>IFERROR(IF(AND(OR(Table838[[#This Row],[Classification]]="Income",Table838[[#This Row],[Classification]]="Cost of Goods Sold"),Table838[[#This Row],[Credit.]]&gt;Table838[[#This Row],[Debit\]]),Table838[[#This Row],[Credit.]]-Table838[[#This Row],[Debit\]],""),"")</f>
        <v/>
      </c>
      <c r="AF55" s="34"/>
      <c r="AG55" s="34" t="str">
        <f>IFERROR(IF(AND(Table838[[#This Row],[Classification]]="Assets",Table838[[#This Row],[Debit\]]-Table838[[#This Row],[Credit.]]),Table838[[#This Row],[Debit\]]-Table838[[#This Row],[Credit.]],""),"")</f>
        <v/>
      </c>
      <c r="AH55" s="34" t="str">
        <f>IFERROR(IF(AND(OR(Table838[[#This Row],[Classification]]="Liabilities",Table838[[#This Row],[Classification]]="Owner´s Equity"),Table838[[#This Row],[Credit.]]&gt;Table838[[#This Row],[Debit\]]),Table838[[#This Row],[Credit.]]-Table838[[#This Row],[Debit\]],""),"")</f>
        <v/>
      </c>
    </row>
    <row r="56" spans="2:34" hidden="1" x14ac:dyDescent="0.25">
      <c r="B56" s="34"/>
      <c r="C56" s="37" t="s">
        <v>110</v>
      </c>
      <c r="D56" s="34">
        <v>900</v>
      </c>
      <c r="E56" s="34"/>
      <c r="G56" s="39"/>
      <c r="H56" s="43"/>
      <c r="I56" s="41"/>
      <c r="J56" s="41"/>
      <c r="L56" s="34">
        <v>49</v>
      </c>
      <c r="M56" s="35" t="s">
        <v>157</v>
      </c>
      <c r="N56" s="35" t="s">
        <v>111</v>
      </c>
      <c r="O56" s="34">
        <f>IFERROR(SUMIF(Table435[,],Table637[[#This Row],[Accounts Name]],Table435[,3]),"")</f>
        <v>542263</v>
      </c>
      <c r="P56" s="34">
        <f>IFERROR(SUMIF(Table435[,],Table637[[#This Row],[Accounts Name]],Table435[,2]),"")</f>
        <v>0</v>
      </c>
      <c r="S56" s="36">
        <f t="shared" si="0"/>
        <v>49</v>
      </c>
      <c r="T56" s="34" t="s">
        <v>61</v>
      </c>
      <c r="U56" s="37" t="s">
        <v>160</v>
      </c>
      <c r="V56" s="34">
        <f>IFERROR(SUMIF(Table637[Sub-Accounts],Table838[[#This Row],[Update your chart of accounts here]],Table637[Debit]),"")</f>
        <v>145440</v>
      </c>
      <c r="W56" s="34">
        <f>IFERROR(SUMIF(Table637[Sub-Accounts],Table838[[#This Row],[Update your chart of accounts here]],Table637[Credit]),"")</f>
        <v>0</v>
      </c>
      <c r="X56" s="34"/>
      <c r="Y56" s="34"/>
      <c r="Z56" s="34"/>
      <c r="AA56" s="34"/>
      <c r="AB56" s="34">
        <f>MAX(Table838[[#This Row],[Debit]]+Table838[[#This Row],[Debit -]]-Table838[[#This Row],[Credit]]-Table838[[#This Row],[Credit +]],0)</f>
        <v>145440</v>
      </c>
      <c r="AC56" s="34">
        <f>MAX(Table838[[#This Row],[Credit]]-Table838[[#This Row],[Debit]]+Table838[[#This Row],[Credit +]]-Table838[[#This Row],[Debit -]],0)</f>
        <v>0</v>
      </c>
      <c r="AD56" s="34">
        <f>IFERROR(IF(AND(OR(Table838[[#This Row],[Classification]]="Expense",Table838[[#This Row],[Classification]]="Cost of Goods Sold"),Table838[[#This Row],[Debit\]]&gt;Table838[[#This Row],[Credit.]]),Table838[[#This Row],[Debit\]]-Table838[[#This Row],[Credit.]],""),"")</f>
        <v>145440</v>
      </c>
      <c r="AE56" s="34" t="str">
        <f>IFERROR(IF(AND(OR(Table838[[#This Row],[Classification]]="Income",Table838[[#This Row],[Classification]]="Cost of Goods Sold"),Table838[[#This Row],[Credit.]]&gt;Table838[[#This Row],[Debit\]]),Table838[[#This Row],[Credit.]]-Table838[[#This Row],[Debit\]],""),"")</f>
        <v/>
      </c>
      <c r="AF56" s="34"/>
      <c r="AG56" s="34" t="str">
        <f>IFERROR(IF(AND(Table838[[#This Row],[Classification]]="Assets",Table838[[#This Row],[Debit\]]-Table838[[#This Row],[Credit.]]),Table838[[#This Row],[Debit\]]-Table838[[#This Row],[Credit.]],""),"")</f>
        <v/>
      </c>
      <c r="AH56" s="34" t="str">
        <f>IFERROR(IF(AND(OR(Table838[[#This Row],[Classification]]="Liabilities",Table838[[#This Row],[Classification]]="Owner´s Equity"),Table838[[#This Row],[Credit.]]&gt;Table838[[#This Row],[Debit\]]),Table838[[#This Row],[Credit.]]-Table838[[#This Row],[Debit\]],""),"")</f>
        <v/>
      </c>
    </row>
    <row r="57" spans="2:34" hidden="1" x14ac:dyDescent="0.25">
      <c r="B57" s="34"/>
      <c r="C57" s="37" t="s">
        <v>111</v>
      </c>
      <c r="D57" s="34">
        <v>542263</v>
      </c>
      <c r="E57" s="34"/>
      <c r="G57" s="39"/>
      <c r="H57" s="40"/>
      <c r="I57" s="41"/>
      <c r="J57" s="41"/>
      <c r="L57" s="34">
        <v>50</v>
      </c>
      <c r="M57" s="35" t="s">
        <v>158</v>
      </c>
      <c r="N57" s="35" t="s">
        <v>112</v>
      </c>
      <c r="O57" s="34">
        <f>IFERROR(SUMIF(Table435[,],Table637[[#This Row],[Accounts Name]],Table435[,3]),"")</f>
        <v>20412.8</v>
      </c>
      <c r="P57" s="34">
        <f>IFERROR(SUMIF(Table435[,],Table637[[#This Row],[Accounts Name]],Table435[,2]),"")</f>
        <v>0</v>
      </c>
      <c r="S57" s="36">
        <f t="shared" si="0"/>
        <v>50</v>
      </c>
      <c r="T57" s="34" t="s">
        <v>61</v>
      </c>
      <c r="U57" s="37" t="s">
        <v>150</v>
      </c>
      <c r="V57" s="34">
        <f>IFERROR(SUMIF(Table637[Sub-Accounts],Table838[[#This Row],[Update your chart of accounts here]],Table637[Debit]),"")</f>
        <v>176009.84</v>
      </c>
      <c r="W57" s="34">
        <f>IFERROR(SUMIF(Table637[Sub-Accounts],Table838[[#This Row],[Update your chart of accounts here]],Table637[Credit]),"")</f>
        <v>0</v>
      </c>
      <c r="X57" s="34"/>
      <c r="Y57" s="34"/>
      <c r="Z57" s="34"/>
      <c r="AA57" s="34"/>
      <c r="AB57" s="34">
        <f>MAX(Table838[[#This Row],[Debit]]+Table838[[#This Row],[Debit -]]-Table838[[#This Row],[Credit]]-Table838[[#This Row],[Credit +]],0)</f>
        <v>176009.84</v>
      </c>
      <c r="AC57" s="34">
        <f>MAX(Table838[[#This Row],[Credit]]-Table838[[#This Row],[Debit]]+Table838[[#This Row],[Credit +]]-Table838[[#This Row],[Debit -]],0)</f>
        <v>0</v>
      </c>
      <c r="AD57" s="34">
        <f>IFERROR(IF(AND(OR(Table838[[#This Row],[Classification]]="Expense",Table838[[#This Row],[Classification]]="Cost of Goods Sold"),Table838[[#This Row],[Debit\]]&gt;Table838[[#This Row],[Credit.]]),Table838[[#This Row],[Debit\]]-Table838[[#This Row],[Credit.]],""),"")</f>
        <v>176009.84</v>
      </c>
      <c r="AE57" s="34" t="str">
        <f>IFERROR(IF(AND(OR(Table838[[#This Row],[Classification]]="Income",Table838[[#This Row],[Classification]]="Cost of Goods Sold"),Table838[[#This Row],[Credit.]]&gt;Table838[[#This Row],[Debit\]]),Table838[[#This Row],[Credit.]]-Table838[[#This Row],[Debit\]],""),"")</f>
        <v/>
      </c>
      <c r="AF57" s="34"/>
      <c r="AG57" s="34" t="str">
        <f>IFERROR(IF(AND(Table838[[#This Row],[Classification]]="Assets",Table838[[#This Row],[Debit\]]-Table838[[#This Row],[Credit.]]),Table838[[#This Row],[Debit\]]-Table838[[#This Row],[Credit.]],""),"")</f>
        <v/>
      </c>
      <c r="AH57" s="34" t="str">
        <f>IFERROR(IF(AND(OR(Table838[[#This Row],[Classification]]="Liabilities",Table838[[#This Row],[Classification]]="Owner´s Equity"),Table838[[#This Row],[Credit.]]&gt;Table838[[#This Row],[Debit\]]),Table838[[#This Row],[Credit.]]-Table838[[#This Row],[Debit\]],""),"")</f>
        <v/>
      </c>
    </row>
    <row r="58" spans="2:34" hidden="1" x14ac:dyDescent="0.25">
      <c r="B58" s="34"/>
      <c r="C58" s="37" t="s">
        <v>112</v>
      </c>
      <c r="D58" s="34">
        <v>20412.8</v>
      </c>
      <c r="E58" s="34"/>
      <c r="G58" s="39"/>
      <c r="H58" s="40"/>
      <c r="I58" s="41"/>
      <c r="J58" s="41"/>
      <c r="L58" s="34">
        <v>51</v>
      </c>
      <c r="M58" s="35" t="s">
        <v>158</v>
      </c>
      <c r="N58" s="35" t="s">
        <v>113</v>
      </c>
      <c r="O58" s="34">
        <f>IFERROR(SUMIF(Table435[,],Table637[[#This Row],[Accounts Name]],Table435[,3]),"")</f>
        <v>416467.20000000001</v>
      </c>
      <c r="P58" s="34">
        <f>IFERROR(SUMIF(Table435[,],Table637[[#This Row],[Accounts Name]],Table435[,2]),"")</f>
        <v>0</v>
      </c>
      <c r="S58" s="36">
        <f t="shared" si="0"/>
        <v>51</v>
      </c>
      <c r="T58" s="34" t="s">
        <v>61</v>
      </c>
      <c r="U58" s="37" t="s">
        <v>221</v>
      </c>
      <c r="V58" s="34">
        <f>IFERROR(SUMIF(Table637[Sub-Accounts],Table838[[#This Row],[Update your chart of accounts here]],Table637[Debit]),"")</f>
        <v>0</v>
      </c>
      <c r="W58" s="34">
        <f>IFERROR(SUMIF(Table637[Sub-Accounts],Table838[[#This Row],[Update your chart of accounts here]],Table637[Credit]),"")</f>
        <v>0</v>
      </c>
      <c r="X58" s="34"/>
      <c r="Y58" s="34"/>
      <c r="Z58" s="34"/>
      <c r="AA58" s="34"/>
      <c r="AB58" s="34">
        <f>MAX(Table838[[#This Row],[Debit]]+Table838[[#This Row],[Debit -]]-Table838[[#This Row],[Credit]]-Table838[[#This Row],[Credit +]],0)</f>
        <v>0</v>
      </c>
      <c r="AC58" s="34">
        <f>MAX(Table838[[#This Row],[Credit]]-Table838[[#This Row],[Debit]]+Table838[[#This Row],[Credit +]]-Table838[[#This Row],[Debit -]],0)</f>
        <v>0</v>
      </c>
      <c r="AD58" s="34" t="str">
        <f>IFERROR(IF(AND(OR(Table838[[#This Row],[Classification]]="Expense",Table838[[#This Row],[Classification]]="Cost of Goods Sold"),Table838[[#This Row],[Debit\]]&gt;Table838[[#This Row],[Credit.]]),Table838[[#This Row],[Debit\]]-Table838[[#This Row],[Credit.]],""),"")</f>
        <v/>
      </c>
      <c r="AE58" s="34" t="str">
        <f>IFERROR(IF(AND(OR(Table838[[#This Row],[Classification]]="Income",Table838[[#This Row],[Classification]]="Cost of Goods Sold"),Table838[[#This Row],[Credit.]]&gt;Table838[[#This Row],[Debit\]]),Table838[[#This Row],[Credit.]]-Table838[[#This Row],[Debit\]],""),"")</f>
        <v/>
      </c>
      <c r="AF58" s="34"/>
      <c r="AG58" s="34" t="str">
        <f>IFERROR(IF(AND(Table838[[#This Row],[Classification]]="Assets",Table838[[#This Row],[Debit\]]-Table838[[#This Row],[Credit.]]),Table838[[#This Row],[Debit\]]-Table838[[#This Row],[Credit.]],""),"")</f>
        <v/>
      </c>
      <c r="AH58" s="34" t="str">
        <f>IFERROR(IF(AND(OR(Table838[[#This Row],[Classification]]="Liabilities",Table838[[#This Row],[Classification]]="Owner´s Equity"),Table838[[#This Row],[Credit.]]&gt;Table838[[#This Row],[Debit\]]),Table838[[#This Row],[Credit.]]-Table838[[#This Row],[Debit\]],""),"")</f>
        <v/>
      </c>
    </row>
    <row r="59" spans="2:34" hidden="1" x14ac:dyDescent="0.25">
      <c r="B59" s="34"/>
      <c r="C59" s="37" t="s">
        <v>113</v>
      </c>
      <c r="D59" s="34">
        <v>416467.20000000001</v>
      </c>
      <c r="E59" s="34"/>
      <c r="G59" s="39"/>
      <c r="H59" s="43"/>
      <c r="I59" s="41"/>
      <c r="J59" s="41"/>
      <c r="L59" s="34">
        <v>52</v>
      </c>
      <c r="M59" s="35" t="s">
        <v>159</v>
      </c>
      <c r="N59" s="35" t="s">
        <v>114</v>
      </c>
      <c r="O59" s="34">
        <f>IFERROR(SUMIF(Table435[,],Table637[[#This Row],[Accounts Name]],Table435[,3]),"")</f>
        <v>27500</v>
      </c>
      <c r="P59" s="34">
        <f>IFERROR(SUMIF(Table435[,],Table637[[#This Row],[Accounts Name]],Table435[,2]),"")</f>
        <v>0</v>
      </c>
      <c r="S59" s="36">
        <f t="shared" si="0"/>
        <v>52</v>
      </c>
      <c r="T59" s="34" t="s">
        <v>61</v>
      </c>
      <c r="U59" s="37" t="s">
        <v>222</v>
      </c>
      <c r="V59" s="34">
        <f>IFERROR(SUMIF(Table637[Sub-Accounts],Table838[[#This Row],[Update your chart of accounts here]],Table637[Debit]),"")</f>
        <v>0</v>
      </c>
      <c r="W59" s="34">
        <f>IFERROR(SUMIF(Table637[Sub-Accounts],Table838[[#This Row],[Update your chart of accounts here]],Table637[Credit]),"")</f>
        <v>0</v>
      </c>
      <c r="X59" s="34"/>
      <c r="Y59" s="34"/>
      <c r="Z59" s="34"/>
      <c r="AA59" s="34"/>
      <c r="AB59" s="34">
        <f>MAX(Table838[[#This Row],[Debit]]+Table838[[#This Row],[Debit -]]-Table838[[#This Row],[Credit]]-Table838[[#This Row],[Credit +]],0)</f>
        <v>0</v>
      </c>
      <c r="AC59" s="34">
        <f>MAX(Table838[[#This Row],[Credit]]-Table838[[#This Row],[Debit]]+Table838[[#This Row],[Credit +]]-Table838[[#This Row],[Debit -]],0)</f>
        <v>0</v>
      </c>
      <c r="AD59" s="34" t="str">
        <f>IFERROR(IF(AND(OR(Table838[[#This Row],[Classification]]="Expense",Table838[[#This Row],[Classification]]="Cost of Goods Sold"),Table838[[#This Row],[Debit\]]&gt;Table838[[#This Row],[Credit.]]),Table838[[#This Row],[Debit\]]-Table838[[#This Row],[Credit.]],""),"")</f>
        <v/>
      </c>
      <c r="AE59" s="34" t="str">
        <f>IFERROR(IF(AND(OR(Table838[[#This Row],[Classification]]="Income",Table838[[#This Row],[Classification]]="Cost of Goods Sold"),Table838[[#This Row],[Credit.]]&gt;Table838[[#This Row],[Debit\]]),Table838[[#This Row],[Credit.]]-Table838[[#This Row],[Debit\]],""),"")</f>
        <v/>
      </c>
      <c r="AF59" s="34"/>
      <c r="AG59" s="34" t="str">
        <f>IFERROR(IF(AND(Table838[[#This Row],[Classification]]="Assets",Table838[[#This Row],[Debit\]]-Table838[[#This Row],[Credit.]]),Table838[[#This Row],[Debit\]]-Table838[[#This Row],[Credit.]],""),"")</f>
        <v/>
      </c>
      <c r="AH59" s="34" t="str">
        <f>IFERROR(IF(AND(OR(Table838[[#This Row],[Classification]]="Liabilities",Table838[[#This Row],[Classification]]="Owner´s Equity"),Table838[[#This Row],[Credit.]]&gt;Table838[[#This Row],[Debit\]]),Table838[[#This Row],[Credit.]]-Table838[[#This Row],[Debit\]],""),"")</f>
        <v/>
      </c>
    </row>
    <row r="60" spans="2:34" x14ac:dyDescent="0.25">
      <c r="B60" s="34"/>
      <c r="C60" s="37" t="s">
        <v>114</v>
      </c>
      <c r="D60" s="34">
        <v>27500</v>
      </c>
      <c r="E60" s="34"/>
      <c r="G60" s="39"/>
      <c r="H60" s="40"/>
      <c r="I60" s="41"/>
      <c r="J60" s="41"/>
      <c r="L60" s="34">
        <v>53</v>
      </c>
      <c r="M60" s="35" t="s">
        <v>160</v>
      </c>
      <c r="N60" s="35" t="s">
        <v>115</v>
      </c>
      <c r="O60" s="34">
        <f>IFERROR(SUMIF(Table435[,],Table637[[#This Row],[Accounts Name]],Table435[,3]),"")</f>
        <v>30000</v>
      </c>
      <c r="P60" s="34">
        <f>IFERROR(SUMIF(Table435[,],Table637[[#This Row],[Accounts Name]],Table435[,2]),"")</f>
        <v>0</v>
      </c>
      <c r="S60" s="36">
        <f t="shared" si="0"/>
        <v>53</v>
      </c>
      <c r="T60" s="34" t="s">
        <v>11</v>
      </c>
      <c r="U60" s="37" t="s">
        <v>229</v>
      </c>
      <c r="V60" s="34">
        <f>IFERROR(SUMIF(Table637[Sub-Accounts],Table838[[#This Row],[Update your chart of accounts here]],Table637[Debit]),"")</f>
        <v>0</v>
      </c>
      <c r="W60" s="34">
        <f>IFERROR(SUMIF(Table637[Sub-Accounts],Table838[[#This Row],[Update your chart of accounts here]],Table637[Credit]),"")</f>
        <v>0</v>
      </c>
      <c r="X60" s="34"/>
      <c r="Y60" s="34"/>
      <c r="Z60" s="34">
        <f>AA62</f>
        <v>10003059</v>
      </c>
      <c r="AA60" s="34"/>
      <c r="AB60" s="34">
        <f>MAX(Table838[[#This Row],[Debit]]+Table838[[#This Row],[Debit -]]-Table838[[#This Row],[Credit]]-Table838[[#This Row],[Credit +]],0)</f>
        <v>10003059</v>
      </c>
      <c r="AC60" s="34">
        <f>MAX(Table838[[#This Row],[Credit]]-Table838[[#This Row],[Debit]]+Table838[[#This Row],[Credit +]]-Table838[[#This Row],[Debit -]],0)</f>
        <v>0</v>
      </c>
      <c r="AD60" s="34" t="str">
        <f>IFERROR(IF(AND(OR(Table838[[#This Row],[Classification]]="Expense",Table838[[#This Row],[Classification]]="Cost of Goods Sold"),Table838[[#This Row],[Debit\]]&gt;Table838[[#This Row],[Credit.]]),Table838[[#This Row],[Debit\]]-Table838[[#This Row],[Credit.]],""),"")</f>
        <v/>
      </c>
      <c r="AE60" s="34" t="str">
        <f>IFERROR(IF(AND(OR(Table838[[#This Row],[Classification]]="Income",Table838[[#This Row],[Classification]]="Cost of Goods Sold"),Table838[[#This Row],[Credit.]]&gt;Table838[[#This Row],[Debit\]]),Table838[[#This Row],[Credit.]]-Table838[[#This Row],[Debit\]],""),"")</f>
        <v/>
      </c>
      <c r="AF60" s="34"/>
      <c r="AG60" s="34">
        <f>IFERROR(IF(AND(Table838[[#This Row],[Classification]]="Assets",Table838[[#This Row],[Debit\]]-Table838[[#This Row],[Credit.]]),Table838[[#This Row],[Debit\]]-Table838[[#This Row],[Credit.]],""),"")</f>
        <v>10003059</v>
      </c>
      <c r="AH60" s="34" t="str">
        <f>IFERROR(IF(AND(OR(Table838[[#This Row],[Classification]]="Liabilities",Table838[[#This Row],[Classification]]="Owner´s Equity"),Table838[[#This Row],[Credit.]]&gt;Table838[[#This Row],[Debit\]]),Table838[[#This Row],[Credit.]]-Table838[[#This Row],[Debit\]],""),"")</f>
        <v/>
      </c>
    </row>
    <row r="61" spans="2:34" x14ac:dyDescent="0.25">
      <c r="B61" s="34"/>
      <c r="C61" s="37" t="s">
        <v>115</v>
      </c>
      <c r="D61" s="34">
        <v>30000</v>
      </c>
      <c r="E61" s="34"/>
      <c r="G61" s="39"/>
      <c r="H61" s="40"/>
      <c r="I61" s="41"/>
      <c r="J61" s="41"/>
      <c r="L61" s="34">
        <v>54</v>
      </c>
      <c r="M61" s="35" t="s">
        <v>161</v>
      </c>
      <c r="N61" s="35" t="s">
        <v>116</v>
      </c>
      <c r="O61" s="34">
        <f>IFERROR(SUMIF(Table435[,],Table637[[#This Row],[Accounts Name]],Table435[,3]),"")</f>
        <v>77850</v>
      </c>
      <c r="P61" s="34">
        <f>IFERROR(SUMIF(Table435[,],Table637[[#This Row],[Accounts Name]],Table435[,2]),"")</f>
        <v>0</v>
      </c>
      <c r="S61" s="36">
        <f t="shared" si="0"/>
        <v>54</v>
      </c>
      <c r="T61" s="34" t="s">
        <v>48</v>
      </c>
      <c r="U61" s="37" t="s">
        <v>207</v>
      </c>
      <c r="V61" s="34">
        <f>IFERROR(SUMIF(Table637[Sub-Accounts],Table838[[#This Row],[Update your chart of accounts here]],Table637[Debit]),"")</f>
        <v>0</v>
      </c>
      <c r="W61" s="34">
        <f>IFERROR(SUMIF(Table637[Sub-Accounts],Table838[[#This Row],[Update your chart of accounts here]],Table637[Credit]),"")</f>
        <v>0</v>
      </c>
      <c r="X61" s="34"/>
      <c r="Y61" s="34"/>
      <c r="Z61" s="34"/>
      <c r="AA61" s="34">
        <f>Z12</f>
        <v>8341041.1232255697</v>
      </c>
      <c r="AB61" s="34">
        <f>MAX(Table838[[#This Row],[Debit]]+Table838[[#This Row],[Debit -]]-Table838[[#This Row],[Credit]]-Table838[[#This Row],[Credit +]],0)</f>
        <v>0</v>
      </c>
      <c r="AC61" s="34">
        <f>MAX(Table838[[#This Row],[Credit]]-Table838[[#This Row],[Debit]]+Table838[[#This Row],[Credit +]]-Table838[[#This Row],[Debit -]],0)</f>
        <v>8341041.1232255697</v>
      </c>
      <c r="AD61" s="34" t="str">
        <f>IFERROR(IF(AND(OR(Table838[[#This Row],[Classification]]="Expense",Table838[[#This Row],[Classification]]="Cost of Goods Sold"),Table838[[#This Row],[Debit\]]&gt;Table838[[#This Row],[Credit.]]),Table838[[#This Row],[Debit\]]-Table838[[#This Row],[Credit.]],""),"")</f>
        <v/>
      </c>
      <c r="AE61" s="34" t="str">
        <f>IFERROR(IF(AND(OR(Table838[[#This Row],[Classification]]="Income",Table838[[#This Row],[Classification]]="Cost of Goods Sold"),Table838[[#This Row],[Credit.]]&gt;Table838[[#This Row],[Debit\]]),Table838[[#This Row],[Credit.]]-Table838[[#This Row],[Debit\]],""),"")</f>
        <v/>
      </c>
      <c r="AF61" s="34"/>
      <c r="AG61" s="34" t="str">
        <f>IFERROR(IF(AND(Table838[[#This Row],[Classification]]="Assets",Table838[[#This Row],[Debit\]]-Table838[[#This Row],[Credit.]]),Table838[[#This Row],[Debit\]]-Table838[[#This Row],[Credit.]],""),"")</f>
        <v/>
      </c>
      <c r="AH61" s="34">
        <f>IFERROR(IF(AND(OR(Table838[[#This Row],[Classification]]="Liabilities",Table838[[#This Row],[Classification]]="Owner´s Equity"),Table838[[#This Row],[Credit.]]&gt;Table838[[#This Row],[Debit\]]),Table838[[#This Row],[Credit.]]-Table838[[#This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IFERROR(SUMIF(Table435[,],Table637[[#This Row],[Accounts Name]],Table435[,3]),"")</f>
        <v>129108.59</v>
      </c>
      <c r="P62" s="34">
        <f>IFERROR(SUMIF(Table435[,],Table637[[#This Row],[Accounts Name]],Table435[,2]),"")</f>
        <v>0</v>
      </c>
      <c r="S62" s="36">
        <f t="shared" si="0"/>
        <v>55</v>
      </c>
      <c r="T62" s="34" t="s">
        <v>62</v>
      </c>
      <c r="U62" s="37" t="s">
        <v>229</v>
      </c>
      <c r="V62" s="34">
        <f>IFERROR(SUMIF(Table637[Sub-Accounts],Table838[[#This Row],[Update your chart of accounts here]],Table637[Debit]),"")</f>
        <v>0</v>
      </c>
      <c r="W62" s="34">
        <f>IFERROR(SUMIF(Table637[Sub-Accounts],Table838[[#This Row],[Update your chart of accounts here]],Table637[Credit]),"")</f>
        <v>0</v>
      </c>
      <c r="X62" s="34"/>
      <c r="Y62" s="34"/>
      <c r="Z62" s="34"/>
      <c r="AA62" s="34">
        <v>10003059</v>
      </c>
      <c r="AB62" s="34">
        <f>MAX(Table838[[#This Row],[Debit]]+Table838[[#This Row],[Debit -]]-Table838[[#This Row],[Credit]]-Table838[[#This Row],[Credit +]],0)</f>
        <v>0</v>
      </c>
      <c r="AC62" s="34">
        <f>MAX(Table838[[#This Row],[Credit]]-Table838[[#This Row],[Debit]]+Table838[[#This Row],[Credit +]]-Table838[[#This Row],[Debit -]],0)</f>
        <v>10003059</v>
      </c>
      <c r="AD62" s="34" t="str">
        <f>IFERROR(IF(AND(OR(Table838[[#This Row],[Classification]]="Expense",Table838[[#This Row],[Classification]]="Cost of Goods Sold"),Table838[[#This Row],[Debit\]]&gt;Table838[[#This Row],[Credit.]]),Table838[[#This Row],[Debit\]]-Table838[[#This Row],[Credit.]],""),"")</f>
        <v/>
      </c>
      <c r="AE62" s="34">
        <f>IFERROR(IF(AND(OR(Table838[[#This Row],[Classification]]="Income",Table838[[#This Row],[Classification]]="Cost of Goods Sold"),Table838[[#This Row],[Credit.]]&gt;Table838[[#This Row],[Debit\]]),Table838[[#This Row],[Credit.]]-Table838[[#This Row],[Debit\]],""),"")</f>
        <v>10003059</v>
      </c>
      <c r="AF62" s="34"/>
      <c r="AG62" s="34" t="str">
        <f>IFERROR(IF(AND(Table838[[#This Row],[Classification]]="Assets",Table838[[#This Row],[Debit\]]-Table838[[#This Row],[Credit.]]),Table838[[#This Row],[Debit\]]-Table838[[#This Row],[Credit.]],""),"")</f>
        <v/>
      </c>
      <c r="AH62" s="34" t="str">
        <f>IFERROR(IF(AND(OR(Table838[[#This Row],[Classification]]="Liabilities",Table838[[#This Row],[Classification]]="Owner´s Equity"),Table838[[#This Row],[Credit.]]&gt;Table838[[#This Row],[Debit\]]),Table838[[#This Row],[Credit.]]-Table838[[#This Row],[Debit\]],""),"")</f>
        <v/>
      </c>
    </row>
    <row r="63" spans="2:34" x14ac:dyDescent="0.25">
      <c r="B63" s="34"/>
      <c r="C63" s="37" t="s">
        <v>117</v>
      </c>
      <c r="D63" s="34">
        <v>129108.59</v>
      </c>
      <c r="E63" s="34"/>
      <c r="G63" s="39"/>
      <c r="H63" s="40"/>
      <c r="I63" s="41"/>
      <c r="J63" s="41"/>
      <c r="L63" s="34">
        <v>56</v>
      </c>
      <c r="M63" s="35" t="s">
        <v>156</v>
      </c>
      <c r="N63" s="35" t="s">
        <v>118</v>
      </c>
      <c r="O63" s="34">
        <f>IFERROR(SUMIF(Table435[,],Table637[[#This Row],[Accounts Name]],Table435[,3]),"")</f>
        <v>131390</v>
      </c>
      <c r="P63" s="34">
        <f>IFERROR(SUMIF(Table435[,],Table637[[#This Row],[Accounts Name]],Table435[,2]),"")</f>
        <v>0</v>
      </c>
      <c r="S63" s="36">
        <f t="shared" si="0"/>
        <v>56</v>
      </c>
      <c r="T63" s="34" t="s">
        <v>11</v>
      </c>
      <c r="U63" s="37" t="s">
        <v>232</v>
      </c>
      <c r="V63" s="34">
        <f>IFERROR(SUMIF(Table637[Sub-Accounts],Table838[[#This Row],[Update your chart of accounts here]],Table637[Debit]),"")</f>
        <v>0</v>
      </c>
      <c r="W63" s="34">
        <f>IFERROR(SUMIF(Table637[Sub-Accounts],Table838[[#This Row],[Update your chart of accounts here]],Table637[Credit]),"")</f>
        <v>0</v>
      </c>
      <c r="X63" s="34"/>
      <c r="Y63" s="34" t="s">
        <v>233</v>
      </c>
      <c r="Z63" s="34">
        <f>I21</f>
        <v>115200</v>
      </c>
      <c r="AA63" s="34"/>
      <c r="AB63" s="34">
        <f>MAX(Table838[[#This Row],[Debit]]+Table838[[#This Row],[Debit -]]-Table838[[#This Row],[Credit]]-Table838[[#This Row],[Credit +]],0)</f>
        <v>115200</v>
      </c>
      <c r="AC63" s="34">
        <f>MAX(Table838[[#This Row],[Credit]]-Table838[[#This Row],[Debit]]+Table838[[#This Row],[Credit +]]-Table838[[#This Row],[Debit -]],0)</f>
        <v>0</v>
      </c>
      <c r="AD63" s="34" t="str">
        <f>IFERROR(IF(AND(OR(Table838[[#This Row],[Classification]]="Expense",Table838[[#This Row],[Classification]]="Cost of Goods Sold"),Table838[[#This Row],[Debit\]]&gt;Table838[[#This Row],[Credit.]]),Table838[[#This Row],[Debit\]]-Table838[[#This Row],[Credit.]],""),"")</f>
        <v/>
      </c>
      <c r="AE63" s="34" t="str">
        <f>IFERROR(IF(AND(OR(Table838[[#This Row],[Classification]]="Income",Table838[[#This Row],[Classification]]="Cost of Goods Sold"),Table838[[#This Row],[Credit.]]&gt;Table838[[#This Row],[Debit\]]),Table838[[#This Row],[Credit.]]-Table838[[#This Row],[Debit\]],""),"")</f>
        <v/>
      </c>
      <c r="AF63" s="34"/>
      <c r="AG63" s="34">
        <f>IFERROR(IF(AND(Table838[[#This Row],[Classification]]="Assets",Table838[[#This Row],[Debit\]]-Table838[[#This Row],[Credit.]]),Table838[[#This Row],[Debit\]]-Table838[[#This Row],[Credit.]],""),"")</f>
        <v>115200</v>
      </c>
      <c r="AH63" s="34" t="str">
        <f>IFERROR(IF(AND(OR(Table838[[#This Row],[Classification]]="Liabilities",Table838[[#This Row],[Classification]]="Owner´s Equity"),Table838[[#This Row],[Credit.]]&gt;Table838[[#This Row],[Debit\]]),Table838[[#This Row],[Credit.]]-Table838[[#This Row],[Debit\]],""),"")</f>
        <v/>
      </c>
    </row>
    <row r="64" spans="2:34" hidden="1" x14ac:dyDescent="0.25">
      <c r="B64" s="34"/>
      <c r="C64" s="37" t="s">
        <v>118</v>
      </c>
      <c r="D64" s="34">
        <v>131390</v>
      </c>
      <c r="E64" s="34"/>
      <c r="G64" s="39"/>
      <c r="H64" s="40"/>
      <c r="I64" s="41"/>
      <c r="J64" s="41"/>
      <c r="L64" s="34">
        <v>57</v>
      </c>
      <c r="M64" s="35" t="s">
        <v>163</v>
      </c>
      <c r="N64" s="35" t="s">
        <v>119</v>
      </c>
      <c r="O64" s="34">
        <f>IFERROR(SUMIF(Table435[,],Table637[[#This Row],[Accounts Name]],Table435[,3]),"")</f>
        <v>300</v>
      </c>
      <c r="P64" s="34">
        <f>IFERROR(SUMIF(Table435[,],Table637[[#This Row],[Accounts Name]],Table435[,2]),"")</f>
        <v>0</v>
      </c>
      <c r="S64" s="36">
        <f t="shared" si="0"/>
        <v>57</v>
      </c>
      <c r="T64" s="34"/>
      <c r="U64" s="37"/>
      <c r="V64" s="34">
        <f>IFERROR(SUMIF(Table637[Sub-Accounts],Table838[[#This Row],[Update your chart of accounts here]],Table637[Debit]),"")</f>
        <v>0</v>
      </c>
      <c r="W64" s="34">
        <f>IFERROR(SUMIF(Table637[Sub-Accounts],Table838[[#This Row],[Update your chart of accounts here]],Table637[Credit]),"")</f>
        <v>0</v>
      </c>
      <c r="X64" s="34"/>
      <c r="Y64" s="34"/>
      <c r="Z64" s="34"/>
      <c r="AA64" s="34"/>
      <c r="AB64" s="34">
        <f>MAX(Table838[[#This Row],[Debit]]+Table838[[#This Row],[Debit -]]-Table838[[#This Row],[Credit]]-Table838[[#This Row],[Credit +]],0)</f>
        <v>0</v>
      </c>
      <c r="AC64" s="34">
        <f>MAX(Table838[[#This Row],[Credit]]-Table838[[#This Row],[Debit]]+Table838[[#This Row],[Credit +]]-Table838[[#This Row],[Debit -]],0)</f>
        <v>0</v>
      </c>
      <c r="AD64" s="34" t="str">
        <f>IFERROR(IF(AND(OR(Table838[[#This Row],[Classification]]="Expense",Table838[[#This Row],[Classification]]="Cost of Goods Sold"),Table838[[#This Row],[Debit\]]&gt;Table838[[#This Row],[Credit.]]),Table838[[#This Row],[Debit\]]-Table838[[#This Row],[Credit.]],""),"")</f>
        <v/>
      </c>
      <c r="AE64" s="34" t="str">
        <f>IFERROR(IF(AND(OR(Table838[[#This Row],[Classification]]="Income",Table838[[#This Row],[Classification]]="Cost of Goods Sold"),Table838[[#This Row],[Credit.]]&gt;Table838[[#This Row],[Debit\]]),Table838[[#This Row],[Credit.]]-Table838[[#This Row],[Debit\]],""),"")</f>
        <v/>
      </c>
      <c r="AF64" s="34"/>
      <c r="AG64" s="34" t="str">
        <f>IFERROR(IF(AND(Table838[[#This Row],[Classification]]="Assets",Table838[[#This Row],[Debit\]]-Table838[[#This Row],[Credit.]]),Table838[[#This Row],[Debit\]]-Table838[[#This Row],[Credit.]],""),"")</f>
        <v/>
      </c>
      <c r="AH64" s="34" t="str">
        <f>IFERROR(IF(AND(OR(Table838[[#This Row],[Classification]]="Liabilities",Table838[[#This Row],[Classification]]="Owner´s Equity"),Table838[[#This Row],[Credit.]]&gt;Table838[[#This Row],[Debit\]]),Table838[[#This Row],[Credit.]]-Table838[[#This Row],[Debit\]],""),"")</f>
        <v/>
      </c>
    </row>
    <row r="65" spans="2:34" hidden="1" x14ac:dyDescent="0.25">
      <c r="B65" s="34"/>
      <c r="C65" s="37" t="s">
        <v>119</v>
      </c>
      <c r="D65" s="34">
        <v>300</v>
      </c>
      <c r="E65" s="34"/>
      <c r="G65" s="39"/>
      <c r="H65" s="43"/>
      <c r="I65" s="41"/>
      <c r="J65" s="41"/>
      <c r="L65" s="34">
        <v>58</v>
      </c>
      <c r="M65" s="35" t="s">
        <v>164</v>
      </c>
      <c r="N65" s="35" t="s">
        <v>120</v>
      </c>
      <c r="O65" s="34">
        <f>IFERROR(SUMIF(Table435[,],Table637[[#This Row],[Accounts Name]],Table435[,3]),"")</f>
        <v>436840.42</v>
      </c>
      <c r="P65" s="34">
        <f>IFERROR(SUMIF(Table435[,],Table637[[#This Row],[Accounts Name]],Table435[,2]),"")</f>
        <v>0</v>
      </c>
      <c r="S65" s="36">
        <f t="shared" si="0"/>
        <v>58</v>
      </c>
      <c r="T65" s="34"/>
      <c r="U65" s="37"/>
      <c r="V65" s="34">
        <f>IFERROR(SUMIF(Table637[Sub-Accounts],Table838[[#This Row],[Update your chart of accounts here]],Table637[Debit]),"")</f>
        <v>0</v>
      </c>
      <c r="W65" s="34">
        <f>IFERROR(SUMIF(Table637[Sub-Accounts],Table838[[#This Row],[Update your chart of accounts here]],Table637[Credit]),"")</f>
        <v>0</v>
      </c>
      <c r="X65" s="34"/>
      <c r="Y65" s="34"/>
      <c r="Z65" s="34"/>
      <c r="AA65" s="34"/>
      <c r="AB65" s="34">
        <f>MAX(Table838[[#This Row],[Debit]]+Table838[[#This Row],[Debit -]]-Table838[[#This Row],[Credit]]-Table838[[#This Row],[Credit +]],0)</f>
        <v>0</v>
      </c>
      <c r="AC65" s="34">
        <f>MAX(Table838[[#This Row],[Credit]]-Table838[[#This Row],[Debit]]+Table838[[#This Row],[Credit +]]-Table838[[#This Row],[Debit -]],0)</f>
        <v>0</v>
      </c>
      <c r="AD65" s="34" t="str">
        <f>IFERROR(IF(AND(OR(Table838[[#This Row],[Classification]]="Expense",Table838[[#This Row],[Classification]]="Cost of Goods Sold"),Table838[[#This Row],[Debit\]]&gt;Table838[[#This Row],[Credit.]]),Table838[[#This Row],[Debit\]]-Table838[[#This Row],[Credit.]],""),"")</f>
        <v/>
      </c>
      <c r="AE65" s="34" t="str">
        <f>IFERROR(IF(AND(OR(Table838[[#This Row],[Classification]]="Income",Table838[[#This Row],[Classification]]="Cost of Goods Sold"),Table838[[#This Row],[Credit.]]&gt;Table838[[#This Row],[Debit\]]),Table838[[#This Row],[Credit.]]-Table838[[#This Row],[Debit\]],""),"")</f>
        <v/>
      </c>
      <c r="AF65" s="34"/>
      <c r="AG65" s="34" t="str">
        <f>IFERROR(IF(AND(Table838[[#This Row],[Classification]]="Assets",Table838[[#This Row],[Debit\]]-Table838[[#This Row],[Credit.]]),Table838[[#This Row],[Debit\]]-Table838[[#This Row],[Credit.]],""),"")</f>
        <v/>
      </c>
      <c r="AH65" s="34" t="str">
        <f>IFERROR(IF(AND(OR(Table838[[#This Row],[Classification]]="Liabilities",Table838[[#This Row],[Classification]]="Owner´s Equity"),Table838[[#This Row],[Credit.]]&gt;Table838[[#This Row],[Debit\]]),Table838[[#This Row],[Credit.]]-Table838[[#This Row],[Debit\]],""),"")</f>
        <v/>
      </c>
    </row>
    <row r="66" spans="2:34" hidden="1" x14ac:dyDescent="0.25">
      <c r="B66" s="34"/>
      <c r="C66" s="37" t="s">
        <v>120</v>
      </c>
      <c r="D66" s="34">
        <v>436840.42</v>
      </c>
      <c r="E66" s="34"/>
      <c r="G66" s="39"/>
      <c r="H66" s="40"/>
      <c r="I66" s="41"/>
      <c r="J66" s="41"/>
      <c r="L66" s="34">
        <v>59</v>
      </c>
      <c r="M66" s="35" t="s">
        <v>151</v>
      </c>
      <c r="N66" s="35" t="s">
        <v>121</v>
      </c>
      <c r="O66" s="34">
        <f>IFERROR(SUMIF(Table435[,],Table637[[#This Row],[Accounts Name]],Table435[,3]),"")</f>
        <v>102350</v>
      </c>
      <c r="P66" s="34">
        <f>IFERROR(SUMIF(Table435[,],Table637[[#This Row],[Accounts Name]],Table435[,2]),"")</f>
        <v>0</v>
      </c>
      <c r="S66" s="36">
        <f t="shared" si="0"/>
        <v>59</v>
      </c>
      <c r="T66" s="34"/>
      <c r="U66" s="37"/>
      <c r="V66" s="34">
        <f>IFERROR(SUMIF(Table637[Sub-Accounts],Table838[[#This Row],[Update your chart of accounts here]],Table637[Debit]),"")</f>
        <v>0</v>
      </c>
      <c r="W66" s="34">
        <f>IFERROR(SUMIF(Table637[Sub-Accounts],Table838[[#This Row],[Update your chart of accounts here]],Table637[Credit]),"")</f>
        <v>0</v>
      </c>
      <c r="X66" s="34"/>
      <c r="Y66" s="34"/>
      <c r="Z66" s="34"/>
      <c r="AA66" s="34"/>
      <c r="AB66" s="34">
        <f>MAX(Table838[[#This Row],[Debit]]+Table838[[#This Row],[Debit -]]-Table838[[#This Row],[Credit]]-Table838[[#This Row],[Credit +]],0)</f>
        <v>0</v>
      </c>
      <c r="AC66" s="34">
        <f>MAX(Table838[[#This Row],[Credit]]-Table838[[#This Row],[Debit]]+Table838[[#This Row],[Credit +]]-Table838[[#This Row],[Debit -]],0)</f>
        <v>0</v>
      </c>
      <c r="AD66" s="34" t="str">
        <f>IFERROR(IF(AND(OR(Table838[[#This Row],[Classification]]="Expense",Table838[[#This Row],[Classification]]="Cost of Goods Sold"),Table838[[#This Row],[Debit\]]&gt;Table838[[#This Row],[Credit.]]),Table838[[#This Row],[Debit\]]-Table838[[#This Row],[Credit.]],""),"")</f>
        <v/>
      </c>
      <c r="AE66" s="34" t="str">
        <f>IFERROR(IF(AND(OR(Table838[[#This Row],[Classification]]="Income",Table838[[#This Row],[Classification]]="Cost of Goods Sold"),Table838[[#This Row],[Credit.]]&gt;Table838[[#This Row],[Debit\]]),Table838[[#This Row],[Credit.]]-Table838[[#This Row],[Debit\]],""),"")</f>
        <v/>
      </c>
      <c r="AF66" s="34"/>
      <c r="AG66" s="34" t="str">
        <f>IFERROR(IF(AND(Table838[[#This Row],[Classification]]="Assets",Table838[[#This Row],[Debit\]]-Table838[[#This Row],[Credit.]]),Table838[[#This Row],[Debit\]]-Table838[[#This Row],[Credit.]],""),"")</f>
        <v/>
      </c>
      <c r="AH66" s="34" t="str">
        <f>IFERROR(IF(AND(OR(Table838[[#This Row],[Classification]]="Liabilities",Table838[[#This Row],[Classification]]="Owner´s Equity"),Table838[[#This Row],[Credit.]]&gt;Table838[[#This Row],[Debit\]]),Table838[[#This Row],[Credit.]]-Table838[[#This Row],[Debit\]],""),"")</f>
        <v/>
      </c>
    </row>
    <row r="67" spans="2:34" hidden="1" x14ac:dyDescent="0.25">
      <c r="B67" s="34"/>
      <c r="C67" s="37" t="s">
        <v>121</v>
      </c>
      <c r="D67" s="34">
        <v>102350</v>
      </c>
      <c r="E67" s="34"/>
      <c r="G67" s="39"/>
      <c r="H67" s="40"/>
      <c r="I67" s="41"/>
      <c r="J67" s="41"/>
      <c r="L67" s="34">
        <v>60</v>
      </c>
      <c r="M67" s="35" t="s">
        <v>151</v>
      </c>
      <c r="N67" s="35" t="s">
        <v>122</v>
      </c>
      <c r="O67" s="34">
        <f>IFERROR(SUMIF(Table435[,],Table637[[#This Row],[Accounts Name]],Table435[,3]),"")</f>
        <v>62000</v>
      </c>
      <c r="P67" s="34">
        <f>IFERROR(SUMIF(Table435[,],Table637[[#This Row],[Accounts Name]],Table435[,2]),"")</f>
        <v>0</v>
      </c>
      <c r="S67" s="36">
        <f t="shared" si="0"/>
        <v>60</v>
      </c>
      <c r="T67" s="34"/>
      <c r="U67" s="37"/>
      <c r="V67" s="34">
        <f>IFERROR(SUMIF(Table637[Sub-Accounts],Table838[[#This Row],[Update your chart of accounts here]],Table637[Debit]),"")</f>
        <v>0</v>
      </c>
      <c r="W67" s="34">
        <f>IFERROR(SUMIF(Table637[Sub-Accounts],Table838[[#This Row],[Update your chart of accounts here]],Table637[Credit]),"")</f>
        <v>0</v>
      </c>
      <c r="X67" s="34"/>
      <c r="Y67" s="34"/>
      <c r="Z67" s="34"/>
      <c r="AA67" s="34"/>
      <c r="AB67" s="34">
        <f>MAX(Table838[[#This Row],[Debit]]+Table838[[#This Row],[Debit -]]-Table838[[#This Row],[Credit]]-Table838[[#This Row],[Credit +]],0)</f>
        <v>0</v>
      </c>
      <c r="AC67" s="34">
        <f>MAX(Table838[[#This Row],[Credit]]-Table838[[#This Row],[Debit]]+Table838[[#This Row],[Credit +]]-Table838[[#This Row],[Debit -]],0)</f>
        <v>0</v>
      </c>
      <c r="AD67" s="34" t="str">
        <f>IFERROR(IF(AND(OR(Table838[[#This Row],[Classification]]="Expense",Table838[[#This Row],[Classification]]="Cost of Goods Sold"),Table838[[#This Row],[Debit\]]&gt;Table838[[#This Row],[Credit.]]),Table838[[#This Row],[Debit\]]-Table838[[#This Row],[Credit.]],""),"")</f>
        <v/>
      </c>
      <c r="AE67" s="34" t="str">
        <f>IFERROR(IF(AND(OR(Table838[[#This Row],[Classification]]="Income",Table838[[#This Row],[Classification]]="Cost of Goods Sold"),Table838[[#This Row],[Credit.]]&gt;Table838[[#This Row],[Debit\]]),Table838[[#This Row],[Credit.]]-Table838[[#This Row],[Debit\]],""),"")</f>
        <v/>
      </c>
      <c r="AF67" s="34"/>
      <c r="AG67" s="34" t="str">
        <f>IFERROR(IF(AND(Table838[[#This Row],[Classification]]="Assets",Table838[[#This Row],[Debit\]]-Table838[[#This Row],[Credit.]]),Table838[[#This Row],[Debit\]]-Table838[[#This Row],[Credit.]],""),"")</f>
        <v/>
      </c>
      <c r="AH67" s="34" t="str">
        <f>IFERROR(IF(AND(OR(Table838[[#This Row],[Classification]]="Liabilities",Table838[[#This Row],[Classification]]="Owner´s Equity"),Table838[[#This Row],[Credit.]]&gt;Table838[[#This Row],[Debit\]]),Table838[[#This Row],[Credit.]]-Table838[[#This Row],[Debit\]],""),"")</f>
        <v/>
      </c>
    </row>
    <row r="68" spans="2:34" hidden="1" x14ac:dyDescent="0.25">
      <c r="B68" s="34"/>
      <c r="C68" s="37" t="s">
        <v>122</v>
      </c>
      <c r="D68" s="34">
        <v>62000</v>
      </c>
      <c r="E68" s="34"/>
      <c r="G68" s="39"/>
      <c r="H68" s="43"/>
      <c r="I68" s="41"/>
      <c r="J68" s="41"/>
      <c r="L68" s="34">
        <v>61</v>
      </c>
      <c r="M68" s="35" t="s">
        <v>151</v>
      </c>
      <c r="N68" s="35" t="s">
        <v>123</v>
      </c>
      <c r="O68" s="34">
        <f>IFERROR(SUMIF(Table435[,],Table637[[#This Row],[Accounts Name]],Table435[,3]),"")</f>
        <v>278343</v>
      </c>
      <c r="P68" s="34">
        <f>IFERROR(SUMIF(Table435[,],Table637[[#This Row],[Accounts Name]],Table435[,2]),"")</f>
        <v>0</v>
      </c>
      <c r="S68" s="36">
        <f t="shared" si="0"/>
        <v>61</v>
      </c>
      <c r="T68" s="34"/>
      <c r="U68" s="37"/>
      <c r="V68" s="34">
        <f>IFERROR(SUMIF(Table637[Sub-Accounts],Table838[[#This Row],[Update your chart of accounts here]],Table637[Debit]),"")</f>
        <v>0</v>
      </c>
      <c r="W68" s="34">
        <f>IFERROR(SUMIF(Table637[Sub-Accounts],Table838[[#This Row],[Update your chart of accounts here]],Table637[Credit]),"")</f>
        <v>0</v>
      </c>
      <c r="X68" s="34"/>
      <c r="Y68" s="34"/>
      <c r="Z68" s="34"/>
      <c r="AA68" s="34"/>
      <c r="AB68" s="34">
        <f>MAX(Table838[[#This Row],[Debit]]+Table838[[#This Row],[Debit -]]-Table838[[#This Row],[Credit]]-Table838[[#This Row],[Credit +]],0)</f>
        <v>0</v>
      </c>
      <c r="AC68" s="34">
        <f>MAX(Table838[[#This Row],[Credit]]-Table838[[#This Row],[Debit]]+Table838[[#This Row],[Credit +]]-Table838[[#This Row],[Debit -]],0)</f>
        <v>0</v>
      </c>
      <c r="AD68" s="34" t="str">
        <f>IFERROR(IF(AND(OR(Table838[[#This Row],[Classification]]="Expense",Table838[[#This Row],[Classification]]="Cost of Goods Sold"),Table838[[#This Row],[Debit\]]&gt;Table838[[#This Row],[Credit.]]),Table838[[#This Row],[Debit\]]-Table838[[#This Row],[Credit.]],""),"")</f>
        <v/>
      </c>
      <c r="AE68" s="34" t="str">
        <f>IFERROR(IF(AND(OR(Table838[[#This Row],[Classification]]="Income",Table838[[#This Row],[Classification]]="Cost of Goods Sold"),Table838[[#This Row],[Credit.]]&gt;Table838[[#This Row],[Debit\]]),Table838[[#This Row],[Credit.]]-Table838[[#This Row],[Debit\]],""),"")</f>
        <v/>
      </c>
      <c r="AF68" s="34"/>
      <c r="AG68" s="34" t="str">
        <f>IFERROR(IF(AND(Table838[[#This Row],[Classification]]="Assets",Table838[[#This Row],[Debit\]]-Table838[[#This Row],[Credit.]]),Table838[[#This Row],[Debit\]]-Table838[[#This Row],[Credit.]],""),"")</f>
        <v/>
      </c>
      <c r="AH68" s="34" t="str">
        <f>IFERROR(IF(AND(OR(Table838[[#This Row],[Classification]]="Liabilities",Table838[[#This Row],[Classification]]="Owner´s Equity"),Table838[[#This Row],[Credit.]]&gt;Table838[[#This Row],[Debit\]]),Table838[[#This Row],[Credit.]]-Table838[[#This Row],[Debit\]],""),"")</f>
        <v/>
      </c>
    </row>
    <row r="69" spans="2:34" hidden="1" x14ac:dyDescent="0.25">
      <c r="B69" s="34"/>
      <c r="C69" s="37" t="s">
        <v>123</v>
      </c>
      <c r="D69" s="34">
        <v>278343</v>
      </c>
      <c r="E69" s="34"/>
      <c r="G69" s="39"/>
      <c r="H69" s="40"/>
      <c r="I69" s="41"/>
      <c r="J69" s="41"/>
      <c r="L69" s="34">
        <v>62</v>
      </c>
      <c r="M69" s="35" t="s">
        <v>159</v>
      </c>
      <c r="N69" s="35" t="s">
        <v>124</v>
      </c>
      <c r="O69" s="34">
        <f>IFERROR(SUMIF(Table435[,],Table637[[#This Row],[Accounts Name]],Table435[,3]),"")</f>
        <v>181078.65</v>
      </c>
      <c r="P69" s="34">
        <f>IFERROR(SUMIF(Table435[,],Table637[[#This Row],[Accounts Name]],Table435[,2]),"")</f>
        <v>0</v>
      </c>
      <c r="S69" s="36">
        <f t="shared" si="0"/>
        <v>62</v>
      </c>
      <c r="T69" s="34"/>
      <c r="U69" s="37"/>
      <c r="V69" s="34">
        <f>IFERROR(SUMIF(Table637[Sub-Accounts],Table838[[#This Row],[Update your chart of accounts here]],Table637[Debit]),"")</f>
        <v>0</v>
      </c>
      <c r="W69" s="34">
        <f>IFERROR(SUMIF(Table637[Sub-Accounts],Table838[[#This Row],[Update your chart of accounts here]],Table637[Credit]),"")</f>
        <v>0</v>
      </c>
      <c r="X69" s="34"/>
      <c r="Y69" s="34"/>
      <c r="Z69" s="34"/>
      <c r="AA69" s="34"/>
      <c r="AB69" s="34">
        <f>MAX(Table838[[#This Row],[Debit]]+Table838[[#This Row],[Debit -]]-Table838[[#This Row],[Credit]]-Table838[[#This Row],[Credit +]],0)</f>
        <v>0</v>
      </c>
      <c r="AC69" s="34">
        <f>MAX(Table838[[#This Row],[Credit]]-Table838[[#This Row],[Debit]]+Table838[[#This Row],[Credit +]]-Table838[[#This Row],[Debit -]],0)</f>
        <v>0</v>
      </c>
      <c r="AD69" s="34" t="str">
        <f>IFERROR(IF(AND(OR(Table838[[#This Row],[Classification]]="Expense",Table838[[#This Row],[Classification]]="Cost of Goods Sold"),Table838[[#This Row],[Debit\]]&gt;Table838[[#This Row],[Credit.]]),Table838[[#This Row],[Debit\]]-Table838[[#This Row],[Credit.]],""),"")</f>
        <v/>
      </c>
      <c r="AE69" s="34" t="str">
        <f>IFERROR(IF(AND(OR(Table838[[#This Row],[Classification]]="Income",Table838[[#This Row],[Classification]]="Cost of Goods Sold"),Table838[[#This Row],[Credit.]]&gt;Table838[[#This Row],[Debit\]]),Table838[[#This Row],[Credit.]]-Table838[[#This Row],[Debit\]],""),"")</f>
        <v/>
      </c>
      <c r="AF69" s="34"/>
      <c r="AG69" s="34" t="str">
        <f>IFERROR(IF(AND(Table838[[#This Row],[Classification]]="Assets",Table838[[#This Row],[Debit\]]-Table838[[#This Row],[Credit.]]),Table838[[#This Row],[Debit\]]-Table838[[#This Row],[Credit.]],""),"")</f>
        <v/>
      </c>
      <c r="AH69" s="34" t="str">
        <f>IFERROR(IF(AND(OR(Table838[[#This Row],[Classification]]="Liabilities",Table838[[#This Row],[Classification]]="Owner´s Equity"),Table838[[#This Row],[Credit.]]&gt;Table838[[#This Row],[Debit\]]),Table838[[#This Row],[Credit.]]-Table838[[#This Row],[Debit\]],""),"")</f>
        <v/>
      </c>
    </row>
    <row r="70" spans="2:34" hidden="1" x14ac:dyDescent="0.25">
      <c r="B70" s="34"/>
      <c r="C70" s="37" t="s">
        <v>124</v>
      </c>
      <c r="D70" s="34">
        <v>181078.65</v>
      </c>
      <c r="E70" s="34"/>
      <c r="G70" s="39"/>
      <c r="H70" s="40"/>
      <c r="I70" s="41"/>
      <c r="J70" s="41"/>
      <c r="L70" s="34">
        <v>63</v>
      </c>
      <c r="M70" s="35" t="s">
        <v>165</v>
      </c>
      <c r="N70" s="35" t="s">
        <v>125</v>
      </c>
      <c r="O70" s="34">
        <f>IFERROR(SUMIF(Table435[,],Table637[[#This Row],[Accounts Name]],Table435[,3]),"")</f>
        <v>653656.38</v>
      </c>
      <c r="P70" s="34">
        <f>IFERROR(SUMIF(Table435[,],Table637[[#This Row],[Accounts Name]],Table435[,2]),"")</f>
        <v>0</v>
      </c>
      <c r="S70" s="36">
        <f t="shared" si="0"/>
        <v>63</v>
      </c>
      <c r="T70" s="34"/>
      <c r="U70" s="37"/>
      <c r="V70" s="34">
        <f>IFERROR(SUMIF(Table637[Sub-Accounts],Table838[[#This Row],[Update your chart of accounts here]],Table637[Debit]),"")</f>
        <v>0</v>
      </c>
      <c r="W70" s="34">
        <f>IFERROR(SUMIF(Table637[Sub-Accounts],Table838[[#This Row],[Update your chart of accounts here]],Table637[Credit]),"")</f>
        <v>0</v>
      </c>
      <c r="X70" s="34"/>
      <c r="Y70" s="34"/>
      <c r="Z70" s="34"/>
      <c r="AA70" s="34"/>
      <c r="AB70" s="34">
        <f>MAX(Table838[[#This Row],[Debit]]+Table838[[#This Row],[Debit -]]-Table838[[#This Row],[Credit]]-Table838[[#This Row],[Credit +]],0)</f>
        <v>0</v>
      </c>
      <c r="AC70" s="34">
        <f>MAX(Table838[[#This Row],[Credit]]-Table838[[#This Row],[Debit]]+Table838[[#This Row],[Credit +]]-Table838[[#This Row],[Debit -]],0)</f>
        <v>0</v>
      </c>
      <c r="AD70" s="34" t="str">
        <f>IFERROR(IF(AND(OR(Table838[[#This Row],[Classification]]="Expense",Table838[[#This Row],[Classification]]="Cost of Goods Sold"),Table838[[#This Row],[Debit\]]&gt;Table838[[#This Row],[Credit.]]),Table838[[#This Row],[Debit\]]-Table838[[#This Row],[Credit.]],""),"")</f>
        <v/>
      </c>
      <c r="AE70" s="34" t="str">
        <f>IFERROR(IF(AND(OR(Table838[[#This Row],[Classification]]="Income",Table838[[#This Row],[Classification]]="Cost of Goods Sold"),Table838[[#This Row],[Credit.]]&gt;Table838[[#This Row],[Debit\]]),Table838[[#This Row],[Credit.]]-Table838[[#This Row],[Debit\]],""),"")</f>
        <v/>
      </c>
      <c r="AF70" s="34"/>
      <c r="AG70" s="34" t="str">
        <f>IFERROR(IF(AND(Table838[[#This Row],[Classification]]="Assets",Table838[[#This Row],[Debit\]]-Table838[[#This Row],[Credit.]]),Table838[[#This Row],[Debit\]]-Table838[[#This Row],[Credit.]],""),"")</f>
        <v/>
      </c>
      <c r="AH70" s="34" t="str">
        <f>IFERROR(IF(AND(OR(Table838[[#This Row],[Classification]]="Liabilities",Table838[[#This Row],[Classification]]="Owner´s Equity"),Table838[[#This Row],[Credit.]]&gt;Table838[[#This Row],[Debit\]]),Table838[[#This Row],[Credit.]]-Table838[[#This Row],[Debit\]],""),"")</f>
        <v/>
      </c>
    </row>
    <row r="71" spans="2:34" hidden="1" x14ac:dyDescent="0.25">
      <c r="B71" s="34"/>
      <c r="C71" s="37" t="s">
        <v>125</v>
      </c>
      <c r="D71" s="34">
        <v>653656.38</v>
      </c>
      <c r="E71" s="34"/>
      <c r="G71" s="39"/>
      <c r="H71" s="43"/>
      <c r="I71" s="41"/>
      <c r="J71" s="41"/>
      <c r="L71" s="34">
        <v>64</v>
      </c>
      <c r="M71" s="35" t="s">
        <v>160</v>
      </c>
      <c r="N71" s="35" t="s">
        <v>126</v>
      </c>
      <c r="O71" s="34">
        <f>IFERROR(SUMIF(Table435[,],Table637[[#This Row],[Accounts Name]],Table435[,3]),"")</f>
        <v>115440</v>
      </c>
      <c r="P71" s="34">
        <f>IFERROR(SUMIF(Table435[,],Table637[[#This Row],[Accounts Name]],Table435[,2]),"")</f>
        <v>0</v>
      </c>
      <c r="S71" s="36">
        <f t="shared" si="0"/>
        <v>64</v>
      </c>
      <c r="T71" s="34"/>
      <c r="U71" s="37"/>
      <c r="V71" s="34">
        <f>IFERROR(SUMIF(Table637[Sub-Accounts],Table838[[#This Row],[Update your chart of accounts here]],Table637[Debit]),"")</f>
        <v>0</v>
      </c>
      <c r="W71" s="34">
        <f>IFERROR(SUMIF(Table637[Sub-Accounts],Table838[[#This Row],[Update your chart of accounts here]],Table637[Credit]),"")</f>
        <v>0</v>
      </c>
      <c r="X71" s="34"/>
      <c r="Y71" s="34"/>
      <c r="Z71" s="34"/>
      <c r="AA71" s="34"/>
      <c r="AB71" s="34">
        <f>MAX(Table838[[#This Row],[Debit]]+Table838[[#This Row],[Debit -]]-Table838[[#This Row],[Credit]]-Table838[[#This Row],[Credit +]],0)</f>
        <v>0</v>
      </c>
      <c r="AC71" s="34">
        <f>MAX(Table838[[#This Row],[Credit]]-Table838[[#This Row],[Debit]]+Table838[[#This Row],[Credit +]]-Table838[[#This Row],[Debit -]],0)</f>
        <v>0</v>
      </c>
      <c r="AD71" s="34" t="str">
        <f>IFERROR(IF(AND(OR(Table838[[#This Row],[Classification]]="Expense",Table838[[#This Row],[Classification]]="Cost of Goods Sold"),Table838[[#This Row],[Debit\]]&gt;Table838[[#This Row],[Credit.]]),Table838[[#This Row],[Debit\]]-Table838[[#This Row],[Credit.]],""),"")</f>
        <v/>
      </c>
      <c r="AE71" s="34" t="str">
        <f>IFERROR(IF(AND(OR(Table838[[#This Row],[Classification]]="Income",Table838[[#This Row],[Classification]]="Cost of Goods Sold"),Table838[[#This Row],[Credit.]]&gt;Table838[[#This Row],[Debit\]]),Table838[[#This Row],[Credit.]]-Table838[[#This Row],[Debit\]],""),"")</f>
        <v/>
      </c>
      <c r="AF71" s="34"/>
      <c r="AG71" s="34" t="str">
        <f>IFERROR(IF(AND(Table838[[#This Row],[Classification]]="Assets",Table838[[#This Row],[Debit\]]-Table838[[#This Row],[Credit.]]),Table838[[#This Row],[Debit\]]-Table838[[#This Row],[Credit.]],""),"")</f>
        <v/>
      </c>
      <c r="AH71" s="34" t="str">
        <f>IFERROR(IF(AND(OR(Table838[[#This Row],[Classification]]="Liabilities",Table838[[#This Row],[Classification]]="Owner´s Equity"),Table838[[#This Row],[Credit.]]&gt;Table838[[#This Row],[Debit\]]),Table838[[#This Row],[Credit.]]-Table838[[#This Row],[Debit\]],""),"")</f>
        <v/>
      </c>
    </row>
    <row r="72" spans="2:34" hidden="1" x14ac:dyDescent="0.25">
      <c r="B72" s="34"/>
      <c r="C72" s="37" t="s">
        <v>126</v>
      </c>
      <c r="D72" s="34">
        <v>115440</v>
      </c>
      <c r="E72" s="34"/>
      <c r="G72" s="39"/>
      <c r="H72" s="40"/>
      <c r="I72" s="41"/>
      <c r="J72" s="41"/>
      <c r="L72" s="34">
        <v>65</v>
      </c>
      <c r="M72" s="35" t="s">
        <v>166</v>
      </c>
      <c r="N72" s="35" t="s">
        <v>127</v>
      </c>
      <c r="O72" s="34">
        <f>IFERROR(SUMIF(Table435[,],Table637[[#This Row],[Accounts Name]],Table435[,3]),"")</f>
        <v>1409746.56</v>
      </c>
      <c r="P72" s="34">
        <f>IFERROR(SUMIF(Table435[,],Table637[[#This Row],[Accounts Name]],Table435[,2]),"")</f>
        <v>0</v>
      </c>
      <c r="S72" s="36">
        <f t="shared" si="0"/>
        <v>65</v>
      </c>
      <c r="T72" s="34"/>
      <c r="U72" s="37"/>
      <c r="V72" s="34">
        <f>IFERROR(SUMIF(Table637[Sub-Accounts],Table838[[#This Row],[Update your chart of accounts here]],Table637[Debit]),"")</f>
        <v>0</v>
      </c>
      <c r="W72" s="34">
        <f>IFERROR(SUMIF(Table637[Sub-Accounts],Table838[[#This Row],[Update your chart of accounts here]],Table637[Credit]),"")</f>
        <v>0</v>
      </c>
      <c r="X72" s="34"/>
      <c r="Y72" s="34"/>
      <c r="Z72" s="34"/>
      <c r="AA72" s="34"/>
      <c r="AB72" s="34">
        <f>MAX(Table838[[#This Row],[Debit]]+Table838[[#This Row],[Debit -]]-Table838[[#This Row],[Credit]]-Table838[[#This Row],[Credit +]],0)</f>
        <v>0</v>
      </c>
      <c r="AC72" s="34">
        <f>MAX(Table838[[#This Row],[Credit]]-Table838[[#This Row],[Debit]]+Table838[[#This Row],[Credit +]]-Table838[[#This Row],[Debit -]],0)</f>
        <v>0</v>
      </c>
      <c r="AD72" s="34" t="str">
        <f>IFERROR(IF(AND(OR(Table838[[#This Row],[Classification]]="Expense",Table838[[#This Row],[Classification]]="Cost of Goods Sold"),Table838[[#This Row],[Debit\]]&gt;Table838[[#This Row],[Credit.]]),Table838[[#This Row],[Debit\]]-Table838[[#This Row],[Credit.]],""),"")</f>
        <v/>
      </c>
      <c r="AE72" s="34" t="str">
        <f>IFERROR(IF(AND(OR(Table838[[#This Row],[Classification]]="Income",Table838[[#This Row],[Classification]]="Cost of Goods Sold"),Table838[[#This Row],[Credit.]]&gt;Table838[[#This Row],[Debit\]]),Table838[[#This Row],[Credit.]]-Table838[[#This Row],[Debit\]],""),"")</f>
        <v/>
      </c>
      <c r="AF72" s="34"/>
      <c r="AG72" s="34" t="str">
        <f>IFERROR(IF(AND(Table838[[#This Row],[Classification]]="Assets",Table838[[#This Row],[Debit\]]-Table838[[#This Row],[Credit.]]),Table838[[#This Row],[Debit\]]-Table838[[#This Row],[Credit.]],""),"")</f>
        <v/>
      </c>
      <c r="AH72" s="34" t="str">
        <f>IFERROR(IF(AND(OR(Table838[[#This Row],[Classification]]="Liabilities",Table838[[#This Row],[Classification]]="Owner´s Equity"),Table838[[#This Row],[Credit.]]&gt;Table838[[#This Row],[Debit\]]),Table838[[#This Row],[Credit.]]-Table838[[#This Row],[Debit\]],""),"")</f>
        <v/>
      </c>
    </row>
    <row r="73" spans="2:34" hidden="1" x14ac:dyDescent="0.25">
      <c r="B73" s="34"/>
      <c r="C73" s="37" t="s">
        <v>127</v>
      </c>
      <c r="D73" s="34">
        <v>1409746.56</v>
      </c>
      <c r="E73" s="34"/>
      <c r="G73" s="39"/>
      <c r="H73" s="40"/>
      <c r="I73" s="41"/>
      <c r="J73" s="41"/>
      <c r="L73" s="34">
        <v>66</v>
      </c>
      <c r="M73" s="35" t="s">
        <v>152</v>
      </c>
      <c r="N73" s="35" t="s">
        <v>128</v>
      </c>
      <c r="O73" s="34">
        <f>IFERROR(SUMIF(Table435[,],Table637[[#This Row],[Accounts Name]],Table435[,3]),"")</f>
        <v>1758</v>
      </c>
      <c r="P73" s="34">
        <f>IFERROR(SUMIF(Table435[,],Table637[[#This Row],[Accounts Name]],Table435[,2]),"")</f>
        <v>0</v>
      </c>
      <c r="S73" s="36">
        <f t="shared" si="0"/>
        <v>66</v>
      </c>
      <c r="T73" s="34"/>
      <c r="U73" s="37"/>
      <c r="V73" s="34">
        <f>IFERROR(SUMIF(Table637[Sub-Accounts],Table838[[#This Row],[Update your chart of accounts here]],Table637[Debit]),"")</f>
        <v>0</v>
      </c>
      <c r="W73" s="34">
        <f>IFERROR(SUMIF(Table637[Sub-Accounts],Table838[[#This Row],[Update your chart of accounts here]],Table637[Credit]),"")</f>
        <v>0</v>
      </c>
      <c r="X73" s="34"/>
      <c r="Y73" s="34"/>
      <c r="Z73" s="34"/>
      <c r="AA73" s="34"/>
      <c r="AB73" s="34">
        <f>MAX(Table838[[#This Row],[Debit]]+Table838[[#This Row],[Debit -]]-Table838[[#This Row],[Credit]]-Table838[[#This Row],[Credit +]],0)</f>
        <v>0</v>
      </c>
      <c r="AC73" s="34">
        <f>MAX(Table838[[#This Row],[Credit]]-Table838[[#This Row],[Debit]]+Table838[[#This Row],[Credit +]]-Table838[[#This Row],[Debit -]],0)</f>
        <v>0</v>
      </c>
      <c r="AD73" s="34" t="str">
        <f>IFERROR(IF(AND(OR(Table838[[#This Row],[Classification]]="Expense",Table838[[#This Row],[Classification]]="Cost of Goods Sold"),Table838[[#This Row],[Debit\]]&gt;Table838[[#This Row],[Credit.]]),Table838[[#This Row],[Debit\]]-Table838[[#This Row],[Credit.]],""),"")</f>
        <v/>
      </c>
      <c r="AE73" s="34" t="str">
        <f>IFERROR(IF(AND(OR(Table838[[#This Row],[Classification]]="Income",Table838[[#This Row],[Classification]]="Cost of Goods Sold"),Table838[[#This Row],[Credit.]]&gt;Table838[[#This Row],[Debit\]]),Table838[[#This Row],[Credit.]]-Table838[[#This Row],[Debit\]],""),"")</f>
        <v/>
      </c>
      <c r="AF73" s="34"/>
      <c r="AG73" s="34" t="str">
        <f>IFERROR(IF(AND(Table838[[#This Row],[Classification]]="Assets",Table838[[#This Row],[Debit\]]-Table838[[#This Row],[Credit.]]),Table838[[#This Row],[Debit\]]-Table838[[#This Row],[Credit.]],""),"")</f>
        <v/>
      </c>
      <c r="AH73" s="34" t="str">
        <f>IFERROR(IF(AND(OR(Table838[[#This Row],[Classification]]="Liabilities",Table838[[#This Row],[Classification]]="Owner´s Equity"),Table838[[#This Row],[Credit.]]&gt;Table838[[#This Row],[Debit\]]),Table838[[#This Row],[Credit.]]-Table838[[#This Row],[Debit\]],""),"")</f>
        <v/>
      </c>
    </row>
    <row r="74" spans="2:34" hidden="1" x14ac:dyDescent="0.25">
      <c r="B74" s="34"/>
      <c r="C74" s="37" t="s">
        <v>128</v>
      </c>
      <c r="D74" s="34">
        <v>1758</v>
      </c>
      <c r="E74" s="34"/>
      <c r="G74" s="39"/>
      <c r="H74" s="43"/>
      <c r="I74" s="41"/>
      <c r="J74" s="41"/>
      <c r="L74" s="34">
        <v>67</v>
      </c>
      <c r="M74" s="35" t="s">
        <v>167</v>
      </c>
      <c r="N74" s="35" t="s">
        <v>129</v>
      </c>
      <c r="O74" s="34">
        <f>IFERROR(SUMIF(Table435[,],Table637[[#This Row],[Accounts Name]],Table435[,3]),"")</f>
        <v>196582.42</v>
      </c>
      <c r="P74" s="34">
        <f>IFERROR(SUMIF(Table435[,],Table637[[#This Row],[Accounts Name]],Table435[,2]),"")</f>
        <v>0</v>
      </c>
      <c r="S74" s="36">
        <f t="shared" ref="S74:S137" si="1">S73+1</f>
        <v>67</v>
      </c>
      <c r="T74" s="34"/>
      <c r="U74" s="37"/>
      <c r="V74" s="34">
        <f>IFERROR(SUMIF(Table637[Sub-Accounts],Table838[[#This Row],[Update your chart of accounts here]],Table637[Debit]),"")</f>
        <v>0</v>
      </c>
      <c r="W74" s="34">
        <f>IFERROR(SUMIF(Table637[Sub-Accounts],Table838[[#This Row],[Update your chart of accounts here]],Table637[Credit]),"")</f>
        <v>0</v>
      </c>
      <c r="X74" s="34"/>
      <c r="Y74" s="34"/>
      <c r="Z74" s="34"/>
      <c r="AA74" s="34"/>
      <c r="AB74" s="34">
        <f>MAX(Table838[[#This Row],[Debit]]+Table838[[#This Row],[Debit -]]-Table838[[#This Row],[Credit]]-Table838[[#This Row],[Credit +]],0)</f>
        <v>0</v>
      </c>
      <c r="AC74" s="34">
        <f>MAX(Table838[[#This Row],[Credit]]-Table838[[#This Row],[Debit]]+Table838[[#This Row],[Credit +]]-Table838[[#This Row],[Debit -]],0)</f>
        <v>0</v>
      </c>
      <c r="AD74" s="34" t="str">
        <f>IFERROR(IF(AND(OR(Table838[[#This Row],[Classification]]="Expense",Table838[[#This Row],[Classification]]="Cost of Goods Sold"),Table838[[#This Row],[Debit\]]&gt;Table838[[#This Row],[Credit.]]),Table838[[#This Row],[Debit\]]-Table838[[#This Row],[Credit.]],""),"")</f>
        <v/>
      </c>
      <c r="AE74" s="34" t="str">
        <f>IFERROR(IF(AND(OR(Table838[[#This Row],[Classification]]="Income",Table838[[#This Row],[Classification]]="Cost of Goods Sold"),Table838[[#This Row],[Credit.]]&gt;Table838[[#This Row],[Debit\]]),Table838[[#This Row],[Credit.]]-Table838[[#This Row],[Debit\]],""),"")</f>
        <v/>
      </c>
      <c r="AF74" s="34"/>
      <c r="AG74" s="34" t="str">
        <f>IFERROR(IF(AND(Table838[[#This Row],[Classification]]="Assets",Table838[[#This Row],[Debit\]]-Table838[[#This Row],[Credit.]]),Table838[[#This Row],[Debit\]]-Table838[[#This Row],[Credit.]],""),"")</f>
        <v/>
      </c>
      <c r="AH74" s="34" t="str">
        <f>IFERROR(IF(AND(OR(Table838[[#This Row],[Classification]]="Liabilities",Table838[[#This Row],[Classification]]="Owner´s Equity"),Table838[[#This Row],[Credit.]]&gt;Table838[[#This Row],[Debit\]]),Table838[[#This Row],[Credit.]]-Table838[[#This Row],[Debit\]],""),"")</f>
        <v/>
      </c>
    </row>
    <row r="75" spans="2:34" hidden="1" x14ac:dyDescent="0.25">
      <c r="B75" s="34"/>
      <c r="C75" s="37" t="s">
        <v>129</v>
      </c>
      <c r="D75" s="34">
        <v>196582.42</v>
      </c>
      <c r="E75" s="34"/>
      <c r="G75" s="39"/>
      <c r="H75" s="40"/>
      <c r="I75" s="41"/>
      <c r="J75" s="41"/>
      <c r="L75" s="34">
        <v>68</v>
      </c>
      <c r="M75" s="35" t="s">
        <v>151</v>
      </c>
      <c r="N75" s="35" t="s">
        <v>130</v>
      </c>
      <c r="O75" s="34">
        <f>IFERROR(SUMIF(Table435[,],Table637[[#This Row],[Accounts Name]],Table435[,3]),"")</f>
        <v>3069792</v>
      </c>
      <c r="P75" s="34">
        <f>IFERROR(SUMIF(Table435[,],Table637[[#This Row],[Accounts Name]],Table435[,2]),"")</f>
        <v>0</v>
      </c>
      <c r="S75" s="36">
        <f t="shared" si="1"/>
        <v>68</v>
      </c>
      <c r="T75" s="34"/>
      <c r="U75" s="37"/>
      <c r="V75" s="34">
        <f>IFERROR(SUMIF(Table637[Sub-Accounts],Table838[[#This Row],[Update your chart of accounts here]],Table637[Debit]),"")</f>
        <v>0</v>
      </c>
      <c r="W75" s="34">
        <f>IFERROR(SUMIF(Table637[Sub-Accounts],Table838[[#This Row],[Update your chart of accounts here]],Table637[Credit]),"")</f>
        <v>0</v>
      </c>
      <c r="X75" s="34"/>
      <c r="Y75" s="34"/>
      <c r="Z75" s="34"/>
      <c r="AA75" s="34"/>
      <c r="AB75" s="34">
        <f>MAX(Table838[[#This Row],[Debit]]+Table838[[#This Row],[Debit -]]-Table838[[#This Row],[Credit]]-Table838[[#This Row],[Credit +]],0)</f>
        <v>0</v>
      </c>
      <c r="AC75" s="34">
        <f>MAX(Table838[[#This Row],[Credit]]-Table838[[#This Row],[Debit]]+Table838[[#This Row],[Credit +]]-Table838[[#This Row],[Debit -]],0)</f>
        <v>0</v>
      </c>
      <c r="AD75" s="34" t="str">
        <f>IFERROR(IF(AND(OR(Table838[[#This Row],[Classification]]="Expense",Table838[[#This Row],[Classification]]="Cost of Goods Sold"),Table838[[#This Row],[Debit\]]&gt;Table838[[#This Row],[Credit.]]),Table838[[#This Row],[Debit\]]-Table838[[#This Row],[Credit.]],""),"")</f>
        <v/>
      </c>
      <c r="AE75" s="34" t="str">
        <f>IFERROR(IF(AND(OR(Table838[[#This Row],[Classification]]="Income",Table838[[#This Row],[Classification]]="Cost of Goods Sold"),Table838[[#This Row],[Credit.]]&gt;Table838[[#This Row],[Debit\]]),Table838[[#This Row],[Credit.]]-Table838[[#This Row],[Debit\]],""),"")</f>
        <v/>
      </c>
      <c r="AF75" s="34"/>
      <c r="AG75" s="34" t="str">
        <f>IFERROR(IF(AND(Table838[[#This Row],[Classification]]="Assets",Table838[[#This Row],[Debit\]]-Table838[[#This Row],[Credit.]]),Table838[[#This Row],[Debit\]]-Table838[[#This Row],[Credit.]],""),"")</f>
        <v/>
      </c>
      <c r="AH75" s="34" t="str">
        <f>IFERROR(IF(AND(OR(Table838[[#This Row],[Classification]]="Liabilities",Table838[[#This Row],[Classification]]="Owner´s Equity"),Table838[[#This Row],[Credit.]]&gt;Table838[[#This Row],[Debit\]]),Table838[[#This Row],[Credit.]]-Table838[[#This Row],[Debit\]],""),"")</f>
        <v/>
      </c>
    </row>
    <row r="76" spans="2:34" hidden="1" x14ac:dyDescent="0.25">
      <c r="B76" s="34"/>
      <c r="C76" s="37" t="s">
        <v>130</v>
      </c>
      <c r="D76" s="34">
        <v>3069792</v>
      </c>
      <c r="E76" s="34"/>
      <c r="G76" s="39"/>
      <c r="H76" s="40"/>
      <c r="I76" s="41"/>
      <c r="J76" s="41"/>
      <c r="L76" s="34">
        <v>69</v>
      </c>
      <c r="M76" s="35" t="s">
        <v>168</v>
      </c>
      <c r="N76" s="35" t="s">
        <v>131</v>
      </c>
      <c r="O76" s="34">
        <f>IFERROR(SUMIF(Table435[,],Table637[[#This Row],[Accounts Name]],Table435[,3]),"")</f>
        <v>302989.64</v>
      </c>
      <c r="P76" s="34">
        <f>IFERROR(SUMIF(Table435[,],Table637[[#This Row],[Accounts Name]],Table435[,2]),"")</f>
        <v>0</v>
      </c>
      <c r="S76" s="36">
        <f t="shared" si="1"/>
        <v>69</v>
      </c>
      <c r="T76" s="34"/>
      <c r="U76" s="37"/>
      <c r="V76" s="34">
        <f>IFERROR(SUMIF(Table637[Sub-Accounts],Table838[[#This Row],[Update your chart of accounts here]],Table637[Debit]),"")</f>
        <v>0</v>
      </c>
      <c r="W76" s="34">
        <f>IFERROR(SUMIF(Table637[Sub-Accounts],Table838[[#This Row],[Update your chart of accounts here]],Table637[Credit]),"")</f>
        <v>0</v>
      </c>
      <c r="X76" s="34"/>
      <c r="Y76" s="34"/>
      <c r="Z76" s="34"/>
      <c r="AA76" s="34"/>
      <c r="AB76" s="34">
        <f>MAX(Table838[[#This Row],[Debit]]+Table838[[#This Row],[Debit -]]-Table838[[#This Row],[Credit]]-Table838[[#This Row],[Credit +]],0)</f>
        <v>0</v>
      </c>
      <c r="AC76" s="34">
        <f>MAX(Table838[[#This Row],[Credit]]-Table838[[#This Row],[Debit]]+Table838[[#This Row],[Credit +]]-Table838[[#This Row],[Debit -]],0)</f>
        <v>0</v>
      </c>
      <c r="AD76" s="34" t="str">
        <f>IFERROR(IF(AND(OR(Table838[[#This Row],[Classification]]="Expense",Table838[[#This Row],[Classification]]="Cost of Goods Sold"),Table838[[#This Row],[Debit\]]&gt;Table838[[#This Row],[Credit.]]),Table838[[#This Row],[Debit\]]-Table838[[#This Row],[Credit.]],""),"")</f>
        <v/>
      </c>
      <c r="AE76" s="34" t="str">
        <f>IFERROR(IF(AND(OR(Table838[[#This Row],[Classification]]="Income",Table838[[#This Row],[Classification]]="Cost of Goods Sold"),Table838[[#This Row],[Credit.]]&gt;Table838[[#This Row],[Debit\]]),Table838[[#This Row],[Credit.]]-Table838[[#This Row],[Debit\]],""),"")</f>
        <v/>
      </c>
      <c r="AF76" s="34"/>
      <c r="AG76" s="34" t="str">
        <f>IFERROR(IF(AND(Table838[[#This Row],[Classification]]="Assets",Table838[[#This Row],[Debit\]]-Table838[[#This Row],[Credit.]]),Table838[[#This Row],[Debit\]]-Table838[[#This Row],[Credit.]],""),"")</f>
        <v/>
      </c>
      <c r="AH76" s="34" t="str">
        <f>IFERROR(IF(AND(OR(Table838[[#This Row],[Classification]]="Liabilities",Table838[[#This Row],[Classification]]="Owner´s Equity"),Table838[[#This Row],[Credit.]]&gt;Table838[[#This Row],[Debit\]]),Table838[[#This Row],[Credit.]]-Table838[[#This Row],[Debit\]],""),"")</f>
        <v/>
      </c>
    </row>
    <row r="77" spans="2:34" hidden="1" x14ac:dyDescent="0.25">
      <c r="B77" s="34"/>
      <c r="C77" s="37" t="s">
        <v>131</v>
      </c>
      <c r="D77" s="34">
        <v>302989.64</v>
      </c>
      <c r="E77" s="34"/>
      <c r="G77" s="39"/>
      <c r="H77" s="43"/>
      <c r="I77" s="41"/>
      <c r="J77" s="41"/>
      <c r="L77" s="34">
        <v>70</v>
      </c>
      <c r="M77" s="35" t="s">
        <v>167</v>
      </c>
      <c r="N77" s="35" t="s">
        <v>132</v>
      </c>
      <c r="O77" s="34">
        <f>IFERROR(SUMIF(Table435[,],Table637[[#This Row],[Accounts Name]],Table435[,3]),"")</f>
        <v>35000</v>
      </c>
      <c r="P77" s="34">
        <f>IFERROR(SUMIF(Table435[,],Table637[[#This Row],[Accounts Name]],Table435[,2]),"")</f>
        <v>0</v>
      </c>
      <c r="S77" s="36">
        <f t="shared" si="1"/>
        <v>70</v>
      </c>
      <c r="T77" s="34"/>
      <c r="U77" s="37"/>
      <c r="V77" s="34">
        <f>IFERROR(SUMIF(Table637[Sub-Accounts],Table838[[#This Row],[Update your chart of accounts here]],Table637[Debit]),"")</f>
        <v>0</v>
      </c>
      <c r="W77" s="34">
        <f>IFERROR(SUMIF(Table637[Sub-Accounts],Table838[[#This Row],[Update your chart of accounts here]],Table637[Credit]),"")</f>
        <v>0</v>
      </c>
      <c r="X77" s="34"/>
      <c r="Y77" s="34"/>
      <c r="Z77" s="34"/>
      <c r="AA77" s="34"/>
      <c r="AB77" s="34">
        <f>MAX(Table838[[#This Row],[Debit]]+Table838[[#This Row],[Debit -]]-Table838[[#This Row],[Credit]]-Table838[[#This Row],[Credit +]],0)</f>
        <v>0</v>
      </c>
      <c r="AC77" s="34">
        <f>MAX(Table838[[#This Row],[Credit]]-Table838[[#This Row],[Debit]]+Table838[[#This Row],[Credit +]]-Table838[[#This Row],[Debit -]],0)</f>
        <v>0</v>
      </c>
      <c r="AD77" s="34" t="str">
        <f>IFERROR(IF(AND(OR(Table838[[#This Row],[Classification]]="Expense",Table838[[#This Row],[Classification]]="Cost of Goods Sold"),Table838[[#This Row],[Debit\]]&gt;Table838[[#This Row],[Credit.]]),Table838[[#This Row],[Debit\]]-Table838[[#This Row],[Credit.]],""),"")</f>
        <v/>
      </c>
      <c r="AE77" s="34" t="str">
        <f>IFERROR(IF(AND(OR(Table838[[#This Row],[Classification]]="Income",Table838[[#This Row],[Classification]]="Cost of Goods Sold"),Table838[[#This Row],[Credit.]]&gt;Table838[[#This Row],[Debit\]]),Table838[[#This Row],[Credit.]]-Table838[[#This Row],[Debit\]],""),"")</f>
        <v/>
      </c>
      <c r="AF77" s="34"/>
      <c r="AG77" s="34" t="str">
        <f>IFERROR(IF(AND(Table838[[#This Row],[Classification]]="Assets",Table838[[#This Row],[Debit\]]-Table838[[#This Row],[Credit.]]),Table838[[#This Row],[Debit\]]-Table838[[#This Row],[Credit.]],""),"")</f>
        <v/>
      </c>
      <c r="AH77" s="34" t="str">
        <f>IFERROR(IF(AND(OR(Table838[[#This Row],[Classification]]="Liabilities",Table838[[#This Row],[Classification]]="Owner´s Equity"),Table838[[#This Row],[Credit.]]&gt;Table838[[#This Row],[Debit\]]),Table838[[#This Row],[Credit.]]-Table838[[#This Row],[Debit\]],""),"")</f>
        <v/>
      </c>
    </row>
    <row r="78" spans="2:34" hidden="1" x14ac:dyDescent="0.25">
      <c r="B78" s="34"/>
      <c r="C78" s="37" t="s">
        <v>132</v>
      </c>
      <c r="D78" s="34">
        <v>35000</v>
      </c>
      <c r="E78" s="34"/>
      <c r="G78" s="39"/>
      <c r="H78" s="40"/>
      <c r="I78" s="41"/>
      <c r="J78" s="41"/>
      <c r="L78" s="34">
        <v>71</v>
      </c>
      <c r="M78" s="35" t="s">
        <v>167</v>
      </c>
      <c r="N78" s="35" t="s">
        <v>133</v>
      </c>
      <c r="O78" s="34">
        <f>IFERROR(SUMIF(Table435[,],Table637[[#This Row],[Accounts Name]],Table435[,3]),"")</f>
        <v>164240.34</v>
      </c>
      <c r="P78" s="34">
        <f>IFERROR(SUMIF(Table435[,],Table637[[#This Row],[Accounts Name]],Table435[,2]),"")</f>
        <v>0</v>
      </c>
      <c r="S78" s="36">
        <f t="shared" si="1"/>
        <v>71</v>
      </c>
      <c r="T78" s="34"/>
      <c r="U78" s="37"/>
      <c r="V78" s="34">
        <f>IFERROR(SUMIF(Table637[Sub-Accounts],Table838[[#This Row],[Update your chart of accounts here]],Table637[Debit]),"")</f>
        <v>0</v>
      </c>
      <c r="W78" s="34">
        <f>IFERROR(SUMIF(Table637[Sub-Accounts],Table838[[#This Row],[Update your chart of accounts here]],Table637[Credit]),"")</f>
        <v>0</v>
      </c>
      <c r="X78" s="34"/>
      <c r="Y78" s="34"/>
      <c r="Z78" s="34"/>
      <c r="AA78" s="34"/>
      <c r="AB78" s="34">
        <f>MAX(Table838[[#This Row],[Debit]]+Table838[[#This Row],[Debit -]]-Table838[[#This Row],[Credit]]-Table838[[#This Row],[Credit +]],0)</f>
        <v>0</v>
      </c>
      <c r="AC78" s="34">
        <f>MAX(Table838[[#This Row],[Credit]]-Table838[[#This Row],[Debit]]+Table838[[#This Row],[Credit +]]-Table838[[#This Row],[Debit -]],0)</f>
        <v>0</v>
      </c>
      <c r="AD78" s="34" t="str">
        <f>IFERROR(IF(AND(OR(Table838[[#This Row],[Classification]]="Expense",Table838[[#This Row],[Classification]]="Cost of Goods Sold"),Table838[[#This Row],[Debit\]]&gt;Table838[[#This Row],[Credit.]]),Table838[[#This Row],[Debit\]]-Table838[[#This Row],[Credit.]],""),"")</f>
        <v/>
      </c>
      <c r="AE78" s="34" t="str">
        <f>IFERROR(IF(AND(OR(Table838[[#This Row],[Classification]]="Income",Table838[[#This Row],[Classification]]="Cost of Goods Sold"),Table838[[#This Row],[Credit.]]&gt;Table838[[#This Row],[Debit\]]),Table838[[#This Row],[Credit.]]-Table838[[#This Row],[Debit\]],""),"")</f>
        <v/>
      </c>
      <c r="AF78" s="34"/>
      <c r="AG78" s="34" t="str">
        <f>IFERROR(IF(AND(Table838[[#This Row],[Classification]]="Assets",Table838[[#This Row],[Debit\]]-Table838[[#This Row],[Credit.]]),Table838[[#This Row],[Debit\]]-Table838[[#This Row],[Credit.]],""),"")</f>
        <v/>
      </c>
      <c r="AH78" s="34" t="str">
        <f>IFERROR(IF(AND(OR(Table838[[#This Row],[Classification]]="Liabilities",Table838[[#This Row],[Classification]]="Owner´s Equity"),Table838[[#This Row],[Credit.]]&gt;Table838[[#This Row],[Debit\]]),Table838[[#This Row],[Credit.]]-Table838[[#This Row],[Debit\]],""),"")</f>
        <v/>
      </c>
    </row>
    <row r="79" spans="2:34" hidden="1" x14ac:dyDescent="0.25">
      <c r="B79" s="34"/>
      <c r="C79" s="37" t="s">
        <v>133</v>
      </c>
      <c r="D79" s="34">
        <v>164240.34</v>
      </c>
      <c r="E79" s="34"/>
      <c r="G79" s="39"/>
      <c r="H79" s="40"/>
      <c r="I79" s="41"/>
      <c r="J79" s="41"/>
      <c r="L79" s="34">
        <v>72</v>
      </c>
      <c r="M79" s="35" t="s">
        <v>169</v>
      </c>
      <c r="N79" s="35" t="s">
        <v>134</v>
      </c>
      <c r="O79" s="34">
        <f>IFERROR(SUMIF(Table435[,],Table637[[#This Row],[Accounts Name]],Table435[,3]),"")</f>
        <v>2000</v>
      </c>
      <c r="P79" s="34">
        <f>IFERROR(SUMIF(Table435[,],Table637[[#This Row],[Accounts Name]],Table435[,2]),"")</f>
        <v>0</v>
      </c>
      <c r="S79" s="36">
        <f t="shared" si="1"/>
        <v>72</v>
      </c>
      <c r="T79" s="34"/>
      <c r="U79" s="37"/>
      <c r="V79" s="34">
        <f>IFERROR(SUMIF(Table637[Sub-Accounts],Table838[[#This Row],[Update your chart of accounts here]],Table637[Debit]),"")</f>
        <v>0</v>
      </c>
      <c r="W79" s="34">
        <f>IFERROR(SUMIF(Table637[Sub-Accounts],Table838[[#This Row],[Update your chart of accounts here]],Table637[Credit]),"")</f>
        <v>0</v>
      </c>
      <c r="X79" s="34"/>
      <c r="Y79" s="34"/>
      <c r="Z79" s="34"/>
      <c r="AA79" s="34"/>
      <c r="AB79" s="34">
        <f>MAX(Table838[[#This Row],[Debit]]+Table838[[#This Row],[Debit -]]-Table838[[#This Row],[Credit]]-Table838[[#This Row],[Credit +]],0)</f>
        <v>0</v>
      </c>
      <c r="AC79" s="34">
        <f>MAX(Table838[[#This Row],[Credit]]-Table838[[#This Row],[Debit]]+Table838[[#This Row],[Credit +]]-Table838[[#This Row],[Debit -]],0)</f>
        <v>0</v>
      </c>
      <c r="AD79" s="34" t="str">
        <f>IFERROR(IF(AND(OR(Table838[[#This Row],[Classification]]="Expense",Table838[[#This Row],[Classification]]="Cost of Goods Sold"),Table838[[#This Row],[Debit\]]&gt;Table838[[#This Row],[Credit.]]),Table838[[#This Row],[Debit\]]-Table838[[#This Row],[Credit.]],""),"")</f>
        <v/>
      </c>
      <c r="AE79" s="34" t="str">
        <f>IFERROR(IF(AND(OR(Table838[[#This Row],[Classification]]="Income",Table838[[#This Row],[Classification]]="Cost of Goods Sold"),Table838[[#This Row],[Credit.]]&gt;Table838[[#This Row],[Debit\]]),Table838[[#This Row],[Credit.]]-Table838[[#This Row],[Debit\]],""),"")</f>
        <v/>
      </c>
      <c r="AF79" s="34"/>
      <c r="AG79" s="34" t="str">
        <f>IFERROR(IF(AND(Table838[[#This Row],[Classification]]="Assets",Table838[[#This Row],[Debit\]]-Table838[[#This Row],[Credit.]]),Table838[[#This Row],[Debit\]]-Table838[[#This Row],[Credit.]],""),"")</f>
        <v/>
      </c>
      <c r="AH79" s="34" t="str">
        <f>IFERROR(IF(AND(OR(Table838[[#This Row],[Classification]]="Liabilities",Table838[[#This Row],[Classification]]="Owner´s Equity"),Table838[[#This Row],[Credit.]]&gt;Table838[[#This Row],[Debit\]]),Table838[[#This Row],[Credit.]]-Table838[[#This Row],[Debit\]],""),"")</f>
        <v/>
      </c>
    </row>
    <row r="80" spans="2:34" hidden="1" x14ac:dyDescent="0.25">
      <c r="B80" s="34"/>
      <c r="C80" s="37" t="s">
        <v>134</v>
      </c>
      <c r="D80" s="34">
        <v>2000</v>
      </c>
      <c r="E80" s="34"/>
      <c r="G80" s="39"/>
      <c r="H80" s="43"/>
      <c r="I80" s="41"/>
      <c r="J80" s="41"/>
      <c r="L80" s="34">
        <v>73</v>
      </c>
      <c r="M80" s="35" t="s">
        <v>170</v>
      </c>
      <c r="N80" s="35" t="s">
        <v>135</v>
      </c>
      <c r="O80" s="34">
        <f>IFERROR(SUMIF(Table435[,],Table637[[#This Row],[Accounts Name]],Table435[,3]),"")</f>
        <v>13250</v>
      </c>
      <c r="P80" s="34">
        <f>IFERROR(SUMIF(Table435[,],Table637[[#This Row],[Accounts Name]],Table435[,2]),"")</f>
        <v>0</v>
      </c>
      <c r="S80" s="36">
        <f t="shared" si="1"/>
        <v>73</v>
      </c>
      <c r="T80" s="34"/>
      <c r="U80" s="37"/>
      <c r="V80" s="34">
        <f>IFERROR(SUMIF(Table637[Sub-Accounts],Table838[[#This Row],[Update your chart of accounts here]],Table637[Debit]),"")</f>
        <v>0</v>
      </c>
      <c r="W80" s="34">
        <f>IFERROR(SUMIF(Table637[Sub-Accounts],Table838[[#This Row],[Update your chart of accounts here]],Table637[Credit]),"")</f>
        <v>0</v>
      </c>
      <c r="X80" s="34"/>
      <c r="Y80" s="34"/>
      <c r="Z80" s="34"/>
      <c r="AA80" s="34"/>
      <c r="AB80" s="34">
        <f>MAX(Table838[[#This Row],[Debit]]+Table838[[#This Row],[Debit -]]-Table838[[#This Row],[Credit]]-Table838[[#This Row],[Credit +]],0)</f>
        <v>0</v>
      </c>
      <c r="AC80" s="34">
        <f>MAX(Table838[[#This Row],[Credit]]-Table838[[#This Row],[Debit]]+Table838[[#This Row],[Credit +]]-Table838[[#This Row],[Debit -]],0)</f>
        <v>0</v>
      </c>
      <c r="AD80" s="34" t="str">
        <f>IFERROR(IF(AND(OR(Table838[[#This Row],[Classification]]="Expense",Table838[[#This Row],[Classification]]="Cost of Goods Sold"),Table838[[#This Row],[Debit\]]&gt;Table838[[#This Row],[Credit.]]),Table838[[#This Row],[Debit\]]-Table838[[#This Row],[Credit.]],""),"")</f>
        <v/>
      </c>
      <c r="AE80" s="34" t="str">
        <f>IFERROR(IF(AND(OR(Table838[[#This Row],[Classification]]="Income",Table838[[#This Row],[Classification]]="Cost of Goods Sold"),Table838[[#This Row],[Credit.]]&gt;Table838[[#This Row],[Debit\]]),Table838[[#This Row],[Credit.]]-Table838[[#This Row],[Debit\]],""),"")</f>
        <v/>
      </c>
      <c r="AF80" s="34"/>
      <c r="AG80" s="34" t="str">
        <f>IFERROR(IF(AND(Table838[[#This Row],[Classification]]="Assets",Table838[[#This Row],[Debit\]]-Table838[[#This Row],[Credit.]]),Table838[[#This Row],[Debit\]]-Table838[[#This Row],[Credit.]],""),"")</f>
        <v/>
      </c>
      <c r="AH80" s="34" t="str">
        <f>IFERROR(IF(AND(OR(Table838[[#This Row],[Classification]]="Liabilities",Table838[[#This Row],[Classification]]="Owner´s Equity"),Table838[[#This Row],[Credit.]]&gt;Table838[[#This Row],[Debit\]]),Table838[[#This Row],[Credit.]]-Table838[[#This Row],[Debit\]],""),"")</f>
        <v/>
      </c>
    </row>
    <row r="81" spans="2:34" hidden="1" x14ac:dyDescent="0.25">
      <c r="B81" s="34"/>
      <c r="C81" s="37" t="s">
        <v>135</v>
      </c>
      <c r="D81" s="34">
        <v>13250</v>
      </c>
      <c r="E81" s="34"/>
      <c r="G81" s="39"/>
      <c r="H81" s="40"/>
      <c r="I81" s="41"/>
      <c r="J81" s="41"/>
      <c r="L81" s="34">
        <v>74</v>
      </c>
      <c r="M81" s="35" t="s">
        <v>156</v>
      </c>
      <c r="N81" s="35" t="s">
        <v>136</v>
      </c>
      <c r="O81" s="34">
        <f>IFERROR(SUMIF(Table435[,],Table637[[#This Row],[Accounts Name]],Table435[,3]),"")</f>
        <v>87416</v>
      </c>
      <c r="P81" s="34">
        <f>IFERROR(SUMIF(Table435[,],Table637[[#This Row],[Accounts Name]],Table435[,2]),"")</f>
        <v>0</v>
      </c>
      <c r="S81" s="36">
        <f t="shared" si="1"/>
        <v>74</v>
      </c>
      <c r="T81" s="34"/>
      <c r="U81" s="37"/>
      <c r="V81" s="34">
        <f>IFERROR(SUMIF(Table637[Sub-Accounts],Table838[[#This Row],[Update your chart of accounts here]],Table637[Debit]),"")</f>
        <v>0</v>
      </c>
      <c r="W81" s="34">
        <f>IFERROR(SUMIF(Table637[Sub-Accounts],Table838[[#This Row],[Update your chart of accounts here]],Table637[Credit]),"")</f>
        <v>0</v>
      </c>
      <c r="X81" s="34"/>
      <c r="Y81" s="34"/>
      <c r="Z81" s="34"/>
      <c r="AA81" s="34"/>
      <c r="AB81" s="34">
        <f>MAX(Table838[[#This Row],[Debit]]+Table838[[#This Row],[Debit -]]-Table838[[#This Row],[Credit]]-Table838[[#This Row],[Credit +]],0)</f>
        <v>0</v>
      </c>
      <c r="AC81" s="34">
        <f>MAX(Table838[[#This Row],[Credit]]-Table838[[#This Row],[Debit]]+Table838[[#This Row],[Credit +]]-Table838[[#This Row],[Debit -]],0)</f>
        <v>0</v>
      </c>
      <c r="AD81" s="34" t="str">
        <f>IFERROR(IF(AND(OR(Table838[[#This Row],[Classification]]="Expense",Table838[[#This Row],[Classification]]="Cost of Goods Sold"),Table838[[#This Row],[Debit\]]&gt;Table838[[#This Row],[Credit.]]),Table838[[#This Row],[Debit\]]-Table838[[#This Row],[Credit.]],""),"")</f>
        <v/>
      </c>
      <c r="AE81" s="34" t="str">
        <f>IFERROR(IF(AND(OR(Table838[[#This Row],[Classification]]="Income",Table838[[#This Row],[Classification]]="Cost of Goods Sold"),Table838[[#This Row],[Credit.]]&gt;Table838[[#This Row],[Debit\]]),Table838[[#This Row],[Credit.]]-Table838[[#This Row],[Debit\]],""),"")</f>
        <v/>
      </c>
      <c r="AF81" s="34"/>
      <c r="AG81" s="34" t="str">
        <f>IFERROR(IF(AND(Table838[[#This Row],[Classification]]="Assets",Table838[[#This Row],[Debit\]]-Table838[[#This Row],[Credit.]]),Table838[[#This Row],[Debit\]]-Table838[[#This Row],[Credit.]],""),"")</f>
        <v/>
      </c>
      <c r="AH81" s="34" t="str">
        <f>IFERROR(IF(AND(OR(Table838[[#This Row],[Classification]]="Liabilities",Table838[[#This Row],[Classification]]="Owner´s Equity"),Table838[[#This Row],[Credit.]]&gt;Table838[[#This Row],[Debit\]]),Table838[[#This Row],[Credit.]]-Table838[[#This Row],[Debit\]],""),"")</f>
        <v/>
      </c>
    </row>
    <row r="82" spans="2:34" hidden="1" x14ac:dyDescent="0.25">
      <c r="B82" s="34"/>
      <c r="C82" s="37" t="s">
        <v>136</v>
      </c>
      <c r="D82" s="34">
        <v>87416</v>
      </c>
      <c r="E82" s="34"/>
      <c r="G82" s="39"/>
      <c r="H82" s="40"/>
      <c r="I82" s="41"/>
      <c r="J82" s="41"/>
      <c r="L82" s="34">
        <v>75</v>
      </c>
      <c r="M82" s="35" t="s">
        <v>162</v>
      </c>
      <c r="N82" s="35" t="s">
        <v>137</v>
      </c>
      <c r="O82" s="34">
        <f>IFERROR(SUMIF(Table435[,],Table637[[#This Row],[Accounts Name]],Table435[,3]),"")</f>
        <v>139074.48000000001</v>
      </c>
      <c r="P82" s="34">
        <f>IFERROR(SUMIF(Table435[,],Table637[[#This Row],[Accounts Name]],Table435[,2]),"")</f>
        <v>0</v>
      </c>
      <c r="S82" s="36">
        <f t="shared" si="1"/>
        <v>75</v>
      </c>
      <c r="T82" s="34"/>
      <c r="U82" s="37"/>
      <c r="V82" s="34">
        <f>IFERROR(SUMIF(Table637[Sub-Accounts],Table838[[#This Row],[Update your chart of accounts here]],Table637[Debit]),"")</f>
        <v>0</v>
      </c>
      <c r="W82" s="34">
        <f>IFERROR(SUMIF(Table637[Sub-Accounts],Table838[[#This Row],[Update your chart of accounts here]],Table637[Credit]),"")</f>
        <v>0</v>
      </c>
      <c r="X82" s="34"/>
      <c r="Y82" s="34"/>
      <c r="Z82" s="34"/>
      <c r="AA82" s="34"/>
      <c r="AB82" s="34">
        <f>MAX(Table838[[#This Row],[Debit]]+Table838[[#This Row],[Debit -]]-Table838[[#This Row],[Credit]]-Table838[[#This Row],[Credit +]],0)</f>
        <v>0</v>
      </c>
      <c r="AC82" s="34">
        <f>MAX(Table838[[#This Row],[Credit]]-Table838[[#This Row],[Debit]]+Table838[[#This Row],[Credit +]]-Table838[[#This Row],[Debit -]],0)</f>
        <v>0</v>
      </c>
      <c r="AD82" s="34" t="str">
        <f>IFERROR(IF(AND(OR(Table838[[#This Row],[Classification]]="Expense",Table838[[#This Row],[Classification]]="Cost of Goods Sold"),Table838[[#This Row],[Debit\]]&gt;Table838[[#This Row],[Credit.]]),Table838[[#This Row],[Debit\]]-Table838[[#This Row],[Credit.]],""),"")</f>
        <v/>
      </c>
      <c r="AE82" s="34" t="str">
        <f>IFERROR(IF(AND(OR(Table838[[#This Row],[Classification]]="Income",Table838[[#This Row],[Classification]]="Cost of Goods Sold"),Table838[[#This Row],[Credit.]]&gt;Table838[[#This Row],[Debit\]]),Table838[[#This Row],[Credit.]]-Table838[[#This Row],[Debit\]],""),"")</f>
        <v/>
      </c>
      <c r="AF82" s="34"/>
      <c r="AG82" s="34" t="str">
        <f>IFERROR(IF(AND(Table838[[#This Row],[Classification]]="Assets",Table838[[#This Row],[Debit\]]-Table838[[#This Row],[Credit.]]),Table838[[#This Row],[Debit\]]-Table838[[#This Row],[Credit.]],""),"")</f>
        <v/>
      </c>
      <c r="AH82" s="34" t="str">
        <f>IFERROR(IF(AND(OR(Table838[[#This Row],[Classification]]="Liabilities",Table838[[#This Row],[Classification]]="Owner´s Equity"),Table838[[#This Row],[Credit.]]&gt;Table838[[#This Row],[Debit\]]),Table838[[#This Row],[Credit.]]-Table838[[#This Row],[Debit\]],""),"")</f>
        <v/>
      </c>
    </row>
    <row r="83" spans="2:34" hidden="1" x14ac:dyDescent="0.25">
      <c r="B83" s="34"/>
      <c r="C83" s="37" t="s">
        <v>137</v>
      </c>
      <c r="D83" s="34">
        <v>139074.48000000001</v>
      </c>
      <c r="E83" s="34"/>
      <c r="G83" s="39"/>
      <c r="H83" s="43"/>
      <c r="I83" s="41"/>
      <c r="J83" s="41"/>
      <c r="L83" s="34">
        <v>76</v>
      </c>
      <c r="M83" s="35"/>
      <c r="N83" s="35"/>
      <c r="O83" s="34">
        <f>IFERROR(SUMIF(Table435[,],Table637[[#This Row],[Accounts Name]],Table435[,3]),"")</f>
        <v>0</v>
      </c>
      <c r="P83" s="34">
        <f>IFERROR(SUMIF(Table435[,],Table637[[#This Row],[Accounts Name]],Table435[,2]),"")</f>
        <v>0</v>
      </c>
      <c r="S83" s="36">
        <f t="shared" si="1"/>
        <v>76</v>
      </c>
      <c r="T83" s="34"/>
      <c r="U83" s="37"/>
      <c r="V83" s="34">
        <f>IFERROR(SUMIF(Table637[Sub-Accounts],Table838[[#This Row],[Update your chart of accounts here]],Table637[Debit]),"")</f>
        <v>0</v>
      </c>
      <c r="W83" s="34">
        <f>IFERROR(SUMIF(Table637[Sub-Accounts],Table838[[#This Row],[Update your chart of accounts here]],Table637[Credit]),"")</f>
        <v>0</v>
      </c>
      <c r="X83" s="34"/>
      <c r="Y83" s="34"/>
      <c r="Z83" s="34"/>
      <c r="AA83" s="34"/>
      <c r="AB83" s="34">
        <f>MAX(Table838[[#This Row],[Debit]]+Table838[[#This Row],[Debit -]]-Table838[[#This Row],[Credit]]-Table838[[#This Row],[Credit +]],0)</f>
        <v>0</v>
      </c>
      <c r="AC83" s="34">
        <f>MAX(Table838[[#This Row],[Credit]]-Table838[[#This Row],[Debit]]+Table838[[#This Row],[Credit +]]-Table838[[#This Row],[Debit -]],0)</f>
        <v>0</v>
      </c>
      <c r="AD83" s="34" t="str">
        <f>IFERROR(IF(AND(OR(Table838[[#This Row],[Classification]]="Expense",Table838[[#This Row],[Classification]]="Cost of Goods Sold"),Table838[[#This Row],[Debit\]]&gt;Table838[[#This Row],[Credit.]]),Table838[[#This Row],[Debit\]]-Table838[[#This Row],[Credit.]],""),"")</f>
        <v/>
      </c>
      <c r="AE83" s="34" t="str">
        <f>IFERROR(IF(AND(OR(Table838[[#This Row],[Classification]]="Income",Table838[[#This Row],[Classification]]="Cost of Goods Sold"),Table838[[#This Row],[Credit.]]&gt;Table838[[#This Row],[Debit\]]),Table838[[#This Row],[Credit.]]-Table838[[#This Row],[Debit\]],""),"")</f>
        <v/>
      </c>
      <c r="AF83" s="34"/>
      <c r="AG83" s="34" t="str">
        <f>IFERROR(IF(AND(Table838[[#This Row],[Classification]]="Assets",Table838[[#This Row],[Debit\]]-Table838[[#This Row],[Credit.]]),Table838[[#This Row],[Debit\]]-Table838[[#This Row],[Credit.]],""),"")</f>
        <v/>
      </c>
      <c r="AH83" s="34" t="str">
        <f>IFERROR(IF(AND(OR(Table838[[#This Row],[Classification]]="Liabilities",Table838[[#This Row],[Classification]]="Owner´s Equity"),Table838[[#This Row],[Credit.]]&gt;Table838[[#This Row],[Debit\]]),Table838[[#This Row],[Credit.]]-Table838[[#This Row],[Debit\]],""),"")</f>
        <v/>
      </c>
    </row>
    <row r="84" spans="2:34" hidden="1" x14ac:dyDescent="0.25">
      <c r="B84" s="34"/>
      <c r="C84" s="37"/>
      <c r="D84" s="34"/>
      <c r="E84" s="34"/>
      <c r="G84" s="39"/>
      <c r="H84" s="40"/>
      <c r="I84" s="41"/>
      <c r="J84" s="41"/>
      <c r="L84" s="34">
        <v>77</v>
      </c>
      <c r="M84" s="35"/>
      <c r="N84" s="35"/>
      <c r="O84" s="34">
        <f>IFERROR(SUMIF(Table435[,],Table637[[#This Row],[Accounts Name]],Table435[,3]),"")</f>
        <v>0</v>
      </c>
      <c r="P84" s="34">
        <f>IFERROR(SUMIF(Table435[,],Table637[[#This Row],[Accounts Name]],Table435[,2]),"")</f>
        <v>0</v>
      </c>
      <c r="S84" s="36">
        <f t="shared" si="1"/>
        <v>77</v>
      </c>
      <c r="T84" s="34"/>
      <c r="U84" s="37"/>
      <c r="V84" s="34">
        <f>IFERROR(SUMIF(Table637[Sub-Accounts],Table838[[#This Row],[Update your chart of accounts here]],Table637[Debit]),"")</f>
        <v>0</v>
      </c>
      <c r="W84" s="34">
        <f>IFERROR(SUMIF(Table637[Sub-Accounts],Table838[[#This Row],[Update your chart of accounts here]],Table637[Credit]),"")</f>
        <v>0</v>
      </c>
      <c r="X84" s="34"/>
      <c r="Y84" s="34"/>
      <c r="Z84" s="34"/>
      <c r="AA84" s="34"/>
      <c r="AB84" s="34">
        <f>MAX(Table838[[#This Row],[Debit]]+Table838[[#This Row],[Debit -]]-Table838[[#This Row],[Credit]]-Table838[[#This Row],[Credit +]],0)</f>
        <v>0</v>
      </c>
      <c r="AC84" s="34">
        <f>MAX(Table838[[#This Row],[Credit]]-Table838[[#This Row],[Debit]]+Table838[[#This Row],[Credit +]]-Table838[[#This Row],[Debit -]],0)</f>
        <v>0</v>
      </c>
      <c r="AD84" s="34" t="str">
        <f>IFERROR(IF(AND(OR(Table838[[#This Row],[Classification]]="Expense",Table838[[#This Row],[Classification]]="Cost of Goods Sold"),Table838[[#This Row],[Debit\]]&gt;Table838[[#This Row],[Credit.]]),Table838[[#This Row],[Debit\]]-Table838[[#This Row],[Credit.]],""),"")</f>
        <v/>
      </c>
      <c r="AE84" s="34" t="str">
        <f>IFERROR(IF(AND(OR(Table838[[#This Row],[Classification]]="Income",Table838[[#This Row],[Classification]]="Cost of Goods Sold"),Table838[[#This Row],[Credit.]]&gt;Table838[[#This Row],[Debit\]]),Table838[[#This Row],[Credit.]]-Table838[[#This Row],[Debit\]],""),"")</f>
        <v/>
      </c>
      <c r="AF84" s="34"/>
      <c r="AG84" s="34" t="str">
        <f>IFERROR(IF(AND(Table838[[#This Row],[Classification]]="Assets",Table838[[#This Row],[Debit\]]-Table838[[#This Row],[Credit.]]),Table838[[#This Row],[Debit\]]-Table838[[#This Row],[Credit.]],""),"")</f>
        <v/>
      </c>
      <c r="AH84" s="34" t="str">
        <f>IFERROR(IF(AND(OR(Table838[[#This Row],[Classification]]="Liabilities",Table838[[#This Row],[Classification]]="Owner´s Equity"),Table838[[#This Row],[Credit.]]&gt;Table838[[#This Row],[Debit\]]),Table838[[#This Row],[Credit.]]-Table838[[#This Row],[Debit\]],""),"")</f>
        <v/>
      </c>
    </row>
    <row r="85" spans="2:34" hidden="1" x14ac:dyDescent="0.25">
      <c r="B85" s="34"/>
      <c r="C85" s="37"/>
      <c r="D85" s="34"/>
      <c r="E85" s="34"/>
      <c r="G85" s="39"/>
      <c r="H85" s="40"/>
      <c r="I85" s="41"/>
      <c r="J85" s="41"/>
      <c r="L85" s="34">
        <v>78</v>
      </c>
      <c r="M85" s="35"/>
      <c r="N85" s="35"/>
      <c r="O85" s="34">
        <f>IFERROR(SUMIF(Table435[,],Table637[[#This Row],[Accounts Name]],Table435[,3]),"")</f>
        <v>0</v>
      </c>
      <c r="P85" s="34">
        <f>IFERROR(SUMIF(Table435[,],Table637[[#This Row],[Accounts Name]],Table435[,2]),"")</f>
        <v>0</v>
      </c>
      <c r="S85" s="36">
        <f t="shared" si="1"/>
        <v>78</v>
      </c>
      <c r="T85" s="34"/>
      <c r="U85" s="37"/>
      <c r="V85" s="34">
        <f>IFERROR(SUMIF(Table637[Sub-Accounts],Table838[[#This Row],[Update your chart of accounts here]],Table637[Debit]),"")</f>
        <v>0</v>
      </c>
      <c r="W85" s="34">
        <f>IFERROR(SUMIF(Table637[Sub-Accounts],Table838[[#This Row],[Update your chart of accounts here]],Table637[Credit]),"")</f>
        <v>0</v>
      </c>
      <c r="X85" s="34"/>
      <c r="Y85" s="34"/>
      <c r="Z85" s="34"/>
      <c r="AA85" s="34"/>
      <c r="AB85" s="34">
        <f>MAX(Table838[[#This Row],[Debit]]+Table838[[#This Row],[Debit -]]-Table838[[#This Row],[Credit]]-Table838[[#This Row],[Credit +]],0)</f>
        <v>0</v>
      </c>
      <c r="AC85" s="34">
        <f>MAX(Table838[[#This Row],[Credit]]-Table838[[#This Row],[Debit]]+Table838[[#This Row],[Credit +]]-Table838[[#This Row],[Debit -]],0)</f>
        <v>0</v>
      </c>
      <c r="AD85" s="34" t="str">
        <f>IFERROR(IF(AND(OR(Table838[[#This Row],[Classification]]="Expense",Table838[[#This Row],[Classification]]="Cost of Goods Sold"),Table838[[#This Row],[Debit\]]&gt;Table838[[#This Row],[Credit.]]),Table838[[#This Row],[Debit\]]-Table838[[#This Row],[Credit.]],""),"")</f>
        <v/>
      </c>
      <c r="AE85" s="34" t="str">
        <f>IFERROR(IF(AND(OR(Table838[[#This Row],[Classification]]="Income",Table838[[#This Row],[Classification]]="Cost of Goods Sold"),Table838[[#This Row],[Credit.]]&gt;Table838[[#This Row],[Debit\]]),Table838[[#This Row],[Credit.]]-Table838[[#This Row],[Debit\]],""),"")</f>
        <v/>
      </c>
      <c r="AF85" s="34"/>
      <c r="AG85" s="34" t="str">
        <f>IFERROR(IF(AND(Table838[[#This Row],[Classification]]="Assets",Table838[[#This Row],[Debit\]]-Table838[[#This Row],[Credit.]]),Table838[[#This Row],[Debit\]]-Table838[[#This Row],[Credit.]],""),"")</f>
        <v/>
      </c>
      <c r="AH85" s="34" t="str">
        <f>IFERROR(IF(AND(OR(Table838[[#This Row],[Classification]]="Liabilities",Table838[[#This Row],[Classification]]="Owner´s Equity"),Table838[[#This Row],[Credit.]]&gt;Table838[[#This Row],[Debit\]]),Table838[[#This Row],[Credit.]]-Table838[[#This Row],[Debit\]],""),"")</f>
        <v/>
      </c>
    </row>
    <row r="86" spans="2:34" hidden="1" x14ac:dyDescent="0.25">
      <c r="B86" s="34"/>
      <c r="C86" s="37"/>
      <c r="D86" s="34"/>
      <c r="E86" s="34"/>
      <c r="G86" s="39"/>
      <c r="H86" s="43"/>
      <c r="I86" s="41"/>
      <c r="J86" s="41"/>
      <c r="L86" s="34">
        <v>79</v>
      </c>
      <c r="M86" s="35"/>
      <c r="N86" s="35"/>
      <c r="O86" s="34">
        <f>IFERROR(SUMIF(Table435[,],Table637[[#This Row],[Accounts Name]],Table435[,3]),"")</f>
        <v>0</v>
      </c>
      <c r="P86" s="34">
        <f>IFERROR(SUMIF(Table435[,],Table637[[#This Row],[Accounts Name]],Table435[,2]),"")</f>
        <v>0</v>
      </c>
      <c r="S86" s="36">
        <f t="shared" si="1"/>
        <v>79</v>
      </c>
      <c r="T86" s="34"/>
      <c r="U86" s="37"/>
      <c r="V86" s="34">
        <f>IFERROR(SUMIF(Table637[Sub-Accounts],Table838[[#This Row],[Update your chart of accounts here]],Table637[Debit]),"")</f>
        <v>0</v>
      </c>
      <c r="W86" s="34">
        <f>IFERROR(SUMIF(Table637[Sub-Accounts],Table838[[#This Row],[Update your chart of accounts here]],Table637[Credit]),"")</f>
        <v>0</v>
      </c>
      <c r="X86" s="34"/>
      <c r="Y86" s="34"/>
      <c r="Z86" s="34"/>
      <c r="AA86" s="34"/>
      <c r="AB86" s="34">
        <f>MAX(Table838[[#This Row],[Debit]]+Table838[[#This Row],[Debit -]]-Table838[[#This Row],[Credit]]-Table838[[#This Row],[Credit +]],0)</f>
        <v>0</v>
      </c>
      <c r="AC86" s="34">
        <f>MAX(Table838[[#This Row],[Credit]]-Table838[[#This Row],[Debit]]+Table838[[#This Row],[Credit +]]-Table838[[#This Row],[Debit -]],0)</f>
        <v>0</v>
      </c>
      <c r="AD86" s="34" t="str">
        <f>IFERROR(IF(AND(OR(Table838[[#This Row],[Classification]]="Expense",Table838[[#This Row],[Classification]]="Cost of Goods Sold"),Table838[[#This Row],[Debit\]]&gt;Table838[[#This Row],[Credit.]]),Table838[[#This Row],[Debit\]]-Table838[[#This Row],[Credit.]],""),"")</f>
        <v/>
      </c>
      <c r="AE86" s="34" t="str">
        <f>IFERROR(IF(AND(OR(Table838[[#This Row],[Classification]]="Income",Table838[[#This Row],[Classification]]="Cost of Goods Sold"),Table838[[#This Row],[Credit.]]&gt;Table838[[#This Row],[Debit\]]),Table838[[#This Row],[Credit.]]-Table838[[#This Row],[Debit\]],""),"")</f>
        <v/>
      </c>
      <c r="AF86" s="34"/>
      <c r="AG86" s="34" t="str">
        <f>IFERROR(IF(AND(Table838[[#This Row],[Classification]]="Assets",Table838[[#This Row],[Debit\]]-Table838[[#This Row],[Credit.]]),Table838[[#This Row],[Debit\]]-Table838[[#This Row],[Credit.]],""),"")</f>
        <v/>
      </c>
      <c r="AH86" s="34" t="str">
        <f>IFERROR(IF(AND(OR(Table838[[#This Row],[Classification]]="Liabilities",Table838[[#This Row],[Classification]]="Owner´s Equity"),Table838[[#This Row],[Credit.]]&gt;Table838[[#This Row],[Debit\]]),Table838[[#This Row],[Credit.]]-Table838[[#This Row],[Debit\]],""),"")</f>
        <v/>
      </c>
    </row>
    <row r="87" spans="2:34" hidden="1" x14ac:dyDescent="0.25">
      <c r="B87" s="34"/>
      <c r="C87" s="37"/>
      <c r="D87" s="34"/>
      <c r="E87" s="34"/>
      <c r="G87" s="39"/>
      <c r="H87" s="40"/>
      <c r="I87" s="41"/>
      <c r="J87" s="41"/>
      <c r="L87" s="34">
        <v>80</v>
      </c>
      <c r="M87" s="35"/>
      <c r="N87" s="35"/>
      <c r="O87" s="34">
        <f>IFERROR(SUMIF(Table435[,],Table637[[#This Row],[Accounts Name]],Table435[,3]),"")</f>
        <v>0</v>
      </c>
      <c r="P87" s="34">
        <f>IFERROR(SUMIF(Table435[,],Table637[[#This Row],[Accounts Name]],Table435[,2]),"")</f>
        <v>0</v>
      </c>
      <c r="S87" s="36">
        <f t="shared" si="1"/>
        <v>80</v>
      </c>
      <c r="T87" s="34"/>
      <c r="U87" s="37"/>
      <c r="V87" s="34">
        <f>IFERROR(SUMIF(Table637[Sub-Accounts],Table838[[#This Row],[Update your chart of accounts here]],Table637[Debit]),"")</f>
        <v>0</v>
      </c>
      <c r="W87" s="34">
        <f>IFERROR(SUMIF(Table637[Sub-Accounts],Table838[[#This Row],[Update your chart of accounts here]],Table637[Credit]),"")</f>
        <v>0</v>
      </c>
      <c r="X87" s="34"/>
      <c r="Y87" s="34"/>
      <c r="Z87" s="34"/>
      <c r="AA87" s="34"/>
      <c r="AB87" s="34">
        <f>MAX(Table838[[#This Row],[Debit]]+Table838[[#This Row],[Debit -]]-Table838[[#This Row],[Credit]]-Table838[[#This Row],[Credit +]],0)</f>
        <v>0</v>
      </c>
      <c r="AC87" s="34">
        <f>MAX(Table838[[#This Row],[Credit]]-Table838[[#This Row],[Debit]]+Table838[[#This Row],[Credit +]]-Table838[[#This Row],[Debit -]],0)</f>
        <v>0</v>
      </c>
      <c r="AD87" s="34" t="str">
        <f>IFERROR(IF(AND(OR(Table838[[#This Row],[Classification]]="Expense",Table838[[#This Row],[Classification]]="Cost of Goods Sold"),Table838[[#This Row],[Debit\]]&gt;Table838[[#This Row],[Credit.]]),Table838[[#This Row],[Debit\]]-Table838[[#This Row],[Credit.]],""),"")</f>
        <v/>
      </c>
      <c r="AE87" s="34" t="str">
        <f>IFERROR(IF(AND(OR(Table838[[#This Row],[Classification]]="Income",Table838[[#This Row],[Classification]]="Cost of Goods Sold"),Table838[[#This Row],[Credit.]]&gt;Table838[[#This Row],[Debit\]]),Table838[[#This Row],[Credit.]]-Table838[[#This Row],[Debit\]],""),"")</f>
        <v/>
      </c>
      <c r="AF87" s="34"/>
      <c r="AG87" s="34" t="str">
        <f>IFERROR(IF(AND(Table838[[#This Row],[Classification]]="Assets",Table838[[#This Row],[Debit\]]-Table838[[#This Row],[Credit.]]),Table838[[#This Row],[Debit\]]-Table838[[#This Row],[Credit.]],""),"")</f>
        <v/>
      </c>
      <c r="AH87" s="34" t="str">
        <f>IFERROR(IF(AND(OR(Table838[[#This Row],[Classification]]="Liabilities",Table838[[#This Row],[Classification]]="Owner´s Equity"),Table838[[#This Row],[Credit.]]&gt;Table838[[#This Row],[Debit\]]),Table838[[#This Row],[Credit.]]-Table838[[#This Row],[Debit\]],""),"")</f>
        <v/>
      </c>
    </row>
    <row r="88" spans="2:34" hidden="1" x14ac:dyDescent="0.25">
      <c r="B88" s="34"/>
      <c r="C88" s="37"/>
      <c r="D88" s="34"/>
      <c r="E88" s="34"/>
      <c r="G88" s="39"/>
      <c r="H88" s="40"/>
      <c r="I88" s="41"/>
      <c r="J88" s="41"/>
      <c r="L88" s="34">
        <v>81</v>
      </c>
      <c r="M88" s="35"/>
      <c r="N88" s="35"/>
      <c r="O88" s="34">
        <f>IFERROR(SUMIF(Table435[,],Table637[[#This Row],[Accounts Name]],Table435[,3]),"")</f>
        <v>0</v>
      </c>
      <c r="P88" s="34">
        <f>IFERROR(SUMIF(Table435[,],Table637[[#This Row],[Accounts Name]],Table435[,2]),"")</f>
        <v>0</v>
      </c>
      <c r="S88" s="36">
        <f t="shared" si="1"/>
        <v>81</v>
      </c>
      <c r="T88" s="34"/>
      <c r="U88" s="37"/>
      <c r="V88" s="34">
        <f>IFERROR(SUMIF(Table637[Sub-Accounts],Table838[[#This Row],[Update your chart of accounts here]],Table637[Debit]),"")</f>
        <v>0</v>
      </c>
      <c r="W88" s="34">
        <f>IFERROR(SUMIF(Table637[Sub-Accounts],Table838[[#This Row],[Update your chart of accounts here]],Table637[Credit]),"")</f>
        <v>0</v>
      </c>
      <c r="X88" s="34"/>
      <c r="Y88" s="34"/>
      <c r="Z88" s="34"/>
      <c r="AA88" s="34"/>
      <c r="AB88" s="34">
        <f>MAX(Table838[[#This Row],[Debit]]+Table838[[#This Row],[Debit -]]-Table838[[#This Row],[Credit]]-Table838[[#This Row],[Credit +]],0)</f>
        <v>0</v>
      </c>
      <c r="AC88" s="34">
        <f>MAX(Table838[[#This Row],[Credit]]-Table838[[#This Row],[Debit]]+Table838[[#This Row],[Credit +]]-Table838[[#This Row],[Debit -]],0)</f>
        <v>0</v>
      </c>
      <c r="AD88" s="34" t="str">
        <f>IFERROR(IF(AND(OR(Table838[[#This Row],[Classification]]="Expense",Table838[[#This Row],[Classification]]="Cost of Goods Sold"),Table838[[#This Row],[Debit\]]&gt;Table838[[#This Row],[Credit.]]),Table838[[#This Row],[Debit\]]-Table838[[#This Row],[Credit.]],""),"")</f>
        <v/>
      </c>
      <c r="AE88" s="34" t="str">
        <f>IFERROR(IF(AND(OR(Table838[[#This Row],[Classification]]="Income",Table838[[#This Row],[Classification]]="Cost of Goods Sold"),Table838[[#This Row],[Credit.]]&gt;Table838[[#This Row],[Debit\]]),Table838[[#This Row],[Credit.]]-Table838[[#This Row],[Debit\]],""),"")</f>
        <v/>
      </c>
      <c r="AF88" s="34"/>
      <c r="AG88" s="34" t="str">
        <f>IFERROR(IF(AND(Table838[[#This Row],[Classification]]="Assets",Table838[[#This Row],[Debit\]]-Table838[[#This Row],[Credit.]]),Table838[[#This Row],[Debit\]]-Table838[[#This Row],[Credit.]],""),"")</f>
        <v/>
      </c>
      <c r="AH88" s="34" t="str">
        <f>IFERROR(IF(AND(OR(Table838[[#This Row],[Classification]]="Liabilities",Table838[[#This Row],[Classification]]="Owner´s Equity"),Table838[[#This Row],[Credit.]]&gt;Table838[[#This Row],[Debit\]]),Table838[[#This Row],[Credit.]]-Table838[[#This Row],[Debit\]],""),"")</f>
        <v/>
      </c>
    </row>
    <row r="89" spans="2:34" hidden="1" x14ac:dyDescent="0.25">
      <c r="B89" s="34"/>
      <c r="C89" s="37"/>
      <c r="D89" s="34"/>
      <c r="E89" s="34"/>
      <c r="G89" s="39"/>
      <c r="H89" s="43"/>
      <c r="I89" s="41"/>
      <c r="J89" s="41"/>
      <c r="L89" s="34">
        <v>82</v>
      </c>
      <c r="M89" s="35"/>
      <c r="N89" s="35"/>
      <c r="O89" s="34">
        <f>IFERROR(SUMIF(Table435[,],Table637[[#This Row],[Accounts Name]],Table435[,3]),"")</f>
        <v>0</v>
      </c>
      <c r="P89" s="34">
        <f>IFERROR(SUMIF(Table435[,],Table637[[#This Row],[Accounts Name]],Table435[,2]),"")</f>
        <v>0</v>
      </c>
      <c r="S89" s="36">
        <f t="shared" si="1"/>
        <v>82</v>
      </c>
      <c r="T89" s="34"/>
      <c r="U89" s="37"/>
      <c r="V89" s="34">
        <f>IFERROR(SUMIF(Table637[Sub-Accounts],Table838[[#This Row],[Update your chart of accounts here]],Table637[Debit]),"")</f>
        <v>0</v>
      </c>
      <c r="W89" s="34">
        <f>IFERROR(SUMIF(Table637[Sub-Accounts],Table838[[#This Row],[Update your chart of accounts here]],Table637[Credit]),"")</f>
        <v>0</v>
      </c>
      <c r="X89" s="34"/>
      <c r="Y89" s="34"/>
      <c r="Z89" s="34"/>
      <c r="AA89" s="34"/>
      <c r="AB89" s="34">
        <f>MAX(Table838[[#This Row],[Debit]]+Table838[[#This Row],[Debit -]]-Table838[[#This Row],[Credit]]-Table838[[#This Row],[Credit +]],0)</f>
        <v>0</v>
      </c>
      <c r="AC89" s="34">
        <f>MAX(Table838[[#This Row],[Credit]]-Table838[[#This Row],[Debit]]+Table838[[#This Row],[Credit +]]-Table838[[#This Row],[Debit -]],0)</f>
        <v>0</v>
      </c>
      <c r="AD89" s="34" t="str">
        <f>IFERROR(IF(AND(OR(Table838[[#This Row],[Classification]]="Expense",Table838[[#This Row],[Classification]]="Cost of Goods Sold"),Table838[[#This Row],[Debit\]]&gt;Table838[[#This Row],[Credit.]]),Table838[[#This Row],[Debit\]]-Table838[[#This Row],[Credit.]],""),"")</f>
        <v/>
      </c>
      <c r="AE89" s="34" t="str">
        <f>IFERROR(IF(AND(OR(Table838[[#This Row],[Classification]]="Income",Table838[[#This Row],[Classification]]="Cost of Goods Sold"),Table838[[#This Row],[Credit.]]&gt;Table838[[#This Row],[Debit\]]),Table838[[#This Row],[Credit.]]-Table838[[#This Row],[Debit\]],""),"")</f>
        <v/>
      </c>
      <c r="AF89" s="34"/>
      <c r="AG89" s="34" t="str">
        <f>IFERROR(IF(AND(Table838[[#This Row],[Classification]]="Assets",Table838[[#This Row],[Debit\]]-Table838[[#This Row],[Credit.]]),Table838[[#This Row],[Debit\]]-Table838[[#This Row],[Credit.]],""),"")</f>
        <v/>
      </c>
      <c r="AH89" s="34" t="str">
        <f>IFERROR(IF(AND(OR(Table838[[#This Row],[Classification]]="Liabilities",Table838[[#This Row],[Classification]]="Owner´s Equity"),Table838[[#This Row],[Credit.]]&gt;Table838[[#This Row],[Debit\]]),Table838[[#This Row],[Credit.]]-Table838[[#This Row],[Debit\]],""),"")</f>
        <v/>
      </c>
    </row>
    <row r="90" spans="2:34" hidden="1" x14ac:dyDescent="0.25">
      <c r="B90" s="34"/>
      <c r="C90" s="45"/>
      <c r="D90" s="34"/>
      <c r="E90" s="34"/>
      <c r="G90" s="39"/>
      <c r="H90" s="40"/>
      <c r="I90" s="41"/>
      <c r="J90" s="41"/>
      <c r="L90" s="34">
        <v>83</v>
      </c>
      <c r="M90" s="35"/>
      <c r="N90" s="35"/>
      <c r="O90" s="34">
        <f>IFERROR(SUMIF(Table435[,],Table637[[#This Row],[Accounts Name]],Table435[,3]),"")</f>
        <v>0</v>
      </c>
      <c r="P90" s="34">
        <f>IFERROR(SUMIF(Table435[,],Table637[[#This Row],[Accounts Name]],Table435[,2]),"")</f>
        <v>0</v>
      </c>
      <c r="S90" s="36">
        <f t="shared" si="1"/>
        <v>83</v>
      </c>
      <c r="T90" s="34"/>
      <c r="U90" s="37"/>
      <c r="V90" s="34">
        <f>IFERROR(SUMIF(Table637[Sub-Accounts],Table838[[#This Row],[Update your chart of accounts here]],Table637[Debit]),"")</f>
        <v>0</v>
      </c>
      <c r="W90" s="34">
        <f>IFERROR(SUMIF(Table637[Sub-Accounts],Table838[[#This Row],[Update your chart of accounts here]],Table637[Credit]),"")</f>
        <v>0</v>
      </c>
      <c r="X90" s="34"/>
      <c r="Y90" s="34"/>
      <c r="Z90" s="34"/>
      <c r="AA90" s="34"/>
      <c r="AB90" s="34">
        <f>MAX(Table838[[#This Row],[Debit]]+Table838[[#This Row],[Debit -]]-Table838[[#This Row],[Credit]]-Table838[[#This Row],[Credit +]],0)</f>
        <v>0</v>
      </c>
      <c r="AC90" s="34">
        <f>MAX(Table838[[#This Row],[Credit]]-Table838[[#This Row],[Debit]]+Table838[[#This Row],[Credit +]]-Table838[[#This Row],[Debit -]],0)</f>
        <v>0</v>
      </c>
      <c r="AD90" s="34" t="str">
        <f>IFERROR(IF(AND(OR(Table838[[#This Row],[Classification]]="Expense",Table838[[#This Row],[Classification]]="Cost of Goods Sold"),Table838[[#This Row],[Debit\]]&gt;Table838[[#This Row],[Credit.]]),Table838[[#This Row],[Debit\]]-Table838[[#This Row],[Credit.]],""),"")</f>
        <v/>
      </c>
      <c r="AE90" s="34" t="str">
        <f>IFERROR(IF(AND(OR(Table838[[#This Row],[Classification]]="Income",Table838[[#This Row],[Classification]]="Cost of Goods Sold"),Table838[[#This Row],[Credit.]]&gt;Table838[[#This Row],[Debit\]]),Table838[[#This Row],[Credit.]]-Table838[[#This Row],[Debit\]],""),"")</f>
        <v/>
      </c>
      <c r="AF90" s="34"/>
      <c r="AG90" s="34" t="str">
        <f>IFERROR(IF(AND(Table838[[#This Row],[Classification]]="Assets",Table838[[#This Row],[Debit\]]-Table838[[#This Row],[Credit.]]),Table838[[#This Row],[Debit\]]-Table838[[#This Row],[Credit.]],""),"")</f>
        <v/>
      </c>
      <c r="AH90" s="34" t="str">
        <f>IFERROR(IF(AND(OR(Table838[[#This Row],[Classification]]="Liabilities",Table838[[#This Row],[Classification]]="Owner´s Equity"),Table838[[#This Row],[Credit.]]&gt;Table838[[#This Row],[Debit\]]),Table838[[#This Row],[Credit.]]-Table838[[#This Row],[Debit\]],""),"")</f>
        <v/>
      </c>
    </row>
    <row r="91" spans="2:34" hidden="1" x14ac:dyDescent="0.25">
      <c r="B91" s="34"/>
      <c r="C91" s="45"/>
      <c r="D91" s="34"/>
      <c r="E91" s="34"/>
      <c r="G91" s="39"/>
      <c r="H91" s="40"/>
      <c r="I91" s="41"/>
      <c r="J91" s="41"/>
      <c r="L91" s="34">
        <v>84</v>
      </c>
      <c r="M91" s="35"/>
      <c r="N91" s="35"/>
      <c r="O91" s="34">
        <f>IFERROR(SUMIF(Table435[,],Table637[[#This Row],[Accounts Name]],Table435[,3]),"")</f>
        <v>0</v>
      </c>
      <c r="P91" s="34">
        <f>IFERROR(SUMIF(Table435[,],Table637[[#This Row],[Accounts Name]],Table435[,2]),"")</f>
        <v>0</v>
      </c>
      <c r="S91" s="36">
        <f t="shared" si="1"/>
        <v>84</v>
      </c>
      <c r="T91" s="34"/>
      <c r="U91" s="37"/>
      <c r="V91" s="34">
        <f>IFERROR(SUMIF(Table637[Sub-Accounts],Table838[[#This Row],[Update your chart of accounts here]],Table637[Debit]),"")</f>
        <v>0</v>
      </c>
      <c r="W91" s="34">
        <f>IFERROR(SUMIF(Table637[Sub-Accounts],Table838[[#This Row],[Update your chart of accounts here]],Table637[Credit]),"")</f>
        <v>0</v>
      </c>
      <c r="X91" s="34"/>
      <c r="Y91" s="34"/>
      <c r="Z91" s="34"/>
      <c r="AA91" s="34"/>
      <c r="AB91" s="34">
        <f>MAX(Table838[[#This Row],[Debit]]+Table838[[#This Row],[Debit -]]-Table838[[#This Row],[Credit]]-Table838[[#This Row],[Credit +]],0)</f>
        <v>0</v>
      </c>
      <c r="AC91" s="34">
        <f>MAX(Table838[[#This Row],[Credit]]-Table838[[#This Row],[Debit]]+Table838[[#This Row],[Credit +]]-Table838[[#This Row],[Debit -]],0)</f>
        <v>0</v>
      </c>
      <c r="AD91" s="34" t="str">
        <f>IFERROR(IF(AND(OR(Table838[[#This Row],[Classification]]="Expense",Table838[[#This Row],[Classification]]="Cost of Goods Sold"),Table838[[#This Row],[Debit\]]&gt;Table838[[#This Row],[Credit.]]),Table838[[#This Row],[Debit\]]-Table838[[#This Row],[Credit.]],""),"")</f>
        <v/>
      </c>
      <c r="AE91" s="34" t="str">
        <f>IFERROR(IF(AND(OR(Table838[[#This Row],[Classification]]="Income",Table838[[#This Row],[Classification]]="Cost of Goods Sold"),Table838[[#This Row],[Credit.]]&gt;Table838[[#This Row],[Debit\]]),Table838[[#This Row],[Credit.]]-Table838[[#This Row],[Debit\]],""),"")</f>
        <v/>
      </c>
      <c r="AF91" s="34"/>
      <c r="AG91" s="34" t="str">
        <f>IFERROR(IF(AND(Table838[[#This Row],[Classification]]="Assets",Table838[[#This Row],[Debit\]]-Table838[[#This Row],[Credit.]]),Table838[[#This Row],[Debit\]]-Table838[[#This Row],[Credit.]],""),"")</f>
        <v/>
      </c>
      <c r="AH91" s="34" t="str">
        <f>IFERROR(IF(AND(OR(Table838[[#This Row],[Classification]]="Liabilities",Table838[[#This Row],[Classification]]="Owner´s Equity"),Table838[[#This Row],[Credit.]]&gt;Table838[[#This Row],[Debit\]]),Table838[[#This Row],[Credit.]]-Table838[[#This Row],[Debit\]],""),"")</f>
        <v/>
      </c>
    </row>
    <row r="92" spans="2:34" hidden="1" x14ac:dyDescent="0.25">
      <c r="B92" s="34"/>
      <c r="C92" s="45"/>
      <c r="D92" s="34"/>
      <c r="E92" s="34"/>
      <c r="G92" s="39"/>
      <c r="H92" s="43"/>
      <c r="I92" s="41"/>
      <c r="J92" s="41"/>
      <c r="L92" s="34">
        <v>85</v>
      </c>
      <c r="M92" s="35"/>
      <c r="N92" s="35"/>
      <c r="O92" s="34">
        <f>IFERROR(SUMIF(Table435[,],Table637[[#This Row],[Accounts Name]],Table435[,3]),"")</f>
        <v>0</v>
      </c>
      <c r="P92" s="34">
        <f>IFERROR(SUMIF(Table435[,],Table637[[#This Row],[Accounts Name]],Table435[,2]),"")</f>
        <v>0</v>
      </c>
      <c r="S92" s="36">
        <f t="shared" si="1"/>
        <v>85</v>
      </c>
      <c r="T92" s="34"/>
      <c r="U92" s="37"/>
      <c r="V92" s="34">
        <f>IFERROR(SUMIF(Table637[Sub-Accounts],Table838[[#This Row],[Update your chart of accounts here]],Table637[Debit]),"")</f>
        <v>0</v>
      </c>
      <c r="W92" s="34">
        <f>IFERROR(SUMIF(Table637[Sub-Accounts],Table838[[#This Row],[Update your chart of accounts here]],Table637[Credit]),"")</f>
        <v>0</v>
      </c>
      <c r="X92" s="34"/>
      <c r="Y92" s="34"/>
      <c r="Z92" s="34"/>
      <c r="AA92" s="34"/>
      <c r="AB92" s="34">
        <f>MAX(Table838[[#This Row],[Debit]]+Table838[[#This Row],[Debit -]]-Table838[[#This Row],[Credit]]-Table838[[#This Row],[Credit +]],0)</f>
        <v>0</v>
      </c>
      <c r="AC92" s="34">
        <f>MAX(Table838[[#This Row],[Credit]]-Table838[[#This Row],[Debit]]+Table838[[#This Row],[Credit +]]-Table838[[#This Row],[Debit -]],0)</f>
        <v>0</v>
      </c>
      <c r="AD92" s="34" t="str">
        <f>IFERROR(IF(AND(OR(Table838[[#This Row],[Classification]]="Expense",Table838[[#This Row],[Classification]]="Cost of Goods Sold"),Table838[[#This Row],[Debit\]]&gt;Table838[[#This Row],[Credit.]]),Table838[[#This Row],[Debit\]]-Table838[[#This Row],[Credit.]],""),"")</f>
        <v/>
      </c>
      <c r="AE92" s="34" t="str">
        <f>IFERROR(IF(AND(OR(Table838[[#This Row],[Classification]]="Income",Table838[[#This Row],[Classification]]="Cost of Goods Sold"),Table838[[#This Row],[Credit.]]&gt;Table838[[#This Row],[Debit\]]),Table838[[#This Row],[Credit.]]-Table838[[#This Row],[Debit\]],""),"")</f>
        <v/>
      </c>
      <c r="AF92" s="34"/>
      <c r="AG92" s="34" t="str">
        <f>IFERROR(IF(AND(Table838[[#This Row],[Classification]]="Assets",Table838[[#This Row],[Debit\]]-Table838[[#This Row],[Credit.]]),Table838[[#This Row],[Debit\]]-Table838[[#This Row],[Credit.]],""),"")</f>
        <v/>
      </c>
      <c r="AH92" s="34" t="str">
        <f>IFERROR(IF(AND(OR(Table838[[#This Row],[Classification]]="Liabilities",Table838[[#This Row],[Classification]]="Owner´s Equity"),Table838[[#This Row],[Credit.]]&gt;Table838[[#This Row],[Debit\]]),Table838[[#This Row],[Credit.]]-Table838[[#This Row],[Debit\]],""),"")</f>
        <v/>
      </c>
    </row>
    <row r="93" spans="2:34" hidden="1" x14ac:dyDescent="0.25">
      <c r="B93" s="34"/>
      <c r="C93" s="45"/>
      <c r="D93" s="34"/>
      <c r="E93" s="34"/>
      <c r="G93" s="39"/>
      <c r="H93" s="40"/>
      <c r="I93" s="41"/>
      <c r="J93" s="41"/>
      <c r="L93" s="34">
        <v>86</v>
      </c>
      <c r="M93" s="35"/>
      <c r="N93" s="35"/>
      <c r="O93" s="34">
        <f>IFERROR(SUMIF(Table435[,],Table637[[#This Row],[Accounts Name]],Table435[,3]),"")</f>
        <v>0</v>
      </c>
      <c r="P93" s="34">
        <f>IFERROR(SUMIF(Table435[,],Table637[[#This Row],[Accounts Name]],Table435[,2]),"")</f>
        <v>0</v>
      </c>
      <c r="S93" s="36">
        <f t="shared" si="1"/>
        <v>86</v>
      </c>
      <c r="T93" s="34"/>
      <c r="U93" s="37"/>
      <c r="V93" s="34">
        <f>IFERROR(SUMIF(Table637[Sub-Accounts],Table838[[#This Row],[Update your chart of accounts here]],Table637[Debit]),"")</f>
        <v>0</v>
      </c>
      <c r="W93" s="34">
        <f>IFERROR(SUMIF(Table637[Sub-Accounts],Table838[[#This Row],[Update your chart of accounts here]],Table637[Credit]),"")</f>
        <v>0</v>
      </c>
      <c r="X93" s="34"/>
      <c r="Y93" s="34"/>
      <c r="Z93" s="34"/>
      <c r="AA93" s="34"/>
      <c r="AB93" s="34">
        <f>MAX(Table838[[#This Row],[Debit]]+Table838[[#This Row],[Debit -]]-Table838[[#This Row],[Credit]]-Table838[[#This Row],[Credit +]],0)</f>
        <v>0</v>
      </c>
      <c r="AC93" s="34">
        <f>MAX(Table838[[#This Row],[Credit]]-Table838[[#This Row],[Debit]]+Table838[[#This Row],[Credit +]]-Table838[[#This Row],[Debit -]],0)</f>
        <v>0</v>
      </c>
      <c r="AD93" s="34" t="str">
        <f>IFERROR(IF(AND(OR(Table838[[#This Row],[Classification]]="Expense",Table838[[#This Row],[Classification]]="Cost of Goods Sold"),Table838[[#This Row],[Debit\]]&gt;Table838[[#This Row],[Credit.]]),Table838[[#This Row],[Debit\]]-Table838[[#This Row],[Credit.]],""),"")</f>
        <v/>
      </c>
      <c r="AE93" s="34" t="str">
        <f>IFERROR(IF(AND(OR(Table838[[#This Row],[Classification]]="Income",Table838[[#This Row],[Classification]]="Cost of Goods Sold"),Table838[[#This Row],[Credit.]]&gt;Table838[[#This Row],[Debit\]]),Table838[[#This Row],[Credit.]]-Table838[[#This Row],[Debit\]],""),"")</f>
        <v/>
      </c>
      <c r="AF93" s="34"/>
      <c r="AG93" s="34" t="str">
        <f>IFERROR(IF(AND(Table838[[#This Row],[Classification]]="Assets",Table838[[#This Row],[Debit\]]-Table838[[#This Row],[Credit.]]),Table838[[#This Row],[Debit\]]-Table838[[#This Row],[Credit.]],""),"")</f>
        <v/>
      </c>
      <c r="AH93" s="34" t="str">
        <f>IFERROR(IF(AND(OR(Table838[[#This Row],[Classification]]="Liabilities",Table838[[#This Row],[Classification]]="Owner´s Equity"),Table838[[#This Row],[Credit.]]&gt;Table838[[#This Row],[Debit\]]),Table838[[#This Row],[Credit.]]-Table838[[#This Row],[Debit\]],""),"")</f>
        <v/>
      </c>
    </row>
    <row r="94" spans="2:34" hidden="1" x14ac:dyDescent="0.25">
      <c r="B94" s="34"/>
      <c r="C94" s="45"/>
      <c r="D94" s="34"/>
      <c r="E94" s="34"/>
      <c r="G94" s="39"/>
      <c r="H94" s="40"/>
      <c r="I94" s="41"/>
      <c r="J94" s="41"/>
      <c r="L94" s="34">
        <v>87</v>
      </c>
      <c r="M94" s="35"/>
      <c r="N94" s="35"/>
      <c r="O94" s="34">
        <f>IFERROR(SUMIF(Table435[,],Table637[[#This Row],[Accounts Name]],Table435[,3]),"")</f>
        <v>0</v>
      </c>
      <c r="P94" s="34">
        <f>IFERROR(SUMIF(Table435[,],Table637[[#This Row],[Accounts Name]],Table435[,2]),"")</f>
        <v>0</v>
      </c>
      <c r="S94" s="36">
        <f t="shared" si="1"/>
        <v>87</v>
      </c>
      <c r="T94" s="34"/>
      <c r="U94" s="37"/>
      <c r="V94" s="34">
        <f>IFERROR(SUMIF(Table637[Sub-Accounts],Table838[[#This Row],[Update your chart of accounts here]],Table637[Debit]),"")</f>
        <v>0</v>
      </c>
      <c r="W94" s="34">
        <f>IFERROR(SUMIF(Table637[Sub-Accounts],Table838[[#This Row],[Update your chart of accounts here]],Table637[Credit]),"")</f>
        <v>0</v>
      </c>
      <c r="X94" s="34"/>
      <c r="Y94" s="34"/>
      <c r="Z94" s="34"/>
      <c r="AA94" s="34"/>
      <c r="AB94" s="34">
        <f>MAX(Table838[[#This Row],[Debit]]+Table838[[#This Row],[Debit -]]-Table838[[#This Row],[Credit]]-Table838[[#This Row],[Credit +]],0)</f>
        <v>0</v>
      </c>
      <c r="AC94" s="34">
        <f>MAX(Table838[[#This Row],[Credit]]-Table838[[#This Row],[Debit]]+Table838[[#This Row],[Credit +]]-Table838[[#This Row],[Debit -]],0)</f>
        <v>0</v>
      </c>
      <c r="AD94" s="34" t="str">
        <f>IFERROR(IF(AND(OR(Table838[[#This Row],[Classification]]="Expense",Table838[[#This Row],[Classification]]="Cost of Goods Sold"),Table838[[#This Row],[Debit\]]&gt;Table838[[#This Row],[Credit.]]),Table838[[#This Row],[Debit\]]-Table838[[#This Row],[Credit.]],""),"")</f>
        <v/>
      </c>
      <c r="AE94" s="34" t="str">
        <f>IFERROR(IF(AND(OR(Table838[[#This Row],[Classification]]="Income",Table838[[#This Row],[Classification]]="Cost of Goods Sold"),Table838[[#This Row],[Credit.]]&gt;Table838[[#This Row],[Debit\]]),Table838[[#This Row],[Credit.]]-Table838[[#This Row],[Debit\]],""),"")</f>
        <v/>
      </c>
      <c r="AF94" s="34"/>
      <c r="AG94" s="34" t="str">
        <f>IFERROR(IF(AND(Table838[[#This Row],[Classification]]="Assets",Table838[[#This Row],[Debit\]]-Table838[[#This Row],[Credit.]]),Table838[[#This Row],[Debit\]]-Table838[[#This Row],[Credit.]],""),"")</f>
        <v/>
      </c>
      <c r="AH94" s="34" t="str">
        <f>IFERROR(IF(AND(OR(Table838[[#This Row],[Classification]]="Liabilities",Table838[[#This Row],[Classification]]="Owner´s Equity"),Table838[[#This Row],[Credit.]]&gt;Table838[[#This Row],[Debit\]]),Table838[[#This Row],[Credit.]]-Table838[[#This Row],[Debit\]],""),"")</f>
        <v/>
      </c>
    </row>
    <row r="95" spans="2:34" hidden="1" x14ac:dyDescent="0.25">
      <c r="B95" s="34"/>
      <c r="C95" s="45"/>
      <c r="D95" s="34"/>
      <c r="E95" s="34"/>
      <c r="G95" s="39"/>
      <c r="H95" s="43"/>
      <c r="I95" s="41"/>
      <c r="J95" s="41"/>
      <c r="L95" s="34">
        <v>88</v>
      </c>
      <c r="M95" s="35"/>
      <c r="N95" s="35"/>
      <c r="O95" s="34">
        <f>IFERROR(SUMIF(Table435[,],Table637[[#This Row],[Accounts Name]],Table435[,3]),"")</f>
        <v>0</v>
      </c>
      <c r="P95" s="34">
        <f>IFERROR(SUMIF(Table435[,],Table637[[#This Row],[Accounts Name]],Table435[,2]),"")</f>
        <v>0</v>
      </c>
      <c r="S95" s="36">
        <f t="shared" si="1"/>
        <v>88</v>
      </c>
      <c r="T95" s="34"/>
      <c r="U95" s="37"/>
      <c r="V95" s="34">
        <f>IFERROR(SUMIF(Table637[Sub-Accounts],Table838[[#This Row],[Update your chart of accounts here]],Table637[Debit]),"")</f>
        <v>0</v>
      </c>
      <c r="W95" s="34">
        <f>IFERROR(SUMIF(Table637[Sub-Accounts],Table838[[#This Row],[Update your chart of accounts here]],Table637[Credit]),"")</f>
        <v>0</v>
      </c>
      <c r="X95" s="34"/>
      <c r="Y95" s="34"/>
      <c r="Z95" s="34"/>
      <c r="AA95" s="34"/>
      <c r="AB95" s="34">
        <f>MAX(Table838[[#This Row],[Debit]]+Table838[[#This Row],[Debit -]]-Table838[[#This Row],[Credit]]-Table838[[#This Row],[Credit +]],0)</f>
        <v>0</v>
      </c>
      <c r="AC95" s="34">
        <f>MAX(Table838[[#This Row],[Credit]]-Table838[[#This Row],[Debit]]+Table838[[#This Row],[Credit +]]-Table838[[#This Row],[Debit -]],0)</f>
        <v>0</v>
      </c>
      <c r="AD95" s="34" t="str">
        <f>IFERROR(IF(AND(OR(Table838[[#This Row],[Classification]]="Expense",Table838[[#This Row],[Classification]]="Cost of Goods Sold"),Table838[[#This Row],[Debit\]]&gt;Table838[[#This Row],[Credit.]]),Table838[[#This Row],[Debit\]]-Table838[[#This Row],[Credit.]],""),"")</f>
        <v/>
      </c>
      <c r="AE95" s="34" t="str">
        <f>IFERROR(IF(AND(OR(Table838[[#This Row],[Classification]]="Income",Table838[[#This Row],[Classification]]="Cost of Goods Sold"),Table838[[#This Row],[Credit.]]&gt;Table838[[#This Row],[Debit\]]),Table838[[#This Row],[Credit.]]-Table838[[#This Row],[Debit\]],""),"")</f>
        <v/>
      </c>
      <c r="AF95" s="34"/>
      <c r="AG95" s="34" t="str">
        <f>IFERROR(IF(AND(Table838[[#This Row],[Classification]]="Assets",Table838[[#This Row],[Debit\]]-Table838[[#This Row],[Credit.]]),Table838[[#This Row],[Debit\]]-Table838[[#This Row],[Credit.]],""),"")</f>
        <v/>
      </c>
      <c r="AH95" s="34" t="str">
        <f>IFERROR(IF(AND(OR(Table838[[#This Row],[Classification]]="Liabilities",Table838[[#This Row],[Classification]]="Owner´s Equity"),Table838[[#This Row],[Credit.]]&gt;Table838[[#This Row],[Debit\]]),Table838[[#This Row],[Credit.]]-Table838[[#This Row],[Debit\]],""),"")</f>
        <v/>
      </c>
    </row>
    <row r="96" spans="2:34" hidden="1" x14ac:dyDescent="0.25">
      <c r="B96" s="34"/>
      <c r="C96" s="45"/>
      <c r="D96" s="34"/>
      <c r="E96" s="34"/>
      <c r="G96" s="39"/>
      <c r="H96" s="40"/>
      <c r="I96" s="41"/>
      <c r="J96" s="41"/>
      <c r="L96" s="34">
        <v>89</v>
      </c>
      <c r="M96" s="35"/>
      <c r="N96" s="35"/>
      <c r="O96" s="34">
        <f>IFERROR(SUMIF(Table435[,],Table637[[#This Row],[Accounts Name]],Table435[,3]),"")</f>
        <v>0</v>
      </c>
      <c r="P96" s="34">
        <f>IFERROR(SUMIF(Table435[,],Table637[[#This Row],[Accounts Name]],Table435[,2]),"")</f>
        <v>0</v>
      </c>
      <c r="S96" s="36">
        <f t="shared" si="1"/>
        <v>89</v>
      </c>
      <c r="T96" s="34"/>
      <c r="U96" s="37"/>
      <c r="V96" s="34">
        <f>IFERROR(SUMIF(Table637[Sub-Accounts],Table838[[#This Row],[Update your chart of accounts here]],Table637[Debit]),"")</f>
        <v>0</v>
      </c>
      <c r="W96" s="34">
        <f>IFERROR(SUMIF(Table637[Sub-Accounts],Table838[[#This Row],[Update your chart of accounts here]],Table637[Credit]),"")</f>
        <v>0</v>
      </c>
      <c r="X96" s="34"/>
      <c r="Y96" s="34"/>
      <c r="Z96" s="34"/>
      <c r="AA96" s="34"/>
      <c r="AB96" s="34">
        <f>MAX(Table838[[#This Row],[Debit]]+Table838[[#This Row],[Debit -]]-Table838[[#This Row],[Credit]]-Table838[[#This Row],[Credit +]],0)</f>
        <v>0</v>
      </c>
      <c r="AC96" s="34">
        <f>MAX(Table838[[#This Row],[Credit]]-Table838[[#This Row],[Debit]]+Table838[[#This Row],[Credit +]]-Table838[[#This Row],[Debit -]],0)</f>
        <v>0</v>
      </c>
      <c r="AD96" s="34" t="str">
        <f>IFERROR(IF(AND(OR(Table838[[#This Row],[Classification]]="Expense",Table838[[#This Row],[Classification]]="Cost of Goods Sold"),Table838[[#This Row],[Debit\]]&gt;Table838[[#This Row],[Credit.]]),Table838[[#This Row],[Debit\]]-Table838[[#This Row],[Credit.]],""),"")</f>
        <v/>
      </c>
      <c r="AE96" s="34" t="str">
        <f>IFERROR(IF(AND(OR(Table838[[#This Row],[Classification]]="Income",Table838[[#This Row],[Classification]]="Cost of Goods Sold"),Table838[[#This Row],[Credit.]]&gt;Table838[[#This Row],[Debit\]]),Table838[[#This Row],[Credit.]]-Table838[[#This Row],[Debit\]],""),"")</f>
        <v/>
      </c>
      <c r="AF96" s="34"/>
      <c r="AG96" s="34" t="str">
        <f>IFERROR(IF(AND(Table838[[#This Row],[Classification]]="Assets",Table838[[#This Row],[Debit\]]-Table838[[#This Row],[Credit.]]),Table838[[#This Row],[Debit\]]-Table838[[#This Row],[Credit.]],""),"")</f>
        <v/>
      </c>
      <c r="AH96" s="34" t="str">
        <f>IFERROR(IF(AND(OR(Table838[[#This Row],[Classification]]="Liabilities",Table838[[#This Row],[Classification]]="Owner´s Equity"),Table838[[#This Row],[Credit.]]&gt;Table838[[#This Row],[Debit\]]),Table838[[#This Row],[Credit.]]-Table838[[#This Row],[Debit\]],""),"")</f>
        <v/>
      </c>
    </row>
    <row r="97" spans="2:34" hidden="1" x14ac:dyDescent="0.25">
      <c r="B97" s="34"/>
      <c r="C97" s="45"/>
      <c r="D97" s="34"/>
      <c r="E97" s="34"/>
      <c r="G97" s="39"/>
      <c r="H97" s="40"/>
      <c r="I97" s="41"/>
      <c r="J97" s="41"/>
      <c r="L97" s="34">
        <v>90</v>
      </c>
      <c r="M97" s="35"/>
      <c r="N97" s="35"/>
      <c r="O97" s="34">
        <f>IFERROR(SUMIF(Table435[,],Table637[[#This Row],[Accounts Name]],Table435[,3]),"")</f>
        <v>0</v>
      </c>
      <c r="P97" s="34">
        <f>IFERROR(SUMIF(Table435[,],Table637[[#This Row],[Accounts Name]],Table435[,2]),"")</f>
        <v>0</v>
      </c>
      <c r="S97" s="36">
        <f t="shared" si="1"/>
        <v>90</v>
      </c>
      <c r="T97" s="34"/>
      <c r="U97" s="37"/>
      <c r="V97" s="34">
        <f>IFERROR(SUMIF(Table637[Sub-Accounts],Table838[[#This Row],[Update your chart of accounts here]],Table637[Debit]),"")</f>
        <v>0</v>
      </c>
      <c r="W97" s="34">
        <f>IFERROR(SUMIF(Table637[Sub-Accounts],Table838[[#This Row],[Update your chart of accounts here]],Table637[Credit]),"")</f>
        <v>0</v>
      </c>
      <c r="X97" s="34"/>
      <c r="Y97" s="34"/>
      <c r="Z97" s="34"/>
      <c r="AA97" s="34"/>
      <c r="AB97" s="34">
        <f>MAX(Table838[[#This Row],[Debit]]+Table838[[#This Row],[Debit -]]-Table838[[#This Row],[Credit]]-Table838[[#This Row],[Credit +]],0)</f>
        <v>0</v>
      </c>
      <c r="AC97" s="34">
        <f>MAX(Table838[[#This Row],[Credit]]-Table838[[#This Row],[Debit]]+Table838[[#This Row],[Credit +]]-Table838[[#This Row],[Debit -]],0)</f>
        <v>0</v>
      </c>
      <c r="AD97" s="34" t="str">
        <f>IFERROR(IF(AND(OR(Table838[[#This Row],[Classification]]="Expense",Table838[[#This Row],[Classification]]="Cost of Goods Sold"),Table838[[#This Row],[Debit\]]&gt;Table838[[#This Row],[Credit.]]),Table838[[#This Row],[Debit\]]-Table838[[#This Row],[Credit.]],""),"")</f>
        <v/>
      </c>
      <c r="AE97" s="34" t="str">
        <f>IFERROR(IF(AND(OR(Table838[[#This Row],[Classification]]="Income",Table838[[#This Row],[Classification]]="Cost of Goods Sold"),Table838[[#This Row],[Credit.]]&gt;Table838[[#This Row],[Debit\]]),Table838[[#This Row],[Credit.]]-Table838[[#This Row],[Debit\]],""),"")</f>
        <v/>
      </c>
      <c r="AF97" s="34"/>
      <c r="AG97" s="34" t="str">
        <f>IFERROR(IF(AND(Table838[[#This Row],[Classification]]="Assets",Table838[[#This Row],[Debit\]]-Table838[[#This Row],[Credit.]]),Table838[[#This Row],[Debit\]]-Table838[[#This Row],[Credit.]],""),"")</f>
        <v/>
      </c>
      <c r="AH97" s="34" t="str">
        <f>IFERROR(IF(AND(OR(Table838[[#This Row],[Classification]]="Liabilities",Table838[[#This Row],[Classification]]="Owner´s Equity"),Table838[[#This Row],[Credit.]]&gt;Table838[[#This Row],[Debit\]]),Table838[[#This Row],[Credit.]]-Table838[[#This Row],[Debit\]],""),"")</f>
        <v/>
      </c>
    </row>
    <row r="98" spans="2:34" hidden="1" x14ac:dyDescent="0.25">
      <c r="B98" s="34"/>
      <c r="C98" s="45"/>
      <c r="D98" s="34"/>
      <c r="E98" s="34"/>
      <c r="G98" s="39"/>
      <c r="H98" s="43"/>
      <c r="I98" s="41"/>
      <c r="J98" s="41"/>
      <c r="L98" s="34">
        <v>91</v>
      </c>
      <c r="M98" s="35"/>
      <c r="N98" s="35"/>
      <c r="O98" s="34">
        <f>IFERROR(SUMIF(Table435[,],Table637[[#This Row],[Accounts Name]],Table435[,3]),"")</f>
        <v>0</v>
      </c>
      <c r="P98" s="34">
        <f>IFERROR(SUMIF(Table435[,],Table637[[#This Row],[Accounts Name]],Table435[,2]),"")</f>
        <v>0</v>
      </c>
      <c r="S98" s="36">
        <f t="shared" si="1"/>
        <v>91</v>
      </c>
      <c r="T98" s="34"/>
      <c r="U98" s="37"/>
      <c r="V98" s="34">
        <f>IFERROR(SUMIF(Table637[Sub-Accounts],Table838[[#This Row],[Update your chart of accounts here]],Table637[Debit]),"")</f>
        <v>0</v>
      </c>
      <c r="W98" s="34">
        <f>IFERROR(SUMIF(Table637[Sub-Accounts],Table838[[#This Row],[Update your chart of accounts here]],Table637[Credit]),"")</f>
        <v>0</v>
      </c>
      <c r="X98" s="34"/>
      <c r="Y98" s="34"/>
      <c r="Z98" s="34"/>
      <c r="AA98" s="34"/>
      <c r="AB98" s="34">
        <f>MAX(Table838[[#This Row],[Debit]]+Table838[[#This Row],[Debit -]]-Table838[[#This Row],[Credit]]-Table838[[#This Row],[Credit +]],0)</f>
        <v>0</v>
      </c>
      <c r="AC98" s="34">
        <f>MAX(Table838[[#This Row],[Credit]]-Table838[[#This Row],[Debit]]+Table838[[#This Row],[Credit +]]-Table838[[#This Row],[Debit -]],0)</f>
        <v>0</v>
      </c>
      <c r="AD98" s="34" t="str">
        <f>IFERROR(IF(AND(OR(Table838[[#This Row],[Classification]]="Expense",Table838[[#This Row],[Classification]]="Cost of Goods Sold"),Table838[[#This Row],[Debit\]]&gt;Table838[[#This Row],[Credit.]]),Table838[[#This Row],[Debit\]]-Table838[[#This Row],[Credit.]],""),"")</f>
        <v/>
      </c>
      <c r="AE98" s="34" t="str">
        <f>IFERROR(IF(AND(OR(Table838[[#This Row],[Classification]]="Income",Table838[[#This Row],[Classification]]="Cost of Goods Sold"),Table838[[#This Row],[Credit.]]&gt;Table838[[#This Row],[Debit\]]),Table838[[#This Row],[Credit.]]-Table838[[#This Row],[Debit\]],""),"")</f>
        <v/>
      </c>
      <c r="AF98" s="34"/>
      <c r="AG98" s="34" t="str">
        <f>IFERROR(IF(AND(Table838[[#This Row],[Classification]]="Assets",Table838[[#This Row],[Debit\]]-Table838[[#This Row],[Credit.]]),Table838[[#This Row],[Debit\]]-Table838[[#This Row],[Credit.]],""),"")</f>
        <v/>
      </c>
      <c r="AH98" s="34" t="str">
        <f>IFERROR(IF(AND(OR(Table838[[#This Row],[Classification]]="Liabilities",Table838[[#This Row],[Classification]]="Owner´s Equity"),Table838[[#This Row],[Credit.]]&gt;Table838[[#This Row],[Debit\]]),Table838[[#This Row],[Credit.]]-Table838[[#This Row],[Debit\]],""),"")</f>
        <v/>
      </c>
    </row>
    <row r="99" spans="2:34" hidden="1" x14ac:dyDescent="0.25">
      <c r="B99" s="34"/>
      <c r="C99" s="45"/>
      <c r="D99" s="34"/>
      <c r="E99" s="34"/>
      <c r="G99" s="39"/>
      <c r="H99" s="40"/>
      <c r="I99" s="41"/>
      <c r="J99" s="41"/>
      <c r="L99" s="34">
        <v>92</v>
      </c>
      <c r="M99" s="35"/>
      <c r="N99" s="35"/>
      <c r="O99" s="34">
        <f>IFERROR(SUMIF(Table435[,],Table637[[#This Row],[Accounts Name]],Table435[,3]),"")</f>
        <v>0</v>
      </c>
      <c r="P99" s="34">
        <f>IFERROR(SUMIF(Table435[,],Table637[[#This Row],[Accounts Name]],Table435[,2]),"")</f>
        <v>0</v>
      </c>
      <c r="S99" s="36">
        <f t="shared" si="1"/>
        <v>92</v>
      </c>
      <c r="T99" s="34"/>
      <c r="U99" s="37"/>
      <c r="V99" s="34">
        <f>IFERROR(SUMIF(Table637[Sub-Accounts],Table838[[#This Row],[Update your chart of accounts here]],Table637[Debit]),"")</f>
        <v>0</v>
      </c>
      <c r="W99" s="34">
        <f>IFERROR(SUMIF(Table637[Sub-Accounts],Table838[[#This Row],[Update your chart of accounts here]],Table637[Credit]),"")</f>
        <v>0</v>
      </c>
      <c r="X99" s="34"/>
      <c r="Y99" s="34"/>
      <c r="Z99" s="34"/>
      <c r="AA99" s="34"/>
      <c r="AB99" s="34">
        <f>MAX(Table838[[#This Row],[Debit]]+Table838[[#This Row],[Debit -]]-Table838[[#This Row],[Credit]]-Table838[[#This Row],[Credit +]],0)</f>
        <v>0</v>
      </c>
      <c r="AC99" s="34">
        <f>MAX(Table838[[#This Row],[Credit]]-Table838[[#This Row],[Debit]]+Table838[[#This Row],[Credit +]]-Table838[[#This Row],[Debit -]],0)</f>
        <v>0</v>
      </c>
      <c r="AD99" s="34" t="str">
        <f>IFERROR(IF(AND(OR(Table838[[#This Row],[Classification]]="Expense",Table838[[#This Row],[Classification]]="Cost of Goods Sold"),Table838[[#This Row],[Debit\]]&gt;Table838[[#This Row],[Credit.]]),Table838[[#This Row],[Debit\]]-Table838[[#This Row],[Credit.]],""),"")</f>
        <v/>
      </c>
      <c r="AE99" s="34" t="str">
        <f>IFERROR(IF(AND(OR(Table838[[#This Row],[Classification]]="Income",Table838[[#This Row],[Classification]]="Cost of Goods Sold"),Table838[[#This Row],[Credit.]]&gt;Table838[[#This Row],[Debit\]]),Table838[[#This Row],[Credit.]]-Table838[[#This Row],[Debit\]],""),"")</f>
        <v/>
      </c>
      <c r="AF99" s="34"/>
      <c r="AG99" s="34" t="str">
        <f>IFERROR(IF(AND(Table838[[#This Row],[Classification]]="Assets",Table838[[#This Row],[Debit\]]-Table838[[#This Row],[Credit.]]),Table838[[#This Row],[Debit\]]-Table838[[#This Row],[Credit.]],""),"")</f>
        <v/>
      </c>
      <c r="AH99" s="34" t="str">
        <f>IFERROR(IF(AND(OR(Table838[[#This Row],[Classification]]="Liabilities",Table838[[#This Row],[Classification]]="Owner´s Equity"),Table838[[#This Row],[Credit.]]&gt;Table838[[#This Row],[Debit\]]),Table838[[#This Row],[Credit.]]-Table838[[#This Row],[Debit\]],""),"")</f>
        <v/>
      </c>
    </row>
    <row r="100" spans="2:34" hidden="1" x14ac:dyDescent="0.25">
      <c r="B100" s="34"/>
      <c r="C100" s="45"/>
      <c r="D100" s="34"/>
      <c r="E100" s="34"/>
      <c r="G100" s="39"/>
      <c r="H100" s="40"/>
      <c r="I100" s="41"/>
      <c r="J100" s="41"/>
      <c r="L100" s="34">
        <v>93</v>
      </c>
      <c r="M100" s="35"/>
      <c r="N100" s="35"/>
      <c r="O100" s="34">
        <f>IFERROR(SUMIF(Table435[,],Table637[[#This Row],[Accounts Name]],Table435[,3]),"")</f>
        <v>0</v>
      </c>
      <c r="P100" s="34">
        <f>IFERROR(SUMIF(Table435[,],Table637[[#This Row],[Accounts Name]],Table435[,2]),"")</f>
        <v>0</v>
      </c>
      <c r="S100" s="36">
        <f t="shared" si="1"/>
        <v>93</v>
      </c>
      <c r="T100" s="34"/>
      <c r="U100" s="37"/>
      <c r="V100" s="34">
        <f>IFERROR(SUMIF(Table637[Sub-Accounts],Table838[[#This Row],[Update your chart of accounts here]],Table637[Debit]),"")</f>
        <v>0</v>
      </c>
      <c r="W100" s="34">
        <f>IFERROR(SUMIF(Table637[Sub-Accounts],Table838[[#This Row],[Update your chart of accounts here]],Table637[Credit]),"")</f>
        <v>0</v>
      </c>
      <c r="X100" s="34"/>
      <c r="Y100" s="34"/>
      <c r="Z100" s="34"/>
      <c r="AA100" s="34"/>
      <c r="AB100" s="34">
        <f>MAX(Table838[[#This Row],[Debit]]+Table838[[#This Row],[Debit -]]-Table838[[#This Row],[Credit]]-Table838[[#This Row],[Credit +]],0)</f>
        <v>0</v>
      </c>
      <c r="AC100" s="34">
        <f>MAX(Table838[[#This Row],[Credit]]-Table838[[#This Row],[Debit]]+Table838[[#This Row],[Credit +]]-Table838[[#This Row],[Debit -]],0)</f>
        <v>0</v>
      </c>
      <c r="AD100" s="34" t="str">
        <f>IFERROR(IF(AND(OR(Table838[[#This Row],[Classification]]="Expense",Table838[[#This Row],[Classification]]="Cost of Goods Sold"),Table838[[#This Row],[Debit\]]&gt;Table838[[#This Row],[Credit.]]),Table838[[#This Row],[Debit\]]-Table838[[#This Row],[Credit.]],""),"")</f>
        <v/>
      </c>
      <c r="AE100" s="34" t="str">
        <f>IFERROR(IF(AND(OR(Table838[[#This Row],[Classification]]="Income",Table838[[#This Row],[Classification]]="Cost of Goods Sold"),Table838[[#This Row],[Credit.]]&gt;Table838[[#This Row],[Debit\]]),Table838[[#This Row],[Credit.]]-Table838[[#This Row],[Debit\]],""),"")</f>
        <v/>
      </c>
      <c r="AF100" s="34"/>
      <c r="AG100" s="34" t="str">
        <f>IFERROR(IF(AND(Table838[[#This Row],[Classification]]="Assets",Table838[[#This Row],[Debit\]]-Table838[[#This Row],[Credit.]]),Table838[[#This Row],[Debit\]]-Table838[[#This Row],[Credit.]],""),"")</f>
        <v/>
      </c>
      <c r="AH100" s="34" t="str">
        <f>IFERROR(IF(AND(OR(Table838[[#This Row],[Classification]]="Liabilities",Table838[[#This Row],[Classification]]="Owner´s Equity"),Table838[[#This Row],[Credit.]]&gt;Table838[[#This Row],[Debit\]]),Table838[[#This Row],[Credit.]]-Table838[[#This Row],[Debit\]],""),"")</f>
        <v/>
      </c>
    </row>
    <row r="101" spans="2:34" hidden="1" x14ac:dyDescent="0.25">
      <c r="B101" s="34"/>
      <c r="C101" s="45"/>
      <c r="D101" s="34"/>
      <c r="E101" s="34"/>
      <c r="G101" s="39"/>
      <c r="H101" s="43"/>
      <c r="I101" s="41"/>
      <c r="J101" s="41"/>
      <c r="L101" s="34">
        <v>94</v>
      </c>
      <c r="M101" s="35"/>
      <c r="N101" s="35"/>
      <c r="O101" s="34">
        <f>IFERROR(SUMIF(Table435[,],Table637[[#This Row],[Accounts Name]],Table435[,3]),"")</f>
        <v>0</v>
      </c>
      <c r="P101" s="34">
        <f>IFERROR(SUMIF(Table435[,],Table637[[#This Row],[Accounts Name]],Table435[,2]),"")</f>
        <v>0</v>
      </c>
      <c r="S101" s="36">
        <f t="shared" si="1"/>
        <v>94</v>
      </c>
      <c r="T101" s="34"/>
      <c r="U101" s="37"/>
      <c r="V101" s="34">
        <f>IFERROR(SUMIF(Table637[Sub-Accounts],Table838[[#This Row],[Update your chart of accounts here]],Table637[Debit]),"")</f>
        <v>0</v>
      </c>
      <c r="W101" s="34">
        <f>IFERROR(SUMIF(Table637[Sub-Accounts],Table838[[#This Row],[Update your chart of accounts here]],Table637[Credit]),"")</f>
        <v>0</v>
      </c>
      <c r="X101" s="34"/>
      <c r="Y101" s="34"/>
      <c r="Z101" s="34"/>
      <c r="AA101" s="34"/>
      <c r="AB101" s="34">
        <f>MAX(Table838[[#This Row],[Debit]]+Table838[[#This Row],[Debit -]]-Table838[[#This Row],[Credit]]-Table838[[#This Row],[Credit +]],0)</f>
        <v>0</v>
      </c>
      <c r="AC101" s="34">
        <f>MAX(Table838[[#This Row],[Credit]]-Table838[[#This Row],[Debit]]+Table838[[#This Row],[Credit +]]-Table838[[#This Row],[Debit -]],0)</f>
        <v>0</v>
      </c>
      <c r="AD101" s="34" t="str">
        <f>IFERROR(IF(AND(OR(Table838[[#This Row],[Classification]]="Expense",Table838[[#This Row],[Classification]]="Cost of Goods Sold"),Table838[[#This Row],[Debit\]]&gt;Table838[[#This Row],[Credit.]]),Table838[[#This Row],[Debit\]]-Table838[[#This Row],[Credit.]],""),"")</f>
        <v/>
      </c>
      <c r="AE101" s="34" t="str">
        <f>IFERROR(IF(AND(OR(Table838[[#This Row],[Classification]]="Income",Table838[[#This Row],[Classification]]="Cost of Goods Sold"),Table838[[#This Row],[Credit.]]&gt;Table838[[#This Row],[Debit\]]),Table838[[#This Row],[Credit.]]-Table838[[#This Row],[Debit\]],""),"")</f>
        <v/>
      </c>
      <c r="AF101" s="34"/>
      <c r="AG101" s="34" t="str">
        <f>IFERROR(IF(AND(Table838[[#This Row],[Classification]]="Assets",Table838[[#This Row],[Debit\]]-Table838[[#This Row],[Credit.]]),Table838[[#This Row],[Debit\]]-Table838[[#This Row],[Credit.]],""),"")</f>
        <v/>
      </c>
      <c r="AH101" s="34" t="str">
        <f>IFERROR(IF(AND(OR(Table838[[#This Row],[Classification]]="Liabilities",Table838[[#This Row],[Classification]]="Owner´s Equity"),Table838[[#This Row],[Credit.]]&gt;Table838[[#This Row],[Debit\]]),Table838[[#This Row],[Credit.]]-Table838[[#This Row],[Debit\]],""),"")</f>
        <v/>
      </c>
    </row>
    <row r="102" spans="2:34" hidden="1" x14ac:dyDescent="0.25">
      <c r="B102" s="34"/>
      <c r="C102" s="45"/>
      <c r="D102" s="34"/>
      <c r="E102" s="34"/>
      <c r="G102" s="39"/>
      <c r="H102" s="40"/>
      <c r="I102" s="41"/>
      <c r="J102" s="41"/>
      <c r="L102" s="34">
        <v>95</v>
      </c>
      <c r="M102" s="35"/>
      <c r="N102" s="35"/>
      <c r="O102" s="34">
        <f>IFERROR(SUMIF(Table435[,],Table637[[#This Row],[Accounts Name]],Table435[,3]),"")</f>
        <v>0</v>
      </c>
      <c r="P102" s="34">
        <f>IFERROR(SUMIF(Table435[,],Table637[[#This Row],[Accounts Name]],Table435[,2]),"")</f>
        <v>0</v>
      </c>
      <c r="S102" s="36">
        <f t="shared" si="1"/>
        <v>95</v>
      </c>
      <c r="T102" s="34"/>
      <c r="U102" s="37"/>
      <c r="V102" s="34">
        <f>IFERROR(SUMIF(Table637[Sub-Accounts],Table838[[#This Row],[Update your chart of accounts here]],Table637[Debit]),"")</f>
        <v>0</v>
      </c>
      <c r="W102" s="34">
        <f>IFERROR(SUMIF(Table637[Sub-Accounts],Table838[[#This Row],[Update your chart of accounts here]],Table637[Credit]),"")</f>
        <v>0</v>
      </c>
      <c r="X102" s="34"/>
      <c r="Y102" s="34"/>
      <c r="Z102" s="34"/>
      <c r="AA102" s="34"/>
      <c r="AB102" s="34">
        <f>MAX(Table838[[#This Row],[Debit]]+Table838[[#This Row],[Debit -]]-Table838[[#This Row],[Credit]]-Table838[[#This Row],[Credit +]],0)</f>
        <v>0</v>
      </c>
      <c r="AC102" s="34">
        <f>MAX(Table838[[#This Row],[Credit]]-Table838[[#This Row],[Debit]]+Table838[[#This Row],[Credit +]]-Table838[[#This Row],[Debit -]],0)</f>
        <v>0</v>
      </c>
      <c r="AD102" s="34" t="str">
        <f>IFERROR(IF(AND(OR(Table838[[#This Row],[Classification]]="Expense",Table838[[#This Row],[Classification]]="Cost of Goods Sold"),Table838[[#This Row],[Debit\]]&gt;Table838[[#This Row],[Credit.]]),Table838[[#This Row],[Debit\]]-Table838[[#This Row],[Credit.]],""),"")</f>
        <v/>
      </c>
      <c r="AE102" s="34" t="str">
        <f>IFERROR(IF(AND(OR(Table838[[#This Row],[Classification]]="Income",Table838[[#This Row],[Classification]]="Cost of Goods Sold"),Table838[[#This Row],[Credit.]]&gt;Table838[[#This Row],[Debit\]]),Table838[[#This Row],[Credit.]]-Table838[[#This Row],[Debit\]],""),"")</f>
        <v/>
      </c>
      <c r="AF102" s="34"/>
      <c r="AG102" s="34" t="str">
        <f>IFERROR(IF(AND(Table838[[#This Row],[Classification]]="Assets",Table838[[#This Row],[Debit\]]-Table838[[#This Row],[Credit.]]),Table838[[#This Row],[Debit\]]-Table838[[#This Row],[Credit.]],""),"")</f>
        <v/>
      </c>
      <c r="AH102" s="34" t="str">
        <f>IFERROR(IF(AND(OR(Table838[[#This Row],[Classification]]="Liabilities",Table838[[#This Row],[Classification]]="Owner´s Equity"),Table838[[#This Row],[Credit.]]&gt;Table838[[#This Row],[Debit\]]),Table838[[#This Row],[Credit.]]-Table838[[#This Row],[Debit\]],""),"")</f>
        <v/>
      </c>
    </row>
    <row r="103" spans="2:34" hidden="1" x14ac:dyDescent="0.25">
      <c r="B103" s="34"/>
      <c r="C103" s="45"/>
      <c r="D103" s="34"/>
      <c r="E103" s="34"/>
      <c r="G103" s="39"/>
      <c r="H103" s="40"/>
      <c r="I103" s="41"/>
      <c r="J103" s="41"/>
      <c r="L103" s="34">
        <v>96</v>
      </c>
      <c r="M103" s="35"/>
      <c r="N103" s="35"/>
      <c r="O103" s="34">
        <f>IFERROR(SUMIF(Table435[,],Table637[[#This Row],[Accounts Name]],Table435[,3]),"")</f>
        <v>0</v>
      </c>
      <c r="P103" s="34">
        <f>IFERROR(SUMIF(Table435[,],Table637[[#This Row],[Accounts Name]],Table435[,2]),"")</f>
        <v>0</v>
      </c>
      <c r="S103" s="36">
        <f t="shared" si="1"/>
        <v>96</v>
      </c>
      <c r="T103" s="34"/>
      <c r="U103" s="37"/>
      <c r="V103" s="34">
        <f>IFERROR(SUMIF(Table637[Sub-Accounts],Table838[[#This Row],[Update your chart of accounts here]],Table637[Debit]),"")</f>
        <v>0</v>
      </c>
      <c r="W103" s="34">
        <f>IFERROR(SUMIF(Table637[Sub-Accounts],Table838[[#This Row],[Update your chart of accounts here]],Table637[Credit]),"")</f>
        <v>0</v>
      </c>
      <c r="X103" s="34"/>
      <c r="Y103" s="34"/>
      <c r="Z103" s="34"/>
      <c r="AA103" s="34"/>
      <c r="AB103" s="34">
        <f>MAX(Table838[[#This Row],[Debit]]+Table838[[#This Row],[Debit -]]-Table838[[#This Row],[Credit]]-Table838[[#This Row],[Credit +]],0)</f>
        <v>0</v>
      </c>
      <c r="AC103" s="34">
        <f>MAX(Table838[[#This Row],[Credit]]-Table838[[#This Row],[Debit]]+Table838[[#This Row],[Credit +]]-Table838[[#This Row],[Debit -]],0)</f>
        <v>0</v>
      </c>
      <c r="AD103" s="34" t="str">
        <f>IFERROR(IF(AND(OR(Table838[[#This Row],[Classification]]="Expense",Table838[[#This Row],[Classification]]="Cost of Goods Sold"),Table838[[#This Row],[Debit\]]&gt;Table838[[#This Row],[Credit.]]),Table838[[#This Row],[Debit\]]-Table838[[#This Row],[Credit.]],""),"")</f>
        <v/>
      </c>
      <c r="AE103" s="34" t="str">
        <f>IFERROR(IF(AND(OR(Table838[[#This Row],[Classification]]="Income",Table838[[#This Row],[Classification]]="Cost of Goods Sold"),Table838[[#This Row],[Credit.]]&gt;Table838[[#This Row],[Debit\]]),Table838[[#This Row],[Credit.]]-Table838[[#This Row],[Debit\]],""),"")</f>
        <v/>
      </c>
      <c r="AF103" s="34"/>
      <c r="AG103" s="34" t="str">
        <f>IFERROR(IF(AND(Table838[[#This Row],[Classification]]="Assets",Table838[[#This Row],[Debit\]]-Table838[[#This Row],[Credit.]]),Table838[[#This Row],[Debit\]]-Table838[[#This Row],[Credit.]],""),"")</f>
        <v/>
      </c>
      <c r="AH103" s="34" t="str">
        <f>IFERROR(IF(AND(OR(Table838[[#This Row],[Classification]]="Liabilities",Table838[[#This Row],[Classification]]="Owner´s Equity"),Table838[[#This Row],[Credit.]]&gt;Table838[[#This Row],[Debit\]]),Table838[[#This Row],[Credit.]]-Table838[[#This Row],[Debit\]],""),"")</f>
        <v/>
      </c>
    </row>
    <row r="104" spans="2:34" hidden="1" x14ac:dyDescent="0.25">
      <c r="B104" s="34"/>
      <c r="C104" s="45"/>
      <c r="D104" s="34"/>
      <c r="E104" s="34"/>
      <c r="G104" s="39"/>
      <c r="H104" s="43"/>
      <c r="I104" s="41"/>
      <c r="J104" s="41"/>
      <c r="L104" s="34">
        <v>97</v>
      </c>
      <c r="M104" s="35"/>
      <c r="N104" s="35"/>
      <c r="O104" s="34">
        <f>IFERROR(SUMIF(Table435[,],Table637[[#This Row],[Accounts Name]],Table435[,3]),"")</f>
        <v>0</v>
      </c>
      <c r="P104" s="34">
        <f>IFERROR(SUMIF(Table435[,],Table637[[#This Row],[Accounts Name]],Table435[,2]),"")</f>
        <v>0</v>
      </c>
      <c r="S104" s="36">
        <f t="shared" si="1"/>
        <v>97</v>
      </c>
      <c r="T104" s="34"/>
      <c r="U104" s="37"/>
      <c r="V104" s="34">
        <f>IFERROR(SUMIF(Table637[Sub-Accounts],Table838[[#This Row],[Update your chart of accounts here]],Table637[Debit]),"")</f>
        <v>0</v>
      </c>
      <c r="W104" s="34">
        <f>IFERROR(SUMIF(Table637[Sub-Accounts],Table838[[#This Row],[Update your chart of accounts here]],Table637[Credit]),"")</f>
        <v>0</v>
      </c>
      <c r="X104" s="34"/>
      <c r="Y104" s="34"/>
      <c r="Z104" s="34"/>
      <c r="AA104" s="34"/>
      <c r="AB104" s="34">
        <f>MAX(Table838[[#This Row],[Debit]]+Table838[[#This Row],[Debit -]]-Table838[[#This Row],[Credit]]-Table838[[#This Row],[Credit +]],0)</f>
        <v>0</v>
      </c>
      <c r="AC104" s="34">
        <f>MAX(Table838[[#This Row],[Credit]]-Table838[[#This Row],[Debit]]+Table838[[#This Row],[Credit +]]-Table838[[#This Row],[Debit -]],0)</f>
        <v>0</v>
      </c>
      <c r="AD104" s="34" t="str">
        <f>IFERROR(IF(AND(OR(Table838[[#This Row],[Classification]]="Expense",Table838[[#This Row],[Classification]]="Cost of Goods Sold"),Table838[[#This Row],[Debit\]]&gt;Table838[[#This Row],[Credit.]]),Table838[[#This Row],[Debit\]]-Table838[[#This Row],[Credit.]],""),"")</f>
        <v/>
      </c>
      <c r="AE104" s="34" t="str">
        <f>IFERROR(IF(AND(OR(Table838[[#This Row],[Classification]]="Income",Table838[[#This Row],[Classification]]="Cost of Goods Sold"),Table838[[#This Row],[Credit.]]&gt;Table838[[#This Row],[Debit\]]),Table838[[#This Row],[Credit.]]-Table838[[#This Row],[Debit\]],""),"")</f>
        <v/>
      </c>
      <c r="AF104" s="34"/>
      <c r="AG104" s="34" t="str">
        <f>IFERROR(IF(AND(Table838[[#This Row],[Classification]]="Assets",Table838[[#This Row],[Debit\]]-Table838[[#This Row],[Credit.]]),Table838[[#This Row],[Debit\]]-Table838[[#This Row],[Credit.]],""),"")</f>
        <v/>
      </c>
      <c r="AH104" s="34" t="str">
        <f>IFERROR(IF(AND(OR(Table838[[#This Row],[Classification]]="Liabilities",Table838[[#This Row],[Classification]]="Owner´s Equity"),Table838[[#This Row],[Credit.]]&gt;Table838[[#This Row],[Debit\]]),Table838[[#This Row],[Credit.]]-Table838[[#This Row],[Debit\]],""),"")</f>
        <v/>
      </c>
    </row>
    <row r="105" spans="2:34" hidden="1" x14ac:dyDescent="0.25">
      <c r="B105" s="34"/>
      <c r="C105" s="45"/>
      <c r="D105" s="34"/>
      <c r="E105" s="34"/>
      <c r="G105" s="39"/>
      <c r="H105" s="40"/>
      <c r="I105" s="41"/>
      <c r="J105" s="41"/>
      <c r="L105" s="34">
        <v>98</v>
      </c>
      <c r="M105" s="35"/>
      <c r="N105" s="35"/>
      <c r="O105" s="34">
        <f>IFERROR(SUMIF(Table435[,],Table637[[#This Row],[Accounts Name]],Table435[,3]),"")</f>
        <v>0</v>
      </c>
      <c r="P105" s="34">
        <f>IFERROR(SUMIF(Table435[,],Table637[[#This Row],[Accounts Name]],Table435[,2]),"")</f>
        <v>0</v>
      </c>
      <c r="S105" s="36">
        <f t="shared" si="1"/>
        <v>98</v>
      </c>
      <c r="T105" s="34"/>
      <c r="U105" s="37"/>
      <c r="V105" s="34">
        <f>IFERROR(SUMIF(Table637[Sub-Accounts],Table838[[#This Row],[Update your chart of accounts here]],Table637[Debit]),"")</f>
        <v>0</v>
      </c>
      <c r="W105" s="34">
        <f>IFERROR(SUMIF(Table637[Sub-Accounts],Table838[[#This Row],[Update your chart of accounts here]],Table637[Credit]),"")</f>
        <v>0</v>
      </c>
      <c r="X105" s="34"/>
      <c r="Y105" s="34"/>
      <c r="Z105" s="34"/>
      <c r="AA105" s="34"/>
      <c r="AB105" s="34">
        <f>MAX(Table838[[#This Row],[Debit]]+Table838[[#This Row],[Debit -]]-Table838[[#This Row],[Credit]]-Table838[[#This Row],[Credit +]],0)</f>
        <v>0</v>
      </c>
      <c r="AC105" s="34">
        <f>MAX(Table838[[#This Row],[Credit]]-Table838[[#This Row],[Debit]]+Table838[[#This Row],[Credit +]]-Table838[[#This Row],[Debit -]],0)</f>
        <v>0</v>
      </c>
      <c r="AD105" s="34" t="str">
        <f>IFERROR(IF(AND(OR(Table838[[#This Row],[Classification]]="Expense",Table838[[#This Row],[Classification]]="Cost of Goods Sold"),Table838[[#This Row],[Debit\]]&gt;Table838[[#This Row],[Credit.]]),Table838[[#This Row],[Debit\]]-Table838[[#This Row],[Credit.]],""),"")</f>
        <v/>
      </c>
      <c r="AE105" s="34" t="str">
        <f>IFERROR(IF(AND(OR(Table838[[#This Row],[Classification]]="Income",Table838[[#This Row],[Classification]]="Cost of Goods Sold"),Table838[[#This Row],[Credit.]]&gt;Table838[[#This Row],[Debit\]]),Table838[[#This Row],[Credit.]]-Table838[[#This Row],[Debit\]],""),"")</f>
        <v/>
      </c>
      <c r="AF105" s="34"/>
      <c r="AG105" s="34" t="str">
        <f>IFERROR(IF(AND(Table838[[#This Row],[Classification]]="Assets",Table838[[#This Row],[Debit\]]-Table838[[#This Row],[Credit.]]),Table838[[#This Row],[Debit\]]-Table838[[#This Row],[Credit.]],""),"")</f>
        <v/>
      </c>
      <c r="AH105" s="34" t="str">
        <f>IFERROR(IF(AND(OR(Table838[[#This Row],[Classification]]="Liabilities",Table838[[#This Row],[Classification]]="Owner´s Equity"),Table838[[#This Row],[Credit.]]&gt;Table838[[#This Row],[Debit\]]),Table838[[#This Row],[Credit.]]-Table838[[#This Row],[Debit\]],""),"")</f>
        <v/>
      </c>
    </row>
    <row r="106" spans="2:34" hidden="1" x14ac:dyDescent="0.25">
      <c r="B106" s="34"/>
      <c r="C106" s="45"/>
      <c r="D106" s="34"/>
      <c r="E106" s="34"/>
      <c r="G106" s="39"/>
      <c r="H106" s="40"/>
      <c r="I106" s="41"/>
      <c r="J106" s="41"/>
      <c r="L106" s="34">
        <v>99</v>
      </c>
      <c r="M106" s="35"/>
      <c r="N106" s="35"/>
      <c r="O106" s="34">
        <f>IFERROR(SUMIF(Table435[,],Table637[[#This Row],[Accounts Name]],Table435[,3]),"")</f>
        <v>0</v>
      </c>
      <c r="P106" s="34">
        <f>IFERROR(SUMIF(Table435[,],Table637[[#This Row],[Accounts Name]],Table435[,2]),"")</f>
        <v>0</v>
      </c>
      <c r="S106" s="36">
        <f t="shared" si="1"/>
        <v>99</v>
      </c>
      <c r="T106" s="34"/>
      <c r="U106" s="37"/>
      <c r="V106" s="34">
        <f>IFERROR(SUMIF(Table637[Sub-Accounts],Table838[[#This Row],[Update your chart of accounts here]],Table637[Debit]),"")</f>
        <v>0</v>
      </c>
      <c r="W106" s="34">
        <f>IFERROR(SUMIF(Table637[Sub-Accounts],Table838[[#This Row],[Update your chart of accounts here]],Table637[Credit]),"")</f>
        <v>0</v>
      </c>
      <c r="X106" s="34"/>
      <c r="Y106" s="34"/>
      <c r="Z106" s="34"/>
      <c r="AA106" s="34"/>
      <c r="AB106" s="34">
        <f>MAX(Table838[[#This Row],[Debit]]+Table838[[#This Row],[Debit -]]-Table838[[#This Row],[Credit]]-Table838[[#This Row],[Credit +]],0)</f>
        <v>0</v>
      </c>
      <c r="AC106" s="34">
        <f>MAX(Table838[[#This Row],[Credit]]-Table838[[#This Row],[Debit]]+Table838[[#This Row],[Credit +]]-Table838[[#This Row],[Debit -]],0)</f>
        <v>0</v>
      </c>
      <c r="AD106" s="34" t="str">
        <f>IFERROR(IF(AND(OR(Table838[[#This Row],[Classification]]="Expense",Table838[[#This Row],[Classification]]="Cost of Goods Sold"),Table838[[#This Row],[Debit\]]&gt;Table838[[#This Row],[Credit.]]),Table838[[#This Row],[Debit\]]-Table838[[#This Row],[Credit.]],""),"")</f>
        <v/>
      </c>
      <c r="AE106" s="34" t="str">
        <f>IFERROR(IF(AND(OR(Table838[[#This Row],[Classification]]="Income",Table838[[#This Row],[Classification]]="Cost of Goods Sold"),Table838[[#This Row],[Credit.]]&gt;Table838[[#This Row],[Debit\]]),Table838[[#This Row],[Credit.]]-Table838[[#This Row],[Debit\]],""),"")</f>
        <v/>
      </c>
      <c r="AF106" s="34"/>
      <c r="AG106" s="34" t="str">
        <f>IFERROR(IF(AND(Table838[[#This Row],[Classification]]="Assets",Table838[[#This Row],[Debit\]]-Table838[[#This Row],[Credit.]]),Table838[[#This Row],[Debit\]]-Table838[[#This Row],[Credit.]],""),"")</f>
        <v/>
      </c>
      <c r="AH106" s="34" t="str">
        <f>IFERROR(IF(AND(OR(Table838[[#This Row],[Classification]]="Liabilities",Table838[[#This Row],[Classification]]="Owner´s Equity"),Table838[[#This Row],[Credit.]]&gt;Table838[[#This Row],[Debit\]]),Table838[[#This Row],[Credit.]]-Table838[[#This Row],[Debit\]],""),"")</f>
        <v/>
      </c>
    </row>
    <row r="107" spans="2:34" hidden="1" x14ac:dyDescent="0.25">
      <c r="B107" s="34"/>
      <c r="C107" s="45"/>
      <c r="D107" s="34"/>
      <c r="E107" s="34"/>
      <c r="G107" s="39"/>
      <c r="H107" s="43"/>
      <c r="I107" s="41"/>
      <c r="J107" s="41"/>
      <c r="L107" s="34">
        <v>100</v>
      </c>
      <c r="M107" s="35"/>
      <c r="N107" s="35"/>
      <c r="O107" s="34">
        <f>IFERROR(SUMIF(Table435[,],Table637[[#This Row],[Accounts Name]],Table435[,3]),"")</f>
        <v>0</v>
      </c>
      <c r="P107" s="34">
        <f>IFERROR(SUMIF(Table435[,],Table637[[#This Row],[Accounts Name]],Table435[,2]),"")</f>
        <v>0</v>
      </c>
      <c r="S107" s="36">
        <f t="shared" si="1"/>
        <v>100</v>
      </c>
      <c r="T107" s="34"/>
      <c r="U107" s="37"/>
      <c r="V107" s="34">
        <f>IFERROR(SUMIF(Table637[Sub-Accounts],Table838[[#This Row],[Update your chart of accounts here]],Table637[Debit]),"")</f>
        <v>0</v>
      </c>
      <c r="W107" s="34">
        <f>IFERROR(SUMIF(Table637[Sub-Accounts],Table838[[#This Row],[Update your chart of accounts here]],Table637[Credit]),"")</f>
        <v>0</v>
      </c>
      <c r="X107" s="34"/>
      <c r="Y107" s="34"/>
      <c r="Z107" s="34"/>
      <c r="AA107" s="34"/>
      <c r="AB107" s="34">
        <f>MAX(Table838[[#This Row],[Debit]]+Table838[[#This Row],[Debit -]]-Table838[[#This Row],[Credit]]-Table838[[#This Row],[Credit +]],0)</f>
        <v>0</v>
      </c>
      <c r="AC107" s="34">
        <f>MAX(Table838[[#This Row],[Credit]]-Table838[[#This Row],[Debit]]+Table838[[#This Row],[Credit +]]-Table838[[#This Row],[Debit -]],0)</f>
        <v>0</v>
      </c>
      <c r="AD107" s="34" t="str">
        <f>IFERROR(IF(AND(OR(Table838[[#This Row],[Classification]]="Expense",Table838[[#This Row],[Classification]]="Cost of Goods Sold"),Table838[[#This Row],[Debit\]]&gt;Table838[[#This Row],[Credit.]]),Table838[[#This Row],[Debit\]]-Table838[[#This Row],[Credit.]],""),"")</f>
        <v/>
      </c>
      <c r="AE107" s="34" t="str">
        <f>IFERROR(IF(AND(OR(Table838[[#This Row],[Classification]]="Income",Table838[[#This Row],[Classification]]="Cost of Goods Sold"),Table838[[#This Row],[Credit.]]&gt;Table838[[#This Row],[Debit\]]),Table838[[#This Row],[Credit.]]-Table838[[#This Row],[Debit\]],""),"")</f>
        <v/>
      </c>
      <c r="AF107" s="34"/>
      <c r="AG107" s="34" t="str">
        <f>IFERROR(IF(AND(Table838[[#This Row],[Classification]]="Assets",Table838[[#This Row],[Debit\]]-Table838[[#This Row],[Credit.]]),Table838[[#This Row],[Debit\]]-Table838[[#This Row],[Credit.]],""),"")</f>
        <v/>
      </c>
      <c r="AH107" s="34" t="str">
        <f>IFERROR(IF(AND(OR(Table838[[#This Row],[Classification]]="Liabilities",Table838[[#This Row],[Classification]]="Owner´s Equity"),Table838[[#This Row],[Credit.]]&gt;Table838[[#This Row],[Debit\]]),Table838[[#This Row],[Credit.]]-Table838[[#This Row],[Debit\]],""),"")</f>
        <v/>
      </c>
    </row>
    <row r="108" spans="2:34" hidden="1" x14ac:dyDescent="0.25">
      <c r="B108" s="34"/>
      <c r="C108" s="45"/>
      <c r="D108" s="34"/>
      <c r="E108" s="34"/>
      <c r="G108" s="39"/>
      <c r="H108" s="40"/>
      <c r="I108" s="41"/>
      <c r="J108" s="41"/>
      <c r="L108" s="34">
        <v>101</v>
      </c>
      <c r="M108" s="35"/>
      <c r="N108" s="35"/>
      <c r="O108" s="34">
        <f>IFERROR(SUMIF(Table435[,],Table637[[#This Row],[Accounts Name]],Table435[,3]),"")</f>
        <v>0</v>
      </c>
      <c r="P108" s="34">
        <f>IFERROR(SUMIF(Table435[,],Table637[[#This Row],[Accounts Name]],Table435[,2]),"")</f>
        <v>0</v>
      </c>
      <c r="S108" s="36">
        <f t="shared" si="1"/>
        <v>101</v>
      </c>
      <c r="T108" s="34"/>
      <c r="U108" s="37"/>
      <c r="V108" s="34">
        <f>IFERROR(SUMIF(Table637[Sub-Accounts],Table838[[#This Row],[Update your chart of accounts here]],Table637[Debit]),"")</f>
        <v>0</v>
      </c>
      <c r="W108" s="34">
        <f>IFERROR(SUMIF(Table637[Sub-Accounts],Table838[[#This Row],[Update your chart of accounts here]],Table637[Credit]),"")</f>
        <v>0</v>
      </c>
      <c r="X108" s="34"/>
      <c r="Y108" s="34"/>
      <c r="Z108" s="34"/>
      <c r="AA108" s="34"/>
      <c r="AB108" s="34">
        <f>MAX(Table838[[#This Row],[Debit]]+Table838[[#This Row],[Debit -]]-Table838[[#This Row],[Credit]]-Table838[[#This Row],[Credit +]],0)</f>
        <v>0</v>
      </c>
      <c r="AC108" s="34">
        <f>MAX(Table838[[#This Row],[Credit]]-Table838[[#This Row],[Debit]]+Table838[[#This Row],[Credit +]]-Table838[[#This Row],[Debit -]],0)</f>
        <v>0</v>
      </c>
      <c r="AD108" s="34" t="str">
        <f>IFERROR(IF(AND(OR(Table838[[#This Row],[Classification]]="Expense",Table838[[#This Row],[Classification]]="Cost of Goods Sold"),Table838[[#This Row],[Debit\]]&gt;Table838[[#This Row],[Credit.]]),Table838[[#This Row],[Debit\]]-Table838[[#This Row],[Credit.]],""),"")</f>
        <v/>
      </c>
      <c r="AE108" s="34" t="str">
        <f>IFERROR(IF(AND(OR(Table838[[#This Row],[Classification]]="Income",Table838[[#This Row],[Classification]]="Cost of Goods Sold"),Table838[[#This Row],[Credit.]]&gt;Table838[[#This Row],[Debit\]]),Table838[[#This Row],[Credit.]]-Table838[[#This Row],[Debit\]],""),"")</f>
        <v/>
      </c>
      <c r="AF108" s="34"/>
      <c r="AG108" s="34" t="str">
        <f>IFERROR(IF(AND(Table838[[#This Row],[Classification]]="Assets",Table838[[#This Row],[Debit\]]-Table838[[#This Row],[Credit.]]),Table838[[#This Row],[Debit\]]-Table838[[#This Row],[Credit.]],""),"")</f>
        <v/>
      </c>
      <c r="AH108" s="34" t="str">
        <f>IFERROR(IF(AND(OR(Table838[[#This Row],[Classification]]="Liabilities",Table838[[#This Row],[Classification]]="Owner´s Equity"),Table838[[#This Row],[Credit.]]&gt;Table838[[#This Row],[Debit\]]),Table838[[#This Row],[Credit.]]-Table838[[#This Row],[Debit\]],""),"")</f>
        <v/>
      </c>
    </row>
    <row r="109" spans="2:34" hidden="1" x14ac:dyDescent="0.25">
      <c r="B109" s="34"/>
      <c r="C109" s="45"/>
      <c r="D109" s="34"/>
      <c r="E109" s="34"/>
      <c r="G109" s="39"/>
      <c r="H109" s="40"/>
      <c r="I109" s="41"/>
      <c r="J109" s="41"/>
      <c r="L109" s="34">
        <v>102</v>
      </c>
      <c r="M109" s="35"/>
      <c r="N109" s="35"/>
      <c r="O109" s="34">
        <f>IFERROR(SUMIF(Table435[,],Table637[[#This Row],[Accounts Name]],Table435[,3]),"")</f>
        <v>0</v>
      </c>
      <c r="P109" s="34">
        <f>IFERROR(SUMIF(Table435[,],Table637[[#This Row],[Accounts Name]],Table435[,2]),"")</f>
        <v>0</v>
      </c>
      <c r="S109" s="36">
        <f t="shared" si="1"/>
        <v>102</v>
      </c>
      <c r="T109" s="34"/>
      <c r="U109" s="37"/>
      <c r="V109" s="34">
        <f>IFERROR(SUMIF(Table637[Sub-Accounts],Table838[[#This Row],[Update your chart of accounts here]],Table637[Debit]),"")</f>
        <v>0</v>
      </c>
      <c r="W109" s="34">
        <f>IFERROR(SUMIF(Table637[Sub-Accounts],Table838[[#This Row],[Update your chart of accounts here]],Table637[Credit]),"")</f>
        <v>0</v>
      </c>
      <c r="X109" s="34"/>
      <c r="Y109" s="34"/>
      <c r="Z109" s="34"/>
      <c r="AA109" s="34"/>
      <c r="AB109" s="34">
        <f>MAX(Table838[[#This Row],[Debit]]+Table838[[#This Row],[Debit -]]-Table838[[#This Row],[Credit]]-Table838[[#This Row],[Credit +]],0)</f>
        <v>0</v>
      </c>
      <c r="AC109" s="34">
        <f>MAX(Table838[[#This Row],[Credit]]-Table838[[#This Row],[Debit]]+Table838[[#This Row],[Credit +]]-Table838[[#This Row],[Debit -]],0)</f>
        <v>0</v>
      </c>
      <c r="AD109" s="34" t="str">
        <f>IFERROR(IF(AND(OR(Table838[[#This Row],[Classification]]="Expense",Table838[[#This Row],[Classification]]="Cost of Goods Sold"),Table838[[#This Row],[Debit\]]&gt;Table838[[#This Row],[Credit.]]),Table838[[#This Row],[Debit\]]-Table838[[#This Row],[Credit.]],""),"")</f>
        <v/>
      </c>
      <c r="AE109" s="34" t="str">
        <f>IFERROR(IF(AND(OR(Table838[[#This Row],[Classification]]="Income",Table838[[#This Row],[Classification]]="Cost of Goods Sold"),Table838[[#This Row],[Credit.]]&gt;Table838[[#This Row],[Debit\]]),Table838[[#This Row],[Credit.]]-Table838[[#This Row],[Debit\]],""),"")</f>
        <v/>
      </c>
      <c r="AF109" s="34"/>
      <c r="AG109" s="34" t="str">
        <f>IFERROR(IF(AND(Table838[[#This Row],[Classification]]="Assets",Table838[[#This Row],[Debit\]]-Table838[[#This Row],[Credit.]]),Table838[[#This Row],[Debit\]]-Table838[[#This Row],[Credit.]],""),"")</f>
        <v/>
      </c>
      <c r="AH109" s="34" t="str">
        <f>IFERROR(IF(AND(OR(Table838[[#This Row],[Classification]]="Liabilities",Table838[[#This Row],[Classification]]="Owner´s Equity"),Table838[[#This Row],[Credit.]]&gt;Table838[[#This Row],[Debit\]]),Table838[[#This Row],[Credit.]]-Table838[[#This Row],[Debit\]],""),"")</f>
        <v/>
      </c>
    </row>
    <row r="110" spans="2:34" hidden="1" x14ac:dyDescent="0.25">
      <c r="B110" s="34"/>
      <c r="C110" s="45"/>
      <c r="D110" s="34"/>
      <c r="E110" s="34"/>
      <c r="G110" s="39"/>
      <c r="H110" s="43"/>
      <c r="I110" s="41"/>
      <c r="J110" s="41"/>
      <c r="L110" s="34">
        <v>103</v>
      </c>
      <c r="M110" s="35"/>
      <c r="N110" s="35"/>
      <c r="O110" s="34">
        <f>IFERROR(SUMIF(Table435[,],Table637[[#This Row],[Accounts Name]],Table435[,3]),"")</f>
        <v>0</v>
      </c>
      <c r="P110" s="34">
        <f>IFERROR(SUMIF(Table435[,],Table637[[#This Row],[Accounts Name]],Table435[,2]),"")</f>
        <v>0</v>
      </c>
      <c r="S110" s="36">
        <f t="shared" si="1"/>
        <v>103</v>
      </c>
      <c r="T110" s="34"/>
      <c r="U110" s="37"/>
      <c r="V110" s="34">
        <f>IFERROR(SUMIF(Table637[Sub-Accounts],Table838[[#This Row],[Update your chart of accounts here]],Table637[Debit]),"")</f>
        <v>0</v>
      </c>
      <c r="W110" s="34">
        <f>IFERROR(SUMIF(Table637[Sub-Accounts],Table838[[#This Row],[Update your chart of accounts here]],Table637[Credit]),"")</f>
        <v>0</v>
      </c>
      <c r="X110" s="34"/>
      <c r="Y110" s="34"/>
      <c r="Z110" s="34"/>
      <c r="AA110" s="34"/>
      <c r="AB110" s="34">
        <f>MAX(Table838[[#This Row],[Debit]]+Table838[[#This Row],[Debit -]]-Table838[[#This Row],[Credit]]-Table838[[#This Row],[Credit +]],0)</f>
        <v>0</v>
      </c>
      <c r="AC110" s="34">
        <f>MAX(Table838[[#This Row],[Credit]]-Table838[[#This Row],[Debit]]+Table838[[#This Row],[Credit +]]-Table838[[#This Row],[Debit -]],0)</f>
        <v>0</v>
      </c>
      <c r="AD110" s="34" t="str">
        <f>IFERROR(IF(AND(OR(Table838[[#This Row],[Classification]]="Expense",Table838[[#This Row],[Classification]]="Cost of Goods Sold"),Table838[[#This Row],[Debit\]]&gt;Table838[[#This Row],[Credit.]]),Table838[[#This Row],[Debit\]]-Table838[[#This Row],[Credit.]],""),"")</f>
        <v/>
      </c>
      <c r="AE110" s="34" t="str">
        <f>IFERROR(IF(AND(OR(Table838[[#This Row],[Classification]]="Income",Table838[[#This Row],[Classification]]="Cost of Goods Sold"),Table838[[#This Row],[Credit.]]&gt;Table838[[#This Row],[Debit\]]),Table838[[#This Row],[Credit.]]-Table838[[#This Row],[Debit\]],""),"")</f>
        <v/>
      </c>
      <c r="AF110" s="34"/>
      <c r="AG110" s="34" t="str">
        <f>IFERROR(IF(AND(Table838[[#This Row],[Classification]]="Assets",Table838[[#This Row],[Debit\]]-Table838[[#This Row],[Credit.]]),Table838[[#This Row],[Debit\]]-Table838[[#This Row],[Credit.]],""),"")</f>
        <v/>
      </c>
      <c r="AH110" s="34" t="str">
        <f>IFERROR(IF(AND(OR(Table838[[#This Row],[Classification]]="Liabilities",Table838[[#This Row],[Classification]]="Owner´s Equity"),Table838[[#This Row],[Credit.]]&gt;Table838[[#This Row],[Debit\]]),Table838[[#This Row],[Credit.]]-Table838[[#This Row],[Debit\]],""),"")</f>
        <v/>
      </c>
    </row>
    <row r="111" spans="2:34" hidden="1" x14ac:dyDescent="0.25">
      <c r="B111" s="34"/>
      <c r="C111" s="45"/>
      <c r="D111" s="34"/>
      <c r="E111" s="34"/>
      <c r="G111" s="39"/>
      <c r="H111" s="40"/>
      <c r="I111" s="41"/>
      <c r="J111" s="41"/>
      <c r="L111" s="34">
        <v>104</v>
      </c>
      <c r="M111" s="35"/>
      <c r="N111" s="35"/>
      <c r="O111" s="34">
        <f>IFERROR(SUMIF(Table435[,],Table637[[#This Row],[Accounts Name]],Table435[,3]),"")</f>
        <v>0</v>
      </c>
      <c r="P111" s="34">
        <f>IFERROR(SUMIF(Table435[,],Table637[[#This Row],[Accounts Name]],Table435[,2]),"")</f>
        <v>0</v>
      </c>
      <c r="S111" s="36">
        <f t="shared" si="1"/>
        <v>104</v>
      </c>
      <c r="T111" s="34"/>
      <c r="U111" s="37"/>
      <c r="V111" s="34">
        <f>IFERROR(SUMIF(Table637[Sub-Accounts],Table838[[#This Row],[Update your chart of accounts here]],Table637[Debit]),"")</f>
        <v>0</v>
      </c>
      <c r="W111" s="34">
        <f>IFERROR(SUMIF(Table637[Sub-Accounts],Table838[[#This Row],[Update your chart of accounts here]],Table637[Credit]),"")</f>
        <v>0</v>
      </c>
      <c r="X111" s="34"/>
      <c r="Y111" s="34"/>
      <c r="Z111" s="34"/>
      <c r="AA111" s="34"/>
      <c r="AB111" s="34">
        <f>MAX(Table838[[#This Row],[Debit]]+Table838[[#This Row],[Debit -]]-Table838[[#This Row],[Credit]]-Table838[[#This Row],[Credit +]],0)</f>
        <v>0</v>
      </c>
      <c r="AC111" s="34">
        <f>MAX(Table838[[#This Row],[Credit]]-Table838[[#This Row],[Debit]]+Table838[[#This Row],[Credit +]]-Table838[[#This Row],[Debit -]],0)</f>
        <v>0</v>
      </c>
      <c r="AD111" s="34" t="str">
        <f>IFERROR(IF(AND(OR(Table838[[#This Row],[Classification]]="Expense",Table838[[#This Row],[Classification]]="Cost of Goods Sold"),Table838[[#This Row],[Debit\]]&gt;Table838[[#This Row],[Credit.]]),Table838[[#This Row],[Debit\]]-Table838[[#This Row],[Credit.]],""),"")</f>
        <v/>
      </c>
      <c r="AE111" s="34" t="str">
        <f>IFERROR(IF(AND(OR(Table838[[#This Row],[Classification]]="Income",Table838[[#This Row],[Classification]]="Cost of Goods Sold"),Table838[[#This Row],[Credit.]]&gt;Table838[[#This Row],[Debit\]]),Table838[[#This Row],[Credit.]]-Table838[[#This Row],[Debit\]],""),"")</f>
        <v/>
      </c>
      <c r="AF111" s="34"/>
      <c r="AG111" s="34" t="str">
        <f>IFERROR(IF(AND(Table838[[#This Row],[Classification]]="Assets",Table838[[#This Row],[Debit\]]-Table838[[#This Row],[Credit.]]),Table838[[#This Row],[Debit\]]-Table838[[#This Row],[Credit.]],""),"")</f>
        <v/>
      </c>
      <c r="AH111" s="34" t="str">
        <f>IFERROR(IF(AND(OR(Table838[[#This Row],[Classification]]="Liabilities",Table838[[#This Row],[Classification]]="Owner´s Equity"),Table838[[#This Row],[Credit.]]&gt;Table838[[#This Row],[Debit\]]),Table838[[#This Row],[Credit.]]-Table838[[#This Row],[Debit\]],""),"")</f>
        <v/>
      </c>
    </row>
    <row r="112" spans="2:34" hidden="1" x14ac:dyDescent="0.25">
      <c r="B112" s="34"/>
      <c r="C112" s="45"/>
      <c r="D112" s="34"/>
      <c r="E112" s="34"/>
      <c r="G112" s="39"/>
      <c r="H112" s="40"/>
      <c r="I112" s="41"/>
      <c r="J112" s="41"/>
      <c r="L112" s="34">
        <v>105</v>
      </c>
      <c r="M112" s="35"/>
      <c r="N112" s="35"/>
      <c r="O112" s="34">
        <f>IFERROR(SUMIF(Table435[,],Table637[[#This Row],[Accounts Name]],Table435[,3]),"")</f>
        <v>0</v>
      </c>
      <c r="P112" s="34">
        <f>IFERROR(SUMIF(Table435[,],Table637[[#This Row],[Accounts Name]],Table435[,2]),"")</f>
        <v>0</v>
      </c>
      <c r="S112" s="36">
        <f t="shared" si="1"/>
        <v>105</v>
      </c>
      <c r="T112" s="34"/>
      <c r="U112" s="37"/>
      <c r="V112" s="34">
        <f>IFERROR(SUMIF(Table637[Sub-Accounts],Table838[[#This Row],[Update your chart of accounts here]],Table637[Debit]),"")</f>
        <v>0</v>
      </c>
      <c r="W112" s="34">
        <f>IFERROR(SUMIF(Table637[Sub-Accounts],Table838[[#This Row],[Update your chart of accounts here]],Table637[Credit]),"")</f>
        <v>0</v>
      </c>
      <c r="X112" s="34"/>
      <c r="Y112" s="34"/>
      <c r="Z112" s="34"/>
      <c r="AA112" s="34"/>
      <c r="AB112" s="34">
        <f>MAX(Table838[[#This Row],[Debit]]+Table838[[#This Row],[Debit -]]-Table838[[#This Row],[Credit]]-Table838[[#This Row],[Credit +]],0)</f>
        <v>0</v>
      </c>
      <c r="AC112" s="34">
        <f>MAX(Table838[[#This Row],[Credit]]-Table838[[#This Row],[Debit]]+Table838[[#This Row],[Credit +]]-Table838[[#This Row],[Debit -]],0)</f>
        <v>0</v>
      </c>
      <c r="AD112" s="34" t="str">
        <f>IFERROR(IF(AND(OR(Table838[[#This Row],[Classification]]="Expense",Table838[[#This Row],[Classification]]="Cost of Goods Sold"),Table838[[#This Row],[Debit\]]&gt;Table838[[#This Row],[Credit.]]),Table838[[#This Row],[Debit\]]-Table838[[#This Row],[Credit.]],""),"")</f>
        <v/>
      </c>
      <c r="AE112" s="34" t="str">
        <f>IFERROR(IF(AND(OR(Table838[[#This Row],[Classification]]="Income",Table838[[#This Row],[Classification]]="Cost of Goods Sold"),Table838[[#This Row],[Credit.]]&gt;Table838[[#This Row],[Debit\]]),Table838[[#This Row],[Credit.]]-Table838[[#This Row],[Debit\]],""),"")</f>
        <v/>
      </c>
      <c r="AF112" s="34"/>
      <c r="AG112" s="34" t="str">
        <f>IFERROR(IF(AND(Table838[[#This Row],[Classification]]="Assets",Table838[[#This Row],[Debit\]]-Table838[[#This Row],[Credit.]]),Table838[[#This Row],[Debit\]]-Table838[[#This Row],[Credit.]],""),"")</f>
        <v/>
      </c>
      <c r="AH112" s="34" t="str">
        <f>IFERROR(IF(AND(OR(Table838[[#This Row],[Classification]]="Liabilities",Table838[[#This Row],[Classification]]="Owner´s Equity"),Table838[[#This Row],[Credit.]]&gt;Table838[[#This Row],[Debit\]]),Table838[[#This Row],[Credit.]]-Table838[[#This Row],[Debit\]],""),"")</f>
        <v/>
      </c>
    </row>
    <row r="113" spans="2:34" hidden="1" x14ac:dyDescent="0.25">
      <c r="B113" s="34"/>
      <c r="C113" s="45"/>
      <c r="D113" s="34"/>
      <c r="E113" s="34"/>
      <c r="G113" s="39"/>
      <c r="H113" s="43"/>
      <c r="I113" s="41"/>
      <c r="J113" s="41"/>
      <c r="L113" s="34">
        <v>106</v>
      </c>
      <c r="M113" s="35"/>
      <c r="N113" s="35"/>
      <c r="O113" s="34">
        <f>IFERROR(SUMIF(Table435[,],Table637[[#This Row],[Accounts Name]],Table435[,3]),"")</f>
        <v>0</v>
      </c>
      <c r="P113" s="34">
        <f>IFERROR(SUMIF(Table435[,],Table637[[#This Row],[Accounts Name]],Table435[,2]),"")</f>
        <v>0</v>
      </c>
      <c r="S113" s="36">
        <f t="shared" si="1"/>
        <v>106</v>
      </c>
      <c r="T113" s="34"/>
      <c r="U113" s="37"/>
      <c r="V113" s="34">
        <f>IFERROR(SUMIF(Table637[Sub-Accounts],Table838[[#This Row],[Update your chart of accounts here]],Table637[Debit]),"")</f>
        <v>0</v>
      </c>
      <c r="W113" s="34">
        <f>IFERROR(SUMIF(Table637[Sub-Accounts],Table838[[#This Row],[Update your chart of accounts here]],Table637[Credit]),"")</f>
        <v>0</v>
      </c>
      <c r="X113" s="34"/>
      <c r="Y113" s="34"/>
      <c r="Z113" s="34"/>
      <c r="AA113" s="34"/>
      <c r="AB113" s="34">
        <f>MAX(Table838[[#This Row],[Debit]]+Table838[[#This Row],[Debit -]]-Table838[[#This Row],[Credit]]-Table838[[#This Row],[Credit +]],0)</f>
        <v>0</v>
      </c>
      <c r="AC113" s="34">
        <f>MAX(Table838[[#This Row],[Credit]]-Table838[[#This Row],[Debit]]+Table838[[#This Row],[Credit +]]-Table838[[#This Row],[Debit -]],0)</f>
        <v>0</v>
      </c>
      <c r="AD113" s="34" t="str">
        <f>IFERROR(IF(AND(OR(Table838[[#This Row],[Classification]]="Expense",Table838[[#This Row],[Classification]]="Cost of Goods Sold"),Table838[[#This Row],[Debit\]]&gt;Table838[[#This Row],[Credit.]]),Table838[[#This Row],[Debit\]]-Table838[[#This Row],[Credit.]],""),"")</f>
        <v/>
      </c>
      <c r="AE113" s="34" t="str">
        <f>IFERROR(IF(AND(OR(Table838[[#This Row],[Classification]]="Income",Table838[[#This Row],[Classification]]="Cost of Goods Sold"),Table838[[#This Row],[Credit.]]&gt;Table838[[#This Row],[Debit\]]),Table838[[#This Row],[Credit.]]-Table838[[#This Row],[Debit\]],""),"")</f>
        <v/>
      </c>
      <c r="AF113" s="34"/>
      <c r="AG113" s="34" t="str">
        <f>IFERROR(IF(AND(Table838[[#This Row],[Classification]]="Assets",Table838[[#This Row],[Debit\]]-Table838[[#This Row],[Credit.]]),Table838[[#This Row],[Debit\]]-Table838[[#This Row],[Credit.]],""),"")</f>
        <v/>
      </c>
      <c r="AH113" s="34" t="str">
        <f>IFERROR(IF(AND(OR(Table838[[#This Row],[Classification]]="Liabilities",Table838[[#This Row],[Classification]]="Owner´s Equity"),Table838[[#This Row],[Credit.]]&gt;Table838[[#This Row],[Debit\]]),Table838[[#This Row],[Credit.]]-Table838[[#This Row],[Debit\]],""),"")</f>
        <v/>
      </c>
    </row>
    <row r="114" spans="2:34" hidden="1" x14ac:dyDescent="0.25">
      <c r="B114" s="34"/>
      <c r="C114" s="45"/>
      <c r="D114" s="34"/>
      <c r="E114" s="34"/>
      <c r="G114" s="39"/>
      <c r="H114" s="40"/>
      <c r="I114" s="41"/>
      <c r="J114" s="41"/>
      <c r="L114" s="34">
        <v>107</v>
      </c>
      <c r="M114" s="35"/>
      <c r="N114" s="35"/>
      <c r="O114" s="34">
        <f>IFERROR(SUMIF(Table435[,],Table637[[#This Row],[Accounts Name]],Table435[,3]),"")</f>
        <v>0</v>
      </c>
      <c r="P114" s="34">
        <f>IFERROR(SUMIF(Table435[,],Table637[[#This Row],[Accounts Name]],Table435[,2]),"")</f>
        <v>0</v>
      </c>
      <c r="S114" s="36">
        <f t="shared" si="1"/>
        <v>107</v>
      </c>
      <c r="T114" s="34"/>
      <c r="U114" s="37"/>
      <c r="V114" s="34">
        <f>IFERROR(SUMIF(Table637[Sub-Accounts],Table838[[#This Row],[Update your chart of accounts here]],Table637[Debit]),"")</f>
        <v>0</v>
      </c>
      <c r="W114" s="34">
        <f>IFERROR(SUMIF(Table637[Sub-Accounts],Table838[[#This Row],[Update your chart of accounts here]],Table637[Credit]),"")</f>
        <v>0</v>
      </c>
      <c r="X114" s="34"/>
      <c r="Y114" s="34"/>
      <c r="Z114" s="34"/>
      <c r="AA114" s="34"/>
      <c r="AB114" s="34">
        <f>MAX(Table838[[#This Row],[Debit]]+Table838[[#This Row],[Debit -]]-Table838[[#This Row],[Credit]]-Table838[[#This Row],[Credit +]],0)</f>
        <v>0</v>
      </c>
      <c r="AC114" s="34">
        <f>MAX(Table838[[#This Row],[Credit]]-Table838[[#This Row],[Debit]]+Table838[[#This Row],[Credit +]]-Table838[[#This Row],[Debit -]],0)</f>
        <v>0</v>
      </c>
      <c r="AD114" s="34" t="str">
        <f>IFERROR(IF(AND(OR(Table838[[#This Row],[Classification]]="Expense",Table838[[#This Row],[Classification]]="Cost of Goods Sold"),Table838[[#This Row],[Debit\]]&gt;Table838[[#This Row],[Credit.]]),Table838[[#This Row],[Debit\]]-Table838[[#This Row],[Credit.]],""),"")</f>
        <v/>
      </c>
      <c r="AE114" s="34" t="str">
        <f>IFERROR(IF(AND(OR(Table838[[#This Row],[Classification]]="Income",Table838[[#This Row],[Classification]]="Cost of Goods Sold"),Table838[[#This Row],[Credit.]]&gt;Table838[[#This Row],[Debit\]]),Table838[[#This Row],[Credit.]]-Table838[[#This Row],[Debit\]],""),"")</f>
        <v/>
      </c>
      <c r="AF114" s="34"/>
      <c r="AG114" s="34" t="str">
        <f>IFERROR(IF(AND(Table838[[#This Row],[Classification]]="Assets",Table838[[#This Row],[Debit\]]-Table838[[#This Row],[Credit.]]),Table838[[#This Row],[Debit\]]-Table838[[#This Row],[Credit.]],""),"")</f>
        <v/>
      </c>
      <c r="AH114" s="34" t="str">
        <f>IFERROR(IF(AND(OR(Table838[[#This Row],[Classification]]="Liabilities",Table838[[#This Row],[Classification]]="Owner´s Equity"),Table838[[#This Row],[Credit.]]&gt;Table838[[#This Row],[Debit\]]),Table838[[#This Row],[Credit.]]-Table838[[#This Row],[Debit\]],""),"")</f>
        <v/>
      </c>
    </row>
    <row r="115" spans="2:34" hidden="1" x14ac:dyDescent="0.25">
      <c r="B115" s="34"/>
      <c r="C115" s="45"/>
      <c r="D115" s="34"/>
      <c r="E115" s="34"/>
      <c r="G115" s="39"/>
      <c r="H115" s="40"/>
      <c r="I115" s="41"/>
      <c r="J115" s="41"/>
      <c r="L115" s="34">
        <v>108</v>
      </c>
      <c r="M115" s="35"/>
      <c r="N115" s="35"/>
      <c r="O115" s="34">
        <f>IFERROR(SUMIF(Table435[,],Table637[[#This Row],[Accounts Name]],Table435[,3]),"")</f>
        <v>0</v>
      </c>
      <c r="P115" s="34">
        <f>IFERROR(SUMIF(Table435[,],Table637[[#This Row],[Accounts Name]],Table435[,2]),"")</f>
        <v>0</v>
      </c>
      <c r="S115" s="36">
        <f t="shared" si="1"/>
        <v>108</v>
      </c>
      <c r="T115" s="34"/>
      <c r="U115" s="37"/>
      <c r="V115" s="34">
        <f>IFERROR(SUMIF(Table637[Sub-Accounts],Table838[[#This Row],[Update your chart of accounts here]],Table637[Debit]),"")</f>
        <v>0</v>
      </c>
      <c r="W115" s="34">
        <f>IFERROR(SUMIF(Table637[Sub-Accounts],Table838[[#This Row],[Update your chart of accounts here]],Table637[Credit]),"")</f>
        <v>0</v>
      </c>
      <c r="X115" s="34"/>
      <c r="Y115" s="34"/>
      <c r="Z115" s="34"/>
      <c r="AA115" s="34"/>
      <c r="AB115" s="34">
        <f>MAX(Table838[[#This Row],[Debit]]+Table838[[#This Row],[Debit -]]-Table838[[#This Row],[Credit]]-Table838[[#This Row],[Credit +]],0)</f>
        <v>0</v>
      </c>
      <c r="AC115" s="34">
        <f>MAX(Table838[[#This Row],[Credit]]-Table838[[#This Row],[Debit]]+Table838[[#This Row],[Credit +]]-Table838[[#This Row],[Debit -]],0)</f>
        <v>0</v>
      </c>
      <c r="AD115" s="34" t="str">
        <f>IFERROR(IF(AND(OR(Table838[[#This Row],[Classification]]="Expense",Table838[[#This Row],[Classification]]="Cost of Goods Sold"),Table838[[#This Row],[Debit\]]&gt;Table838[[#This Row],[Credit.]]),Table838[[#This Row],[Debit\]]-Table838[[#This Row],[Credit.]],""),"")</f>
        <v/>
      </c>
      <c r="AE115" s="34" t="str">
        <f>IFERROR(IF(AND(OR(Table838[[#This Row],[Classification]]="Income",Table838[[#This Row],[Classification]]="Cost of Goods Sold"),Table838[[#This Row],[Credit.]]&gt;Table838[[#This Row],[Debit\]]),Table838[[#This Row],[Credit.]]-Table838[[#This Row],[Debit\]],""),"")</f>
        <v/>
      </c>
      <c r="AF115" s="34"/>
      <c r="AG115" s="34" t="str">
        <f>IFERROR(IF(AND(Table838[[#This Row],[Classification]]="Assets",Table838[[#This Row],[Debit\]]-Table838[[#This Row],[Credit.]]),Table838[[#This Row],[Debit\]]-Table838[[#This Row],[Credit.]],""),"")</f>
        <v/>
      </c>
      <c r="AH115" s="34" t="str">
        <f>IFERROR(IF(AND(OR(Table838[[#This Row],[Classification]]="Liabilities",Table838[[#This Row],[Classification]]="Owner´s Equity"),Table838[[#This Row],[Credit.]]&gt;Table838[[#This Row],[Debit\]]),Table838[[#This Row],[Credit.]]-Table838[[#This Row],[Debit\]],""),"")</f>
        <v/>
      </c>
    </row>
    <row r="116" spans="2:34" hidden="1" x14ac:dyDescent="0.25">
      <c r="B116" s="34"/>
      <c r="C116" s="45"/>
      <c r="D116" s="34"/>
      <c r="E116" s="34"/>
      <c r="G116" s="39"/>
      <c r="H116" s="43"/>
      <c r="I116" s="41"/>
      <c r="J116" s="41"/>
      <c r="L116" s="34">
        <v>109</v>
      </c>
      <c r="M116" s="35"/>
      <c r="N116" s="35"/>
      <c r="O116" s="34">
        <f>IFERROR(SUMIF(Table435[,],Table637[[#This Row],[Accounts Name]],Table435[,3]),"")</f>
        <v>0</v>
      </c>
      <c r="P116" s="34">
        <f>IFERROR(SUMIF(Table435[,],Table637[[#This Row],[Accounts Name]],Table435[,2]),"")</f>
        <v>0</v>
      </c>
      <c r="S116" s="36">
        <f t="shared" si="1"/>
        <v>109</v>
      </c>
      <c r="T116" s="34"/>
      <c r="U116" s="37"/>
      <c r="V116" s="34">
        <f>IFERROR(SUMIF(Table637[Sub-Accounts],Table838[[#This Row],[Update your chart of accounts here]],Table637[Debit]),"")</f>
        <v>0</v>
      </c>
      <c r="W116" s="34">
        <f>IFERROR(SUMIF(Table637[Sub-Accounts],Table838[[#This Row],[Update your chart of accounts here]],Table637[Credit]),"")</f>
        <v>0</v>
      </c>
      <c r="X116" s="34"/>
      <c r="Y116" s="34"/>
      <c r="Z116" s="34"/>
      <c r="AA116" s="34"/>
      <c r="AB116" s="34">
        <f>MAX(Table838[[#This Row],[Debit]]+Table838[[#This Row],[Debit -]]-Table838[[#This Row],[Credit]]-Table838[[#This Row],[Credit +]],0)</f>
        <v>0</v>
      </c>
      <c r="AC116" s="34">
        <f>MAX(Table838[[#This Row],[Credit]]-Table838[[#This Row],[Debit]]+Table838[[#This Row],[Credit +]]-Table838[[#This Row],[Debit -]],0)</f>
        <v>0</v>
      </c>
      <c r="AD116" s="34" t="str">
        <f>IFERROR(IF(AND(OR(Table838[[#This Row],[Classification]]="Expense",Table838[[#This Row],[Classification]]="Cost of Goods Sold"),Table838[[#This Row],[Debit\]]&gt;Table838[[#This Row],[Credit.]]),Table838[[#This Row],[Debit\]]-Table838[[#This Row],[Credit.]],""),"")</f>
        <v/>
      </c>
      <c r="AE116" s="34" t="str">
        <f>IFERROR(IF(AND(OR(Table838[[#This Row],[Classification]]="Income",Table838[[#This Row],[Classification]]="Cost of Goods Sold"),Table838[[#This Row],[Credit.]]&gt;Table838[[#This Row],[Debit\]]),Table838[[#This Row],[Credit.]]-Table838[[#This Row],[Debit\]],""),"")</f>
        <v/>
      </c>
      <c r="AF116" s="34"/>
      <c r="AG116" s="34" t="str">
        <f>IFERROR(IF(AND(Table838[[#This Row],[Classification]]="Assets",Table838[[#This Row],[Debit\]]-Table838[[#This Row],[Credit.]]),Table838[[#This Row],[Debit\]]-Table838[[#This Row],[Credit.]],""),"")</f>
        <v/>
      </c>
      <c r="AH116" s="34" t="str">
        <f>IFERROR(IF(AND(OR(Table838[[#This Row],[Classification]]="Liabilities",Table838[[#This Row],[Classification]]="Owner´s Equity"),Table838[[#This Row],[Credit.]]&gt;Table838[[#This Row],[Debit\]]),Table838[[#This Row],[Credit.]]-Table838[[#This Row],[Debit\]],""),"")</f>
        <v/>
      </c>
    </row>
    <row r="117" spans="2:34" hidden="1" x14ac:dyDescent="0.25">
      <c r="B117" s="34"/>
      <c r="C117" s="45"/>
      <c r="D117" s="34"/>
      <c r="E117" s="34"/>
      <c r="G117" s="39"/>
      <c r="H117" s="40"/>
      <c r="I117" s="41"/>
      <c r="J117" s="41"/>
      <c r="L117" s="34">
        <v>110</v>
      </c>
      <c r="M117" s="35"/>
      <c r="N117" s="35"/>
      <c r="O117" s="34">
        <f>IFERROR(SUMIF(Table435[,],Table637[[#This Row],[Accounts Name]],Table435[,3]),"")</f>
        <v>0</v>
      </c>
      <c r="P117" s="34">
        <f>IFERROR(SUMIF(Table435[,],Table637[[#This Row],[Accounts Name]],Table435[,2]),"")</f>
        <v>0</v>
      </c>
      <c r="S117" s="36">
        <f t="shared" si="1"/>
        <v>110</v>
      </c>
      <c r="T117" s="34"/>
      <c r="U117" s="37"/>
      <c r="V117" s="34">
        <f>IFERROR(SUMIF(Table637[Sub-Accounts],Table838[[#This Row],[Update your chart of accounts here]],Table637[Debit]),"")</f>
        <v>0</v>
      </c>
      <c r="W117" s="34">
        <f>IFERROR(SUMIF(Table637[Sub-Accounts],Table838[[#This Row],[Update your chart of accounts here]],Table637[Credit]),"")</f>
        <v>0</v>
      </c>
      <c r="X117" s="34"/>
      <c r="Y117" s="34"/>
      <c r="Z117" s="34"/>
      <c r="AA117" s="34"/>
      <c r="AB117" s="34">
        <f>MAX(Table838[[#This Row],[Debit]]+Table838[[#This Row],[Debit -]]-Table838[[#This Row],[Credit]]-Table838[[#This Row],[Credit +]],0)</f>
        <v>0</v>
      </c>
      <c r="AC117" s="34">
        <f>MAX(Table838[[#This Row],[Credit]]-Table838[[#This Row],[Debit]]+Table838[[#This Row],[Credit +]]-Table838[[#This Row],[Debit -]],0)</f>
        <v>0</v>
      </c>
      <c r="AD117" s="34" t="str">
        <f>IFERROR(IF(AND(OR(Table838[[#This Row],[Classification]]="Expense",Table838[[#This Row],[Classification]]="Cost of Goods Sold"),Table838[[#This Row],[Debit\]]&gt;Table838[[#This Row],[Credit.]]),Table838[[#This Row],[Debit\]]-Table838[[#This Row],[Credit.]],""),"")</f>
        <v/>
      </c>
      <c r="AE117" s="34" t="str">
        <f>IFERROR(IF(AND(OR(Table838[[#This Row],[Classification]]="Income",Table838[[#This Row],[Classification]]="Cost of Goods Sold"),Table838[[#This Row],[Credit.]]&gt;Table838[[#This Row],[Debit\]]),Table838[[#This Row],[Credit.]]-Table838[[#This Row],[Debit\]],""),"")</f>
        <v/>
      </c>
      <c r="AF117" s="34"/>
      <c r="AG117" s="34" t="str">
        <f>IFERROR(IF(AND(Table838[[#This Row],[Classification]]="Assets",Table838[[#This Row],[Debit\]]-Table838[[#This Row],[Credit.]]),Table838[[#This Row],[Debit\]]-Table838[[#This Row],[Credit.]],""),"")</f>
        <v/>
      </c>
      <c r="AH117" s="34" t="str">
        <f>IFERROR(IF(AND(OR(Table838[[#This Row],[Classification]]="Liabilities",Table838[[#This Row],[Classification]]="Owner´s Equity"),Table838[[#This Row],[Credit.]]&gt;Table838[[#This Row],[Debit\]]),Table838[[#This Row],[Credit.]]-Table838[[#This Row],[Debit\]],""),"")</f>
        <v/>
      </c>
    </row>
    <row r="118" spans="2:34" hidden="1" x14ac:dyDescent="0.25">
      <c r="B118" s="34"/>
      <c r="C118" s="45"/>
      <c r="D118" s="34"/>
      <c r="E118" s="34"/>
      <c r="G118" s="39"/>
      <c r="H118" s="40"/>
      <c r="I118" s="41"/>
      <c r="J118" s="41"/>
      <c r="L118" s="34">
        <v>111</v>
      </c>
      <c r="M118" s="35"/>
      <c r="N118" s="35"/>
      <c r="O118" s="34">
        <f>IFERROR(SUMIF(Table435[,],Table637[[#This Row],[Accounts Name]],Table435[,3]),"")</f>
        <v>0</v>
      </c>
      <c r="P118" s="34">
        <f>IFERROR(SUMIF(Table435[,],Table637[[#This Row],[Accounts Name]],Table435[,2]),"")</f>
        <v>0</v>
      </c>
      <c r="S118" s="36">
        <f t="shared" si="1"/>
        <v>111</v>
      </c>
      <c r="T118" s="34"/>
      <c r="U118" s="37"/>
      <c r="V118" s="34">
        <f>IFERROR(SUMIF(Table637[Sub-Accounts],Table838[[#This Row],[Update your chart of accounts here]],Table637[Debit]),"")</f>
        <v>0</v>
      </c>
      <c r="W118" s="34">
        <f>IFERROR(SUMIF(Table637[Sub-Accounts],Table838[[#This Row],[Update your chart of accounts here]],Table637[Credit]),"")</f>
        <v>0</v>
      </c>
      <c r="X118" s="34"/>
      <c r="Y118" s="34"/>
      <c r="Z118" s="34"/>
      <c r="AA118" s="34"/>
      <c r="AB118" s="34">
        <f>MAX(Table838[[#This Row],[Debit]]+Table838[[#This Row],[Debit -]]-Table838[[#This Row],[Credit]]-Table838[[#This Row],[Credit +]],0)</f>
        <v>0</v>
      </c>
      <c r="AC118" s="34">
        <f>MAX(Table838[[#This Row],[Credit]]-Table838[[#This Row],[Debit]]+Table838[[#This Row],[Credit +]]-Table838[[#This Row],[Debit -]],0)</f>
        <v>0</v>
      </c>
      <c r="AD118" s="34" t="str">
        <f>IFERROR(IF(AND(OR(Table838[[#This Row],[Classification]]="Expense",Table838[[#This Row],[Classification]]="Cost of Goods Sold"),Table838[[#This Row],[Debit\]]&gt;Table838[[#This Row],[Credit.]]),Table838[[#This Row],[Debit\]]-Table838[[#This Row],[Credit.]],""),"")</f>
        <v/>
      </c>
      <c r="AE118" s="34" t="str">
        <f>IFERROR(IF(AND(OR(Table838[[#This Row],[Classification]]="Income",Table838[[#This Row],[Classification]]="Cost of Goods Sold"),Table838[[#This Row],[Credit.]]&gt;Table838[[#This Row],[Debit\]]),Table838[[#This Row],[Credit.]]-Table838[[#This Row],[Debit\]],""),"")</f>
        <v/>
      </c>
      <c r="AF118" s="34"/>
      <c r="AG118" s="34" t="str">
        <f>IFERROR(IF(AND(Table838[[#This Row],[Classification]]="Assets",Table838[[#This Row],[Debit\]]-Table838[[#This Row],[Credit.]]),Table838[[#This Row],[Debit\]]-Table838[[#This Row],[Credit.]],""),"")</f>
        <v/>
      </c>
      <c r="AH118" s="34" t="str">
        <f>IFERROR(IF(AND(OR(Table838[[#This Row],[Classification]]="Liabilities",Table838[[#This Row],[Classification]]="Owner´s Equity"),Table838[[#This Row],[Credit.]]&gt;Table838[[#This Row],[Debit\]]),Table838[[#This Row],[Credit.]]-Table838[[#This Row],[Debit\]],""),"")</f>
        <v/>
      </c>
    </row>
    <row r="119" spans="2:34" hidden="1" x14ac:dyDescent="0.25">
      <c r="B119" s="34"/>
      <c r="C119" s="45"/>
      <c r="D119" s="34"/>
      <c r="E119" s="34"/>
      <c r="G119" s="39"/>
      <c r="H119" s="43"/>
      <c r="I119" s="41"/>
      <c r="J119" s="41"/>
      <c r="L119" s="34">
        <v>112</v>
      </c>
      <c r="M119" s="35"/>
      <c r="N119" s="35"/>
      <c r="O119" s="34">
        <f>IFERROR(SUMIF(Table435[,],Table637[[#This Row],[Accounts Name]],Table435[,3]),"")</f>
        <v>0</v>
      </c>
      <c r="P119" s="34">
        <f>IFERROR(SUMIF(Table435[,],Table637[[#This Row],[Accounts Name]],Table435[,2]),"")</f>
        <v>0</v>
      </c>
      <c r="S119" s="36">
        <f t="shared" si="1"/>
        <v>112</v>
      </c>
      <c r="T119" s="34"/>
      <c r="U119" s="37"/>
      <c r="V119" s="34">
        <f>IFERROR(SUMIF(Table637[Sub-Accounts],Table838[[#This Row],[Update your chart of accounts here]],Table637[Debit]),"")</f>
        <v>0</v>
      </c>
      <c r="W119" s="34">
        <f>IFERROR(SUMIF(Table637[Sub-Accounts],Table838[[#This Row],[Update your chart of accounts here]],Table637[Credit]),"")</f>
        <v>0</v>
      </c>
      <c r="X119" s="34"/>
      <c r="Y119" s="34"/>
      <c r="Z119" s="34"/>
      <c r="AA119" s="34"/>
      <c r="AB119" s="34">
        <f>MAX(Table838[[#This Row],[Debit]]+Table838[[#This Row],[Debit -]]-Table838[[#This Row],[Credit]]-Table838[[#This Row],[Credit +]],0)</f>
        <v>0</v>
      </c>
      <c r="AC119" s="34">
        <f>MAX(Table838[[#This Row],[Credit]]-Table838[[#This Row],[Debit]]+Table838[[#This Row],[Credit +]]-Table838[[#This Row],[Debit -]],0)</f>
        <v>0</v>
      </c>
      <c r="AD119" s="34" t="str">
        <f>IFERROR(IF(AND(OR(Table838[[#This Row],[Classification]]="Expense",Table838[[#This Row],[Classification]]="Cost of Goods Sold"),Table838[[#This Row],[Debit\]]&gt;Table838[[#This Row],[Credit.]]),Table838[[#This Row],[Debit\]]-Table838[[#This Row],[Credit.]],""),"")</f>
        <v/>
      </c>
      <c r="AE119" s="34" t="str">
        <f>IFERROR(IF(AND(OR(Table838[[#This Row],[Classification]]="Income",Table838[[#This Row],[Classification]]="Cost of Goods Sold"),Table838[[#This Row],[Credit.]]&gt;Table838[[#This Row],[Debit\]]),Table838[[#This Row],[Credit.]]-Table838[[#This Row],[Debit\]],""),"")</f>
        <v/>
      </c>
      <c r="AF119" s="34"/>
      <c r="AG119" s="34" t="str">
        <f>IFERROR(IF(AND(Table838[[#This Row],[Classification]]="Assets",Table838[[#This Row],[Debit\]]-Table838[[#This Row],[Credit.]]),Table838[[#This Row],[Debit\]]-Table838[[#This Row],[Credit.]],""),"")</f>
        <v/>
      </c>
      <c r="AH119" s="34" t="str">
        <f>IFERROR(IF(AND(OR(Table838[[#This Row],[Classification]]="Liabilities",Table838[[#This Row],[Classification]]="Owner´s Equity"),Table838[[#This Row],[Credit.]]&gt;Table838[[#This Row],[Debit\]]),Table838[[#This Row],[Credit.]]-Table838[[#This Row],[Debit\]],""),"")</f>
        <v/>
      </c>
    </row>
    <row r="120" spans="2:34" hidden="1" x14ac:dyDescent="0.25">
      <c r="B120" s="34"/>
      <c r="C120" s="45"/>
      <c r="D120" s="34"/>
      <c r="E120" s="34"/>
      <c r="G120" s="39"/>
      <c r="H120" s="40"/>
      <c r="I120" s="41"/>
      <c r="J120" s="41"/>
      <c r="L120" s="34">
        <v>113</v>
      </c>
      <c r="M120" s="35"/>
      <c r="N120" s="35"/>
      <c r="O120" s="34">
        <f>IFERROR(SUMIF(Table435[,],Table637[[#This Row],[Accounts Name]],Table435[,3]),"")</f>
        <v>0</v>
      </c>
      <c r="P120" s="34">
        <f>IFERROR(SUMIF(Table435[,],Table637[[#This Row],[Accounts Name]],Table435[,2]),"")</f>
        <v>0</v>
      </c>
      <c r="S120" s="36">
        <f t="shared" si="1"/>
        <v>113</v>
      </c>
      <c r="T120" s="34"/>
      <c r="U120" s="37"/>
      <c r="V120" s="34">
        <f>IFERROR(SUMIF(Table637[Sub-Accounts],Table838[[#This Row],[Update your chart of accounts here]],Table637[Debit]),"")</f>
        <v>0</v>
      </c>
      <c r="W120" s="34">
        <f>IFERROR(SUMIF(Table637[Sub-Accounts],Table838[[#This Row],[Update your chart of accounts here]],Table637[Credit]),"")</f>
        <v>0</v>
      </c>
      <c r="X120" s="34"/>
      <c r="Y120" s="34"/>
      <c r="Z120" s="34"/>
      <c r="AA120" s="34"/>
      <c r="AB120" s="34">
        <f>MAX(Table838[[#This Row],[Debit]]+Table838[[#This Row],[Debit -]]-Table838[[#This Row],[Credit]]-Table838[[#This Row],[Credit +]],0)</f>
        <v>0</v>
      </c>
      <c r="AC120" s="34">
        <f>MAX(Table838[[#This Row],[Credit]]-Table838[[#This Row],[Debit]]+Table838[[#This Row],[Credit +]]-Table838[[#This Row],[Debit -]],0)</f>
        <v>0</v>
      </c>
      <c r="AD120" s="34" t="str">
        <f>IFERROR(IF(AND(OR(Table838[[#This Row],[Classification]]="Expense",Table838[[#This Row],[Classification]]="Cost of Goods Sold"),Table838[[#This Row],[Debit\]]&gt;Table838[[#This Row],[Credit.]]),Table838[[#This Row],[Debit\]]-Table838[[#This Row],[Credit.]],""),"")</f>
        <v/>
      </c>
      <c r="AE120" s="34" t="str">
        <f>IFERROR(IF(AND(OR(Table838[[#This Row],[Classification]]="Income",Table838[[#This Row],[Classification]]="Cost of Goods Sold"),Table838[[#This Row],[Credit.]]&gt;Table838[[#This Row],[Debit\]]),Table838[[#This Row],[Credit.]]-Table838[[#This Row],[Debit\]],""),"")</f>
        <v/>
      </c>
      <c r="AF120" s="34"/>
      <c r="AG120" s="34" t="str">
        <f>IFERROR(IF(AND(Table838[[#This Row],[Classification]]="Assets",Table838[[#This Row],[Debit\]]-Table838[[#This Row],[Credit.]]),Table838[[#This Row],[Debit\]]-Table838[[#This Row],[Credit.]],""),"")</f>
        <v/>
      </c>
      <c r="AH120" s="34" t="str">
        <f>IFERROR(IF(AND(OR(Table838[[#This Row],[Classification]]="Liabilities",Table838[[#This Row],[Classification]]="Owner´s Equity"),Table838[[#This Row],[Credit.]]&gt;Table838[[#This Row],[Debit\]]),Table838[[#This Row],[Credit.]]-Table838[[#This Row],[Debit\]],""),"")</f>
        <v/>
      </c>
    </row>
    <row r="121" spans="2:34" hidden="1" x14ac:dyDescent="0.25">
      <c r="B121" s="34"/>
      <c r="C121" s="45"/>
      <c r="D121" s="34"/>
      <c r="E121" s="34"/>
      <c r="G121" s="39"/>
      <c r="H121" s="40"/>
      <c r="I121" s="41"/>
      <c r="J121" s="41"/>
      <c r="L121" s="34">
        <v>114</v>
      </c>
      <c r="M121" s="35"/>
      <c r="N121" s="35"/>
      <c r="O121" s="34">
        <f>IFERROR(SUMIF(Table435[,],Table637[[#This Row],[Accounts Name]],Table435[,3]),"")</f>
        <v>0</v>
      </c>
      <c r="P121" s="34">
        <f>IFERROR(SUMIF(Table435[,],Table637[[#This Row],[Accounts Name]],Table435[,2]),"")</f>
        <v>0</v>
      </c>
      <c r="S121" s="36">
        <f t="shared" si="1"/>
        <v>114</v>
      </c>
      <c r="T121" s="34"/>
      <c r="U121" s="37"/>
      <c r="V121" s="34">
        <f>IFERROR(SUMIF(Table637[Sub-Accounts],Table838[[#This Row],[Update your chart of accounts here]],Table637[Debit]),"")</f>
        <v>0</v>
      </c>
      <c r="W121" s="34">
        <f>IFERROR(SUMIF(Table637[Sub-Accounts],Table838[[#This Row],[Update your chart of accounts here]],Table637[Credit]),"")</f>
        <v>0</v>
      </c>
      <c r="X121" s="34"/>
      <c r="Y121" s="34"/>
      <c r="Z121" s="34"/>
      <c r="AA121" s="34"/>
      <c r="AB121" s="34">
        <f>MAX(Table838[[#This Row],[Debit]]+Table838[[#This Row],[Debit -]]-Table838[[#This Row],[Credit]]-Table838[[#This Row],[Credit +]],0)</f>
        <v>0</v>
      </c>
      <c r="AC121" s="34">
        <f>MAX(Table838[[#This Row],[Credit]]-Table838[[#This Row],[Debit]]+Table838[[#This Row],[Credit +]]-Table838[[#This Row],[Debit -]],0)</f>
        <v>0</v>
      </c>
      <c r="AD121" s="34" t="str">
        <f>IFERROR(IF(AND(OR(Table838[[#This Row],[Classification]]="Expense",Table838[[#This Row],[Classification]]="Cost of Goods Sold"),Table838[[#This Row],[Debit\]]&gt;Table838[[#This Row],[Credit.]]),Table838[[#This Row],[Debit\]]-Table838[[#This Row],[Credit.]],""),"")</f>
        <v/>
      </c>
      <c r="AE121" s="34" t="str">
        <f>IFERROR(IF(AND(OR(Table838[[#This Row],[Classification]]="Income",Table838[[#This Row],[Classification]]="Cost of Goods Sold"),Table838[[#This Row],[Credit.]]&gt;Table838[[#This Row],[Debit\]]),Table838[[#This Row],[Credit.]]-Table838[[#This Row],[Debit\]],""),"")</f>
        <v/>
      </c>
      <c r="AF121" s="34"/>
      <c r="AG121" s="34" t="str">
        <f>IFERROR(IF(AND(Table838[[#This Row],[Classification]]="Assets",Table838[[#This Row],[Debit\]]-Table838[[#This Row],[Credit.]]),Table838[[#This Row],[Debit\]]-Table838[[#This Row],[Credit.]],""),"")</f>
        <v/>
      </c>
      <c r="AH121" s="34" t="str">
        <f>IFERROR(IF(AND(OR(Table838[[#This Row],[Classification]]="Liabilities",Table838[[#This Row],[Classification]]="Owner´s Equity"),Table838[[#This Row],[Credit.]]&gt;Table838[[#This Row],[Debit\]]),Table838[[#This Row],[Credit.]]-Table838[[#This Row],[Debit\]],""),"")</f>
        <v/>
      </c>
    </row>
    <row r="122" spans="2:34" hidden="1" x14ac:dyDescent="0.25">
      <c r="B122" s="34"/>
      <c r="C122" s="45"/>
      <c r="D122" s="34"/>
      <c r="E122" s="34"/>
      <c r="G122" s="39"/>
      <c r="H122" s="43"/>
      <c r="I122" s="41"/>
      <c r="J122" s="41"/>
      <c r="L122" s="34">
        <v>115</v>
      </c>
      <c r="M122" s="35"/>
      <c r="N122" s="35"/>
      <c r="O122" s="34">
        <f>IFERROR(SUMIF(Table435[,],Table637[[#This Row],[Accounts Name]],Table435[,3]),"")</f>
        <v>0</v>
      </c>
      <c r="P122" s="34">
        <f>IFERROR(SUMIF(Table435[,],Table637[[#This Row],[Accounts Name]],Table435[,2]),"")</f>
        <v>0</v>
      </c>
      <c r="S122" s="36">
        <f t="shared" si="1"/>
        <v>115</v>
      </c>
      <c r="T122" s="34"/>
      <c r="U122" s="37"/>
      <c r="V122" s="34">
        <f>IFERROR(SUMIF(Table637[Sub-Accounts],Table838[[#This Row],[Update your chart of accounts here]],Table637[Debit]),"")</f>
        <v>0</v>
      </c>
      <c r="W122" s="34">
        <f>IFERROR(SUMIF(Table637[Sub-Accounts],Table838[[#This Row],[Update your chart of accounts here]],Table637[Credit]),"")</f>
        <v>0</v>
      </c>
      <c r="X122" s="34"/>
      <c r="Y122" s="34"/>
      <c r="Z122" s="34"/>
      <c r="AA122" s="34"/>
      <c r="AB122" s="34">
        <f>MAX(Table838[[#This Row],[Debit]]+Table838[[#This Row],[Debit -]]-Table838[[#This Row],[Credit]]-Table838[[#This Row],[Credit +]],0)</f>
        <v>0</v>
      </c>
      <c r="AC122" s="34">
        <f>MAX(Table838[[#This Row],[Credit]]-Table838[[#This Row],[Debit]]+Table838[[#This Row],[Credit +]]-Table838[[#This Row],[Debit -]],0)</f>
        <v>0</v>
      </c>
      <c r="AD122" s="34" t="str">
        <f>IFERROR(IF(AND(OR(Table838[[#This Row],[Classification]]="Expense",Table838[[#This Row],[Classification]]="Cost of Goods Sold"),Table838[[#This Row],[Debit\]]&gt;Table838[[#This Row],[Credit.]]),Table838[[#This Row],[Debit\]]-Table838[[#This Row],[Credit.]],""),"")</f>
        <v/>
      </c>
      <c r="AE122" s="34" t="str">
        <f>IFERROR(IF(AND(OR(Table838[[#This Row],[Classification]]="Income",Table838[[#This Row],[Classification]]="Cost of Goods Sold"),Table838[[#This Row],[Credit.]]&gt;Table838[[#This Row],[Debit\]]),Table838[[#This Row],[Credit.]]-Table838[[#This Row],[Debit\]],""),"")</f>
        <v/>
      </c>
      <c r="AF122" s="34"/>
      <c r="AG122" s="34" t="str">
        <f>IFERROR(IF(AND(Table838[[#This Row],[Classification]]="Assets",Table838[[#This Row],[Debit\]]-Table838[[#This Row],[Credit.]]),Table838[[#This Row],[Debit\]]-Table838[[#This Row],[Credit.]],""),"")</f>
        <v/>
      </c>
      <c r="AH122" s="34" t="str">
        <f>IFERROR(IF(AND(OR(Table838[[#This Row],[Classification]]="Liabilities",Table838[[#This Row],[Classification]]="Owner´s Equity"),Table838[[#This Row],[Credit.]]&gt;Table838[[#This Row],[Debit\]]),Table838[[#This Row],[Credit.]]-Table838[[#This Row],[Debit\]],""),"")</f>
        <v/>
      </c>
    </row>
    <row r="123" spans="2:34" hidden="1" x14ac:dyDescent="0.25">
      <c r="B123" s="34"/>
      <c r="C123" s="45"/>
      <c r="D123" s="34"/>
      <c r="E123" s="34"/>
      <c r="G123" s="39"/>
      <c r="H123" s="40"/>
      <c r="I123" s="41"/>
      <c r="J123" s="41"/>
      <c r="L123" s="34">
        <v>116</v>
      </c>
      <c r="M123" s="35"/>
      <c r="N123" s="35"/>
      <c r="O123" s="34">
        <f>IFERROR(SUMIF(Table435[,],Table637[[#This Row],[Accounts Name]],Table435[,3]),"")</f>
        <v>0</v>
      </c>
      <c r="P123" s="34">
        <f>IFERROR(SUMIF(Table435[,],Table637[[#This Row],[Accounts Name]],Table435[,2]),"")</f>
        <v>0</v>
      </c>
      <c r="S123" s="36">
        <f t="shared" si="1"/>
        <v>116</v>
      </c>
      <c r="T123" s="34"/>
      <c r="U123" s="37"/>
      <c r="V123" s="34">
        <f>IFERROR(SUMIF(Table637[Sub-Accounts],Table838[[#This Row],[Update your chart of accounts here]],Table637[Debit]),"")</f>
        <v>0</v>
      </c>
      <c r="W123" s="34">
        <f>IFERROR(SUMIF(Table637[Sub-Accounts],Table838[[#This Row],[Update your chart of accounts here]],Table637[Credit]),"")</f>
        <v>0</v>
      </c>
      <c r="X123" s="34"/>
      <c r="Y123" s="34"/>
      <c r="Z123" s="34"/>
      <c r="AA123" s="34"/>
      <c r="AB123" s="34">
        <f>MAX(Table838[[#This Row],[Debit]]+Table838[[#This Row],[Debit -]]-Table838[[#This Row],[Credit]]-Table838[[#This Row],[Credit +]],0)</f>
        <v>0</v>
      </c>
      <c r="AC123" s="34">
        <f>MAX(Table838[[#This Row],[Credit]]-Table838[[#This Row],[Debit]]+Table838[[#This Row],[Credit +]]-Table838[[#This Row],[Debit -]],0)</f>
        <v>0</v>
      </c>
      <c r="AD123" s="34" t="str">
        <f>IFERROR(IF(AND(OR(Table838[[#This Row],[Classification]]="Expense",Table838[[#This Row],[Classification]]="Cost of Goods Sold"),Table838[[#This Row],[Debit\]]&gt;Table838[[#This Row],[Credit.]]),Table838[[#This Row],[Debit\]]-Table838[[#This Row],[Credit.]],""),"")</f>
        <v/>
      </c>
      <c r="AE123" s="34" t="str">
        <f>IFERROR(IF(AND(OR(Table838[[#This Row],[Classification]]="Income",Table838[[#This Row],[Classification]]="Cost of Goods Sold"),Table838[[#This Row],[Credit.]]&gt;Table838[[#This Row],[Debit\]]),Table838[[#This Row],[Credit.]]-Table838[[#This Row],[Debit\]],""),"")</f>
        <v/>
      </c>
      <c r="AF123" s="34"/>
      <c r="AG123" s="34" t="str">
        <f>IFERROR(IF(AND(Table838[[#This Row],[Classification]]="Assets",Table838[[#This Row],[Debit\]]-Table838[[#This Row],[Credit.]]),Table838[[#This Row],[Debit\]]-Table838[[#This Row],[Credit.]],""),"")</f>
        <v/>
      </c>
      <c r="AH123" s="34" t="str">
        <f>IFERROR(IF(AND(OR(Table838[[#This Row],[Classification]]="Liabilities",Table838[[#This Row],[Classification]]="Owner´s Equity"),Table838[[#This Row],[Credit.]]&gt;Table838[[#This Row],[Debit\]]),Table838[[#This Row],[Credit.]]-Table838[[#This Row],[Debit\]],""),"")</f>
        <v/>
      </c>
    </row>
    <row r="124" spans="2:34" hidden="1" x14ac:dyDescent="0.25">
      <c r="B124" s="34"/>
      <c r="C124" s="45"/>
      <c r="D124" s="34"/>
      <c r="E124" s="34"/>
      <c r="G124" s="39"/>
      <c r="H124" s="40"/>
      <c r="I124" s="41"/>
      <c r="J124" s="41"/>
      <c r="L124" s="34">
        <v>117</v>
      </c>
      <c r="M124" s="35"/>
      <c r="N124" s="35"/>
      <c r="O124" s="34">
        <f>IFERROR(SUMIF(Table435[,],Table637[[#This Row],[Accounts Name]],Table435[,3]),"")</f>
        <v>0</v>
      </c>
      <c r="P124" s="34">
        <f>IFERROR(SUMIF(Table435[,],Table637[[#This Row],[Accounts Name]],Table435[,2]),"")</f>
        <v>0</v>
      </c>
      <c r="S124" s="36">
        <f t="shared" si="1"/>
        <v>117</v>
      </c>
      <c r="T124" s="34"/>
      <c r="U124" s="37"/>
      <c r="V124" s="34">
        <f>IFERROR(SUMIF(Table637[Sub-Accounts],Table838[[#This Row],[Update your chart of accounts here]],Table637[Debit]),"")</f>
        <v>0</v>
      </c>
      <c r="W124" s="34">
        <f>IFERROR(SUMIF(Table637[Sub-Accounts],Table838[[#This Row],[Update your chart of accounts here]],Table637[Credit]),"")</f>
        <v>0</v>
      </c>
      <c r="X124" s="34"/>
      <c r="Y124" s="34"/>
      <c r="Z124" s="34"/>
      <c r="AA124" s="34"/>
      <c r="AB124" s="34">
        <f>MAX(Table838[[#This Row],[Debit]]+Table838[[#This Row],[Debit -]]-Table838[[#This Row],[Credit]]-Table838[[#This Row],[Credit +]],0)</f>
        <v>0</v>
      </c>
      <c r="AC124" s="34">
        <f>MAX(Table838[[#This Row],[Credit]]-Table838[[#This Row],[Debit]]+Table838[[#This Row],[Credit +]]-Table838[[#This Row],[Debit -]],0)</f>
        <v>0</v>
      </c>
      <c r="AD124" s="34" t="str">
        <f>IFERROR(IF(AND(OR(Table838[[#This Row],[Classification]]="Expense",Table838[[#This Row],[Classification]]="Cost of Goods Sold"),Table838[[#This Row],[Debit\]]&gt;Table838[[#This Row],[Credit.]]),Table838[[#This Row],[Debit\]]-Table838[[#This Row],[Credit.]],""),"")</f>
        <v/>
      </c>
      <c r="AE124" s="34" t="str">
        <f>IFERROR(IF(AND(OR(Table838[[#This Row],[Classification]]="Income",Table838[[#This Row],[Classification]]="Cost of Goods Sold"),Table838[[#This Row],[Credit.]]&gt;Table838[[#This Row],[Debit\]]),Table838[[#This Row],[Credit.]]-Table838[[#This Row],[Debit\]],""),"")</f>
        <v/>
      </c>
      <c r="AF124" s="34"/>
      <c r="AG124" s="34" t="str">
        <f>IFERROR(IF(AND(Table838[[#This Row],[Classification]]="Assets",Table838[[#This Row],[Debit\]]-Table838[[#This Row],[Credit.]]),Table838[[#This Row],[Debit\]]-Table838[[#This Row],[Credit.]],""),"")</f>
        <v/>
      </c>
      <c r="AH124" s="34" t="str">
        <f>IFERROR(IF(AND(OR(Table838[[#This Row],[Classification]]="Liabilities",Table838[[#This Row],[Classification]]="Owner´s Equity"),Table838[[#This Row],[Credit.]]&gt;Table838[[#This Row],[Debit\]]),Table838[[#This Row],[Credit.]]-Table838[[#This Row],[Debit\]],""),"")</f>
        <v/>
      </c>
    </row>
    <row r="125" spans="2:34" hidden="1" x14ac:dyDescent="0.25">
      <c r="B125" s="34"/>
      <c r="C125" s="45"/>
      <c r="D125" s="34"/>
      <c r="E125" s="34"/>
      <c r="G125" s="39"/>
      <c r="H125" s="43"/>
      <c r="I125" s="41"/>
      <c r="J125" s="41"/>
      <c r="L125" s="34">
        <v>118</v>
      </c>
      <c r="M125" s="35"/>
      <c r="N125" s="35"/>
      <c r="O125" s="34">
        <f>IFERROR(SUMIF(Table435[,],Table637[[#This Row],[Accounts Name]],Table435[,3]),"")</f>
        <v>0</v>
      </c>
      <c r="P125" s="34">
        <f>IFERROR(SUMIF(Table435[,],Table637[[#This Row],[Accounts Name]],Table435[,2]),"")</f>
        <v>0</v>
      </c>
      <c r="S125" s="36">
        <f t="shared" si="1"/>
        <v>118</v>
      </c>
      <c r="T125" s="34"/>
      <c r="U125" s="37"/>
      <c r="V125" s="34">
        <f>IFERROR(SUMIF(Table637[Sub-Accounts],Table838[[#This Row],[Update your chart of accounts here]],Table637[Debit]),"")</f>
        <v>0</v>
      </c>
      <c r="W125" s="34">
        <f>IFERROR(SUMIF(Table637[Sub-Accounts],Table838[[#This Row],[Update your chart of accounts here]],Table637[Credit]),"")</f>
        <v>0</v>
      </c>
      <c r="X125" s="34"/>
      <c r="Y125" s="34"/>
      <c r="Z125" s="34"/>
      <c r="AA125" s="34"/>
      <c r="AB125" s="34">
        <f>MAX(Table838[[#This Row],[Debit]]+Table838[[#This Row],[Debit -]]-Table838[[#This Row],[Credit]]-Table838[[#This Row],[Credit +]],0)</f>
        <v>0</v>
      </c>
      <c r="AC125" s="34">
        <f>MAX(Table838[[#This Row],[Credit]]-Table838[[#This Row],[Debit]]+Table838[[#This Row],[Credit +]]-Table838[[#This Row],[Debit -]],0)</f>
        <v>0</v>
      </c>
      <c r="AD125" s="34" t="str">
        <f>IFERROR(IF(AND(OR(Table838[[#This Row],[Classification]]="Expense",Table838[[#This Row],[Classification]]="Cost of Goods Sold"),Table838[[#This Row],[Debit\]]&gt;Table838[[#This Row],[Credit.]]),Table838[[#This Row],[Debit\]]-Table838[[#This Row],[Credit.]],""),"")</f>
        <v/>
      </c>
      <c r="AE125" s="34" t="str">
        <f>IFERROR(IF(AND(OR(Table838[[#This Row],[Classification]]="Income",Table838[[#This Row],[Classification]]="Cost of Goods Sold"),Table838[[#This Row],[Credit.]]&gt;Table838[[#This Row],[Debit\]]),Table838[[#This Row],[Credit.]]-Table838[[#This Row],[Debit\]],""),"")</f>
        <v/>
      </c>
      <c r="AF125" s="34"/>
      <c r="AG125" s="34" t="str">
        <f>IFERROR(IF(AND(Table838[[#This Row],[Classification]]="Assets",Table838[[#This Row],[Debit\]]-Table838[[#This Row],[Credit.]]),Table838[[#This Row],[Debit\]]-Table838[[#This Row],[Credit.]],""),"")</f>
        <v/>
      </c>
      <c r="AH125" s="34" t="str">
        <f>IFERROR(IF(AND(OR(Table838[[#This Row],[Classification]]="Liabilities",Table838[[#This Row],[Classification]]="Owner´s Equity"),Table838[[#This Row],[Credit.]]&gt;Table838[[#This Row],[Debit\]]),Table838[[#This Row],[Credit.]]-Table838[[#This Row],[Debit\]],""),"")</f>
        <v/>
      </c>
    </row>
    <row r="126" spans="2:34" hidden="1" x14ac:dyDescent="0.25">
      <c r="B126" s="34"/>
      <c r="C126" s="45"/>
      <c r="D126" s="34"/>
      <c r="E126" s="34"/>
      <c r="G126" s="39"/>
      <c r="H126" s="40"/>
      <c r="I126" s="41"/>
      <c r="J126" s="41"/>
      <c r="L126" s="34">
        <v>119</v>
      </c>
      <c r="M126" s="35"/>
      <c r="N126" s="35"/>
      <c r="O126" s="34">
        <f>IFERROR(SUMIF(Table435[,],Table637[[#This Row],[Accounts Name]],Table435[,3]),"")</f>
        <v>0</v>
      </c>
      <c r="P126" s="34">
        <f>IFERROR(SUMIF(Table435[,],Table637[[#This Row],[Accounts Name]],Table435[,2]),"")</f>
        <v>0</v>
      </c>
      <c r="S126" s="36">
        <f t="shared" si="1"/>
        <v>119</v>
      </c>
      <c r="T126" s="34"/>
      <c r="U126" s="37"/>
      <c r="V126" s="34">
        <f>IFERROR(SUMIF(Table637[Sub-Accounts],Table838[[#This Row],[Update your chart of accounts here]],Table637[Debit]),"")</f>
        <v>0</v>
      </c>
      <c r="W126" s="34">
        <f>IFERROR(SUMIF(Table637[Sub-Accounts],Table838[[#This Row],[Update your chart of accounts here]],Table637[Credit]),"")</f>
        <v>0</v>
      </c>
      <c r="X126" s="34"/>
      <c r="Y126" s="34"/>
      <c r="Z126" s="34"/>
      <c r="AA126" s="34"/>
      <c r="AB126" s="34">
        <f>MAX(Table838[[#This Row],[Debit]]+Table838[[#This Row],[Debit -]]-Table838[[#This Row],[Credit]]-Table838[[#This Row],[Credit +]],0)</f>
        <v>0</v>
      </c>
      <c r="AC126" s="34">
        <f>MAX(Table838[[#This Row],[Credit]]-Table838[[#This Row],[Debit]]+Table838[[#This Row],[Credit +]]-Table838[[#This Row],[Debit -]],0)</f>
        <v>0</v>
      </c>
      <c r="AD126" s="34" t="str">
        <f>IFERROR(IF(AND(OR(Table838[[#This Row],[Classification]]="Expense",Table838[[#This Row],[Classification]]="Cost of Goods Sold"),Table838[[#This Row],[Debit\]]&gt;Table838[[#This Row],[Credit.]]),Table838[[#This Row],[Debit\]]-Table838[[#This Row],[Credit.]],""),"")</f>
        <v/>
      </c>
      <c r="AE126" s="34" t="str">
        <f>IFERROR(IF(AND(OR(Table838[[#This Row],[Classification]]="Income",Table838[[#This Row],[Classification]]="Cost of Goods Sold"),Table838[[#This Row],[Credit.]]&gt;Table838[[#This Row],[Debit\]]),Table838[[#This Row],[Credit.]]-Table838[[#This Row],[Debit\]],""),"")</f>
        <v/>
      </c>
      <c r="AF126" s="34"/>
      <c r="AG126" s="34" t="str">
        <f>IFERROR(IF(AND(Table838[[#This Row],[Classification]]="Assets",Table838[[#This Row],[Debit\]]-Table838[[#This Row],[Credit.]]),Table838[[#This Row],[Debit\]]-Table838[[#This Row],[Credit.]],""),"")</f>
        <v/>
      </c>
      <c r="AH126" s="34" t="str">
        <f>IFERROR(IF(AND(OR(Table838[[#This Row],[Classification]]="Liabilities",Table838[[#This Row],[Classification]]="Owner´s Equity"),Table838[[#This Row],[Credit.]]&gt;Table838[[#This Row],[Debit\]]),Table838[[#This Row],[Credit.]]-Table838[[#This Row],[Debit\]],""),"")</f>
        <v/>
      </c>
    </row>
    <row r="127" spans="2:34" hidden="1" x14ac:dyDescent="0.25">
      <c r="B127" s="34"/>
      <c r="C127" s="45"/>
      <c r="D127" s="34"/>
      <c r="E127" s="34"/>
      <c r="G127" s="39"/>
      <c r="H127" s="40"/>
      <c r="I127" s="41"/>
      <c r="J127" s="41"/>
      <c r="L127" s="34">
        <v>120</v>
      </c>
      <c r="M127" s="35"/>
      <c r="N127" s="35"/>
      <c r="O127" s="34">
        <f>IFERROR(SUMIF(Table435[,],Table637[[#This Row],[Accounts Name]],Table435[,3]),"")</f>
        <v>0</v>
      </c>
      <c r="P127" s="34">
        <f>IFERROR(SUMIF(Table435[,],Table637[[#This Row],[Accounts Name]],Table435[,2]),"")</f>
        <v>0</v>
      </c>
      <c r="S127" s="36">
        <f t="shared" si="1"/>
        <v>120</v>
      </c>
      <c r="T127" s="34"/>
      <c r="U127" s="37"/>
      <c r="V127" s="34">
        <f>IFERROR(SUMIF(Table637[Sub-Accounts],Table838[[#This Row],[Update your chart of accounts here]],Table637[Debit]),"")</f>
        <v>0</v>
      </c>
      <c r="W127" s="34">
        <f>IFERROR(SUMIF(Table637[Sub-Accounts],Table838[[#This Row],[Update your chart of accounts here]],Table637[Credit]),"")</f>
        <v>0</v>
      </c>
      <c r="X127" s="34"/>
      <c r="Y127" s="34"/>
      <c r="Z127" s="34"/>
      <c r="AA127" s="34"/>
      <c r="AB127" s="34">
        <f>MAX(Table838[[#This Row],[Debit]]+Table838[[#This Row],[Debit -]]-Table838[[#This Row],[Credit]]-Table838[[#This Row],[Credit +]],0)</f>
        <v>0</v>
      </c>
      <c r="AC127" s="34">
        <f>MAX(Table838[[#This Row],[Credit]]-Table838[[#This Row],[Debit]]+Table838[[#This Row],[Credit +]]-Table838[[#This Row],[Debit -]],0)</f>
        <v>0</v>
      </c>
      <c r="AD127" s="34" t="str">
        <f>IFERROR(IF(AND(OR(Table838[[#This Row],[Classification]]="Expense",Table838[[#This Row],[Classification]]="Cost of Goods Sold"),Table838[[#This Row],[Debit\]]&gt;Table838[[#This Row],[Credit.]]),Table838[[#This Row],[Debit\]]-Table838[[#This Row],[Credit.]],""),"")</f>
        <v/>
      </c>
      <c r="AE127" s="34" t="str">
        <f>IFERROR(IF(AND(OR(Table838[[#This Row],[Classification]]="Income",Table838[[#This Row],[Classification]]="Cost of Goods Sold"),Table838[[#This Row],[Credit.]]&gt;Table838[[#This Row],[Debit\]]),Table838[[#This Row],[Credit.]]-Table838[[#This Row],[Debit\]],""),"")</f>
        <v/>
      </c>
      <c r="AF127" s="34"/>
      <c r="AG127" s="34" t="str">
        <f>IFERROR(IF(AND(Table838[[#This Row],[Classification]]="Assets",Table838[[#This Row],[Debit\]]-Table838[[#This Row],[Credit.]]),Table838[[#This Row],[Debit\]]-Table838[[#This Row],[Credit.]],""),"")</f>
        <v/>
      </c>
      <c r="AH127" s="34" t="str">
        <f>IFERROR(IF(AND(OR(Table838[[#This Row],[Classification]]="Liabilities",Table838[[#This Row],[Classification]]="Owner´s Equity"),Table838[[#This Row],[Credit.]]&gt;Table838[[#This Row],[Debit\]]),Table838[[#This Row],[Credit.]]-Table838[[#This Row],[Debit\]],""),"")</f>
        <v/>
      </c>
    </row>
    <row r="128" spans="2:34" hidden="1" x14ac:dyDescent="0.25">
      <c r="B128" s="34"/>
      <c r="C128" s="45"/>
      <c r="D128" s="34"/>
      <c r="E128" s="34"/>
      <c r="G128" s="39"/>
      <c r="H128" s="43"/>
      <c r="I128" s="41"/>
      <c r="J128" s="41"/>
      <c r="L128" s="34">
        <v>121</v>
      </c>
      <c r="M128" s="35"/>
      <c r="N128" s="35"/>
      <c r="O128" s="34">
        <f>IFERROR(SUMIF(Table435[,],Table637[[#This Row],[Accounts Name]],Table435[,3]),"")</f>
        <v>0</v>
      </c>
      <c r="P128" s="34">
        <f>IFERROR(SUMIF(Table435[,],Table637[[#This Row],[Accounts Name]],Table435[,2]),"")</f>
        <v>0</v>
      </c>
      <c r="S128" s="36">
        <f t="shared" si="1"/>
        <v>121</v>
      </c>
      <c r="T128" s="34"/>
      <c r="U128" s="37"/>
      <c r="V128" s="34">
        <f>IFERROR(SUMIF(Table637[Sub-Accounts],Table838[[#This Row],[Update your chart of accounts here]],Table637[Debit]),"")</f>
        <v>0</v>
      </c>
      <c r="W128" s="34">
        <f>IFERROR(SUMIF(Table637[Sub-Accounts],Table838[[#This Row],[Update your chart of accounts here]],Table637[Credit]),"")</f>
        <v>0</v>
      </c>
      <c r="X128" s="34"/>
      <c r="Y128" s="34"/>
      <c r="Z128" s="34"/>
      <c r="AA128" s="34"/>
      <c r="AB128" s="34">
        <f>MAX(Table838[[#This Row],[Debit]]+Table838[[#This Row],[Debit -]]-Table838[[#This Row],[Credit]]-Table838[[#This Row],[Credit +]],0)</f>
        <v>0</v>
      </c>
      <c r="AC128" s="34">
        <f>MAX(Table838[[#This Row],[Credit]]-Table838[[#This Row],[Debit]]+Table838[[#This Row],[Credit +]]-Table838[[#This Row],[Debit -]],0)</f>
        <v>0</v>
      </c>
      <c r="AD128" s="34" t="str">
        <f>IFERROR(IF(AND(OR(Table838[[#This Row],[Classification]]="Expense",Table838[[#This Row],[Classification]]="Cost of Goods Sold"),Table838[[#This Row],[Debit\]]&gt;Table838[[#This Row],[Credit.]]),Table838[[#This Row],[Debit\]]-Table838[[#This Row],[Credit.]],""),"")</f>
        <v/>
      </c>
      <c r="AE128" s="34" t="str">
        <f>IFERROR(IF(AND(OR(Table838[[#This Row],[Classification]]="Income",Table838[[#This Row],[Classification]]="Cost of Goods Sold"),Table838[[#This Row],[Credit.]]&gt;Table838[[#This Row],[Debit\]]),Table838[[#This Row],[Credit.]]-Table838[[#This Row],[Debit\]],""),"")</f>
        <v/>
      </c>
      <c r="AF128" s="34"/>
      <c r="AG128" s="34" t="str">
        <f>IFERROR(IF(AND(Table838[[#This Row],[Classification]]="Assets",Table838[[#This Row],[Debit\]]-Table838[[#This Row],[Credit.]]),Table838[[#This Row],[Debit\]]-Table838[[#This Row],[Credit.]],""),"")</f>
        <v/>
      </c>
      <c r="AH128" s="34" t="str">
        <f>IFERROR(IF(AND(OR(Table838[[#This Row],[Classification]]="Liabilities",Table838[[#This Row],[Classification]]="Owner´s Equity"),Table838[[#This Row],[Credit.]]&gt;Table838[[#This Row],[Debit\]]),Table838[[#This Row],[Credit.]]-Table838[[#This Row],[Debit\]],""),"")</f>
        <v/>
      </c>
    </row>
    <row r="129" spans="2:34" hidden="1" x14ac:dyDescent="0.25">
      <c r="B129" s="34"/>
      <c r="C129" s="45"/>
      <c r="D129" s="34"/>
      <c r="E129" s="34"/>
      <c r="G129" s="39"/>
      <c r="H129" s="40"/>
      <c r="I129" s="41"/>
      <c r="J129" s="41"/>
      <c r="L129" s="34">
        <v>122</v>
      </c>
      <c r="M129" s="35"/>
      <c r="N129" s="35"/>
      <c r="O129" s="34">
        <f>IFERROR(SUMIF(Table435[,],Table637[[#This Row],[Accounts Name]],Table435[,3]),"")</f>
        <v>0</v>
      </c>
      <c r="P129" s="34">
        <f>IFERROR(SUMIF(Table435[,],Table637[[#This Row],[Accounts Name]],Table435[,2]),"")</f>
        <v>0</v>
      </c>
      <c r="S129" s="36">
        <f t="shared" si="1"/>
        <v>122</v>
      </c>
      <c r="T129" s="34"/>
      <c r="U129" s="37"/>
      <c r="V129" s="34">
        <f>IFERROR(SUMIF(Table637[Sub-Accounts],Table838[[#This Row],[Update your chart of accounts here]],Table637[Debit]),"")</f>
        <v>0</v>
      </c>
      <c r="W129" s="34">
        <f>IFERROR(SUMIF(Table637[Sub-Accounts],Table838[[#This Row],[Update your chart of accounts here]],Table637[Credit]),"")</f>
        <v>0</v>
      </c>
      <c r="X129" s="34"/>
      <c r="Y129" s="34"/>
      <c r="Z129" s="34"/>
      <c r="AA129" s="34"/>
      <c r="AB129" s="34">
        <f>MAX(Table838[[#This Row],[Debit]]+Table838[[#This Row],[Debit -]]-Table838[[#This Row],[Credit]]-Table838[[#This Row],[Credit +]],0)</f>
        <v>0</v>
      </c>
      <c r="AC129" s="34">
        <f>MAX(Table838[[#This Row],[Credit]]-Table838[[#This Row],[Debit]]+Table838[[#This Row],[Credit +]]-Table838[[#This Row],[Debit -]],0)</f>
        <v>0</v>
      </c>
      <c r="AD129" s="34" t="str">
        <f>IFERROR(IF(AND(OR(Table838[[#This Row],[Classification]]="Expense",Table838[[#This Row],[Classification]]="Cost of Goods Sold"),Table838[[#This Row],[Debit\]]&gt;Table838[[#This Row],[Credit.]]),Table838[[#This Row],[Debit\]]-Table838[[#This Row],[Credit.]],""),"")</f>
        <v/>
      </c>
      <c r="AE129" s="34" t="str">
        <f>IFERROR(IF(AND(OR(Table838[[#This Row],[Classification]]="Income",Table838[[#This Row],[Classification]]="Cost of Goods Sold"),Table838[[#This Row],[Credit.]]&gt;Table838[[#This Row],[Debit\]]),Table838[[#This Row],[Credit.]]-Table838[[#This Row],[Debit\]],""),"")</f>
        <v/>
      </c>
      <c r="AF129" s="34"/>
      <c r="AG129" s="34" t="str">
        <f>IFERROR(IF(AND(Table838[[#This Row],[Classification]]="Assets",Table838[[#This Row],[Debit\]]-Table838[[#This Row],[Credit.]]),Table838[[#This Row],[Debit\]]-Table838[[#This Row],[Credit.]],""),"")</f>
        <v/>
      </c>
      <c r="AH129" s="34" t="str">
        <f>IFERROR(IF(AND(OR(Table838[[#This Row],[Classification]]="Liabilities",Table838[[#This Row],[Classification]]="Owner´s Equity"),Table838[[#This Row],[Credit.]]&gt;Table838[[#This Row],[Debit\]]),Table838[[#This Row],[Credit.]]-Table838[[#This Row],[Debit\]],""),"")</f>
        <v/>
      </c>
    </row>
    <row r="130" spans="2:34" hidden="1" x14ac:dyDescent="0.25">
      <c r="B130" s="34"/>
      <c r="C130" s="45"/>
      <c r="D130" s="34"/>
      <c r="E130" s="34"/>
      <c r="G130" s="39"/>
      <c r="H130" s="40"/>
      <c r="I130" s="41"/>
      <c r="J130" s="41"/>
      <c r="L130" s="34">
        <v>123</v>
      </c>
      <c r="M130" s="35"/>
      <c r="N130" s="35"/>
      <c r="O130" s="34">
        <f>IFERROR(SUMIF(Table435[,],Table637[[#This Row],[Accounts Name]],Table435[,3]),"")</f>
        <v>0</v>
      </c>
      <c r="P130" s="34">
        <f>IFERROR(SUMIF(Table435[,],Table637[[#This Row],[Accounts Name]],Table435[,2]),"")</f>
        <v>0</v>
      </c>
      <c r="S130" s="36">
        <f t="shared" si="1"/>
        <v>123</v>
      </c>
      <c r="T130" s="34"/>
      <c r="U130" s="37"/>
      <c r="V130" s="34">
        <f>IFERROR(SUMIF(Table637[Sub-Accounts],Table838[[#This Row],[Update your chart of accounts here]],Table637[Debit]),"")</f>
        <v>0</v>
      </c>
      <c r="W130" s="34">
        <f>IFERROR(SUMIF(Table637[Sub-Accounts],Table838[[#This Row],[Update your chart of accounts here]],Table637[Credit]),"")</f>
        <v>0</v>
      </c>
      <c r="X130" s="34"/>
      <c r="Y130" s="34"/>
      <c r="Z130" s="34"/>
      <c r="AA130" s="34"/>
      <c r="AB130" s="34">
        <f>MAX(Table838[[#This Row],[Debit]]+Table838[[#This Row],[Debit -]]-Table838[[#This Row],[Credit]]-Table838[[#This Row],[Credit +]],0)</f>
        <v>0</v>
      </c>
      <c r="AC130" s="34">
        <f>MAX(Table838[[#This Row],[Credit]]-Table838[[#This Row],[Debit]]+Table838[[#This Row],[Credit +]]-Table838[[#This Row],[Debit -]],0)</f>
        <v>0</v>
      </c>
      <c r="AD130" s="34" t="str">
        <f>IFERROR(IF(AND(OR(Table838[[#This Row],[Classification]]="Expense",Table838[[#This Row],[Classification]]="Cost of Goods Sold"),Table838[[#This Row],[Debit\]]&gt;Table838[[#This Row],[Credit.]]),Table838[[#This Row],[Debit\]]-Table838[[#This Row],[Credit.]],""),"")</f>
        <v/>
      </c>
      <c r="AE130" s="34" t="str">
        <f>IFERROR(IF(AND(OR(Table838[[#This Row],[Classification]]="Income",Table838[[#This Row],[Classification]]="Cost of Goods Sold"),Table838[[#This Row],[Credit.]]&gt;Table838[[#This Row],[Debit\]]),Table838[[#This Row],[Credit.]]-Table838[[#This Row],[Debit\]],""),"")</f>
        <v/>
      </c>
      <c r="AF130" s="34"/>
      <c r="AG130" s="34" t="str">
        <f>IFERROR(IF(AND(Table838[[#This Row],[Classification]]="Assets",Table838[[#This Row],[Debit\]]-Table838[[#This Row],[Credit.]]),Table838[[#This Row],[Debit\]]-Table838[[#This Row],[Credit.]],""),"")</f>
        <v/>
      </c>
      <c r="AH130" s="34" t="str">
        <f>IFERROR(IF(AND(OR(Table838[[#This Row],[Classification]]="Liabilities",Table838[[#This Row],[Classification]]="Owner´s Equity"),Table838[[#This Row],[Credit.]]&gt;Table838[[#This Row],[Debit\]]),Table838[[#This Row],[Credit.]]-Table838[[#This Row],[Debit\]],""),"")</f>
        <v/>
      </c>
    </row>
    <row r="131" spans="2:34" hidden="1" x14ac:dyDescent="0.25">
      <c r="B131" s="34"/>
      <c r="C131" s="45"/>
      <c r="D131" s="34"/>
      <c r="E131" s="34"/>
      <c r="G131" s="39"/>
      <c r="H131" s="43"/>
      <c r="I131" s="41"/>
      <c r="J131" s="41"/>
      <c r="L131" s="34">
        <v>124</v>
      </c>
      <c r="M131" s="35"/>
      <c r="N131" s="35"/>
      <c r="O131" s="34">
        <f>IFERROR(SUMIF(Table435[,],Table637[[#This Row],[Accounts Name]],Table435[,3]),"")</f>
        <v>0</v>
      </c>
      <c r="P131" s="34">
        <f>IFERROR(SUMIF(Table435[,],Table637[[#This Row],[Accounts Name]],Table435[,2]),"")</f>
        <v>0</v>
      </c>
      <c r="S131" s="36">
        <f t="shared" si="1"/>
        <v>124</v>
      </c>
      <c r="T131" s="34"/>
      <c r="U131" s="37"/>
      <c r="V131" s="34">
        <f>IFERROR(SUMIF(Table637[Sub-Accounts],Table838[[#This Row],[Update your chart of accounts here]],Table637[Debit]),"")</f>
        <v>0</v>
      </c>
      <c r="W131" s="34">
        <f>IFERROR(SUMIF(Table637[Sub-Accounts],Table838[[#This Row],[Update your chart of accounts here]],Table637[Credit]),"")</f>
        <v>0</v>
      </c>
      <c r="X131" s="34"/>
      <c r="Y131" s="34"/>
      <c r="Z131" s="34"/>
      <c r="AA131" s="34"/>
      <c r="AB131" s="34">
        <f>MAX(Table838[[#This Row],[Debit]]+Table838[[#This Row],[Debit -]]-Table838[[#This Row],[Credit]]-Table838[[#This Row],[Credit +]],0)</f>
        <v>0</v>
      </c>
      <c r="AC131" s="34">
        <f>MAX(Table838[[#This Row],[Credit]]-Table838[[#This Row],[Debit]]+Table838[[#This Row],[Credit +]]-Table838[[#This Row],[Debit -]],0)</f>
        <v>0</v>
      </c>
      <c r="AD131" s="34" t="str">
        <f>IFERROR(IF(AND(OR(Table838[[#This Row],[Classification]]="Expense",Table838[[#This Row],[Classification]]="Cost of Goods Sold"),Table838[[#This Row],[Debit\]]&gt;Table838[[#This Row],[Credit.]]),Table838[[#This Row],[Debit\]]-Table838[[#This Row],[Credit.]],""),"")</f>
        <v/>
      </c>
      <c r="AE131" s="34" t="str">
        <f>IFERROR(IF(AND(OR(Table838[[#This Row],[Classification]]="Income",Table838[[#This Row],[Classification]]="Cost of Goods Sold"),Table838[[#This Row],[Credit.]]&gt;Table838[[#This Row],[Debit\]]),Table838[[#This Row],[Credit.]]-Table838[[#This Row],[Debit\]],""),"")</f>
        <v/>
      </c>
      <c r="AF131" s="34"/>
      <c r="AG131" s="34" t="str">
        <f>IFERROR(IF(AND(Table838[[#This Row],[Classification]]="Assets",Table838[[#This Row],[Debit\]]-Table838[[#This Row],[Credit.]]),Table838[[#This Row],[Debit\]]-Table838[[#This Row],[Credit.]],""),"")</f>
        <v/>
      </c>
      <c r="AH131" s="34" t="str">
        <f>IFERROR(IF(AND(OR(Table838[[#This Row],[Classification]]="Liabilities",Table838[[#This Row],[Classification]]="Owner´s Equity"),Table838[[#This Row],[Credit.]]&gt;Table838[[#This Row],[Debit\]]),Table838[[#This Row],[Credit.]]-Table838[[#This Row],[Debit\]],""),"")</f>
        <v/>
      </c>
    </row>
    <row r="132" spans="2:34" hidden="1" x14ac:dyDescent="0.25">
      <c r="B132" s="34"/>
      <c r="C132" s="45"/>
      <c r="D132" s="34"/>
      <c r="E132" s="34"/>
      <c r="G132" s="39"/>
      <c r="H132" s="40"/>
      <c r="I132" s="41"/>
      <c r="J132" s="41"/>
      <c r="L132" s="34">
        <v>125</v>
      </c>
      <c r="M132" s="35"/>
      <c r="N132" s="35"/>
      <c r="O132" s="34">
        <f>IFERROR(SUMIF(Table435[,],Table637[[#This Row],[Accounts Name]],Table435[,3]),"")</f>
        <v>0</v>
      </c>
      <c r="P132" s="34">
        <f>IFERROR(SUMIF(Table435[,],Table637[[#This Row],[Accounts Name]],Table435[,2]),"")</f>
        <v>0</v>
      </c>
      <c r="S132" s="36">
        <f t="shared" si="1"/>
        <v>125</v>
      </c>
      <c r="T132" s="34"/>
      <c r="U132" s="37"/>
      <c r="V132" s="34">
        <f>IFERROR(SUMIF(Table637[Sub-Accounts],Table838[[#This Row],[Update your chart of accounts here]],Table637[Debit]),"")</f>
        <v>0</v>
      </c>
      <c r="W132" s="34">
        <f>IFERROR(SUMIF(Table637[Sub-Accounts],Table838[[#This Row],[Update your chart of accounts here]],Table637[Credit]),"")</f>
        <v>0</v>
      </c>
      <c r="X132" s="34"/>
      <c r="Y132" s="34"/>
      <c r="Z132" s="34"/>
      <c r="AA132" s="34"/>
      <c r="AB132" s="34">
        <f>MAX(Table838[[#This Row],[Debit]]+Table838[[#This Row],[Debit -]]-Table838[[#This Row],[Credit]]-Table838[[#This Row],[Credit +]],0)</f>
        <v>0</v>
      </c>
      <c r="AC132" s="34">
        <f>MAX(Table838[[#This Row],[Credit]]-Table838[[#This Row],[Debit]]+Table838[[#This Row],[Credit +]]-Table838[[#This Row],[Debit -]],0)</f>
        <v>0</v>
      </c>
      <c r="AD132" s="34" t="str">
        <f>IFERROR(IF(AND(OR(Table838[[#This Row],[Classification]]="Expense",Table838[[#This Row],[Classification]]="Cost of Goods Sold"),Table838[[#This Row],[Debit\]]&gt;Table838[[#This Row],[Credit.]]),Table838[[#This Row],[Debit\]]-Table838[[#This Row],[Credit.]],""),"")</f>
        <v/>
      </c>
      <c r="AE132" s="34" t="str">
        <f>IFERROR(IF(AND(OR(Table838[[#This Row],[Classification]]="Income",Table838[[#This Row],[Classification]]="Cost of Goods Sold"),Table838[[#This Row],[Credit.]]&gt;Table838[[#This Row],[Debit\]]),Table838[[#This Row],[Credit.]]-Table838[[#This Row],[Debit\]],""),"")</f>
        <v/>
      </c>
      <c r="AF132" s="34"/>
      <c r="AG132" s="34" t="str">
        <f>IFERROR(IF(AND(Table838[[#This Row],[Classification]]="Assets",Table838[[#This Row],[Debit\]]-Table838[[#This Row],[Credit.]]),Table838[[#This Row],[Debit\]]-Table838[[#This Row],[Credit.]],""),"")</f>
        <v/>
      </c>
      <c r="AH132" s="34" t="str">
        <f>IFERROR(IF(AND(OR(Table838[[#This Row],[Classification]]="Liabilities",Table838[[#This Row],[Classification]]="Owner´s Equity"),Table838[[#This Row],[Credit.]]&gt;Table838[[#This Row],[Debit\]]),Table838[[#This Row],[Credit.]]-Table838[[#This Row],[Debit\]],""),"")</f>
        <v/>
      </c>
    </row>
    <row r="133" spans="2:34" hidden="1" x14ac:dyDescent="0.25">
      <c r="B133" s="34"/>
      <c r="C133" s="45"/>
      <c r="D133" s="34"/>
      <c r="E133" s="34"/>
      <c r="G133" s="39"/>
      <c r="H133" s="40"/>
      <c r="I133" s="41"/>
      <c r="J133" s="41"/>
      <c r="L133" s="34">
        <v>126</v>
      </c>
      <c r="M133" s="35"/>
      <c r="N133" s="35"/>
      <c r="O133" s="34">
        <f>IFERROR(SUMIF(Table435[,],Table637[[#This Row],[Accounts Name]],Table435[,3]),"")</f>
        <v>0</v>
      </c>
      <c r="P133" s="34">
        <f>IFERROR(SUMIF(Table435[,],Table637[[#This Row],[Accounts Name]],Table435[,2]),"")</f>
        <v>0</v>
      </c>
      <c r="S133" s="36">
        <f t="shared" si="1"/>
        <v>126</v>
      </c>
      <c r="T133" s="34"/>
      <c r="U133" s="37"/>
      <c r="V133" s="34">
        <f>IFERROR(SUMIF(Table637[Sub-Accounts],Table838[[#This Row],[Update your chart of accounts here]],Table637[Debit]),"")</f>
        <v>0</v>
      </c>
      <c r="W133" s="34">
        <f>IFERROR(SUMIF(Table637[Sub-Accounts],Table838[[#This Row],[Update your chart of accounts here]],Table637[Credit]),"")</f>
        <v>0</v>
      </c>
      <c r="X133" s="34"/>
      <c r="Y133" s="34"/>
      <c r="Z133" s="34"/>
      <c r="AA133" s="34"/>
      <c r="AB133" s="34">
        <f>MAX(Table838[[#This Row],[Debit]]+Table838[[#This Row],[Debit -]]-Table838[[#This Row],[Credit]]-Table838[[#This Row],[Credit +]],0)</f>
        <v>0</v>
      </c>
      <c r="AC133" s="34">
        <f>MAX(Table838[[#This Row],[Credit]]-Table838[[#This Row],[Debit]]+Table838[[#This Row],[Credit +]]-Table838[[#This Row],[Debit -]],0)</f>
        <v>0</v>
      </c>
      <c r="AD133" s="34" t="str">
        <f>IFERROR(IF(AND(OR(Table838[[#This Row],[Classification]]="Expense",Table838[[#This Row],[Classification]]="Cost of Goods Sold"),Table838[[#This Row],[Debit\]]&gt;Table838[[#This Row],[Credit.]]),Table838[[#This Row],[Debit\]]-Table838[[#This Row],[Credit.]],""),"")</f>
        <v/>
      </c>
      <c r="AE133" s="34" t="str">
        <f>IFERROR(IF(AND(OR(Table838[[#This Row],[Classification]]="Income",Table838[[#This Row],[Classification]]="Cost of Goods Sold"),Table838[[#This Row],[Credit.]]&gt;Table838[[#This Row],[Debit\]]),Table838[[#This Row],[Credit.]]-Table838[[#This Row],[Debit\]],""),"")</f>
        <v/>
      </c>
      <c r="AF133" s="34"/>
      <c r="AG133" s="34" t="str">
        <f>IFERROR(IF(AND(Table838[[#This Row],[Classification]]="Assets",Table838[[#This Row],[Debit\]]-Table838[[#This Row],[Credit.]]),Table838[[#This Row],[Debit\]]-Table838[[#This Row],[Credit.]],""),"")</f>
        <v/>
      </c>
      <c r="AH133" s="34" t="str">
        <f>IFERROR(IF(AND(OR(Table838[[#This Row],[Classification]]="Liabilities",Table838[[#This Row],[Classification]]="Owner´s Equity"),Table838[[#This Row],[Credit.]]&gt;Table838[[#This Row],[Debit\]]),Table838[[#This Row],[Credit.]]-Table838[[#This Row],[Debit\]],""),"")</f>
        <v/>
      </c>
    </row>
    <row r="134" spans="2:34" hidden="1" x14ac:dyDescent="0.25">
      <c r="B134" s="34"/>
      <c r="C134" s="45"/>
      <c r="D134" s="34"/>
      <c r="E134" s="34"/>
      <c r="G134" s="39"/>
      <c r="H134" s="43"/>
      <c r="I134" s="41"/>
      <c r="J134" s="41"/>
      <c r="L134" s="34">
        <v>127</v>
      </c>
      <c r="M134" s="35"/>
      <c r="N134" s="35"/>
      <c r="O134" s="34">
        <f>IFERROR(SUMIF(Table435[,],Table637[[#This Row],[Accounts Name]],Table435[,3]),"")</f>
        <v>0</v>
      </c>
      <c r="P134" s="34">
        <f>IFERROR(SUMIF(Table435[,],Table637[[#This Row],[Accounts Name]],Table435[,2]),"")</f>
        <v>0</v>
      </c>
      <c r="S134" s="36">
        <f t="shared" si="1"/>
        <v>127</v>
      </c>
      <c r="T134" s="34"/>
      <c r="U134" s="37"/>
      <c r="V134" s="34">
        <f>IFERROR(SUMIF(Table637[Sub-Accounts],Table838[[#This Row],[Update your chart of accounts here]],Table637[Debit]),"")</f>
        <v>0</v>
      </c>
      <c r="W134" s="34">
        <f>IFERROR(SUMIF(Table637[Sub-Accounts],Table838[[#This Row],[Update your chart of accounts here]],Table637[Credit]),"")</f>
        <v>0</v>
      </c>
      <c r="X134" s="34"/>
      <c r="Y134" s="34"/>
      <c r="Z134" s="34"/>
      <c r="AA134" s="34"/>
      <c r="AB134" s="34">
        <f>MAX(Table838[[#This Row],[Debit]]+Table838[[#This Row],[Debit -]]-Table838[[#This Row],[Credit]]-Table838[[#This Row],[Credit +]],0)</f>
        <v>0</v>
      </c>
      <c r="AC134" s="34">
        <f>MAX(Table838[[#This Row],[Credit]]-Table838[[#This Row],[Debit]]+Table838[[#This Row],[Credit +]]-Table838[[#This Row],[Debit -]],0)</f>
        <v>0</v>
      </c>
      <c r="AD134" s="34" t="str">
        <f>IFERROR(IF(AND(OR(Table838[[#This Row],[Classification]]="Expense",Table838[[#This Row],[Classification]]="Cost of Goods Sold"),Table838[[#This Row],[Debit\]]&gt;Table838[[#This Row],[Credit.]]),Table838[[#This Row],[Debit\]]-Table838[[#This Row],[Credit.]],""),"")</f>
        <v/>
      </c>
      <c r="AE134" s="34" t="str">
        <f>IFERROR(IF(AND(OR(Table838[[#This Row],[Classification]]="Income",Table838[[#This Row],[Classification]]="Cost of Goods Sold"),Table838[[#This Row],[Credit.]]&gt;Table838[[#This Row],[Debit\]]),Table838[[#This Row],[Credit.]]-Table838[[#This Row],[Debit\]],""),"")</f>
        <v/>
      </c>
      <c r="AF134" s="34"/>
      <c r="AG134" s="34" t="str">
        <f>IFERROR(IF(AND(Table838[[#This Row],[Classification]]="Assets",Table838[[#This Row],[Debit\]]-Table838[[#This Row],[Credit.]]),Table838[[#This Row],[Debit\]]-Table838[[#This Row],[Credit.]],""),"")</f>
        <v/>
      </c>
      <c r="AH134" s="34" t="str">
        <f>IFERROR(IF(AND(OR(Table838[[#This Row],[Classification]]="Liabilities",Table838[[#This Row],[Classification]]="Owner´s Equity"),Table838[[#This Row],[Credit.]]&gt;Table838[[#This Row],[Debit\]]),Table838[[#This Row],[Credit.]]-Table838[[#This Row],[Debit\]],""),"")</f>
        <v/>
      </c>
    </row>
    <row r="135" spans="2:34" hidden="1" x14ac:dyDescent="0.25">
      <c r="B135" s="34"/>
      <c r="C135" s="45"/>
      <c r="D135" s="34"/>
      <c r="E135" s="34"/>
      <c r="G135" s="39"/>
      <c r="H135" s="40"/>
      <c r="I135" s="41"/>
      <c r="J135" s="41"/>
      <c r="L135" s="34">
        <v>128</v>
      </c>
      <c r="M135" s="35"/>
      <c r="N135" s="35"/>
      <c r="O135" s="34">
        <f>IFERROR(SUMIF(Table435[,],Table637[[#This Row],[Accounts Name]],Table435[,3]),"")</f>
        <v>0</v>
      </c>
      <c r="P135" s="34">
        <f>IFERROR(SUMIF(Table435[,],Table637[[#This Row],[Accounts Name]],Table435[,2]),"")</f>
        <v>0</v>
      </c>
      <c r="S135" s="36">
        <f t="shared" si="1"/>
        <v>128</v>
      </c>
      <c r="T135" s="34"/>
      <c r="U135" s="37"/>
      <c r="V135" s="34">
        <f>IFERROR(SUMIF(Table637[Sub-Accounts],Table838[[#This Row],[Update your chart of accounts here]],Table637[Debit]),"")</f>
        <v>0</v>
      </c>
      <c r="W135" s="34">
        <f>IFERROR(SUMIF(Table637[Sub-Accounts],Table838[[#This Row],[Update your chart of accounts here]],Table637[Credit]),"")</f>
        <v>0</v>
      </c>
      <c r="X135" s="34"/>
      <c r="Y135" s="34"/>
      <c r="Z135" s="34"/>
      <c r="AA135" s="34"/>
      <c r="AB135" s="34">
        <f>MAX(Table838[[#This Row],[Debit]]+Table838[[#This Row],[Debit -]]-Table838[[#This Row],[Credit]]-Table838[[#This Row],[Credit +]],0)</f>
        <v>0</v>
      </c>
      <c r="AC135" s="34">
        <f>MAX(Table838[[#This Row],[Credit]]-Table838[[#This Row],[Debit]]+Table838[[#This Row],[Credit +]]-Table838[[#This Row],[Debit -]],0)</f>
        <v>0</v>
      </c>
      <c r="AD135" s="34" t="str">
        <f>IFERROR(IF(AND(OR(Table838[[#This Row],[Classification]]="Expense",Table838[[#This Row],[Classification]]="Cost of Goods Sold"),Table838[[#This Row],[Debit\]]&gt;Table838[[#This Row],[Credit.]]),Table838[[#This Row],[Debit\]]-Table838[[#This Row],[Credit.]],""),"")</f>
        <v/>
      </c>
      <c r="AE135" s="34" t="str">
        <f>IFERROR(IF(AND(OR(Table838[[#This Row],[Classification]]="Income",Table838[[#This Row],[Classification]]="Cost of Goods Sold"),Table838[[#This Row],[Credit.]]&gt;Table838[[#This Row],[Debit\]]),Table838[[#This Row],[Credit.]]-Table838[[#This Row],[Debit\]],""),"")</f>
        <v/>
      </c>
      <c r="AF135" s="34"/>
      <c r="AG135" s="34" t="str">
        <f>IFERROR(IF(AND(Table838[[#This Row],[Classification]]="Assets",Table838[[#This Row],[Debit\]]-Table838[[#This Row],[Credit.]]),Table838[[#This Row],[Debit\]]-Table838[[#This Row],[Credit.]],""),"")</f>
        <v/>
      </c>
      <c r="AH135" s="34" t="str">
        <f>IFERROR(IF(AND(OR(Table838[[#This Row],[Classification]]="Liabilities",Table838[[#This Row],[Classification]]="Owner´s Equity"),Table838[[#This Row],[Credit.]]&gt;Table838[[#This Row],[Debit\]]),Table838[[#This Row],[Credit.]]-Table838[[#This Row],[Debit\]],""),"")</f>
        <v/>
      </c>
    </row>
    <row r="136" spans="2:34" hidden="1" x14ac:dyDescent="0.25">
      <c r="B136" s="34"/>
      <c r="C136" s="45"/>
      <c r="D136" s="34"/>
      <c r="E136" s="34"/>
      <c r="G136" s="39"/>
      <c r="H136" s="40"/>
      <c r="I136" s="41"/>
      <c r="J136" s="41"/>
      <c r="L136" s="34">
        <v>129</v>
      </c>
      <c r="M136" s="35"/>
      <c r="N136" s="35"/>
      <c r="O136" s="34">
        <f>IFERROR(SUMIF(Table435[,],Table637[[#This Row],[Accounts Name]],Table435[,3]),"")</f>
        <v>0</v>
      </c>
      <c r="P136" s="34">
        <f>IFERROR(SUMIF(Table435[,],Table637[[#This Row],[Accounts Name]],Table435[,2]),"")</f>
        <v>0</v>
      </c>
      <c r="S136" s="36">
        <f t="shared" si="1"/>
        <v>129</v>
      </c>
      <c r="T136" s="34"/>
      <c r="U136" s="37"/>
      <c r="V136" s="34">
        <f>IFERROR(SUMIF(Table637[Sub-Accounts],Table838[[#This Row],[Update your chart of accounts here]],Table637[Debit]),"")</f>
        <v>0</v>
      </c>
      <c r="W136" s="34">
        <f>IFERROR(SUMIF(Table637[Sub-Accounts],Table838[[#This Row],[Update your chart of accounts here]],Table637[Credit]),"")</f>
        <v>0</v>
      </c>
      <c r="X136" s="34"/>
      <c r="Y136" s="34"/>
      <c r="Z136" s="34"/>
      <c r="AA136" s="34"/>
      <c r="AB136" s="34">
        <f>MAX(Table838[[#This Row],[Debit]]+Table838[[#This Row],[Debit -]]-Table838[[#This Row],[Credit]]-Table838[[#This Row],[Credit +]],0)</f>
        <v>0</v>
      </c>
      <c r="AC136" s="34">
        <f>MAX(Table838[[#This Row],[Credit]]-Table838[[#This Row],[Debit]]+Table838[[#This Row],[Credit +]]-Table838[[#This Row],[Debit -]],0)</f>
        <v>0</v>
      </c>
      <c r="AD136" s="34" t="str">
        <f>IFERROR(IF(AND(OR(Table838[[#This Row],[Classification]]="Expense",Table838[[#This Row],[Classification]]="Cost of Goods Sold"),Table838[[#This Row],[Debit\]]&gt;Table838[[#This Row],[Credit.]]),Table838[[#This Row],[Debit\]]-Table838[[#This Row],[Credit.]],""),"")</f>
        <v/>
      </c>
      <c r="AE136" s="34" t="str">
        <f>IFERROR(IF(AND(OR(Table838[[#This Row],[Classification]]="Income",Table838[[#This Row],[Classification]]="Cost of Goods Sold"),Table838[[#This Row],[Credit.]]&gt;Table838[[#This Row],[Debit\]]),Table838[[#This Row],[Credit.]]-Table838[[#This Row],[Debit\]],""),"")</f>
        <v/>
      </c>
      <c r="AF136" s="34"/>
      <c r="AG136" s="34" t="str">
        <f>IFERROR(IF(AND(Table838[[#This Row],[Classification]]="Assets",Table838[[#This Row],[Debit\]]-Table838[[#This Row],[Credit.]]),Table838[[#This Row],[Debit\]]-Table838[[#This Row],[Credit.]],""),"")</f>
        <v/>
      </c>
      <c r="AH136" s="34" t="str">
        <f>IFERROR(IF(AND(OR(Table838[[#This Row],[Classification]]="Liabilities",Table838[[#This Row],[Classification]]="Owner´s Equity"),Table838[[#This Row],[Credit.]]&gt;Table838[[#This Row],[Debit\]]),Table838[[#This Row],[Credit.]]-Table838[[#This Row],[Debit\]],""),"")</f>
        <v/>
      </c>
    </row>
    <row r="137" spans="2:34" hidden="1" x14ac:dyDescent="0.25">
      <c r="B137" s="34"/>
      <c r="C137" s="45"/>
      <c r="D137" s="34"/>
      <c r="E137" s="34"/>
      <c r="G137" s="39"/>
      <c r="H137" s="43"/>
      <c r="I137" s="41"/>
      <c r="J137" s="41"/>
      <c r="L137" s="34">
        <v>130</v>
      </c>
      <c r="M137" s="35"/>
      <c r="N137" s="35"/>
      <c r="O137" s="34">
        <f>IFERROR(SUMIF(Table435[,],Table637[[#This Row],[Accounts Name]],Table435[,3]),"")</f>
        <v>0</v>
      </c>
      <c r="P137" s="34">
        <f>IFERROR(SUMIF(Table435[,],Table637[[#This Row],[Accounts Name]],Table435[,2]),"")</f>
        <v>0</v>
      </c>
      <c r="S137" s="36">
        <f t="shared" si="1"/>
        <v>130</v>
      </c>
      <c r="T137" s="34"/>
      <c r="U137" s="37"/>
      <c r="V137" s="34">
        <f>IFERROR(SUMIF(Table637[Sub-Accounts],Table838[[#This Row],[Update your chart of accounts here]],Table637[Debit]),"")</f>
        <v>0</v>
      </c>
      <c r="W137" s="34">
        <f>IFERROR(SUMIF(Table637[Sub-Accounts],Table838[[#This Row],[Update your chart of accounts here]],Table637[Credit]),"")</f>
        <v>0</v>
      </c>
      <c r="X137" s="34"/>
      <c r="Y137" s="34"/>
      <c r="Z137" s="34"/>
      <c r="AA137" s="34"/>
      <c r="AB137" s="34">
        <f>MAX(Table838[[#This Row],[Debit]]+Table838[[#This Row],[Debit -]]-Table838[[#This Row],[Credit]]-Table838[[#This Row],[Credit +]],0)</f>
        <v>0</v>
      </c>
      <c r="AC137" s="34">
        <f>MAX(Table838[[#This Row],[Credit]]-Table838[[#This Row],[Debit]]+Table838[[#This Row],[Credit +]]-Table838[[#This Row],[Debit -]],0)</f>
        <v>0</v>
      </c>
      <c r="AD137" s="34" t="str">
        <f>IFERROR(IF(AND(OR(Table838[[#This Row],[Classification]]="Expense",Table838[[#This Row],[Classification]]="Cost of Goods Sold"),Table838[[#This Row],[Debit\]]&gt;Table838[[#This Row],[Credit.]]),Table838[[#This Row],[Debit\]]-Table838[[#This Row],[Credit.]],""),"")</f>
        <v/>
      </c>
      <c r="AE137" s="34" t="str">
        <f>IFERROR(IF(AND(OR(Table838[[#This Row],[Classification]]="Income",Table838[[#This Row],[Classification]]="Cost of Goods Sold"),Table838[[#This Row],[Credit.]]&gt;Table838[[#This Row],[Debit\]]),Table838[[#This Row],[Credit.]]-Table838[[#This Row],[Debit\]],""),"")</f>
        <v/>
      </c>
      <c r="AF137" s="34"/>
      <c r="AG137" s="34" t="str">
        <f>IFERROR(IF(AND(Table838[[#This Row],[Classification]]="Assets",Table838[[#This Row],[Debit\]]-Table838[[#This Row],[Credit.]]),Table838[[#This Row],[Debit\]]-Table838[[#This Row],[Credit.]],""),"")</f>
        <v/>
      </c>
      <c r="AH137" s="34" t="str">
        <f>IFERROR(IF(AND(OR(Table838[[#This Row],[Classification]]="Liabilities",Table838[[#This Row],[Classification]]="Owner´s Equity"),Table838[[#This Row],[Credit.]]&gt;Table838[[#This Row],[Debit\]]),Table838[[#This Row],[Credit.]]-Table838[[#This Row],[Debit\]],""),"")</f>
        <v/>
      </c>
    </row>
    <row r="138" spans="2:34" hidden="1" x14ac:dyDescent="0.25">
      <c r="B138" s="34"/>
      <c r="C138" s="45"/>
      <c r="D138" s="34"/>
      <c r="E138" s="34"/>
      <c r="G138" s="39"/>
      <c r="H138" s="40"/>
      <c r="I138" s="41"/>
      <c r="J138" s="41"/>
      <c r="L138" s="34">
        <v>131</v>
      </c>
      <c r="M138" s="35"/>
      <c r="N138" s="35"/>
      <c r="O138" s="34">
        <f>IFERROR(SUMIF(Table435[,],Table637[[#This Row],[Accounts Name]],Table435[,3]),"")</f>
        <v>0</v>
      </c>
      <c r="P138" s="34">
        <f>IFERROR(SUMIF(Table435[,],Table637[[#This Row],[Accounts Name]],Table435[,2]),"")</f>
        <v>0</v>
      </c>
      <c r="S138" s="36">
        <f t="shared" ref="S138:S200" si="2">S137+1</f>
        <v>131</v>
      </c>
      <c r="T138" s="34"/>
      <c r="U138" s="37"/>
      <c r="V138" s="34">
        <f>IFERROR(SUMIF(Table637[Sub-Accounts],Table838[[#This Row],[Update your chart of accounts here]],Table637[Debit]),"")</f>
        <v>0</v>
      </c>
      <c r="W138" s="34">
        <f>IFERROR(SUMIF(Table637[Sub-Accounts],Table838[[#This Row],[Update your chart of accounts here]],Table637[Credit]),"")</f>
        <v>0</v>
      </c>
      <c r="X138" s="34"/>
      <c r="Y138" s="34"/>
      <c r="Z138" s="34"/>
      <c r="AA138" s="34"/>
      <c r="AB138" s="34">
        <f>MAX(Table838[[#This Row],[Debit]]+Table838[[#This Row],[Debit -]]-Table838[[#This Row],[Credit]]-Table838[[#This Row],[Credit +]],0)</f>
        <v>0</v>
      </c>
      <c r="AC138" s="34">
        <f>MAX(Table838[[#This Row],[Credit]]-Table838[[#This Row],[Debit]]+Table838[[#This Row],[Credit +]]-Table838[[#This Row],[Debit -]],0)</f>
        <v>0</v>
      </c>
      <c r="AD138" s="34" t="str">
        <f>IFERROR(IF(AND(OR(Table838[[#This Row],[Classification]]="Expense",Table838[[#This Row],[Classification]]="Cost of Goods Sold"),Table838[[#This Row],[Debit\]]&gt;Table838[[#This Row],[Credit.]]),Table838[[#This Row],[Debit\]]-Table838[[#This Row],[Credit.]],""),"")</f>
        <v/>
      </c>
      <c r="AE138" s="34" t="str">
        <f>IFERROR(IF(AND(OR(Table838[[#This Row],[Classification]]="Income",Table838[[#This Row],[Classification]]="Cost of Goods Sold"),Table838[[#This Row],[Credit.]]&gt;Table838[[#This Row],[Debit\]]),Table838[[#This Row],[Credit.]]-Table838[[#This Row],[Debit\]],""),"")</f>
        <v/>
      </c>
      <c r="AF138" s="34"/>
      <c r="AG138" s="34" t="str">
        <f>IFERROR(IF(AND(Table838[[#This Row],[Classification]]="Assets",Table838[[#This Row],[Debit\]]-Table838[[#This Row],[Credit.]]),Table838[[#This Row],[Debit\]]-Table838[[#This Row],[Credit.]],""),"")</f>
        <v/>
      </c>
      <c r="AH138" s="34" t="str">
        <f>IFERROR(IF(AND(OR(Table838[[#This Row],[Classification]]="Liabilities",Table838[[#This Row],[Classification]]="Owner´s Equity"),Table838[[#This Row],[Credit.]]&gt;Table838[[#This Row],[Debit\]]),Table838[[#This Row],[Credit.]]-Table838[[#This Row],[Debit\]],""),"")</f>
        <v/>
      </c>
    </row>
    <row r="139" spans="2:34" hidden="1" x14ac:dyDescent="0.25">
      <c r="B139" s="34"/>
      <c r="C139" s="45"/>
      <c r="D139" s="34"/>
      <c r="E139" s="34"/>
      <c r="G139" s="39"/>
      <c r="H139" s="40"/>
      <c r="I139" s="41"/>
      <c r="J139" s="41"/>
      <c r="L139" s="34">
        <v>132</v>
      </c>
      <c r="M139" s="35"/>
      <c r="N139" s="35"/>
      <c r="O139" s="34">
        <f>IFERROR(SUMIF(Table435[,],Table637[[#This Row],[Accounts Name]],Table435[,3]),"")</f>
        <v>0</v>
      </c>
      <c r="P139" s="34">
        <f>IFERROR(SUMIF(Table435[,],Table637[[#This Row],[Accounts Name]],Table435[,2]),"")</f>
        <v>0</v>
      </c>
      <c r="S139" s="36">
        <f t="shared" si="2"/>
        <v>132</v>
      </c>
      <c r="T139" s="34"/>
      <c r="U139" s="37"/>
      <c r="V139" s="34">
        <f>IFERROR(SUMIF(Table637[Sub-Accounts],Table838[[#This Row],[Update your chart of accounts here]],Table637[Debit]),"")</f>
        <v>0</v>
      </c>
      <c r="W139" s="34">
        <f>IFERROR(SUMIF(Table637[Sub-Accounts],Table838[[#This Row],[Update your chart of accounts here]],Table637[Credit]),"")</f>
        <v>0</v>
      </c>
      <c r="X139" s="34"/>
      <c r="Y139" s="34"/>
      <c r="Z139" s="34"/>
      <c r="AA139" s="34"/>
      <c r="AB139" s="34">
        <f>MAX(Table838[[#This Row],[Debit]]+Table838[[#This Row],[Debit -]]-Table838[[#This Row],[Credit]]-Table838[[#This Row],[Credit +]],0)</f>
        <v>0</v>
      </c>
      <c r="AC139" s="34">
        <f>MAX(Table838[[#This Row],[Credit]]-Table838[[#This Row],[Debit]]+Table838[[#This Row],[Credit +]]-Table838[[#This Row],[Debit -]],0)</f>
        <v>0</v>
      </c>
      <c r="AD139" s="34" t="str">
        <f>IFERROR(IF(AND(OR(Table838[[#This Row],[Classification]]="Expense",Table838[[#This Row],[Classification]]="Cost of Goods Sold"),Table838[[#This Row],[Debit\]]&gt;Table838[[#This Row],[Credit.]]),Table838[[#This Row],[Debit\]]-Table838[[#This Row],[Credit.]],""),"")</f>
        <v/>
      </c>
      <c r="AE139" s="34" t="str">
        <f>IFERROR(IF(AND(OR(Table838[[#This Row],[Classification]]="Income",Table838[[#This Row],[Classification]]="Cost of Goods Sold"),Table838[[#This Row],[Credit.]]&gt;Table838[[#This Row],[Debit\]]),Table838[[#This Row],[Credit.]]-Table838[[#This Row],[Debit\]],""),"")</f>
        <v/>
      </c>
      <c r="AF139" s="34"/>
      <c r="AG139" s="34" t="str">
        <f>IFERROR(IF(AND(Table838[[#This Row],[Classification]]="Assets",Table838[[#This Row],[Debit\]]-Table838[[#This Row],[Credit.]]),Table838[[#This Row],[Debit\]]-Table838[[#This Row],[Credit.]],""),"")</f>
        <v/>
      </c>
      <c r="AH139" s="34" t="str">
        <f>IFERROR(IF(AND(OR(Table838[[#This Row],[Classification]]="Liabilities",Table838[[#This Row],[Classification]]="Owner´s Equity"),Table838[[#This Row],[Credit.]]&gt;Table838[[#This Row],[Debit\]]),Table838[[#This Row],[Credit.]]-Table838[[#This Row],[Debit\]],""),"")</f>
        <v/>
      </c>
    </row>
    <row r="140" spans="2:34" hidden="1" x14ac:dyDescent="0.25">
      <c r="B140" s="34"/>
      <c r="C140" s="45"/>
      <c r="D140" s="34"/>
      <c r="E140" s="34"/>
      <c r="G140" s="39"/>
      <c r="H140" s="43"/>
      <c r="I140" s="41"/>
      <c r="J140" s="41"/>
      <c r="L140" s="34">
        <v>133</v>
      </c>
      <c r="M140" s="35"/>
      <c r="N140" s="35"/>
      <c r="O140" s="34">
        <f>IFERROR(SUMIF(Table435[,],Table637[[#This Row],[Accounts Name]],Table435[,3]),"")</f>
        <v>0</v>
      </c>
      <c r="P140" s="34">
        <f>IFERROR(SUMIF(Table435[,],Table637[[#This Row],[Accounts Name]],Table435[,2]),"")</f>
        <v>0</v>
      </c>
      <c r="S140" s="36">
        <f t="shared" si="2"/>
        <v>133</v>
      </c>
      <c r="T140" s="34"/>
      <c r="U140" s="37"/>
      <c r="V140" s="34">
        <f>IFERROR(SUMIF(Table637[Sub-Accounts],Table838[[#This Row],[Update your chart of accounts here]],Table637[Debit]),"")</f>
        <v>0</v>
      </c>
      <c r="W140" s="34">
        <f>IFERROR(SUMIF(Table637[Sub-Accounts],Table838[[#This Row],[Update your chart of accounts here]],Table637[Credit]),"")</f>
        <v>0</v>
      </c>
      <c r="X140" s="34"/>
      <c r="Y140" s="34"/>
      <c r="Z140" s="34"/>
      <c r="AA140" s="34"/>
      <c r="AB140" s="34">
        <f>MAX(Table838[[#This Row],[Debit]]+Table838[[#This Row],[Debit -]]-Table838[[#This Row],[Credit]]-Table838[[#This Row],[Credit +]],0)</f>
        <v>0</v>
      </c>
      <c r="AC140" s="34">
        <f>MAX(Table838[[#This Row],[Credit]]-Table838[[#This Row],[Debit]]+Table838[[#This Row],[Credit +]]-Table838[[#This Row],[Debit -]],0)</f>
        <v>0</v>
      </c>
      <c r="AD140" s="34" t="str">
        <f>IFERROR(IF(AND(OR(Table838[[#This Row],[Classification]]="Expense",Table838[[#This Row],[Classification]]="Cost of Goods Sold"),Table838[[#This Row],[Debit\]]&gt;Table838[[#This Row],[Credit.]]),Table838[[#This Row],[Debit\]]-Table838[[#This Row],[Credit.]],""),"")</f>
        <v/>
      </c>
      <c r="AE140" s="34" t="str">
        <f>IFERROR(IF(AND(OR(Table838[[#This Row],[Classification]]="Income",Table838[[#This Row],[Classification]]="Cost of Goods Sold"),Table838[[#This Row],[Credit.]]&gt;Table838[[#This Row],[Debit\]]),Table838[[#This Row],[Credit.]]-Table838[[#This Row],[Debit\]],""),"")</f>
        <v/>
      </c>
      <c r="AF140" s="34"/>
      <c r="AG140" s="34" t="str">
        <f>IFERROR(IF(AND(Table838[[#This Row],[Classification]]="Assets",Table838[[#This Row],[Debit\]]-Table838[[#This Row],[Credit.]]),Table838[[#This Row],[Debit\]]-Table838[[#This Row],[Credit.]],""),"")</f>
        <v/>
      </c>
      <c r="AH140" s="34" t="str">
        <f>IFERROR(IF(AND(OR(Table838[[#This Row],[Classification]]="Liabilities",Table838[[#This Row],[Classification]]="Owner´s Equity"),Table838[[#This Row],[Credit.]]&gt;Table838[[#This Row],[Debit\]]),Table838[[#This Row],[Credit.]]-Table838[[#This Row],[Debit\]],""),"")</f>
        <v/>
      </c>
    </row>
    <row r="141" spans="2:34" hidden="1" x14ac:dyDescent="0.25">
      <c r="B141" s="34"/>
      <c r="C141" s="45"/>
      <c r="D141" s="34"/>
      <c r="E141" s="34"/>
      <c r="G141" s="39"/>
      <c r="H141" s="40"/>
      <c r="I141" s="41"/>
      <c r="J141" s="41"/>
      <c r="L141" s="34">
        <v>134</v>
      </c>
      <c r="M141" s="35"/>
      <c r="N141" s="35"/>
      <c r="O141" s="34">
        <f>IFERROR(SUMIF(Table435[,],Table637[[#This Row],[Accounts Name]],Table435[,3]),"")</f>
        <v>0</v>
      </c>
      <c r="P141" s="34">
        <f>IFERROR(SUMIF(Table435[,],Table637[[#This Row],[Accounts Name]],Table435[,2]),"")</f>
        <v>0</v>
      </c>
      <c r="S141" s="36">
        <f t="shared" si="2"/>
        <v>134</v>
      </c>
      <c r="T141" s="34"/>
      <c r="U141" s="37"/>
      <c r="V141" s="34">
        <f>IFERROR(SUMIF(Table637[Sub-Accounts],Table838[[#This Row],[Update your chart of accounts here]],Table637[Debit]),"")</f>
        <v>0</v>
      </c>
      <c r="W141" s="34">
        <f>IFERROR(SUMIF(Table637[Sub-Accounts],Table838[[#This Row],[Update your chart of accounts here]],Table637[Credit]),"")</f>
        <v>0</v>
      </c>
      <c r="X141" s="34"/>
      <c r="Y141" s="34"/>
      <c r="Z141" s="34"/>
      <c r="AA141" s="34"/>
      <c r="AB141" s="34">
        <f>MAX(Table838[[#This Row],[Debit]]+Table838[[#This Row],[Debit -]]-Table838[[#This Row],[Credit]]-Table838[[#This Row],[Credit +]],0)</f>
        <v>0</v>
      </c>
      <c r="AC141" s="34">
        <f>MAX(Table838[[#This Row],[Credit]]-Table838[[#This Row],[Debit]]+Table838[[#This Row],[Credit +]]-Table838[[#This Row],[Debit -]],0)</f>
        <v>0</v>
      </c>
      <c r="AD141" s="34" t="str">
        <f>IFERROR(IF(AND(OR(Table838[[#This Row],[Classification]]="Expense",Table838[[#This Row],[Classification]]="Cost of Goods Sold"),Table838[[#This Row],[Debit\]]&gt;Table838[[#This Row],[Credit.]]),Table838[[#This Row],[Debit\]]-Table838[[#This Row],[Credit.]],""),"")</f>
        <v/>
      </c>
      <c r="AE141" s="34" t="str">
        <f>IFERROR(IF(AND(OR(Table838[[#This Row],[Classification]]="Income",Table838[[#This Row],[Classification]]="Cost of Goods Sold"),Table838[[#This Row],[Credit.]]&gt;Table838[[#This Row],[Debit\]]),Table838[[#This Row],[Credit.]]-Table838[[#This Row],[Debit\]],""),"")</f>
        <v/>
      </c>
      <c r="AF141" s="34"/>
      <c r="AG141" s="34" t="str">
        <f>IFERROR(IF(AND(Table838[[#This Row],[Classification]]="Assets",Table838[[#This Row],[Debit\]]-Table838[[#This Row],[Credit.]]),Table838[[#This Row],[Debit\]]-Table838[[#This Row],[Credit.]],""),"")</f>
        <v/>
      </c>
      <c r="AH141" s="34" t="str">
        <f>IFERROR(IF(AND(OR(Table838[[#This Row],[Classification]]="Liabilities",Table838[[#This Row],[Classification]]="Owner´s Equity"),Table838[[#This Row],[Credit.]]&gt;Table838[[#This Row],[Debit\]]),Table838[[#This Row],[Credit.]]-Table838[[#This Row],[Debit\]],""),"")</f>
        <v/>
      </c>
    </row>
    <row r="142" spans="2:34" hidden="1" x14ac:dyDescent="0.25">
      <c r="B142" s="34"/>
      <c r="C142" s="45"/>
      <c r="D142" s="34"/>
      <c r="E142" s="34"/>
      <c r="G142" s="39"/>
      <c r="H142" s="40"/>
      <c r="I142" s="41"/>
      <c r="J142" s="41"/>
      <c r="L142" s="34">
        <v>135</v>
      </c>
      <c r="M142" s="35"/>
      <c r="N142" s="35"/>
      <c r="O142" s="34">
        <f>IFERROR(SUMIF(Table435[,],Table637[[#This Row],[Accounts Name]],Table435[,3]),"")</f>
        <v>0</v>
      </c>
      <c r="P142" s="34">
        <f>IFERROR(SUMIF(Table435[,],Table637[[#This Row],[Accounts Name]],Table435[,2]),"")</f>
        <v>0</v>
      </c>
      <c r="S142" s="36">
        <f t="shared" si="2"/>
        <v>135</v>
      </c>
      <c r="T142" s="34"/>
      <c r="U142" s="37"/>
      <c r="V142" s="34">
        <f>IFERROR(SUMIF(Table637[Sub-Accounts],Table838[[#This Row],[Update your chart of accounts here]],Table637[Debit]),"")</f>
        <v>0</v>
      </c>
      <c r="W142" s="34">
        <f>IFERROR(SUMIF(Table637[Sub-Accounts],Table838[[#This Row],[Update your chart of accounts here]],Table637[Credit]),"")</f>
        <v>0</v>
      </c>
      <c r="X142" s="34"/>
      <c r="Y142" s="34"/>
      <c r="Z142" s="34"/>
      <c r="AA142" s="34"/>
      <c r="AB142" s="34">
        <f>MAX(Table838[[#This Row],[Debit]]+Table838[[#This Row],[Debit -]]-Table838[[#This Row],[Credit]]-Table838[[#This Row],[Credit +]],0)</f>
        <v>0</v>
      </c>
      <c r="AC142" s="34">
        <f>MAX(Table838[[#This Row],[Credit]]-Table838[[#This Row],[Debit]]+Table838[[#This Row],[Credit +]]-Table838[[#This Row],[Debit -]],0)</f>
        <v>0</v>
      </c>
      <c r="AD142" s="34" t="str">
        <f>IFERROR(IF(AND(OR(Table838[[#This Row],[Classification]]="Expense",Table838[[#This Row],[Classification]]="Cost of Goods Sold"),Table838[[#This Row],[Debit\]]&gt;Table838[[#This Row],[Credit.]]),Table838[[#This Row],[Debit\]]-Table838[[#This Row],[Credit.]],""),"")</f>
        <v/>
      </c>
      <c r="AE142" s="34" t="str">
        <f>IFERROR(IF(AND(OR(Table838[[#This Row],[Classification]]="Income",Table838[[#This Row],[Classification]]="Cost of Goods Sold"),Table838[[#This Row],[Credit.]]&gt;Table838[[#This Row],[Debit\]]),Table838[[#This Row],[Credit.]]-Table838[[#This Row],[Debit\]],""),"")</f>
        <v/>
      </c>
      <c r="AF142" s="34"/>
      <c r="AG142" s="34" t="str">
        <f>IFERROR(IF(AND(Table838[[#This Row],[Classification]]="Assets",Table838[[#This Row],[Debit\]]-Table838[[#This Row],[Credit.]]),Table838[[#This Row],[Debit\]]-Table838[[#This Row],[Credit.]],""),"")</f>
        <v/>
      </c>
      <c r="AH142" s="34" t="str">
        <f>IFERROR(IF(AND(OR(Table838[[#This Row],[Classification]]="Liabilities",Table838[[#This Row],[Classification]]="Owner´s Equity"),Table838[[#This Row],[Credit.]]&gt;Table838[[#This Row],[Debit\]]),Table838[[#This Row],[Credit.]]-Table838[[#This Row],[Debit\]],""),"")</f>
        <v/>
      </c>
    </row>
    <row r="143" spans="2:34" hidden="1" x14ac:dyDescent="0.25">
      <c r="B143" s="34"/>
      <c r="C143" s="45"/>
      <c r="D143" s="34"/>
      <c r="E143" s="34"/>
      <c r="G143" s="39"/>
      <c r="H143" s="43"/>
      <c r="I143" s="41"/>
      <c r="J143" s="41"/>
      <c r="L143" s="34">
        <v>136</v>
      </c>
      <c r="M143" s="35"/>
      <c r="N143" s="35"/>
      <c r="O143" s="34">
        <f>IFERROR(SUMIF(Table435[,],Table637[[#This Row],[Accounts Name]],Table435[,3]),"")</f>
        <v>0</v>
      </c>
      <c r="P143" s="34">
        <f>IFERROR(SUMIF(Table435[,],Table637[[#This Row],[Accounts Name]],Table435[,2]),"")</f>
        <v>0</v>
      </c>
      <c r="S143" s="36">
        <f t="shared" si="2"/>
        <v>136</v>
      </c>
      <c r="T143" s="34"/>
      <c r="U143" s="37"/>
      <c r="V143" s="34">
        <f>IFERROR(SUMIF(Table637[Sub-Accounts],Table838[[#This Row],[Update your chart of accounts here]],Table637[Debit]),"")</f>
        <v>0</v>
      </c>
      <c r="W143" s="34">
        <f>IFERROR(SUMIF(Table637[Sub-Accounts],Table838[[#This Row],[Update your chart of accounts here]],Table637[Credit]),"")</f>
        <v>0</v>
      </c>
      <c r="X143" s="34"/>
      <c r="Y143" s="34"/>
      <c r="Z143" s="34"/>
      <c r="AA143" s="34"/>
      <c r="AB143" s="34">
        <f>MAX(Table838[[#This Row],[Debit]]+Table838[[#This Row],[Debit -]]-Table838[[#This Row],[Credit]]-Table838[[#This Row],[Credit +]],0)</f>
        <v>0</v>
      </c>
      <c r="AC143" s="34">
        <f>MAX(Table838[[#This Row],[Credit]]-Table838[[#This Row],[Debit]]+Table838[[#This Row],[Credit +]]-Table838[[#This Row],[Debit -]],0)</f>
        <v>0</v>
      </c>
      <c r="AD143" s="34" t="str">
        <f>IFERROR(IF(AND(OR(Table838[[#This Row],[Classification]]="Expense",Table838[[#This Row],[Classification]]="Cost of Goods Sold"),Table838[[#This Row],[Debit\]]&gt;Table838[[#This Row],[Credit.]]),Table838[[#This Row],[Debit\]]-Table838[[#This Row],[Credit.]],""),"")</f>
        <v/>
      </c>
      <c r="AE143" s="34" t="str">
        <f>IFERROR(IF(AND(OR(Table838[[#This Row],[Classification]]="Income",Table838[[#This Row],[Classification]]="Cost of Goods Sold"),Table838[[#This Row],[Credit.]]&gt;Table838[[#This Row],[Debit\]]),Table838[[#This Row],[Credit.]]-Table838[[#This Row],[Debit\]],""),"")</f>
        <v/>
      </c>
      <c r="AF143" s="34"/>
      <c r="AG143" s="34" t="str">
        <f>IFERROR(IF(AND(Table838[[#This Row],[Classification]]="Assets",Table838[[#This Row],[Debit\]]-Table838[[#This Row],[Credit.]]),Table838[[#This Row],[Debit\]]-Table838[[#This Row],[Credit.]],""),"")</f>
        <v/>
      </c>
      <c r="AH143" s="34" t="str">
        <f>IFERROR(IF(AND(OR(Table838[[#This Row],[Classification]]="Liabilities",Table838[[#This Row],[Classification]]="Owner´s Equity"),Table838[[#This Row],[Credit.]]&gt;Table838[[#This Row],[Debit\]]),Table838[[#This Row],[Credit.]]-Table838[[#This Row],[Debit\]],""),"")</f>
        <v/>
      </c>
    </row>
    <row r="144" spans="2:34" hidden="1" x14ac:dyDescent="0.25">
      <c r="B144" s="34"/>
      <c r="C144" s="45"/>
      <c r="D144" s="34"/>
      <c r="E144" s="34"/>
      <c r="G144" s="39"/>
      <c r="H144" s="40"/>
      <c r="I144" s="41"/>
      <c r="J144" s="41"/>
      <c r="L144" s="34">
        <v>137</v>
      </c>
      <c r="M144" s="35"/>
      <c r="N144" s="35"/>
      <c r="O144" s="34">
        <f>IFERROR(SUMIF(Table435[,],Table637[[#This Row],[Accounts Name]],Table435[,3]),"")</f>
        <v>0</v>
      </c>
      <c r="P144" s="34">
        <f>IFERROR(SUMIF(Table435[,],Table637[[#This Row],[Accounts Name]],Table435[,2]),"")</f>
        <v>0</v>
      </c>
      <c r="S144" s="36">
        <f t="shared" si="2"/>
        <v>137</v>
      </c>
      <c r="T144" s="34"/>
      <c r="U144" s="37"/>
      <c r="V144" s="34">
        <f>IFERROR(SUMIF(Table637[Sub-Accounts],Table838[[#This Row],[Update your chart of accounts here]],Table637[Debit]),"")</f>
        <v>0</v>
      </c>
      <c r="W144" s="34">
        <f>IFERROR(SUMIF(Table637[Sub-Accounts],Table838[[#This Row],[Update your chart of accounts here]],Table637[Credit]),"")</f>
        <v>0</v>
      </c>
      <c r="X144" s="34"/>
      <c r="Y144" s="34"/>
      <c r="Z144" s="34"/>
      <c r="AA144" s="34"/>
      <c r="AB144" s="34">
        <f>MAX(Table838[[#This Row],[Debit]]+Table838[[#This Row],[Debit -]]-Table838[[#This Row],[Credit]]-Table838[[#This Row],[Credit +]],0)</f>
        <v>0</v>
      </c>
      <c r="AC144" s="34">
        <f>MAX(Table838[[#This Row],[Credit]]-Table838[[#This Row],[Debit]]+Table838[[#This Row],[Credit +]]-Table838[[#This Row],[Debit -]],0)</f>
        <v>0</v>
      </c>
      <c r="AD144" s="34" t="str">
        <f>IFERROR(IF(AND(OR(Table838[[#This Row],[Classification]]="Expense",Table838[[#This Row],[Classification]]="Cost of Goods Sold"),Table838[[#This Row],[Debit\]]&gt;Table838[[#This Row],[Credit.]]),Table838[[#This Row],[Debit\]]-Table838[[#This Row],[Credit.]],""),"")</f>
        <v/>
      </c>
      <c r="AE144" s="34" t="str">
        <f>IFERROR(IF(AND(OR(Table838[[#This Row],[Classification]]="Income",Table838[[#This Row],[Classification]]="Cost of Goods Sold"),Table838[[#This Row],[Credit.]]&gt;Table838[[#This Row],[Debit\]]),Table838[[#This Row],[Credit.]]-Table838[[#This Row],[Debit\]],""),"")</f>
        <v/>
      </c>
      <c r="AF144" s="34"/>
      <c r="AG144" s="34" t="str">
        <f>IFERROR(IF(AND(Table838[[#This Row],[Classification]]="Assets",Table838[[#This Row],[Debit\]]-Table838[[#This Row],[Credit.]]),Table838[[#This Row],[Debit\]]-Table838[[#This Row],[Credit.]],""),"")</f>
        <v/>
      </c>
      <c r="AH144" s="34" t="str">
        <f>IFERROR(IF(AND(OR(Table838[[#This Row],[Classification]]="Liabilities",Table838[[#This Row],[Classification]]="Owner´s Equity"),Table838[[#This Row],[Credit.]]&gt;Table838[[#This Row],[Debit\]]),Table838[[#This Row],[Credit.]]-Table838[[#This Row],[Debit\]],""),"")</f>
        <v/>
      </c>
    </row>
    <row r="145" spans="2:34" hidden="1" x14ac:dyDescent="0.25">
      <c r="B145" s="34"/>
      <c r="C145" s="45"/>
      <c r="D145" s="34"/>
      <c r="E145" s="34"/>
      <c r="G145" s="39"/>
      <c r="H145" s="40"/>
      <c r="I145" s="41"/>
      <c r="J145" s="41"/>
      <c r="L145" s="34">
        <v>138</v>
      </c>
      <c r="M145" s="35"/>
      <c r="N145" s="35"/>
      <c r="O145" s="34">
        <f>IFERROR(SUMIF(Table435[,],Table637[[#This Row],[Accounts Name]],Table435[,3]),"")</f>
        <v>0</v>
      </c>
      <c r="P145" s="34">
        <f>IFERROR(SUMIF(Table435[,],Table637[[#This Row],[Accounts Name]],Table435[,2]),"")</f>
        <v>0</v>
      </c>
      <c r="S145" s="36">
        <f t="shared" si="2"/>
        <v>138</v>
      </c>
      <c r="T145" s="34"/>
      <c r="U145" s="37"/>
      <c r="V145" s="34">
        <f>IFERROR(SUMIF(Table637[Sub-Accounts],Table838[[#This Row],[Update your chart of accounts here]],Table637[Debit]),"")</f>
        <v>0</v>
      </c>
      <c r="W145" s="34">
        <f>IFERROR(SUMIF(Table637[Sub-Accounts],Table838[[#This Row],[Update your chart of accounts here]],Table637[Credit]),"")</f>
        <v>0</v>
      </c>
      <c r="X145" s="34"/>
      <c r="Y145" s="34"/>
      <c r="Z145" s="34"/>
      <c r="AA145" s="34"/>
      <c r="AB145" s="34">
        <f>MAX(Table838[[#This Row],[Debit]]+Table838[[#This Row],[Debit -]]-Table838[[#This Row],[Credit]]-Table838[[#This Row],[Credit +]],0)</f>
        <v>0</v>
      </c>
      <c r="AC145" s="34">
        <f>MAX(Table838[[#This Row],[Credit]]-Table838[[#This Row],[Debit]]+Table838[[#This Row],[Credit +]]-Table838[[#This Row],[Debit -]],0)</f>
        <v>0</v>
      </c>
      <c r="AD145" s="34" t="str">
        <f>IFERROR(IF(AND(OR(Table838[[#This Row],[Classification]]="Expense",Table838[[#This Row],[Classification]]="Cost of Goods Sold"),Table838[[#This Row],[Debit\]]&gt;Table838[[#This Row],[Credit.]]),Table838[[#This Row],[Debit\]]-Table838[[#This Row],[Credit.]],""),"")</f>
        <v/>
      </c>
      <c r="AE145" s="34" t="str">
        <f>IFERROR(IF(AND(OR(Table838[[#This Row],[Classification]]="Income",Table838[[#This Row],[Classification]]="Cost of Goods Sold"),Table838[[#This Row],[Credit.]]&gt;Table838[[#This Row],[Debit\]]),Table838[[#This Row],[Credit.]]-Table838[[#This Row],[Debit\]],""),"")</f>
        <v/>
      </c>
      <c r="AF145" s="34"/>
      <c r="AG145" s="34" t="str">
        <f>IFERROR(IF(AND(Table838[[#This Row],[Classification]]="Assets",Table838[[#This Row],[Debit\]]-Table838[[#This Row],[Credit.]]),Table838[[#This Row],[Debit\]]-Table838[[#This Row],[Credit.]],""),"")</f>
        <v/>
      </c>
      <c r="AH145" s="34" t="str">
        <f>IFERROR(IF(AND(OR(Table838[[#This Row],[Classification]]="Liabilities",Table838[[#This Row],[Classification]]="Owner´s Equity"),Table838[[#This Row],[Credit.]]&gt;Table838[[#This Row],[Debit\]]),Table838[[#This Row],[Credit.]]-Table838[[#This Row],[Debit\]],""),"")</f>
        <v/>
      </c>
    </row>
    <row r="146" spans="2:34" hidden="1" x14ac:dyDescent="0.25">
      <c r="B146" s="34"/>
      <c r="C146" s="45"/>
      <c r="D146" s="34"/>
      <c r="E146" s="34"/>
      <c r="G146" s="39"/>
      <c r="H146" s="43"/>
      <c r="I146" s="41"/>
      <c r="J146" s="41"/>
      <c r="L146" s="34">
        <v>139</v>
      </c>
      <c r="M146" s="35"/>
      <c r="N146" s="35"/>
      <c r="O146" s="34">
        <f>IFERROR(SUMIF(Table435[,],Table637[[#This Row],[Accounts Name]],Table435[,3]),"")</f>
        <v>0</v>
      </c>
      <c r="P146" s="34">
        <f>IFERROR(SUMIF(Table435[,],Table637[[#This Row],[Accounts Name]],Table435[,2]),"")</f>
        <v>0</v>
      </c>
      <c r="S146" s="36">
        <f t="shared" si="2"/>
        <v>139</v>
      </c>
      <c r="T146" s="34"/>
      <c r="U146" s="37"/>
      <c r="V146" s="34">
        <f>IFERROR(SUMIF(Table637[Sub-Accounts],Table838[[#This Row],[Update your chart of accounts here]],Table637[Debit]),"")</f>
        <v>0</v>
      </c>
      <c r="W146" s="34">
        <f>IFERROR(SUMIF(Table637[Sub-Accounts],Table838[[#This Row],[Update your chart of accounts here]],Table637[Credit]),"")</f>
        <v>0</v>
      </c>
      <c r="X146" s="34"/>
      <c r="Y146" s="34"/>
      <c r="Z146" s="34"/>
      <c r="AA146" s="34"/>
      <c r="AB146" s="34">
        <f>MAX(Table838[[#This Row],[Debit]]+Table838[[#This Row],[Debit -]]-Table838[[#This Row],[Credit]]-Table838[[#This Row],[Credit +]],0)</f>
        <v>0</v>
      </c>
      <c r="AC146" s="34">
        <f>MAX(Table838[[#This Row],[Credit]]-Table838[[#This Row],[Debit]]+Table838[[#This Row],[Credit +]]-Table838[[#This Row],[Debit -]],0)</f>
        <v>0</v>
      </c>
      <c r="AD146" s="34" t="str">
        <f>IFERROR(IF(AND(OR(Table838[[#This Row],[Classification]]="Expense",Table838[[#This Row],[Classification]]="Cost of Goods Sold"),Table838[[#This Row],[Debit\]]&gt;Table838[[#This Row],[Credit.]]),Table838[[#This Row],[Debit\]]-Table838[[#This Row],[Credit.]],""),"")</f>
        <v/>
      </c>
      <c r="AE146" s="34" t="str">
        <f>IFERROR(IF(AND(OR(Table838[[#This Row],[Classification]]="Income",Table838[[#This Row],[Classification]]="Cost of Goods Sold"),Table838[[#This Row],[Credit.]]&gt;Table838[[#This Row],[Debit\]]),Table838[[#This Row],[Credit.]]-Table838[[#This Row],[Debit\]],""),"")</f>
        <v/>
      </c>
      <c r="AF146" s="34"/>
      <c r="AG146" s="34" t="str">
        <f>IFERROR(IF(AND(Table838[[#This Row],[Classification]]="Assets",Table838[[#This Row],[Debit\]]-Table838[[#This Row],[Credit.]]),Table838[[#This Row],[Debit\]]-Table838[[#This Row],[Credit.]],""),"")</f>
        <v/>
      </c>
      <c r="AH146" s="34" t="str">
        <f>IFERROR(IF(AND(OR(Table838[[#This Row],[Classification]]="Liabilities",Table838[[#This Row],[Classification]]="Owner´s Equity"),Table838[[#This Row],[Credit.]]&gt;Table838[[#This Row],[Debit\]]),Table838[[#This Row],[Credit.]]-Table838[[#This Row],[Debit\]],""),"")</f>
        <v/>
      </c>
    </row>
    <row r="147" spans="2:34" hidden="1" x14ac:dyDescent="0.25">
      <c r="B147" s="34"/>
      <c r="C147" s="45"/>
      <c r="D147" s="34"/>
      <c r="E147" s="34"/>
      <c r="G147" s="39"/>
      <c r="H147" s="40"/>
      <c r="I147" s="41"/>
      <c r="J147" s="41"/>
      <c r="L147" s="34">
        <v>140</v>
      </c>
      <c r="M147" s="35"/>
      <c r="N147" s="35"/>
      <c r="O147" s="34">
        <f>IFERROR(SUMIF(Table435[,],Table637[[#This Row],[Accounts Name]],Table435[,3]),"")</f>
        <v>0</v>
      </c>
      <c r="P147" s="34">
        <f>IFERROR(SUMIF(Table435[,],Table637[[#This Row],[Accounts Name]],Table435[,2]),"")</f>
        <v>0</v>
      </c>
      <c r="S147" s="36">
        <f t="shared" si="2"/>
        <v>140</v>
      </c>
      <c r="T147" s="34"/>
      <c r="U147" s="37"/>
      <c r="V147" s="34">
        <f>IFERROR(SUMIF(Table637[Sub-Accounts],Table838[[#This Row],[Update your chart of accounts here]],Table637[Debit]),"")</f>
        <v>0</v>
      </c>
      <c r="W147" s="34">
        <f>IFERROR(SUMIF(Table637[Sub-Accounts],Table838[[#This Row],[Update your chart of accounts here]],Table637[Credit]),"")</f>
        <v>0</v>
      </c>
      <c r="X147" s="34"/>
      <c r="Y147" s="34"/>
      <c r="Z147" s="34"/>
      <c r="AA147" s="34"/>
      <c r="AB147" s="34">
        <f>MAX(Table838[[#This Row],[Debit]]+Table838[[#This Row],[Debit -]]-Table838[[#This Row],[Credit]]-Table838[[#This Row],[Credit +]],0)</f>
        <v>0</v>
      </c>
      <c r="AC147" s="34">
        <f>MAX(Table838[[#This Row],[Credit]]-Table838[[#This Row],[Debit]]+Table838[[#This Row],[Credit +]]-Table838[[#This Row],[Debit -]],0)</f>
        <v>0</v>
      </c>
      <c r="AD147" s="34" t="str">
        <f>IFERROR(IF(AND(OR(Table838[[#This Row],[Classification]]="Expense",Table838[[#This Row],[Classification]]="Cost of Goods Sold"),Table838[[#This Row],[Debit\]]&gt;Table838[[#This Row],[Credit.]]),Table838[[#This Row],[Debit\]]-Table838[[#This Row],[Credit.]],""),"")</f>
        <v/>
      </c>
      <c r="AE147" s="34" t="str">
        <f>IFERROR(IF(AND(OR(Table838[[#This Row],[Classification]]="Income",Table838[[#This Row],[Classification]]="Cost of Goods Sold"),Table838[[#This Row],[Credit.]]&gt;Table838[[#This Row],[Debit\]]),Table838[[#This Row],[Credit.]]-Table838[[#This Row],[Debit\]],""),"")</f>
        <v/>
      </c>
      <c r="AF147" s="34"/>
      <c r="AG147" s="34" t="str">
        <f>IFERROR(IF(AND(Table838[[#This Row],[Classification]]="Assets",Table838[[#This Row],[Debit\]]-Table838[[#This Row],[Credit.]]),Table838[[#This Row],[Debit\]]-Table838[[#This Row],[Credit.]],""),"")</f>
        <v/>
      </c>
      <c r="AH147" s="34" t="str">
        <f>IFERROR(IF(AND(OR(Table838[[#This Row],[Classification]]="Liabilities",Table838[[#This Row],[Classification]]="Owner´s Equity"),Table838[[#This Row],[Credit.]]&gt;Table838[[#This Row],[Debit\]]),Table838[[#This Row],[Credit.]]-Table838[[#This Row],[Debit\]],""),"")</f>
        <v/>
      </c>
    </row>
    <row r="148" spans="2:34" hidden="1" x14ac:dyDescent="0.25">
      <c r="B148" s="34"/>
      <c r="C148" s="45"/>
      <c r="D148" s="34"/>
      <c r="E148" s="34"/>
      <c r="G148" s="39"/>
      <c r="H148" s="40"/>
      <c r="I148" s="41"/>
      <c r="J148" s="41"/>
      <c r="L148" s="34">
        <v>141</v>
      </c>
      <c r="M148" s="35"/>
      <c r="N148" s="35"/>
      <c r="O148" s="34">
        <f>IFERROR(SUMIF(Table435[,],Table637[[#This Row],[Accounts Name]],Table435[,3]),"")</f>
        <v>0</v>
      </c>
      <c r="P148" s="34">
        <f>IFERROR(SUMIF(Table435[,],Table637[[#This Row],[Accounts Name]],Table435[,2]),"")</f>
        <v>0</v>
      </c>
      <c r="S148" s="36">
        <f t="shared" si="2"/>
        <v>141</v>
      </c>
      <c r="T148" s="34"/>
      <c r="U148" s="37"/>
      <c r="V148" s="34">
        <f>IFERROR(SUMIF(Table637[Sub-Accounts],Table838[[#This Row],[Update your chart of accounts here]],Table637[Debit]),"")</f>
        <v>0</v>
      </c>
      <c r="W148" s="34">
        <f>IFERROR(SUMIF(Table637[Sub-Accounts],Table838[[#This Row],[Update your chart of accounts here]],Table637[Credit]),"")</f>
        <v>0</v>
      </c>
      <c r="X148" s="34"/>
      <c r="Y148" s="34"/>
      <c r="Z148" s="34"/>
      <c r="AA148" s="34"/>
      <c r="AB148" s="34">
        <f>MAX(Table838[[#This Row],[Debit]]+Table838[[#This Row],[Debit -]]-Table838[[#This Row],[Credit]]-Table838[[#This Row],[Credit +]],0)</f>
        <v>0</v>
      </c>
      <c r="AC148" s="34">
        <f>MAX(Table838[[#This Row],[Credit]]-Table838[[#This Row],[Debit]]+Table838[[#This Row],[Credit +]]-Table838[[#This Row],[Debit -]],0)</f>
        <v>0</v>
      </c>
      <c r="AD148" s="34" t="str">
        <f>IFERROR(IF(AND(OR(Table838[[#This Row],[Classification]]="Expense",Table838[[#This Row],[Classification]]="Cost of Goods Sold"),Table838[[#This Row],[Debit\]]&gt;Table838[[#This Row],[Credit.]]),Table838[[#This Row],[Debit\]]-Table838[[#This Row],[Credit.]],""),"")</f>
        <v/>
      </c>
      <c r="AE148" s="34" t="str">
        <f>IFERROR(IF(AND(OR(Table838[[#This Row],[Classification]]="Income",Table838[[#This Row],[Classification]]="Cost of Goods Sold"),Table838[[#This Row],[Credit.]]&gt;Table838[[#This Row],[Debit\]]),Table838[[#This Row],[Credit.]]-Table838[[#This Row],[Debit\]],""),"")</f>
        <v/>
      </c>
      <c r="AF148" s="34"/>
      <c r="AG148" s="34" t="str">
        <f>IFERROR(IF(AND(Table838[[#This Row],[Classification]]="Assets",Table838[[#This Row],[Debit\]]-Table838[[#This Row],[Credit.]]),Table838[[#This Row],[Debit\]]-Table838[[#This Row],[Credit.]],""),"")</f>
        <v/>
      </c>
      <c r="AH148" s="34" t="str">
        <f>IFERROR(IF(AND(OR(Table838[[#This Row],[Classification]]="Liabilities",Table838[[#This Row],[Classification]]="Owner´s Equity"),Table838[[#This Row],[Credit.]]&gt;Table838[[#This Row],[Debit\]]),Table838[[#This Row],[Credit.]]-Table838[[#This Row],[Debit\]],""),"")</f>
        <v/>
      </c>
    </row>
    <row r="149" spans="2:34" hidden="1" x14ac:dyDescent="0.25">
      <c r="B149" s="34"/>
      <c r="C149" s="45"/>
      <c r="D149" s="34"/>
      <c r="E149" s="34"/>
      <c r="G149" s="39"/>
      <c r="H149" s="43"/>
      <c r="I149" s="41"/>
      <c r="J149" s="41"/>
      <c r="L149" s="34">
        <v>142</v>
      </c>
      <c r="M149" s="35"/>
      <c r="N149" s="35"/>
      <c r="O149" s="34">
        <f>IFERROR(SUMIF(Table435[,],Table637[[#This Row],[Accounts Name]],Table435[,3]),"")</f>
        <v>0</v>
      </c>
      <c r="P149" s="34">
        <f>IFERROR(SUMIF(Table435[,],Table637[[#This Row],[Accounts Name]],Table435[,2]),"")</f>
        <v>0</v>
      </c>
      <c r="S149" s="36">
        <f t="shared" si="2"/>
        <v>142</v>
      </c>
      <c r="T149" s="34"/>
      <c r="U149" s="37"/>
      <c r="V149" s="34">
        <f>IFERROR(SUMIF(Table637[Sub-Accounts],Table838[[#This Row],[Update your chart of accounts here]],Table637[Debit]),"")</f>
        <v>0</v>
      </c>
      <c r="W149" s="34">
        <f>IFERROR(SUMIF(Table637[Sub-Accounts],Table838[[#This Row],[Update your chart of accounts here]],Table637[Credit]),"")</f>
        <v>0</v>
      </c>
      <c r="X149" s="34"/>
      <c r="Y149" s="34"/>
      <c r="Z149" s="34"/>
      <c r="AA149" s="34"/>
      <c r="AB149" s="34">
        <f>MAX(Table838[[#This Row],[Debit]]+Table838[[#This Row],[Debit -]]-Table838[[#This Row],[Credit]]-Table838[[#This Row],[Credit +]],0)</f>
        <v>0</v>
      </c>
      <c r="AC149" s="34">
        <f>MAX(Table838[[#This Row],[Credit]]-Table838[[#This Row],[Debit]]+Table838[[#This Row],[Credit +]]-Table838[[#This Row],[Debit -]],0)</f>
        <v>0</v>
      </c>
      <c r="AD149" s="34" t="str">
        <f>IFERROR(IF(AND(OR(Table838[[#This Row],[Classification]]="Expense",Table838[[#This Row],[Classification]]="Cost of Goods Sold"),Table838[[#This Row],[Debit\]]&gt;Table838[[#This Row],[Credit.]]),Table838[[#This Row],[Debit\]]-Table838[[#This Row],[Credit.]],""),"")</f>
        <v/>
      </c>
      <c r="AE149" s="34" t="str">
        <f>IFERROR(IF(AND(OR(Table838[[#This Row],[Classification]]="Income",Table838[[#This Row],[Classification]]="Cost of Goods Sold"),Table838[[#This Row],[Credit.]]&gt;Table838[[#This Row],[Debit\]]),Table838[[#This Row],[Credit.]]-Table838[[#This Row],[Debit\]],""),"")</f>
        <v/>
      </c>
      <c r="AF149" s="34"/>
      <c r="AG149" s="34" t="str">
        <f>IFERROR(IF(AND(Table838[[#This Row],[Classification]]="Assets",Table838[[#This Row],[Debit\]]-Table838[[#This Row],[Credit.]]),Table838[[#This Row],[Debit\]]-Table838[[#This Row],[Credit.]],""),"")</f>
        <v/>
      </c>
      <c r="AH149" s="34" t="str">
        <f>IFERROR(IF(AND(OR(Table838[[#This Row],[Classification]]="Liabilities",Table838[[#This Row],[Classification]]="Owner´s Equity"),Table838[[#This Row],[Credit.]]&gt;Table838[[#This Row],[Debit\]]),Table838[[#This Row],[Credit.]]-Table838[[#This Row],[Debit\]],""),"")</f>
        <v/>
      </c>
    </row>
    <row r="150" spans="2:34" hidden="1" x14ac:dyDescent="0.25">
      <c r="B150" s="34"/>
      <c r="C150" s="45"/>
      <c r="D150" s="34"/>
      <c r="E150" s="34"/>
      <c r="G150" s="39"/>
      <c r="H150" s="40"/>
      <c r="I150" s="41"/>
      <c r="J150" s="41"/>
      <c r="L150" s="34">
        <v>143</v>
      </c>
      <c r="M150" s="35"/>
      <c r="N150" s="35"/>
      <c r="O150" s="34">
        <f>IFERROR(SUMIF(Table435[,],Table637[[#This Row],[Accounts Name]],Table435[,3]),"")</f>
        <v>0</v>
      </c>
      <c r="P150" s="34">
        <f>IFERROR(SUMIF(Table435[,],Table637[[#This Row],[Accounts Name]],Table435[,2]),"")</f>
        <v>0</v>
      </c>
      <c r="S150" s="36">
        <f t="shared" si="2"/>
        <v>143</v>
      </c>
      <c r="T150" s="34"/>
      <c r="U150" s="37"/>
      <c r="V150" s="34">
        <f>IFERROR(SUMIF(Table637[Sub-Accounts],Table838[[#This Row],[Update your chart of accounts here]],Table637[Debit]),"")</f>
        <v>0</v>
      </c>
      <c r="W150" s="34">
        <f>IFERROR(SUMIF(Table637[Sub-Accounts],Table838[[#This Row],[Update your chart of accounts here]],Table637[Credit]),"")</f>
        <v>0</v>
      </c>
      <c r="X150" s="34"/>
      <c r="Y150" s="34"/>
      <c r="Z150" s="34"/>
      <c r="AA150" s="34"/>
      <c r="AB150" s="34">
        <f>MAX(Table838[[#This Row],[Debit]]+Table838[[#This Row],[Debit -]]-Table838[[#This Row],[Credit]]-Table838[[#This Row],[Credit +]],0)</f>
        <v>0</v>
      </c>
      <c r="AC150" s="34">
        <f>MAX(Table838[[#This Row],[Credit]]-Table838[[#This Row],[Debit]]+Table838[[#This Row],[Credit +]]-Table838[[#This Row],[Debit -]],0)</f>
        <v>0</v>
      </c>
      <c r="AD150" s="34" t="str">
        <f>IFERROR(IF(AND(OR(Table838[[#This Row],[Classification]]="Expense",Table838[[#This Row],[Classification]]="Cost of Goods Sold"),Table838[[#This Row],[Debit\]]&gt;Table838[[#This Row],[Credit.]]),Table838[[#This Row],[Debit\]]-Table838[[#This Row],[Credit.]],""),"")</f>
        <v/>
      </c>
      <c r="AE150" s="34" t="str">
        <f>IFERROR(IF(AND(OR(Table838[[#This Row],[Classification]]="Income",Table838[[#This Row],[Classification]]="Cost of Goods Sold"),Table838[[#This Row],[Credit.]]&gt;Table838[[#This Row],[Debit\]]),Table838[[#This Row],[Credit.]]-Table838[[#This Row],[Debit\]],""),"")</f>
        <v/>
      </c>
      <c r="AF150" s="34"/>
      <c r="AG150" s="34" t="str">
        <f>IFERROR(IF(AND(Table838[[#This Row],[Classification]]="Assets",Table838[[#This Row],[Debit\]]-Table838[[#This Row],[Credit.]]),Table838[[#This Row],[Debit\]]-Table838[[#This Row],[Credit.]],""),"")</f>
        <v/>
      </c>
      <c r="AH150" s="34" t="str">
        <f>IFERROR(IF(AND(OR(Table838[[#This Row],[Classification]]="Liabilities",Table838[[#This Row],[Classification]]="Owner´s Equity"),Table838[[#This Row],[Credit.]]&gt;Table838[[#This Row],[Debit\]]),Table838[[#This Row],[Credit.]]-Table838[[#This Row],[Debit\]],""),"")</f>
        <v/>
      </c>
    </row>
    <row r="151" spans="2:34" hidden="1" x14ac:dyDescent="0.25">
      <c r="B151" s="34"/>
      <c r="C151" s="45"/>
      <c r="D151" s="34"/>
      <c r="E151" s="34"/>
      <c r="G151" s="39"/>
      <c r="H151" s="40"/>
      <c r="I151" s="41"/>
      <c r="J151" s="41"/>
      <c r="L151" s="34">
        <v>144</v>
      </c>
      <c r="M151" s="35"/>
      <c r="N151" s="35"/>
      <c r="O151" s="34">
        <f>IFERROR(SUMIF(Table435[,],Table637[[#This Row],[Accounts Name]],Table435[,3]),"")</f>
        <v>0</v>
      </c>
      <c r="P151" s="34">
        <f>IFERROR(SUMIF(Table435[,],Table637[[#This Row],[Accounts Name]],Table435[,2]),"")</f>
        <v>0</v>
      </c>
      <c r="S151" s="36">
        <f t="shared" si="2"/>
        <v>144</v>
      </c>
      <c r="T151" s="34"/>
      <c r="U151" s="37"/>
      <c r="V151" s="34">
        <f>IFERROR(SUMIF(Table637[Sub-Accounts],Table838[[#This Row],[Update your chart of accounts here]],Table637[Debit]),"")</f>
        <v>0</v>
      </c>
      <c r="W151" s="34">
        <f>IFERROR(SUMIF(Table637[Sub-Accounts],Table838[[#This Row],[Update your chart of accounts here]],Table637[Credit]),"")</f>
        <v>0</v>
      </c>
      <c r="X151" s="34"/>
      <c r="Y151" s="34"/>
      <c r="Z151" s="34"/>
      <c r="AA151" s="34"/>
      <c r="AB151" s="34">
        <f>MAX(Table838[[#This Row],[Debit]]+Table838[[#This Row],[Debit -]]-Table838[[#This Row],[Credit]]-Table838[[#This Row],[Credit +]],0)</f>
        <v>0</v>
      </c>
      <c r="AC151" s="34">
        <f>MAX(Table838[[#This Row],[Credit]]-Table838[[#This Row],[Debit]]+Table838[[#This Row],[Credit +]]-Table838[[#This Row],[Debit -]],0)</f>
        <v>0</v>
      </c>
      <c r="AD151" s="34" t="str">
        <f>IFERROR(IF(AND(OR(Table838[[#This Row],[Classification]]="Expense",Table838[[#This Row],[Classification]]="Cost of Goods Sold"),Table838[[#This Row],[Debit\]]&gt;Table838[[#This Row],[Credit.]]),Table838[[#This Row],[Debit\]]-Table838[[#This Row],[Credit.]],""),"")</f>
        <v/>
      </c>
      <c r="AE151" s="34" t="str">
        <f>IFERROR(IF(AND(OR(Table838[[#This Row],[Classification]]="Income",Table838[[#This Row],[Classification]]="Cost of Goods Sold"),Table838[[#This Row],[Credit.]]&gt;Table838[[#This Row],[Debit\]]),Table838[[#This Row],[Credit.]]-Table838[[#This Row],[Debit\]],""),"")</f>
        <v/>
      </c>
      <c r="AF151" s="34"/>
      <c r="AG151" s="34" t="str">
        <f>IFERROR(IF(AND(Table838[[#This Row],[Classification]]="Assets",Table838[[#This Row],[Debit\]]-Table838[[#This Row],[Credit.]]),Table838[[#This Row],[Debit\]]-Table838[[#This Row],[Credit.]],""),"")</f>
        <v/>
      </c>
      <c r="AH151" s="34" t="str">
        <f>IFERROR(IF(AND(OR(Table838[[#This Row],[Classification]]="Liabilities",Table838[[#This Row],[Classification]]="Owner´s Equity"),Table838[[#This Row],[Credit.]]&gt;Table838[[#This Row],[Debit\]]),Table838[[#This Row],[Credit.]]-Table838[[#This Row],[Debit\]],""),"")</f>
        <v/>
      </c>
    </row>
    <row r="152" spans="2:34" hidden="1" x14ac:dyDescent="0.25">
      <c r="B152" s="34"/>
      <c r="C152" s="45"/>
      <c r="D152" s="34"/>
      <c r="E152" s="34"/>
      <c r="G152" s="39"/>
      <c r="H152" s="43"/>
      <c r="I152" s="41"/>
      <c r="J152" s="41"/>
      <c r="L152" s="34">
        <v>145</v>
      </c>
      <c r="M152" s="35"/>
      <c r="N152" s="35"/>
      <c r="O152" s="34">
        <f>IFERROR(SUMIF(Table435[,],Table637[[#This Row],[Accounts Name]],Table435[,3]),"")</f>
        <v>0</v>
      </c>
      <c r="P152" s="34">
        <f>IFERROR(SUMIF(Table435[,],Table637[[#This Row],[Accounts Name]],Table435[,2]),"")</f>
        <v>0</v>
      </c>
      <c r="S152" s="36">
        <f t="shared" si="2"/>
        <v>145</v>
      </c>
      <c r="T152" s="34"/>
      <c r="U152" s="37"/>
      <c r="V152" s="34">
        <f>IFERROR(SUMIF(Table637[Sub-Accounts],Table838[[#This Row],[Update your chart of accounts here]],Table637[Debit]),"")</f>
        <v>0</v>
      </c>
      <c r="W152" s="34">
        <f>IFERROR(SUMIF(Table637[Sub-Accounts],Table838[[#This Row],[Update your chart of accounts here]],Table637[Credit]),"")</f>
        <v>0</v>
      </c>
      <c r="X152" s="34"/>
      <c r="Y152" s="34"/>
      <c r="Z152" s="34"/>
      <c r="AA152" s="34"/>
      <c r="AB152" s="34">
        <f>MAX(Table838[[#This Row],[Debit]]+Table838[[#This Row],[Debit -]]-Table838[[#This Row],[Credit]]-Table838[[#This Row],[Credit +]],0)</f>
        <v>0</v>
      </c>
      <c r="AC152" s="34">
        <f>MAX(Table838[[#This Row],[Credit]]-Table838[[#This Row],[Debit]]+Table838[[#This Row],[Credit +]]-Table838[[#This Row],[Debit -]],0)</f>
        <v>0</v>
      </c>
      <c r="AD152" s="34" t="str">
        <f>IFERROR(IF(AND(OR(Table838[[#This Row],[Classification]]="Expense",Table838[[#This Row],[Classification]]="Cost of Goods Sold"),Table838[[#This Row],[Debit\]]&gt;Table838[[#This Row],[Credit.]]),Table838[[#This Row],[Debit\]]-Table838[[#This Row],[Credit.]],""),"")</f>
        <v/>
      </c>
      <c r="AE152" s="34" t="str">
        <f>IFERROR(IF(AND(OR(Table838[[#This Row],[Classification]]="Income",Table838[[#This Row],[Classification]]="Cost of Goods Sold"),Table838[[#This Row],[Credit.]]&gt;Table838[[#This Row],[Debit\]]),Table838[[#This Row],[Credit.]]-Table838[[#This Row],[Debit\]],""),"")</f>
        <v/>
      </c>
      <c r="AF152" s="34"/>
      <c r="AG152" s="34" t="str">
        <f>IFERROR(IF(AND(Table838[[#This Row],[Classification]]="Assets",Table838[[#This Row],[Debit\]]-Table838[[#This Row],[Credit.]]),Table838[[#This Row],[Debit\]]-Table838[[#This Row],[Credit.]],""),"")</f>
        <v/>
      </c>
      <c r="AH152" s="34" t="str">
        <f>IFERROR(IF(AND(OR(Table838[[#This Row],[Classification]]="Liabilities",Table838[[#This Row],[Classification]]="Owner´s Equity"),Table838[[#This Row],[Credit.]]&gt;Table838[[#This Row],[Debit\]]),Table838[[#This Row],[Credit.]]-Table838[[#This Row],[Debit\]],""),"")</f>
        <v/>
      </c>
    </row>
    <row r="153" spans="2:34" hidden="1" x14ac:dyDescent="0.25">
      <c r="B153" s="34"/>
      <c r="C153" s="45"/>
      <c r="D153" s="34"/>
      <c r="E153" s="34"/>
      <c r="G153" s="39"/>
      <c r="H153" s="40"/>
      <c r="I153" s="41"/>
      <c r="J153" s="41"/>
      <c r="L153" s="34">
        <v>146</v>
      </c>
      <c r="M153" s="35"/>
      <c r="N153" s="35"/>
      <c r="O153" s="34">
        <f>IFERROR(SUMIF(Table435[,],Table637[[#This Row],[Accounts Name]],Table435[,3]),"")</f>
        <v>0</v>
      </c>
      <c r="P153" s="34">
        <f>IFERROR(SUMIF(Table435[,],Table637[[#This Row],[Accounts Name]],Table435[,2]),"")</f>
        <v>0</v>
      </c>
      <c r="S153" s="36">
        <f t="shared" si="2"/>
        <v>146</v>
      </c>
      <c r="T153" s="34"/>
      <c r="U153" s="37"/>
      <c r="V153" s="34">
        <f>IFERROR(SUMIF(Table637[Sub-Accounts],Table838[[#This Row],[Update your chart of accounts here]],Table637[Debit]),"")</f>
        <v>0</v>
      </c>
      <c r="W153" s="34">
        <f>IFERROR(SUMIF(Table637[Sub-Accounts],Table838[[#This Row],[Update your chart of accounts here]],Table637[Credit]),"")</f>
        <v>0</v>
      </c>
      <c r="X153" s="34"/>
      <c r="Y153" s="34"/>
      <c r="Z153" s="34"/>
      <c r="AA153" s="34"/>
      <c r="AB153" s="34">
        <f>MAX(Table838[[#This Row],[Debit]]+Table838[[#This Row],[Debit -]]-Table838[[#This Row],[Credit]]-Table838[[#This Row],[Credit +]],0)</f>
        <v>0</v>
      </c>
      <c r="AC153" s="34">
        <f>MAX(Table838[[#This Row],[Credit]]-Table838[[#This Row],[Debit]]+Table838[[#This Row],[Credit +]]-Table838[[#This Row],[Debit -]],0)</f>
        <v>0</v>
      </c>
      <c r="AD153" s="34" t="str">
        <f>IFERROR(IF(AND(OR(Table838[[#This Row],[Classification]]="Expense",Table838[[#This Row],[Classification]]="Cost of Goods Sold"),Table838[[#This Row],[Debit\]]&gt;Table838[[#This Row],[Credit.]]),Table838[[#This Row],[Debit\]]-Table838[[#This Row],[Credit.]],""),"")</f>
        <v/>
      </c>
      <c r="AE153" s="34" t="str">
        <f>IFERROR(IF(AND(OR(Table838[[#This Row],[Classification]]="Income",Table838[[#This Row],[Classification]]="Cost of Goods Sold"),Table838[[#This Row],[Credit.]]&gt;Table838[[#This Row],[Debit\]]),Table838[[#This Row],[Credit.]]-Table838[[#This Row],[Debit\]],""),"")</f>
        <v/>
      </c>
      <c r="AF153" s="34"/>
      <c r="AG153" s="34" t="str">
        <f>IFERROR(IF(AND(Table838[[#This Row],[Classification]]="Assets",Table838[[#This Row],[Debit\]]-Table838[[#This Row],[Credit.]]),Table838[[#This Row],[Debit\]]-Table838[[#This Row],[Credit.]],""),"")</f>
        <v/>
      </c>
      <c r="AH153" s="34" t="str">
        <f>IFERROR(IF(AND(OR(Table838[[#This Row],[Classification]]="Liabilities",Table838[[#This Row],[Classification]]="Owner´s Equity"),Table838[[#This Row],[Credit.]]&gt;Table838[[#This Row],[Debit\]]),Table838[[#This Row],[Credit.]]-Table838[[#This Row],[Debit\]],""),"")</f>
        <v/>
      </c>
    </row>
    <row r="154" spans="2:34" hidden="1" x14ac:dyDescent="0.25">
      <c r="B154" s="34"/>
      <c r="C154" s="45"/>
      <c r="D154" s="34"/>
      <c r="E154" s="34"/>
      <c r="G154" s="39"/>
      <c r="H154" s="40"/>
      <c r="I154" s="41"/>
      <c r="J154" s="41"/>
      <c r="L154" s="34">
        <v>147</v>
      </c>
      <c r="M154" s="35"/>
      <c r="N154" s="35"/>
      <c r="O154" s="34">
        <f>IFERROR(SUMIF(Table435[,],Table637[[#This Row],[Accounts Name]],Table435[,3]),"")</f>
        <v>0</v>
      </c>
      <c r="P154" s="34">
        <f>IFERROR(SUMIF(Table435[,],Table637[[#This Row],[Accounts Name]],Table435[,2]),"")</f>
        <v>0</v>
      </c>
      <c r="S154" s="36">
        <f t="shared" si="2"/>
        <v>147</v>
      </c>
      <c r="T154" s="34"/>
      <c r="U154" s="37"/>
      <c r="V154" s="34">
        <f>IFERROR(SUMIF(Table637[Sub-Accounts],Table838[[#This Row],[Update your chart of accounts here]],Table637[Debit]),"")</f>
        <v>0</v>
      </c>
      <c r="W154" s="34">
        <f>IFERROR(SUMIF(Table637[Sub-Accounts],Table838[[#This Row],[Update your chart of accounts here]],Table637[Credit]),"")</f>
        <v>0</v>
      </c>
      <c r="X154" s="34"/>
      <c r="Y154" s="34"/>
      <c r="Z154" s="34"/>
      <c r="AA154" s="34"/>
      <c r="AB154" s="34">
        <f>MAX(Table838[[#This Row],[Debit]]+Table838[[#This Row],[Debit -]]-Table838[[#This Row],[Credit]]-Table838[[#This Row],[Credit +]],0)</f>
        <v>0</v>
      </c>
      <c r="AC154" s="34">
        <f>MAX(Table838[[#This Row],[Credit]]-Table838[[#This Row],[Debit]]+Table838[[#This Row],[Credit +]]-Table838[[#This Row],[Debit -]],0)</f>
        <v>0</v>
      </c>
      <c r="AD154" s="34" t="str">
        <f>IFERROR(IF(AND(OR(Table838[[#This Row],[Classification]]="Expense",Table838[[#This Row],[Classification]]="Cost of Goods Sold"),Table838[[#This Row],[Debit\]]&gt;Table838[[#This Row],[Credit.]]),Table838[[#This Row],[Debit\]]-Table838[[#This Row],[Credit.]],""),"")</f>
        <v/>
      </c>
      <c r="AE154" s="34" t="str">
        <f>IFERROR(IF(AND(OR(Table838[[#This Row],[Classification]]="Income",Table838[[#This Row],[Classification]]="Cost of Goods Sold"),Table838[[#This Row],[Credit.]]&gt;Table838[[#This Row],[Debit\]]),Table838[[#This Row],[Credit.]]-Table838[[#This Row],[Debit\]],""),"")</f>
        <v/>
      </c>
      <c r="AF154" s="34"/>
      <c r="AG154" s="34" t="str">
        <f>IFERROR(IF(AND(Table838[[#This Row],[Classification]]="Assets",Table838[[#This Row],[Debit\]]-Table838[[#This Row],[Credit.]]),Table838[[#This Row],[Debit\]]-Table838[[#This Row],[Credit.]],""),"")</f>
        <v/>
      </c>
      <c r="AH154" s="34" t="str">
        <f>IFERROR(IF(AND(OR(Table838[[#This Row],[Classification]]="Liabilities",Table838[[#This Row],[Classification]]="Owner´s Equity"),Table838[[#This Row],[Credit.]]&gt;Table838[[#This Row],[Debit\]]),Table838[[#This Row],[Credit.]]-Table838[[#This Row],[Debit\]],""),"")</f>
        <v/>
      </c>
    </row>
    <row r="155" spans="2:34" hidden="1" x14ac:dyDescent="0.25">
      <c r="B155" s="34"/>
      <c r="C155" s="45"/>
      <c r="D155" s="34"/>
      <c r="E155" s="34"/>
      <c r="G155" s="39"/>
      <c r="H155" s="43"/>
      <c r="I155" s="41"/>
      <c r="J155" s="41"/>
      <c r="L155" s="34">
        <v>148</v>
      </c>
      <c r="M155" s="35"/>
      <c r="N155" s="35"/>
      <c r="O155" s="34">
        <f>IFERROR(SUMIF(Table435[,],Table637[[#This Row],[Accounts Name]],Table435[,3]),"")</f>
        <v>0</v>
      </c>
      <c r="P155" s="34">
        <f>IFERROR(SUMIF(Table435[,],Table637[[#This Row],[Accounts Name]],Table435[,2]),"")</f>
        <v>0</v>
      </c>
      <c r="S155" s="36">
        <f t="shared" si="2"/>
        <v>148</v>
      </c>
      <c r="T155" s="34"/>
      <c r="U155" s="37"/>
      <c r="V155" s="34">
        <f>IFERROR(SUMIF(Table637[Sub-Accounts],Table838[[#This Row],[Update your chart of accounts here]],Table637[Debit]),"")</f>
        <v>0</v>
      </c>
      <c r="W155" s="34">
        <f>IFERROR(SUMIF(Table637[Sub-Accounts],Table838[[#This Row],[Update your chart of accounts here]],Table637[Credit]),"")</f>
        <v>0</v>
      </c>
      <c r="X155" s="34"/>
      <c r="Y155" s="34"/>
      <c r="Z155" s="34"/>
      <c r="AA155" s="34"/>
      <c r="AB155" s="34">
        <f>MAX(Table838[[#This Row],[Debit]]+Table838[[#This Row],[Debit -]]-Table838[[#This Row],[Credit]]-Table838[[#This Row],[Credit +]],0)</f>
        <v>0</v>
      </c>
      <c r="AC155" s="34">
        <f>MAX(Table838[[#This Row],[Credit]]-Table838[[#This Row],[Debit]]+Table838[[#This Row],[Credit +]]-Table838[[#This Row],[Debit -]],0)</f>
        <v>0</v>
      </c>
      <c r="AD155" s="34" t="str">
        <f>IFERROR(IF(AND(OR(Table838[[#This Row],[Classification]]="Expense",Table838[[#This Row],[Classification]]="Cost of Goods Sold"),Table838[[#This Row],[Debit\]]&gt;Table838[[#This Row],[Credit.]]),Table838[[#This Row],[Debit\]]-Table838[[#This Row],[Credit.]],""),"")</f>
        <v/>
      </c>
      <c r="AE155" s="34" t="str">
        <f>IFERROR(IF(AND(OR(Table838[[#This Row],[Classification]]="Income",Table838[[#This Row],[Classification]]="Cost of Goods Sold"),Table838[[#This Row],[Credit.]]&gt;Table838[[#This Row],[Debit\]]),Table838[[#This Row],[Credit.]]-Table838[[#This Row],[Debit\]],""),"")</f>
        <v/>
      </c>
      <c r="AF155" s="34"/>
      <c r="AG155" s="34" t="str">
        <f>IFERROR(IF(AND(Table838[[#This Row],[Classification]]="Assets",Table838[[#This Row],[Debit\]]-Table838[[#This Row],[Credit.]]),Table838[[#This Row],[Debit\]]-Table838[[#This Row],[Credit.]],""),"")</f>
        <v/>
      </c>
      <c r="AH155" s="34" t="str">
        <f>IFERROR(IF(AND(OR(Table838[[#This Row],[Classification]]="Liabilities",Table838[[#This Row],[Classification]]="Owner´s Equity"),Table838[[#This Row],[Credit.]]&gt;Table838[[#This Row],[Debit\]]),Table838[[#This Row],[Credit.]]-Table838[[#This Row],[Debit\]],""),"")</f>
        <v/>
      </c>
    </row>
    <row r="156" spans="2:34" hidden="1" x14ac:dyDescent="0.25">
      <c r="B156" s="34"/>
      <c r="C156" s="45"/>
      <c r="D156" s="34"/>
      <c r="E156" s="34"/>
      <c r="G156" s="39"/>
      <c r="H156" s="40"/>
      <c r="I156" s="41"/>
      <c r="J156" s="41"/>
      <c r="L156" s="34">
        <v>149</v>
      </c>
      <c r="M156" s="35"/>
      <c r="N156" s="35"/>
      <c r="O156" s="34">
        <f>IFERROR(SUMIF(Table435[,],Table637[[#This Row],[Accounts Name]],Table435[,3]),"")</f>
        <v>0</v>
      </c>
      <c r="P156" s="34">
        <f>IFERROR(SUMIF(Table435[,],Table637[[#This Row],[Accounts Name]],Table435[,2]),"")</f>
        <v>0</v>
      </c>
      <c r="S156" s="36">
        <f t="shared" si="2"/>
        <v>149</v>
      </c>
      <c r="T156" s="34"/>
      <c r="U156" s="37"/>
      <c r="V156" s="34">
        <f>IFERROR(SUMIF(Table637[Sub-Accounts],Table838[[#This Row],[Update your chart of accounts here]],Table637[Debit]),"")</f>
        <v>0</v>
      </c>
      <c r="W156" s="34">
        <f>IFERROR(SUMIF(Table637[Sub-Accounts],Table838[[#This Row],[Update your chart of accounts here]],Table637[Credit]),"")</f>
        <v>0</v>
      </c>
      <c r="X156" s="34"/>
      <c r="Y156" s="34"/>
      <c r="Z156" s="34"/>
      <c r="AA156" s="34"/>
      <c r="AB156" s="34">
        <f>MAX(Table838[[#This Row],[Debit]]+Table838[[#This Row],[Debit -]]-Table838[[#This Row],[Credit]]-Table838[[#This Row],[Credit +]],0)</f>
        <v>0</v>
      </c>
      <c r="AC156" s="34">
        <f>MAX(Table838[[#This Row],[Credit]]-Table838[[#This Row],[Debit]]+Table838[[#This Row],[Credit +]]-Table838[[#This Row],[Debit -]],0)</f>
        <v>0</v>
      </c>
      <c r="AD156" s="34" t="str">
        <f>IFERROR(IF(AND(OR(Table838[[#This Row],[Classification]]="Expense",Table838[[#This Row],[Classification]]="Cost of Goods Sold"),Table838[[#This Row],[Debit\]]&gt;Table838[[#This Row],[Credit.]]),Table838[[#This Row],[Debit\]]-Table838[[#This Row],[Credit.]],""),"")</f>
        <v/>
      </c>
      <c r="AE156" s="34" t="str">
        <f>IFERROR(IF(AND(OR(Table838[[#This Row],[Classification]]="Income",Table838[[#This Row],[Classification]]="Cost of Goods Sold"),Table838[[#This Row],[Credit.]]&gt;Table838[[#This Row],[Debit\]]),Table838[[#This Row],[Credit.]]-Table838[[#This Row],[Debit\]],""),"")</f>
        <v/>
      </c>
      <c r="AF156" s="34"/>
      <c r="AG156" s="34" t="str">
        <f>IFERROR(IF(AND(Table838[[#This Row],[Classification]]="Assets",Table838[[#This Row],[Debit\]]-Table838[[#This Row],[Credit.]]),Table838[[#This Row],[Debit\]]-Table838[[#This Row],[Credit.]],""),"")</f>
        <v/>
      </c>
      <c r="AH156" s="34" t="str">
        <f>IFERROR(IF(AND(OR(Table838[[#This Row],[Classification]]="Liabilities",Table838[[#This Row],[Classification]]="Owner´s Equity"),Table838[[#This Row],[Credit.]]&gt;Table838[[#This Row],[Debit\]]),Table838[[#This Row],[Credit.]]-Table838[[#This Row],[Debit\]],""),"")</f>
        <v/>
      </c>
    </row>
    <row r="157" spans="2:34" hidden="1" x14ac:dyDescent="0.25">
      <c r="B157" s="34"/>
      <c r="C157" s="45"/>
      <c r="D157" s="34"/>
      <c r="E157" s="34"/>
      <c r="G157" s="39"/>
      <c r="H157" s="40"/>
      <c r="I157" s="41"/>
      <c r="J157" s="41"/>
      <c r="L157" s="34">
        <v>150</v>
      </c>
      <c r="M157" s="35"/>
      <c r="N157" s="35"/>
      <c r="O157" s="34">
        <f>IFERROR(SUMIF(Table435[,],Table637[[#This Row],[Accounts Name]],Table435[,3]),"")</f>
        <v>0</v>
      </c>
      <c r="P157" s="34">
        <f>IFERROR(SUMIF(Table435[,],Table637[[#This Row],[Accounts Name]],Table435[,2]),"")</f>
        <v>0</v>
      </c>
      <c r="S157" s="36">
        <f t="shared" si="2"/>
        <v>150</v>
      </c>
      <c r="T157" s="34"/>
      <c r="U157" s="37"/>
      <c r="V157" s="34">
        <f>IFERROR(SUMIF(Table637[Sub-Accounts],Table838[[#This Row],[Update your chart of accounts here]],Table637[Debit]),"")</f>
        <v>0</v>
      </c>
      <c r="W157" s="34">
        <f>IFERROR(SUMIF(Table637[Sub-Accounts],Table838[[#This Row],[Update your chart of accounts here]],Table637[Credit]),"")</f>
        <v>0</v>
      </c>
      <c r="X157" s="34"/>
      <c r="Y157" s="34"/>
      <c r="Z157" s="34"/>
      <c r="AA157" s="34"/>
      <c r="AB157" s="34">
        <f>MAX(Table838[[#This Row],[Debit]]+Table838[[#This Row],[Debit -]]-Table838[[#This Row],[Credit]]-Table838[[#This Row],[Credit +]],0)</f>
        <v>0</v>
      </c>
      <c r="AC157" s="34">
        <f>MAX(Table838[[#This Row],[Credit]]-Table838[[#This Row],[Debit]]+Table838[[#This Row],[Credit +]]-Table838[[#This Row],[Debit -]],0)</f>
        <v>0</v>
      </c>
      <c r="AD157" s="34" t="str">
        <f>IFERROR(IF(AND(OR(Table838[[#This Row],[Classification]]="Expense",Table838[[#This Row],[Classification]]="Cost of Goods Sold"),Table838[[#This Row],[Debit\]]&gt;Table838[[#This Row],[Credit.]]),Table838[[#This Row],[Debit\]]-Table838[[#This Row],[Credit.]],""),"")</f>
        <v/>
      </c>
      <c r="AE157" s="34" t="str">
        <f>IFERROR(IF(AND(OR(Table838[[#This Row],[Classification]]="Income",Table838[[#This Row],[Classification]]="Cost of Goods Sold"),Table838[[#This Row],[Credit.]]&gt;Table838[[#This Row],[Debit\]]),Table838[[#This Row],[Credit.]]-Table838[[#This Row],[Debit\]],""),"")</f>
        <v/>
      </c>
      <c r="AF157" s="34"/>
      <c r="AG157" s="34" t="str">
        <f>IFERROR(IF(AND(Table838[[#This Row],[Classification]]="Assets",Table838[[#This Row],[Debit\]]-Table838[[#This Row],[Credit.]]),Table838[[#This Row],[Debit\]]-Table838[[#This Row],[Credit.]],""),"")</f>
        <v/>
      </c>
      <c r="AH157" s="34" t="str">
        <f>IFERROR(IF(AND(OR(Table838[[#This Row],[Classification]]="Liabilities",Table838[[#This Row],[Classification]]="Owner´s Equity"),Table838[[#This Row],[Credit.]]&gt;Table838[[#This Row],[Debit\]]),Table838[[#This Row],[Credit.]]-Table838[[#This Row],[Debit\]],""),"")</f>
        <v/>
      </c>
    </row>
    <row r="158" spans="2:34" hidden="1" x14ac:dyDescent="0.25">
      <c r="B158" s="34"/>
      <c r="C158" s="45"/>
      <c r="D158" s="34"/>
      <c r="E158" s="34"/>
      <c r="G158" s="39"/>
      <c r="H158" s="43"/>
      <c r="I158" s="41"/>
      <c r="J158" s="41"/>
      <c r="L158" s="34">
        <v>151</v>
      </c>
      <c r="M158" s="35"/>
      <c r="N158" s="35"/>
      <c r="O158" s="34">
        <f>IFERROR(SUMIF(Table435[,],Table637[[#This Row],[Accounts Name]],Table435[,3]),"")</f>
        <v>0</v>
      </c>
      <c r="P158" s="34">
        <f>IFERROR(SUMIF(Table435[,],Table637[[#This Row],[Accounts Name]],Table435[,2]),"")</f>
        <v>0</v>
      </c>
      <c r="S158" s="36">
        <f t="shared" si="2"/>
        <v>151</v>
      </c>
      <c r="T158" s="34"/>
      <c r="U158" s="37"/>
      <c r="V158" s="34">
        <f>IFERROR(SUMIF(Table637[Sub-Accounts],Table838[[#This Row],[Update your chart of accounts here]],Table637[Debit]),"")</f>
        <v>0</v>
      </c>
      <c r="W158" s="34">
        <f>IFERROR(SUMIF(Table637[Sub-Accounts],Table838[[#This Row],[Update your chart of accounts here]],Table637[Credit]),"")</f>
        <v>0</v>
      </c>
      <c r="X158" s="34"/>
      <c r="Y158" s="34"/>
      <c r="Z158" s="34"/>
      <c r="AA158" s="34"/>
      <c r="AB158" s="34">
        <f>MAX(Table838[[#This Row],[Debit]]+Table838[[#This Row],[Debit -]]-Table838[[#This Row],[Credit]]-Table838[[#This Row],[Credit +]],0)</f>
        <v>0</v>
      </c>
      <c r="AC158" s="34">
        <f>MAX(Table838[[#This Row],[Credit]]-Table838[[#This Row],[Debit]]+Table838[[#This Row],[Credit +]]-Table838[[#This Row],[Debit -]],0)</f>
        <v>0</v>
      </c>
      <c r="AD158" s="34" t="str">
        <f>IFERROR(IF(AND(OR(Table838[[#This Row],[Classification]]="Expense",Table838[[#This Row],[Classification]]="Cost of Goods Sold"),Table838[[#This Row],[Debit\]]&gt;Table838[[#This Row],[Credit.]]),Table838[[#This Row],[Debit\]]-Table838[[#This Row],[Credit.]],""),"")</f>
        <v/>
      </c>
      <c r="AE158" s="34" t="str">
        <f>IFERROR(IF(AND(OR(Table838[[#This Row],[Classification]]="Income",Table838[[#This Row],[Classification]]="Cost of Goods Sold"),Table838[[#This Row],[Credit.]]&gt;Table838[[#This Row],[Debit\]]),Table838[[#This Row],[Credit.]]-Table838[[#This Row],[Debit\]],""),"")</f>
        <v/>
      </c>
      <c r="AF158" s="34"/>
      <c r="AG158" s="34" t="str">
        <f>IFERROR(IF(AND(Table838[[#This Row],[Classification]]="Assets",Table838[[#This Row],[Debit\]]-Table838[[#This Row],[Credit.]]),Table838[[#This Row],[Debit\]]-Table838[[#This Row],[Credit.]],""),"")</f>
        <v/>
      </c>
      <c r="AH158" s="34" t="str">
        <f>IFERROR(IF(AND(OR(Table838[[#This Row],[Classification]]="Liabilities",Table838[[#This Row],[Classification]]="Owner´s Equity"),Table838[[#This Row],[Credit.]]&gt;Table838[[#This Row],[Debit\]]),Table838[[#This Row],[Credit.]]-Table838[[#This Row],[Debit\]],""),"")</f>
        <v/>
      </c>
    </row>
    <row r="159" spans="2:34" hidden="1" x14ac:dyDescent="0.25">
      <c r="B159" s="34"/>
      <c r="C159" s="45"/>
      <c r="D159" s="34"/>
      <c r="E159" s="34"/>
      <c r="G159" s="39"/>
      <c r="H159" s="40"/>
      <c r="I159" s="41"/>
      <c r="J159" s="41"/>
      <c r="L159" s="34">
        <v>152</v>
      </c>
      <c r="M159" s="35"/>
      <c r="N159" s="35"/>
      <c r="O159" s="34">
        <f>IFERROR(SUMIF(Table435[,],Table637[[#This Row],[Accounts Name]],Table435[,3]),"")</f>
        <v>0</v>
      </c>
      <c r="P159" s="34">
        <f>IFERROR(SUMIF(Table435[,],Table637[[#This Row],[Accounts Name]],Table435[,2]),"")</f>
        <v>0</v>
      </c>
      <c r="S159" s="36">
        <f t="shared" si="2"/>
        <v>152</v>
      </c>
      <c r="T159" s="34"/>
      <c r="U159" s="37"/>
      <c r="V159" s="34">
        <f>IFERROR(SUMIF(Table637[Sub-Accounts],Table838[[#This Row],[Update your chart of accounts here]],Table637[Debit]),"")</f>
        <v>0</v>
      </c>
      <c r="W159" s="34">
        <f>IFERROR(SUMIF(Table637[Sub-Accounts],Table838[[#This Row],[Update your chart of accounts here]],Table637[Credit]),"")</f>
        <v>0</v>
      </c>
      <c r="X159" s="34"/>
      <c r="Y159" s="34"/>
      <c r="Z159" s="34"/>
      <c r="AA159" s="34"/>
      <c r="AB159" s="34">
        <f>MAX(Table838[[#This Row],[Debit]]+Table838[[#This Row],[Debit -]]-Table838[[#This Row],[Credit]]-Table838[[#This Row],[Credit +]],0)</f>
        <v>0</v>
      </c>
      <c r="AC159" s="34">
        <f>MAX(Table838[[#This Row],[Credit]]-Table838[[#This Row],[Debit]]+Table838[[#This Row],[Credit +]]-Table838[[#This Row],[Debit -]],0)</f>
        <v>0</v>
      </c>
      <c r="AD159" s="34" t="str">
        <f>IFERROR(IF(AND(OR(Table838[[#This Row],[Classification]]="Expense",Table838[[#This Row],[Classification]]="Cost of Goods Sold"),Table838[[#This Row],[Debit\]]&gt;Table838[[#This Row],[Credit.]]),Table838[[#This Row],[Debit\]]-Table838[[#This Row],[Credit.]],""),"")</f>
        <v/>
      </c>
      <c r="AE159" s="34" t="str">
        <f>IFERROR(IF(AND(OR(Table838[[#This Row],[Classification]]="Income",Table838[[#This Row],[Classification]]="Cost of Goods Sold"),Table838[[#This Row],[Credit.]]&gt;Table838[[#This Row],[Debit\]]),Table838[[#This Row],[Credit.]]-Table838[[#This Row],[Debit\]],""),"")</f>
        <v/>
      </c>
      <c r="AF159" s="34"/>
      <c r="AG159" s="34" t="str">
        <f>IFERROR(IF(AND(Table838[[#This Row],[Classification]]="Assets",Table838[[#This Row],[Debit\]]-Table838[[#This Row],[Credit.]]),Table838[[#This Row],[Debit\]]-Table838[[#This Row],[Credit.]],""),"")</f>
        <v/>
      </c>
      <c r="AH159" s="34" t="str">
        <f>IFERROR(IF(AND(OR(Table838[[#This Row],[Classification]]="Liabilities",Table838[[#This Row],[Classification]]="Owner´s Equity"),Table838[[#This Row],[Credit.]]&gt;Table838[[#This Row],[Debit\]]),Table838[[#This Row],[Credit.]]-Table838[[#This Row],[Debit\]],""),"")</f>
        <v/>
      </c>
    </row>
    <row r="160" spans="2:34" hidden="1" x14ac:dyDescent="0.25">
      <c r="B160" s="34"/>
      <c r="C160" s="45"/>
      <c r="D160" s="34"/>
      <c r="E160" s="34"/>
      <c r="G160" s="39"/>
      <c r="H160" s="40"/>
      <c r="I160" s="41"/>
      <c r="J160" s="41"/>
      <c r="L160" s="34">
        <v>153</v>
      </c>
      <c r="M160" s="35"/>
      <c r="N160" s="35"/>
      <c r="O160" s="34">
        <f>IFERROR(SUMIF(Table435[,],Table637[[#This Row],[Accounts Name]],Table435[,3]),"")</f>
        <v>0</v>
      </c>
      <c r="P160" s="34">
        <f>IFERROR(SUMIF(Table435[,],Table637[[#This Row],[Accounts Name]],Table435[,2]),"")</f>
        <v>0</v>
      </c>
      <c r="S160" s="36">
        <f t="shared" si="2"/>
        <v>153</v>
      </c>
      <c r="T160" s="34"/>
      <c r="U160" s="37"/>
      <c r="V160" s="34">
        <f>IFERROR(SUMIF(Table637[Sub-Accounts],Table838[[#This Row],[Update your chart of accounts here]],Table637[Debit]),"")</f>
        <v>0</v>
      </c>
      <c r="W160" s="34">
        <f>IFERROR(SUMIF(Table637[Sub-Accounts],Table838[[#This Row],[Update your chart of accounts here]],Table637[Credit]),"")</f>
        <v>0</v>
      </c>
      <c r="X160" s="34"/>
      <c r="Y160" s="34"/>
      <c r="Z160" s="34"/>
      <c r="AA160" s="34"/>
      <c r="AB160" s="34">
        <f>MAX(Table838[[#This Row],[Debit]]+Table838[[#This Row],[Debit -]]-Table838[[#This Row],[Credit]]-Table838[[#This Row],[Credit +]],0)</f>
        <v>0</v>
      </c>
      <c r="AC160" s="34">
        <f>MAX(Table838[[#This Row],[Credit]]-Table838[[#This Row],[Debit]]+Table838[[#This Row],[Credit +]]-Table838[[#This Row],[Debit -]],0)</f>
        <v>0</v>
      </c>
      <c r="AD160" s="34" t="str">
        <f>IFERROR(IF(AND(OR(Table838[[#This Row],[Classification]]="Expense",Table838[[#This Row],[Classification]]="Cost of Goods Sold"),Table838[[#This Row],[Debit\]]&gt;Table838[[#This Row],[Credit.]]),Table838[[#This Row],[Debit\]]-Table838[[#This Row],[Credit.]],""),"")</f>
        <v/>
      </c>
      <c r="AE160" s="34" t="str">
        <f>IFERROR(IF(AND(OR(Table838[[#This Row],[Classification]]="Income",Table838[[#This Row],[Classification]]="Cost of Goods Sold"),Table838[[#This Row],[Credit.]]&gt;Table838[[#This Row],[Debit\]]),Table838[[#This Row],[Credit.]]-Table838[[#This Row],[Debit\]],""),"")</f>
        <v/>
      </c>
      <c r="AF160" s="34"/>
      <c r="AG160" s="34" t="str">
        <f>IFERROR(IF(AND(Table838[[#This Row],[Classification]]="Assets",Table838[[#This Row],[Debit\]]-Table838[[#This Row],[Credit.]]),Table838[[#This Row],[Debit\]]-Table838[[#This Row],[Credit.]],""),"")</f>
        <v/>
      </c>
      <c r="AH160" s="34" t="str">
        <f>IFERROR(IF(AND(OR(Table838[[#This Row],[Classification]]="Liabilities",Table838[[#This Row],[Classification]]="Owner´s Equity"),Table838[[#This Row],[Credit.]]&gt;Table838[[#This Row],[Debit\]]),Table838[[#This Row],[Credit.]]-Table838[[#This Row],[Debit\]],""),"")</f>
        <v/>
      </c>
    </row>
    <row r="161" spans="2:34" hidden="1" x14ac:dyDescent="0.25">
      <c r="B161" s="34"/>
      <c r="C161" s="45"/>
      <c r="D161" s="34"/>
      <c r="E161" s="34"/>
      <c r="G161" s="39"/>
      <c r="H161" s="43"/>
      <c r="I161" s="41"/>
      <c r="J161" s="41"/>
      <c r="L161" s="34">
        <v>154</v>
      </c>
      <c r="M161" s="35"/>
      <c r="N161" s="35"/>
      <c r="O161" s="34">
        <f>IFERROR(SUMIF(Table435[,],Table637[[#This Row],[Accounts Name]],Table435[,3]),"")</f>
        <v>0</v>
      </c>
      <c r="P161" s="34">
        <f>IFERROR(SUMIF(Table435[,],Table637[[#This Row],[Accounts Name]],Table435[,2]),"")</f>
        <v>0</v>
      </c>
      <c r="S161" s="36">
        <f t="shared" si="2"/>
        <v>154</v>
      </c>
      <c r="T161" s="34"/>
      <c r="U161" s="37"/>
      <c r="V161" s="34">
        <f>IFERROR(SUMIF(Table637[Sub-Accounts],Table838[[#This Row],[Update your chart of accounts here]],Table637[Debit]),"")</f>
        <v>0</v>
      </c>
      <c r="W161" s="34">
        <f>IFERROR(SUMIF(Table637[Sub-Accounts],Table838[[#This Row],[Update your chart of accounts here]],Table637[Credit]),"")</f>
        <v>0</v>
      </c>
      <c r="X161" s="34"/>
      <c r="Y161" s="34"/>
      <c r="Z161" s="34"/>
      <c r="AA161" s="34"/>
      <c r="AB161" s="34">
        <f>MAX(Table838[[#This Row],[Debit]]+Table838[[#This Row],[Debit -]]-Table838[[#This Row],[Credit]]-Table838[[#This Row],[Credit +]],0)</f>
        <v>0</v>
      </c>
      <c r="AC161" s="34">
        <f>MAX(Table838[[#This Row],[Credit]]-Table838[[#This Row],[Debit]]+Table838[[#This Row],[Credit +]]-Table838[[#This Row],[Debit -]],0)</f>
        <v>0</v>
      </c>
      <c r="AD161" s="34" t="str">
        <f>IFERROR(IF(AND(OR(Table838[[#This Row],[Classification]]="Expense",Table838[[#This Row],[Classification]]="Cost of Goods Sold"),Table838[[#This Row],[Debit\]]&gt;Table838[[#This Row],[Credit.]]),Table838[[#This Row],[Debit\]]-Table838[[#This Row],[Credit.]],""),"")</f>
        <v/>
      </c>
      <c r="AE161" s="34" t="str">
        <f>IFERROR(IF(AND(OR(Table838[[#This Row],[Classification]]="Income",Table838[[#This Row],[Classification]]="Cost of Goods Sold"),Table838[[#This Row],[Credit.]]&gt;Table838[[#This Row],[Debit\]]),Table838[[#This Row],[Credit.]]-Table838[[#This Row],[Debit\]],""),"")</f>
        <v/>
      </c>
      <c r="AF161" s="34"/>
      <c r="AG161" s="34" t="str">
        <f>IFERROR(IF(AND(Table838[[#This Row],[Classification]]="Assets",Table838[[#This Row],[Debit\]]-Table838[[#This Row],[Credit.]]),Table838[[#This Row],[Debit\]]-Table838[[#This Row],[Credit.]],""),"")</f>
        <v/>
      </c>
      <c r="AH161" s="34" t="str">
        <f>IFERROR(IF(AND(OR(Table838[[#This Row],[Classification]]="Liabilities",Table838[[#This Row],[Classification]]="Owner´s Equity"),Table838[[#This Row],[Credit.]]&gt;Table838[[#This Row],[Debit\]]),Table838[[#This Row],[Credit.]]-Table838[[#This Row],[Debit\]],""),"")</f>
        <v/>
      </c>
    </row>
    <row r="162" spans="2:34" hidden="1" x14ac:dyDescent="0.25">
      <c r="B162" s="34"/>
      <c r="C162" s="45"/>
      <c r="D162" s="34"/>
      <c r="E162" s="34"/>
      <c r="G162" s="39"/>
      <c r="H162" s="40"/>
      <c r="I162" s="41"/>
      <c r="J162" s="41"/>
      <c r="L162" s="34">
        <v>155</v>
      </c>
      <c r="M162" s="35"/>
      <c r="N162" s="35"/>
      <c r="O162" s="34">
        <f>IFERROR(SUMIF(Table435[,],Table637[[#This Row],[Accounts Name]],Table435[,3]),"")</f>
        <v>0</v>
      </c>
      <c r="P162" s="34">
        <f>IFERROR(SUMIF(Table435[,],Table637[[#This Row],[Accounts Name]],Table435[,2]),"")</f>
        <v>0</v>
      </c>
      <c r="S162" s="36">
        <f t="shared" si="2"/>
        <v>155</v>
      </c>
      <c r="T162" s="34"/>
      <c r="U162" s="37"/>
      <c r="V162" s="34">
        <f>IFERROR(SUMIF(Table637[Sub-Accounts],Table838[[#This Row],[Update your chart of accounts here]],Table637[Debit]),"")</f>
        <v>0</v>
      </c>
      <c r="W162" s="34">
        <f>IFERROR(SUMIF(Table637[Sub-Accounts],Table838[[#This Row],[Update your chart of accounts here]],Table637[Credit]),"")</f>
        <v>0</v>
      </c>
      <c r="X162" s="34"/>
      <c r="Y162" s="34"/>
      <c r="Z162" s="34"/>
      <c r="AA162" s="34"/>
      <c r="AB162" s="34">
        <f>MAX(Table838[[#This Row],[Debit]]+Table838[[#This Row],[Debit -]]-Table838[[#This Row],[Credit]]-Table838[[#This Row],[Credit +]],0)</f>
        <v>0</v>
      </c>
      <c r="AC162" s="34">
        <f>MAX(Table838[[#This Row],[Credit]]-Table838[[#This Row],[Debit]]+Table838[[#This Row],[Credit +]]-Table838[[#This Row],[Debit -]],0)</f>
        <v>0</v>
      </c>
      <c r="AD162" s="34" t="str">
        <f>IFERROR(IF(AND(OR(Table838[[#This Row],[Classification]]="Expense",Table838[[#This Row],[Classification]]="Cost of Goods Sold"),Table838[[#This Row],[Debit\]]&gt;Table838[[#This Row],[Credit.]]),Table838[[#This Row],[Debit\]]-Table838[[#This Row],[Credit.]],""),"")</f>
        <v/>
      </c>
      <c r="AE162" s="34" t="str">
        <f>IFERROR(IF(AND(OR(Table838[[#This Row],[Classification]]="Income",Table838[[#This Row],[Classification]]="Cost of Goods Sold"),Table838[[#This Row],[Credit.]]&gt;Table838[[#This Row],[Debit\]]),Table838[[#This Row],[Credit.]]-Table838[[#This Row],[Debit\]],""),"")</f>
        <v/>
      </c>
      <c r="AF162" s="34"/>
      <c r="AG162" s="34" t="str">
        <f>IFERROR(IF(AND(Table838[[#This Row],[Classification]]="Assets",Table838[[#This Row],[Debit\]]-Table838[[#This Row],[Credit.]]),Table838[[#This Row],[Debit\]]-Table838[[#This Row],[Credit.]],""),"")</f>
        <v/>
      </c>
      <c r="AH162" s="34" t="str">
        <f>IFERROR(IF(AND(OR(Table838[[#This Row],[Classification]]="Liabilities",Table838[[#This Row],[Classification]]="Owner´s Equity"),Table838[[#This Row],[Credit.]]&gt;Table838[[#This Row],[Debit\]]),Table838[[#This Row],[Credit.]]-Table838[[#This Row],[Debit\]],""),"")</f>
        <v/>
      </c>
    </row>
    <row r="163" spans="2:34" hidden="1" x14ac:dyDescent="0.25">
      <c r="B163" s="34"/>
      <c r="C163" s="45"/>
      <c r="D163" s="34"/>
      <c r="E163" s="34"/>
      <c r="G163" s="39"/>
      <c r="H163" s="40"/>
      <c r="I163" s="41"/>
      <c r="J163" s="41"/>
      <c r="L163" s="34">
        <v>156</v>
      </c>
      <c r="M163" s="35"/>
      <c r="N163" s="35"/>
      <c r="O163" s="34">
        <f>IFERROR(SUMIF(Table435[,],Table637[[#This Row],[Accounts Name]],Table435[,3]),"")</f>
        <v>0</v>
      </c>
      <c r="P163" s="34">
        <f>IFERROR(SUMIF(Table435[,],Table637[[#This Row],[Accounts Name]],Table435[,2]),"")</f>
        <v>0</v>
      </c>
      <c r="S163" s="36">
        <f t="shared" si="2"/>
        <v>156</v>
      </c>
      <c r="T163" s="34"/>
      <c r="U163" s="37"/>
      <c r="V163" s="34">
        <f>IFERROR(SUMIF(Table637[Sub-Accounts],Table838[[#This Row],[Update your chart of accounts here]],Table637[Debit]),"")</f>
        <v>0</v>
      </c>
      <c r="W163" s="34">
        <f>IFERROR(SUMIF(Table637[Sub-Accounts],Table838[[#This Row],[Update your chart of accounts here]],Table637[Credit]),"")</f>
        <v>0</v>
      </c>
      <c r="X163" s="34"/>
      <c r="Y163" s="34"/>
      <c r="Z163" s="34"/>
      <c r="AA163" s="34"/>
      <c r="AB163" s="34">
        <f>MAX(Table838[[#This Row],[Debit]]+Table838[[#This Row],[Debit -]]-Table838[[#This Row],[Credit]]-Table838[[#This Row],[Credit +]],0)</f>
        <v>0</v>
      </c>
      <c r="AC163" s="34">
        <f>MAX(Table838[[#This Row],[Credit]]-Table838[[#This Row],[Debit]]+Table838[[#This Row],[Credit +]]-Table838[[#This Row],[Debit -]],0)</f>
        <v>0</v>
      </c>
      <c r="AD163" s="34" t="str">
        <f>IFERROR(IF(AND(OR(Table838[[#This Row],[Classification]]="Expense",Table838[[#This Row],[Classification]]="Cost of Goods Sold"),Table838[[#This Row],[Debit\]]&gt;Table838[[#This Row],[Credit.]]),Table838[[#This Row],[Debit\]]-Table838[[#This Row],[Credit.]],""),"")</f>
        <v/>
      </c>
      <c r="AE163" s="34" t="str">
        <f>IFERROR(IF(AND(OR(Table838[[#This Row],[Classification]]="Income",Table838[[#This Row],[Classification]]="Cost of Goods Sold"),Table838[[#This Row],[Credit.]]&gt;Table838[[#This Row],[Debit\]]),Table838[[#This Row],[Credit.]]-Table838[[#This Row],[Debit\]],""),"")</f>
        <v/>
      </c>
      <c r="AF163" s="34"/>
      <c r="AG163" s="34" t="str">
        <f>IFERROR(IF(AND(Table838[[#This Row],[Classification]]="Assets",Table838[[#This Row],[Debit\]]-Table838[[#This Row],[Credit.]]),Table838[[#This Row],[Debit\]]-Table838[[#This Row],[Credit.]],""),"")</f>
        <v/>
      </c>
      <c r="AH163" s="34" t="str">
        <f>IFERROR(IF(AND(OR(Table838[[#This Row],[Classification]]="Liabilities",Table838[[#This Row],[Classification]]="Owner´s Equity"),Table838[[#This Row],[Credit.]]&gt;Table838[[#This Row],[Debit\]]),Table838[[#This Row],[Credit.]]-Table838[[#This Row],[Debit\]],""),"")</f>
        <v/>
      </c>
    </row>
    <row r="164" spans="2:34" hidden="1" x14ac:dyDescent="0.25">
      <c r="B164" s="34"/>
      <c r="C164" s="45"/>
      <c r="D164" s="34"/>
      <c r="E164" s="34"/>
      <c r="G164" s="39"/>
      <c r="H164" s="43"/>
      <c r="I164" s="41"/>
      <c r="J164" s="41"/>
      <c r="L164" s="34">
        <v>157</v>
      </c>
      <c r="M164" s="35"/>
      <c r="N164" s="35"/>
      <c r="O164" s="34">
        <f>IFERROR(SUMIF(Table435[,],Table637[[#This Row],[Accounts Name]],Table435[,3]),"")</f>
        <v>0</v>
      </c>
      <c r="P164" s="34">
        <f>IFERROR(SUMIF(Table435[,],Table637[[#This Row],[Accounts Name]],Table435[,2]),"")</f>
        <v>0</v>
      </c>
      <c r="S164" s="36">
        <f t="shared" si="2"/>
        <v>157</v>
      </c>
      <c r="T164" s="34"/>
      <c r="U164" s="37"/>
      <c r="V164" s="34">
        <f>IFERROR(SUMIF(Table637[Sub-Accounts],Table838[[#This Row],[Update your chart of accounts here]],Table637[Debit]),"")</f>
        <v>0</v>
      </c>
      <c r="W164" s="34">
        <f>IFERROR(SUMIF(Table637[Sub-Accounts],Table838[[#This Row],[Update your chart of accounts here]],Table637[Credit]),"")</f>
        <v>0</v>
      </c>
      <c r="X164" s="34"/>
      <c r="Y164" s="34"/>
      <c r="Z164" s="34"/>
      <c r="AA164" s="34"/>
      <c r="AB164" s="34">
        <f>MAX(Table838[[#This Row],[Debit]]+Table838[[#This Row],[Debit -]]-Table838[[#This Row],[Credit]]-Table838[[#This Row],[Credit +]],0)</f>
        <v>0</v>
      </c>
      <c r="AC164" s="34">
        <f>MAX(Table838[[#This Row],[Credit]]-Table838[[#This Row],[Debit]]+Table838[[#This Row],[Credit +]]-Table838[[#This Row],[Debit -]],0)</f>
        <v>0</v>
      </c>
      <c r="AD164" s="34" t="str">
        <f>IFERROR(IF(AND(OR(Table838[[#This Row],[Classification]]="Expense",Table838[[#This Row],[Classification]]="Cost of Goods Sold"),Table838[[#This Row],[Debit\]]&gt;Table838[[#This Row],[Credit.]]),Table838[[#This Row],[Debit\]]-Table838[[#This Row],[Credit.]],""),"")</f>
        <v/>
      </c>
      <c r="AE164" s="34" t="str">
        <f>IFERROR(IF(AND(OR(Table838[[#This Row],[Classification]]="Income",Table838[[#This Row],[Classification]]="Cost of Goods Sold"),Table838[[#This Row],[Credit.]]&gt;Table838[[#This Row],[Debit\]]),Table838[[#This Row],[Credit.]]-Table838[[#This Row],[Debit\]],""),"")</f>
        <v/>
      </c>
      <c r="AF164" s="34"/>
      <c r="AG164" s="34" t="str">
        <f>IFERROR(IF(AND(Table838[[#This Row],[Classification]]="Assets",Table838[[#This Row],[Debit\]]-Table838[[#This Row],[Credit.]]),Table838[[#This Row],[Debit\]]-Table838[[#This Row],[Credit.]],""),"")</f>
        <v/>
      </c>
      <c r="AH164" s="34" t="str">
        <f>IFERROR(IF(AND(OR(Table838[[#This Row],[Classification]]="Liabilities",Table838[[#This Row],[Classification]]="Owner´s Equity"),Table838[[#This Row],[Credit.]]&gt;Table838[[#This Row],[Debit\]]),Table838[[#This Row],[Credit.]]-Table838[[#This Row],[Debit\]],""),"")</f>
        <v/>
      </c>
    </row>
    <row r="165" spans="2:34" hidden="1" x14ac:dyDescent="0.25">
      <c r="B165" s="34"/>
      <c r="C165" s="45"/>
      <c r="D165" s="34"/>
      <c r="E165" s="34"/>
      <c r="G165" s="39"/>
      <c r="H165" s="40"/>
      <c r="I165" s="41"/>
      <c r="J165" s="41"/>
      <c r="L165" s="34">
        <v>158</v>
      </c>
      <c r="M165" s="35"/>
      <c r="N165" s="35"/>
      <c r="O165" s="34">
        <f>IFERROR(SUMIF(Table435[,],Table637[[#This Row],[Accounts Name]],Table435[,3]),"")</f>
        <v>0</v>
      </c>
      <c r="P165" s="34">
        <f>IFERROR(SUMIF(Table435[,],Table637[[#This Row],[Accounts Name]],Table435[,2]),"")</f>
        <v>0</v>
      </c>
      <c r="S165" s="36">
        <f t="shared" si="2"/>
        <v>158</v>
      </c>
      <c r="T165" s="34"/>
      <c r="U165" s="37"/>
      <c r="V165" s="34">
        <f>IFERROR(SUMIF(Table637[Sub-Accounts],Table838[[#This Row],[Update your chart of accounts here]],Table637[Debit]),"")</f>
        <v>0</v>
      </c>
      <c r="W165" s="34">
        <f>IFERROR(SUMIF(Table637[Sub-Accounts],Table838[[#This Row],[Update your chart of accounts here]],Table637[Credit]),"")</f>
        <v>0</v>
      </c>
      <c r="X165" s="34"/>
      <c r="Y165" s="34"/>
      <c r="Z165" s="34"/>
      <c r="AA165" s="34"/>
      <c r="AB165" s="34">
        <f>MAX(Table838[[#This Row],[Debit]]+Table838[[#This Row],[Debit -]]-Table838[[#This Row],[Credit]]-Table838[[#This Row],[Credit +]],0)</f>
        <v>0</v>
      </c>
      <c r="AC165" s="34">
        <f>MAX(Table838[[#This Row],[Credit]]-Table838[[#This Row],[Debit]]+Table838[[#This Row],[Credit +]]-Table838[[#This Row],[Debit -]],0)</f>
        <v>0</v>
      </c>
      <c r="AD165" s="34" t="str">
        <f>IFERROR(IF(AND(OR(Table838[[#This Row],[Classification]]="Expense",Table838[[#This Row],[Classification]]="Cost of Goods Sold"),Table838[[#This Row],[Debit\]]&gt;Table838[[#This Row],[Credit.]]),Table838[[#This Row],[Debit\]]-Table838[[#This Row],[Credit.]],""),"")</f>
        <v/>
      </c>
      <c r="AE165" s="34" t="str">
        <f>IFERROR(IF(AND(OR(Table838[[#This Row],[Classification]]="Income",Table838[[#This Row],[Classification]]="Cost of Goods Sold"),Table838[[#This Row],[Credit.]]&gt;Table838[[#This Row],[Debit\]]),Table838[[#This Row],[Credit.]]-Table838[[#This Row],[Debit\]],""),"")</f>
        <v/>
      </c>
      <c r="AF165" s="34"/>
      <c r="AG165" s="34" t="str">
        <f>IFERROR(IF(AND(Table838[[#This Row],[Classification]]="Assets",Table838[[#This Row],[Debit\]]-Table838[[#This Row],[Credit.]]),Table838[[#This Row],[Debit\]]-Table838[[#This Row],[Credit.]],""),"")</f>
        <v/>
      </c>
      <c r="AH165" s="34" t="str">
        <f>IFERROR(IF(AND(OR(Table838[[#This Row],[Classification]]="Liabilities",Table838[[#This Row],[Classification]]="Owner´s Equity"),Table838[[#This Row],[Credit.]]&gt;Table838[[#This Row],[Debit\]]),Table838[[#This Row],[Credit.]]-Table838[[#This Row],[Debit\]],""),"")</f>
        <v/>
      </c>
    </row>
    <row r="166" spans="2:34" hidden="1" x14ac:dyDescent="0.25">
      <c r="B166" s="34"/>
      <c r="C166" s="45"/>
      <c r="D166" s="34"/>
      <c r="E166" s="34"/>
      <c r="G166" s="39"/>
      <c r="H166" s="40"/>
      <c r="I166" s="41"/>
      <c r="J166" s="41"/>
      <c r="L166" s="34">
        <v>159</v>
      </c>
      <c r="M166" s="35"/>
      <c r="N166" s="35"/>
      <c r="O166" s="34">
        <f>IFERROR(SUMIF(Table435[,],Table637[[#This Row],[Accounts Name]],Table435[,3]),"")</f>
        <v>0</v>
      </c>
      <c r="P166" s="34">
        <f>IFERROR(SUMIF(Table435[,],Table637[[#This Row],[Accounts Name]],Table435[,2]),"")</f>
        <v>0</v>
      </c>
      <c r="S166" s="36">
        <f t="shared" si="2"/>
        <v>159</v>
      </c>
      <c r="T166" s="34"/>
      <c r="U166" s="37"/>
      <c r="V166" s="34">
        <f>IFERROR(SUMIF(Table637[Sub-Accounts],Table838[[#This Row],[Update your chart of accounts here]],Table637[Debit]),"")</f>
        <v>0</v>
      </c>
      <c r="W166" s="34">
        <f>IFERROR(SUMIF(Table637[Sub-Accounts],Table838[[#This Row],[Update your chart of accounts here]],Table637[Credit]),"")</f>
        <v>0</v>
      </c>
      <c r="X166" s="34"/>
      <c r="Y166" s="34"/>
      <c r="Z166" s="34"/>
      <c r="AA166" s="34"/>
      <c r="AB166" s="34">
        <f>MAX(Table838[[#This Row],[Debit]]+Table838[[#This Row],[Debit -]]-Table838[[#This Row],[Credit]]-Table838[[#This Row],[Credit +]],0)</f>
        <v>0</v>
      </c>
      <c r="AC166" s="34">
        <f>MAX(Table838[[#This Row],[Credit]]-Table838[[#This Row],[Debit]]+Table838[[#This Row],[Credit +]]-Table838[[#This Row],[Debit -]],0)</f>
        <v>0</v>
      </c>
      <c r="AD166" s="34" t="str">
        <f>IFERROR(IF(AND(OR(Table838[[#This Row],[Classification]]="Expense",Table838[[#This Row],[Classification]]="Cost of Goods Sold"),Table838[[#This Row],[Debit\]]&gt;Table838[[#This Row],[Credit.]]),Table838[[#This Row],[Debit\]]-Table838[[#This Row],[Credit.]],""),"")</f>
        <v/>
      </c>
      <c r="AE166" s="34" t="str">
        <f>IFERROR(IF(AND(OR(Table838[[#This Row],[Classification]]="Income",Table838[[#This Row],[Classification]]="Cost of Goods Sold"),Table838[[#This Row],[Credit.]]&gt;Table838[[#This Row],[Debit\]]),Table838[[#This Row],[Credit.]]-Table838[[#This Row],[Debit\]],""),"")</f>
        <v/>
      </c>
      <c r="AF166" s="34"/>
      <c r="AG166" s="34" t="str">
        <f>IFERROR(IF(AND(Table838[[#This Row],[Classification]]="Assets",Table838[[#This Row],[Debit\]]-Table838[[#This Row],[Credit.]]),Table838[[#This Row],[Debit\]]-Table838[[#This Row],[Credit.]],""),"")</f>
        <v/>
      </c>
      <c r="AH166" s="34" t="str">
        <f>IFERROR(IF(AND(OR(Table838[[#This Row],[Classification]]="Liabilities",Table838[[#This Row],[Classification]]="Owner´s Equity"),Table838[[#This Row],[Credit.]]&gt;Table838[[#This Row],[Debit\]]),Table838[[#This Row],[Credit.]]-Table838[[#This Row],[Debit\]],""),"")</f>
        <v/>
      </c>
    </row>
    <row r="167" spans="2:34" hidden="1" x14ac:dyDescent="0.25">
      <c r="B167" s="34"/>
      <c r="C167" s="45"/>
      <c r="D167" s="34"/>
      <c r="E167" s="34"/>
      <c r="G167" s="39"/>
      <c r="H167" s="43"/>
      <c r="I167" s="41"/>
      <c r="J167" s="41"/>
      <c r="L167" s="34">
        <v>160</v>
      </c>
      <c r="M167" s="35"/>
      <c r="N167" s="35"/>
      <c r="O167" s="34">
        <f>IFERROR(SUMIF(Table435[,],Table637[[#This Row],[Accounts Name]],Table435[,3]),"")</f>
        <v>0</v>
      </c>
      <c r="P167" s="34">
        <f>IFERROR(SUMIF(Table435[,],Table637[[#This Row],[Accounts Name]],Table435[,2]),"")</f>
        <v>0</v>
      </c>
      <c r="S167" s="36">
        <f t="shared" si="2"/>
        <v>160</v>
      </c>
      <c r="T167" s="34"/>
      <c r="U167" s="37"/>
      <c r="V167" s="34">
        <f>IFERROR(SUMIF(Table637[Sub-Accounts],Table838[[#This Row],[Update your chart of accounts here]],Table637[Debit]),"")</f>
        <v>0</v>
      </c>
      <c r="W167" s="34">
        <f>IFERROR(SUMIF(Table637[Sub-Accounts],Table838[[#This Row],[Update your chart of accounts here]],Table637[Credit]),"")</f>
        <v>0</v>
      </c>
      <c r="X167" s="34"/>
      <c r="Y167" s="34"/>
      <c r="Z167" s="34"/>
      <c r="AA167" s="34"/>
      <c r="AB167" s="34">
        <f>MAX(Table838[[#This Row],[Debit]]+Table838[[#This Row],[Debit -]]-Table838[[#This Row],[Credit]]-Table838[[#This Row],[Credit +]],0)</f>
        <v>0</v>
      </c>
      <c r="AC167" s="34">
        <f>MAX(Table838[[#This Row],[Credit]]-Table838[[#This Row],[Debit]]+Table838[[#This Row],[Credit +]]-Table838[[#This Row],[Debit -]],0)</f>
        <v>0</v>
      </c>
      <c r="AD167" s="34" t="str">
        <f>IFERROR(IF(AND(OR(Table838[[#This Row],[Classification]]="Expense",Table838[[#This Row],[Classification]]="Cost of Goods Sold"),Table838[[#This Row],[Debit\]]&gt;Table838[[#This Row],[Credit.]]),Table838[[#This Row],[Debit\]]-Table838[[#This Row],[Credit.]],""),"")</f>
        <v/>
      </c>
      <c r="AE167" s="34" t="str">
        <f>IFERROR(IF(AND(OR(Table838[[#This Row],[Classification]]="Income",Table838[[#This Row],[Classification]]="Cost of Goods Sold"),Table838[[#This Row],[Credit.]]&gt;Table838[[#This Row],[Debit\]]),Table838[[#This Row],[Credit.]]-Table838[[#This Row],[Debit\]],""),"")</f>
        <v/>
      </c>
      <c r="AF167" s="34"/>
      <c r="AG167" s="34" t="str">
        <f>IFERROR(IF(AND(Table838[[#This Row],[Classification]]="Assets",Table838[[#This Row],[Debit\]]-Table838[[#This Row],[Credit.]]),Table838[[#This Row],[Debit\]]-Table838[[#This Row],[Credit.]],""),"")</f>
        <v/>
      </c>
      <c r="AH167" s="34" t="str">
        <f>IFERROR(IF(AND(OR(Table838[[#This Row],[Classification]]="Liabilities",Table838[[#This Row],[Classification]]="Owner´s Equity"),Table838[[#This Row],[Credit.]]&gt;Table838[[#This Row],[Debit\]]),Table838[[#This Row],[Credit.]]-Table838[[#This Row],[Debit\]],""),"")</f>
        <v/>
      </c>
    </row>
    <row r="168" spans="2:34" hidden="1" x14ac:dyDescent="0.25">
      <c r="B168" s="34"/>
      <c r="C168" s="45"/>
      <c r="D168" s="34"/>
      <c r="E168" s="34"/>
      <c r="G168" s="39"/>
      <c r="H168" s="40"/>
      <c r="I168" s="41"/>
      <c r="J168" s="41"/>
      <c r="L168" s="34">
        <v>161</v>
      </c>
      <c r="M168" s="35"/>
      <c r="N168" s="35"/>
      <c r="O168" s="34">
        <f>IFERROR(SUMIF(Table435[,],Table637[[#This Row],[Accounts Name]],Table435[,3]),"")</f>
        <v>0</v>
      </c>
      <c r="P168" s="34">
        <f>IFERROR(SUMIF(Table435[,],Table637[[#This Row],[Accounts Name]],Table435[,2]),"")</f>
        <v>0</v>
      </c>
      <c r="S168" s="36">
        <f t="shared" si="2"/>
        <v>161</v>
      </c>
      <c r="T168" s="34"/>
      <c r="U168" s="37"/>
      <c r="V168" s="34">
        <f>IFERROR(SUMIF(Table637[Sub-Accounts],Table838[[#This Row],[Update your chart of accounts here]],Table637[Debit]),"")</f>
        <v>0</v>
      </c>
      <c r="W168" s="34">
        <f>IFERROR(SUMIF(Table637[Sub-Accounts],Table838[[#This Row],[Update your chart of accounts here]],Table637[Credit]),"")</f>
        <v>0</v>
      </c>
      <c r="X168" s="34"/>
      <c r="Y168" s="34"/>
      <c r="Z168" s="34"/>
      <c r="AA168" s="34"/>
      <c r="AB168" s="34">
        <f>MAX(Table838[[#This Row],[Debit]]+Table838[[#This Row],[Debit -]]-Table838[[#This Row],[Credit]]-Table838[[#This Row],[Credit +]],0)</f>
        <v>0</v>
      </c>
      <c r="AC168" s="34">
        <f>MAX(Table838[[#This Row],[Credit]]-Table838[[#This Row],[Debit]]+Table838[[#This Row],[Credit +]]-Table838[[#This Row],[Debit -]],0)</f>
        <v>0</v>
      </c>
      <c r="AD168" s="34" t="str">
        <f>IFERROR(IF(AND(OR(Table838[[#This Row],[Classification]]="Expense",Table838[[#This Row],[Classification]]="Cost of Goods Sold"),Table838[[#This Row],[Debit\]]&gt;Table838[[#This Row],[Credit.]]),Table838[[#This Row],[Debit\]]-Table838[[#This Row],[Credit.]],""),"")</f>
        <v/>
      </c>
      <c r="AE168" s="34" t="str">
        <f>IFERROR(IF(AND(OR(Table838[[#This Row],[Classification]]="Income",Table838[[#This Row],[Classification]]="Cost of Goods Sold"),Table838[[#This Row],[Credit.]]&gt;Table838[[#This Row],[Debit\]]),Table838[[#This Row],[Credit.]]-Table838[[#This Row],[Debit\]],""),"")</f>
        <v/>
      </c>
      <c r="AF168" s="34"/>
      <c r="AG168" s="34" t="str">
        <f>IFERROR(IF(AND(Table838[[#This Row],[Classification]]="Assets",Table838[[#This Row],[Debit\]]-Table838[[#This Row],[Credit.]]),Table838[[#This Row],[Debit\]]-Table838[[#This Row],[Credit.]],""),"")</f>
        <v/>
      </c>
      <c r="AH168" s="34" t="str">
        <f>IFERROR(IF(AND(OR(Table838[[#This Row],[Classification]]="Liabilities",Table838[[#This Row],[Classification]]="Owner´s Equity"),Table838[[#This Row],[Credit.]]&gt;Table838[[#This Row],[Debit\]]),Table838[[#This Row],[Credit.]]-Table838[[#This Row],[Debit\]],""),"")</f>
        <v/>
      </c>
    </row>
    <row r="169" spans="2:34" hidden="1" x14ac:dyDescent="0.25">
      <c r="B169" s="34"/>
      <c r="C169" s="45"/>
      <c r="D169" s="34"/>
      <c r="E169" s="34"/>
      <c r="G169" s="39"/>
      <c r="H169" s="40"/>
      <c r="I169" s="41"/>
      <c r="J169" s="41"/>
      <c r="L169" s="34">
        <v>162</v>
      </c>
      <c r="M169" s="35"/>
      <c r="N169" s="35"/>
      <c r="O169" s="34">
        <f>IFERROR(SUMIF(Table435[,],Table637[[#This Row],[Accounts Name]],Table435[,3]),"")</f>
        <v>0</v>
      </c>
      <c r="P169" s="34">
        <f>IFERROR(SUMIF(Table435[,],Table637[[#This Row],[Accounts Name]],Table435[,2]),"")</f>
        <v>0</v>
      </c>
      <c r="S169" s="36">
        <f t="shared" si="2"/>
        <v>162</v>
      </c>
      <c r="T169" s="34"/>
      <c r="U169" s="37"/>
      <c r="V169" s="34">
        <f>IFERROR(SUMIF(Table637[Sub-Accounts],Table838[[#This Row],[Update your chart of accounts here]],Table637[Debit]),"")</f>
        <v>0</v>
      </c>
      <c r="W169" s="34">
        <f>IFERROR(SUMIF(Table637[Sub-Accounts],Table838[[#This Row],[Update your chart of accounts here]],Table637[Credit]),"")</f>
        <v>0</v>
      </c>
      <c r="X169" s="34"/>
      <c r="Y169" s="34"/>
      <c r="Z169" s="34"/>
      <c r="AA169" s="34"/>
      <c r="AB169" s="34">
        <f>MAX(Table838[[#This Row],[Debit]]+Table838[[#This Row],[Debit -]]-Table838[[#This Row],[Credit]]-Table838[[#This Row],[Credit +]],0)</f>
        <v>0</v>
      </c>
      <c r="AC169" s="34">
        <f>MAX(Table838[[#This Row],[Credit]]-Table838[[#This Row],[Debit]]+Table838[[#This Row],[Credit +]]-Table838[[#This Row],[Debit -]],0)</f>
        <v>0</v>
      </c>
      <c r="AD169" s="34" t="str">
        <f>IFERROR(IF(AND(OR(Table838[[#This Row],[Classification]]="Expense",Table838[[#This Row],[Classification]]="Cost of Goods Sold"),Table838[[#This Row],[Debit\]]&gt;Table838[[#This Row],[Credit.]]),Table838[[#This Row],[Debit\]]-Table838[[#This Row],[Credit.]],""),"")</f>
        <v/>
      </c>
      <c r="AE169" s="34" t="str">
        <f>IFERROR(IF(AND(OR(Table838[[#This Row],[Classification]]="Income",Table838[[#This Row],[Classification]]="Cost of Goods Sold"),Table838[[#This Row],[Credit.]]&gt;Table838[[#This Row],[Debit\]]),Table838[[#This Row],[Credit.]]-Table838[[#This Row],[Debit\]],""),"")</f>
        <v/>
      </c>
      <c r="AF169" s="34"/>
      <c r="AG169" s="34" t="str">
        <f>IFERROR(IF(AND(Table838[[#This Row],[Classification]]="Assets",Table838[[#This Row],[Debit\]]-Table838[[#This Row],[Credit.]]),Table838[[#This Row],[Debit\]]-Table838[[#This Row],[Credit.]],""),"")</f>
        <v/>
      </c>
      <c r="AH169" s="34" t="str">
        <f>IFERROR(IF(AND(OR(Table838[[#This Row],[Classification]]="Liabilities",Table838[[#This Row],[Classification]]="Owner´s Equity"),Table838[[#This Row],[Credit.]]&gt;Table838[[#This Row],[Debit\]]),Table838[[#This Row],[Credit.]]-Table838[[#This Row],[Debit\]],""),"")</f>
        <v/>
      </c>
    </row>
    <row r="170" spans="2:34" hidden="1" x14ac:dyDescent="0.25">
      <c r="B170" s="34"/>
      <c r="C170" s="45"/>
      <c r="D170" s="34"/>
      <c r="E170" s="34"/>
      <c r="G170" s="39"/>
      <c r="H170" s="43"/>
      <c r="I170" s="41"/>
      <c r="J170" s="41"/>
      <c r="L170" s="34">
        <v>163</v>
      </c>
      <c r="M170" s="35"/>
      <c r="N170" s="35"/>
      <c r="O170" s="34">
        <f>IFERROR(SUMIF(Table435[,],Table637[[#This Row],[Accounts Name]],Table435[,3]),"")</f>
        <v>0</v>
      </c>
      <c r="P170" s="34">
        <f>IFERROR(SUMIF(Table435[,],Table637[[#This Row],[Accounts Name]],Table435[,2]),"")</f>
        <v>0</v>
      </c>
      <c r="S170" s="36">
        <f t="shared" si="2"/>
        <v>163</v>
      </c>
      <c r="T170" s="34"/>
      <c r="U170" s="37"/>
      <c r="V170" s="34">
        <f>IFERROR(SUMIF(Table637[Sub-Accounts],Table838[[#This Row],[Update your chart of accounts here]],Table637[Debit]),"")</f>
        <v>0</v>
      </c>
      <c r="W170" s="34">
        <f>IFERROR(SUMIF(Table637[Sub-Accounts],Table838[[#This Row],[Update your chart of accounts here]],Table637[Credit]),"")</f>
        <v>0</v>
      </c>
      <c r="X170" s="34"/>
      <c r="Y170" s="34"/>
      <c r="Z170" s="34"/>
      <c r="AA170" s="34"/>
      <c r="AB170" s="34">
        <f>MAX(Table838[[#This Row],[Debit]]+Table838[[#This Row],[Debit -]]-Table838[[#This Row],[Credit]]-Table838[[#This Row],[Credit +]],0)</f>
        <v>0</v>
      </c>
      <c r="AC170" s="34">
        <f>MAX(Table838[[#This Row],[Credit]]-Table838[[#This Row],[Debit]]+Table838[[#This Row],[Credit +]]-Table838[[#This Row],[Debit -]],0)</f>
        <v>0</v>
      </c>
      <c r="AD170" s="34" t="str">
        <f>IFERROR(IF(AND(OR(Table838[[#This Row],[Classification]]="Expense",Table838[[#This Row],[Classification]]="Cost of Goods Sold"),Table838[[#This Row],[Debit\]]&gt;Table838[[#This Row],[Credit.]]),Table838[[#This Row],[Debit\]]-Table838[[#This Row],[Credit.]],""),"")</f>
        <v/>
      </c>
      <c r="AE170" s="34" t="str">
        <f>IFERROR(IF(AND(OR(Table838[[#This Row],[Classification]]="Income",Table838[[#This Row],[Classification]]="Cost of Goods Sold"),Table838[[#This Row],[Credit.]]&gt;Table838[[#This Row],[Debit\]]),Table838[[#This Row],[Credit.]]-Table838[[#This Row],[Debit\]],""),"")</f>
        <v/>
      </c>
      <c r="AF170" s="34"/>
      <c r="AG170" s="34" t="str">
        <f>IFERROR(IF(AND(Table838[[#This Row],[Classification]]="Assets",Table838[[#This Row],[Debit\]]-Table838[[#This Row],[Credit.]]),Table838[[#This Row],[Debit\]]-Table838[[#This Row],[Credit.]],""),"")</f>
        <v/>
      </c>
      <c r="AH170" s="34" t="str">
        <f>IFERROR(IF(AND(OR(Table838[[#This Row],[Classification]]="Liabilities",Table838[[#This Row],[Classification]]="Owner´s Equity"),Table838[[#This Row],[Credit.]]&gt;Table838[[#This Row],[Debit\]]),Table838[[#This Row],[Credit.]]-Table838[[#This Row],[Debit\]],""),"")</f>
        <v/>
      </c>
    </row>
    <row r="171" spans="2:34" hidden="1" x14ac:dyDescent="0.25">
      <c r="B171" s="34"/>
      <c r="C171" s="45"/>
      <c r="D171" s="34"/>
      <c r="E171" s="34"/>
      <c r="G171" s="39"/>
      <c r="H171" s="40"/>
      <c r="I171" s="41"/>
      <c r="J171" s="41"/>
      <c r="L171" s="34">
        <v>164</v>
      </c>
      <c r="M171" s="35"/>
      <c r="N171" s="35"/>
      <c r="O171" s="34">
        <f>IFERROR(SUMIF(Table435[,],Table637[[#This Row],[Accounts Name]],Table435[,3]),"")</f>
        <v>0</v>
      </c>
      <c r="P171" s="34">
        <f>IFERROR(SUMIF(Table435[,],Table637[[#This Row],[Accounts Name]],Table435[,2]),"")</f>
        <v>0</v>
      </c>
      <c r="S171" s="36">
        <f t="shared" si="2"/>
        <v>164</v>
      </c>
      <c r="T171" s="34"/>
      <c r="U171" s="37"/>
      <c r="V171" s="34">
        <f>IFERROR(SUMIF(Table637[Sub-Accounts],Table838[[#This Row],[Update your chart of accounts here]],Table637[Debit]),"")</f>
        <v>0</v>
      </c>
      <c r="W171" s="34">
        <f>IFERROR(SUMIF(Table637[Sub-Accounts],Table838[[#This Row],[Update your chart of accounts here]],Table637[Credit]),"")</f>
        <v>0</v>
      </c>
      <c r="X171" s="34"/>
      <c r="Y171" s="34"/>
      <c r="Z171" s="34"/>
      <c r="AA171" s="34"/>
      <c r="AB171" s="34">
        <f>MAX(Table838[[#This Row],[Debit]]+Table838[[#This Row],[Debit -]]-Table838[[#This Row],[Credit]]-Table838[[#This Row],[Credit +]],0)</f>
        <v>0</v>
      </c>
      <c r="AC171" s="34">
        <f>MAX(Table838[[#This Row],[Credit]]-Table838[[#This Row],[Debit]]+Table838[[#This Row],[Credit +]]-Table838[[#This Row],[Debit -]],0)</f>
        <v>0</v>
      </c>
      <c r="AD171" s="34" t="str">
        <f>IFERROR(IF(AND(OR(Table838[[#This Row],[Classification]]="Expense",Table838[[#This Row],[Classification]]="Cost of Goods Sold"),Table838[[#This Row],[Debit\]]&gt;Table838[[#This Row],[Credit.]]),Table838[[#This Row],[Debit\]]-Table838[[#This Row],[Credit.]],""),"")</f>
        <v/>
      </c>
      <c r="AE171" s="34" t="str">
        <f>IFERROR(IF(AND(OR(Table838[[#This Row],[Classification]]="Income",Table838[[#This Row],[Classification]]="Cost of Goods Sold"),Table838[[#This Row],[Credit.]]&gt;Table838[[#This Row],[Debit\]]),Table838[[#This Row],[Credit.]]-Table838[[#This Row],[Debit\]],""),"")</f>
        <v/>
      </c>
      <c r="AF171" s="34"/>
      <c r="AG171" s="34" t="str">
        <f>IFERROR(IF(AND(Table838[[#This Row],[Classification]]="Assets",Table838[[#This Row],[Debit\]]-Table838[[#This Row],[Credit.]]),Table838[[#This Row],[Debit\]]-Table838[[#This Row],[Credit.]],""),"")</f>
        <v/>
      </c>
      <c r="AH171" s="34" t="str">
        <f>IFERROR(IF(AND(OR(Table838[[#This Row],[Classification]]="Liabilities",Table838[[#This Row],[Classification]]="Owner´s Equity"),Table838[[#This Row],[Credit.]]&gt;Table838[[#This Row],[Debit\]]),Table838[[#This Row],[Credit.]]-Table838[[#This Row],[Debit\]],""),"")</f>
        <v/>
      </c>
    </row>
    <row r="172" spans="2:34" hidden="1" x14ac:dyDescent="0.25">
      <c r="B172" s="34"/>
      <c r="C172" s="45"/>
      <c r="D172" s="34"/>
      <c r="E172" s="34"/>
      <c r="G172" s="39"/>
      <c r="H172" s="40"/>
      <c r="I172" s="41"/>
      <c r="J172" s="41"/>
      <c r="L172" s="34">
        <v>165</v>
      </c>
      <c r="M172" s="35"/>
      <c r="N172" s="35"/>
      <c r="O172" s="34">
        <f>IFERROR(SUMIF(Table435[,],Table637[[#This Row],[Accounts Name]],Table435[,3]),"")</f>
        <v>0</v>
      </c>
      <c r="P172" s="34">
        <f>IFERROR(SUMIF(Table435[,],Table637[[#This Row],[Accounts Name]],Table435[,2]),"")</f>
        <v>0</v>
      </c>
      <c r="S172" s="36">
        <f t="shared" si="2"/>
        <v>165</v>
      </c>
      <c r="T172" s="34"/>
      <c r="U172" s="37"/>
      <c r="V172" s="34">
        <f>IFERROR(SUMIF(Table637[Sub-Accounts],Table838[[#This Row],[Update your chart of accounts here]],Table637[Debit]),"")</f>
        <v>0</v>
      </c>
      <c r="W172" s="34">
        <f>IFERROR(SUMIF(Table637[Sub-Accounts],Table838[[#This Row],[Update your chart of accounts here]],Table637[Credit]),"")</f>
        <v>0</v>
      </c>
      <c r="X172" s="34"/>
      <c r="Y172" s="34"/>
      <c r="Z172" s="34"/>
      <c r="AA172" s="34"/>
      <c r="AB172" s="34">
        <f>MAX(Table838[[#This Row],[Debit]]+Table838[[#This Row],[Debit -]]-Table838[[#This Row],[Credit]]-Table838[[#This Row],[Credit +]],0)</f>
        <v>0</v>
      </c>
      <c r="AC172" s="34">
        <f>MAX(Table838[[#This Row],[Credit]]-Table838[[#This Row],[Debit]]+Table838[[#This Row],[Credit +]]-Table838[[#This Row],[Debit -]],0)</f>
        <v>0</v>
      </c>
      <c r="AD172" s="34" t="str">
        <f>IFERROR(IF(AND(OR(Table838[[#This Row],[Classification]]="Expense",Table838[[#This Row],[Classification]]="Cost of Goods Sold"),Table838[[#This Row],[Debit\]]&gt;Table838[[#This Row],[Credit.]]),Table838[[#This Row],[Debit\]]-Table838[[#This Row],[Credit.]],""),"")</f>
        <v/>
      </c>
      <c r="AE172" s="34" t="str">
        <f>IFERROR(IF(AND(OR(Table838[[#This Row],[Classification]]="Income",Table838[[#This Row],[Classification]]="Cost of Goods Sold"),Table838[[#This Row],[Credit.]]&gt;Table838[[#This Row],[Debit\]]),Table838[[#This Row],[Credit.]]-Table838[[#This Row],[Debit\]],""),"")</f>
        <v/>
      </c>
      <c r="AF172" s="34"/>
      <c r="AG172" s="34" t="str">
        <f>IFERROR(IF(AND(Table838[[#This Row],[Classification]]="Assets",Table838[[#This Row],[Debit\]]-Table838[[#This Row],[Credit.]]),Table838[[#This Row],[Debit\]]-Table838[[#This Row],[Credit.]],""),"")</f>
        <v/>
      </c>
      <c r="AH172" s="34" t="str">
        <f>IFERROR(IF(AND(OR(Table838[[#This Row],[Classification]]="Liabilities",Table838[[#This Row],[Classification]]="Owner´s Equity"),Table838[[#This Row],[Credit.]]&gt;Table838[[#This Row],[Debit\]]),Table838[[#This Row],[Credit.]]-Table838[[#This Row],[Debit\]],""),"")</f>
        <v/>
      </c>
    </row>
    <row r="173" spans="2:34" hidden="1" x14ac:dyDescent="0.25">
      <c r="B173" s="34"/>
      <c r="C173" s="45"/>
      <c r="D173" s="34"/>
      <c r="E173" s="34"/>
      <c r="G173" s="39"/>
      <c r="H173" s="43"/>
      <c r="I173" s="41"/>
      <c r="J173" s="41"/>
      <c r="L173" s="34">
        <v>166</v>
      </c>
      <c r="M173" s="35"/>
      <c r="N173" s="35"/>
      <c r="O173" s="34">
        <f>IFERROR(SUMIF(Table435[,],Table637[[#This Row],[Accounts Name]],Table435[,3]),"")</f>
        <v>0</v>
      </c>
      <c r="P173" s="34">
        <f>IFERROR(SUMIF(Table435[,],Table637[[#This Row],[Accounts Name]],Table435[,2]),"")</f>
        <v>0</v>
      </c>
      <c r="S173" s="36">
        <f t="shared" si="2"/>
        <v>166</v>
      </c>
      <c r="T173" s="34"/>
      <c r="U173" s="37"/>
      <c r="V173" s="34">
        <f>IFERROR(SUMIF(Table637[Sub-Accounts],Table838[[#This Row],[Update your chart of accounts here]],Table637[Debit]),"")</f>
        <v>0</v>
      </c>
      <c r="W173" s="34">
        <f>IFERROR(SUMIF(Table637[Sub-Accounts],Table838[[#This Row],[Update your chart of accounts here]],Table637[Credit]),"")</f>
        <v>0</v>
      </c>
      <c r="X173" s="34"/>
      <c r="Y173" s="34"/>
      <c r="Z173" s="34"/>
      <c r="AA173" s="34"/>
      <c r="AB173" s="34">
        <f>MAX(Table838[[#This Row],[Debit]]+Table838[[#This Row],[Debit -]]-Table838[[#This Row],[Credit]]-Table838[[#This Row],[Credit +]],0)</f>
        <v>0</v>
      </c>
      <c r="AC173" s="34">
        <f>MAX(Table838[[#This Row],[Credit]]-Table838[[#This Row],[Debit]]+Table838[[#This Row],[Credit +]]-Table838[[#This Row],[Debit -]],0)</f>
        <v>0</v>
      </c>
      <c r="AD173" s="34" t="str">
        <f>IFERROR(IF(AND(OR(Table838[[#This Row],[Classification]]="Expense",Table838[[#This Row],[Classification]]="Cost of Goods Sold"),Table838[[#This Row],[Debit\]]&gt;Table838[[#This Row],[Credit.]]),Table838[[#This Row],[Debit\]]-Table838[[#This Row],[Credit.]],""),"")</f>
        <v/>
      </c>
      <c r="AE173" s="34" t="str">
        <f>IFERROR(IF(AND(OR(Table838[[#This Row],[Classification]]="Income",Table838[[#This Row],[Classification]]="Cost of Goods Sold"),Table838[[#This Row],[Credit.]]&gt;Table838[[#This Row],[Debit\]]),Table838[[#This Row],[Credit.]]-Table838[[#This Row],[Debit\]],""),"")</f>
        <v/>
      </c>
      <c r="AF173" s="34"/>
      <c r="AG173" s="34" t="str">
        <f>IFERROR(IF(AND(Table838[[#This Row],[Classification]]="Assets",Table838[[#This Row],[Debit\]]-Table838[[#This Row],[Credit.]]),Table838[[#This Row],[Debit\]]-Table838[[#This Row],[Credit.]],""),"")</f>
        <v/>
      </c>
      <c r="AH173" s="34" t="str">
        <f>IFERROR(IF(AND(OR(Table838[[#This Row],[Classification]]="Liabilities",Table838[[#This Row],[Classification]]="Owner´s Equity"),Table838[[#This Row],[Credit.]]&gt;Table838[[#This Row],[Debit\]]),Table838[[#This Row],[Credit.]]-Table838[[#This Row],[Debit\]],""),"")</f>
        <v/>
      </c>
    </row>
    <row r="174" spans="2:34" hidden="1" x14ac:dyDescent="0.25">
      <c r="B174" s="34"/>
      <c r="C174" s="45"/>
      <c r="D174" s="34"/>
      <c r="E174" s="34"/>
      <c r="G174" s="39"/>
      <c r="H174" s="40"/>
      <c r="I174" s="41"/>
      <c r="J174" s="41"/>
      <c r="L174" s="34">
        <v>167</v>
      </c>
      <c r="M174" s="35"/>
      <c r="N174" s="35"/>
      <c r="O174" s="34">
        <f>IFERROR(SUMIF(Table435[,],Table637[[#This Row],[Accounts Name]],Table435[,3]),"")</f>
        <v>0</v>
      </c>
      <c r="P174" s="34">
        <f>IFERROR(SUMIF(Table435[,],Table637[[#This Row],[Accounts Name]],Table435[,2]),"")</f>
        <v>0</v>
      </c>
      <c r="S174" s="36">
        <f t="shared" si="2"/>
        <v>167</v>
      </c>
      <c r="T174" s="34"/>
      <c r="U174" s="37"/>
      <c r="V174" s="34">
        <f>IFERROR(SUMIF(Table637[Sub-Accounts],Table838[[#This Row],[Update your chart of accounts here]],Table637[Debit]),"")</f>
        <v>0</v>
      </c>
      <c r="W174" s="34">
        <f>IFERROR(SUMIF(Table637[Sub-Accounts],Table838[[#This Row],[Update your chart of accounts here]],Table637[Credit]),"")</f>
        <v>0</v>
      </c>
      <c r="X174" s="34"/>
      <c r="Y174" s="34"/>
      <c r="Z174" s="34"/>
      <c r="AA174" s="34"/>
      <c r="AB174" s="34">
        <f>MAX(Table838[[#This Row],[Debit]]+Table838[[#This Row],[Debit -]]-Table838[[#This Row],[Credit]]-Table838[[#This Row],[Credit +]],0)</f>
        <v>0</v>
      </c>
      <c r="AC174" s="34">
        <f>MAX(Table838[[#This Row],[Credit]]-Table838[[#This Row],[Debit]]+Table838[[#This Row],[Credit +]]-Table838[[#This Row],[Debit -]],0)</f>
        <v>0</v>
      </c>
      <c r="AD174" s="34" t="str">
        <f>IFERROR(IF(AND(OR(Table838[[#This Row],[Classification]]="Expense",Table838[[#This Row],[Classification]]="Cost of Goods Sold"),Table838[[#This Row],[Debit\]]&gt;Table838[[#This Row],[Credit.]]),Table838[[#This Row],[Debit\]]-Table838[[#This Row],[Credit.]],""),"")</f>
        <v/>
      </c>
      <c r="AE174" s="34" t="str">
        <f>IFERROR(IF(AND(OR(Table838[[#This Row],[Classification]]="Income",Table838[[#This Row],[Classification]]="Cost of Goods Sold"),Table838[[#This Row],[Credit.]]&gt;Table838[[#This Row],[Debit\]]),Table838[[#This Row],[Credit.]]-Table838[[#This Row],[Debit\]],""),"")</f>
        <v/>
      </c>
      <c r="AF174" s="34"/>
      <c r="AG174" s="34" t="str">
        <f>IFERROR(IF(AND(Table838[[#This Row],[Classification]]="Assets",Table838[[#This Row],[Debit\]]-Table838[[#This Row],[Credit.]]),Table838[[#This Row],[Debit\]]-Table838[[#This Row],[Credit.]],""),"")</f>
        <v/>
      </c>
      <c r="AH174" s="34" t="str">
        <f>IFERROR(IF(AND(OR(Table838[[#This Row],[Classification]]="Liabilities",Table838[[#This Row],[Classification]]="Owner´s Equity"),Table838[[#This Row],[Credit.]]&gt;Table838[[#This Row],[Debit\]]),Table838[[#This Row],[Credit.]]-Table838[[#This Row],[Debit\]],""),"")</f>
        <v/>
      </c>
    </row>
    <row r="175" spans="2:34" hidden="1" x14ac:dyDescent="0.25">
      <c r="B175" s="34"/>
      <c r="C175" s="45"/>
      <c r="D175" s="34"/>
      <c r="E175" s="34"/>
      <c r="G175" s="39"/>
      <c r="H175" s="40"/>
      <c r="I175" s="41"/>
      <c r="J175" s="41"/>
      <c r="L175" s="34">
        <v>168</v>
      </c>
      <c r="M175" s="35"/>
      <c r="N175" s="35"/>
      <c r="O175" s="34">
        <f>IFERROR(SUMIF(Table435[,],Table637[[#This Row],[Accounts Name]],Table435[,3]),"")</f>
        <v>0</v>
      </c>
      <c r="P175" s="34">
        <f>IFERROR(SUMIF(Table435[,],Table637[[#This Row],[Accounts Name]],Table435[,2]),"")</f>
        <v>0</v>
      </c>
      <c r="S175" s="36">
        <f t="shared" si="2"/>
        <v>168</v>
      </c>
      <c r="T175" s="34"/>
      <c r="U175" s="37"/>
      <c r="V175" s="34">
        <f>IFERROR(SUMIF(Table637[Sub-Accounts],Table838[[#This Row],[Update your chart of accounts here]],Table637[Debit]),"")</f>
        <v>0</v>
      </c>
      <c r="W175" s="34">
        <f>IFERROR(SUMIF(Table637[Sub-Accounts],Table838[[#This Row],[Update your chart of accounts here]],Table637[Credit]),"")</f>
        <v>0</v>
      </c>
      <c r="X175" s="34"/>
      <c r="Y175" s="34"/>
      <c r="Z175" s="34"/>
      <c r="AA175" s="34"/>
      <c r="AB175" s="34">
        <f>MAX(Table838[[#This Row],[Debit]]+Table838[[#This Row],[Debit -]]-Table838[[#This Row],[Credit]]-Table838[[#This Row],[Credit +]],0)</f>
        <v>0</v>
      </c>
      <c r="AC175" s="34">
        <f>MAX(Table838[[#This Row],[Credit]]-Table838[[#This Row],[Debit]]+Table838[[#This Row],[Credit +]]-Table838[[#This Row],[Debit -]],0)</f>
        <v>0</v>
      </c>
      <c r="AD175" s="34" t="str">
        <f>IFERROR(IF(AND(OR(Table838[[#This Row],[Classification]]="Expense",Table838[[#This Row],[Classification]]="Cost of Goods Sold"),Table838[[#This Row],[Debit\]]&gt;Table838[[#This Row],[Credit.]]),Table838[[#This Row],[Debit\]]-Table838[[#This Row],[Credit.]],""),"")</f>
        <v/>
      </c>
      <c r="AE175" s="34" t="str">
        <f>IFERROR(IF(AND(OR(Table838[[#This Row],[Classification]]="Income",Table838[[#This Row],[Classification]]="Cost of Goods Sold"),Table838[[#This Row],[Credit.]]&gt;Table838[[#This Row],[Debit\]]),Table838[[#This Row],[Credit.]]-Table838[[#This Row],[Debit\]],""),"")</f>
        <v/>
      </c>
      <c r="AF175" s="34"/>
      <c r="AG175" s="34" t="str">
        <f>IFERROR(IF(AND(Table838[[#This Row],[Classification]]="Assets",Table838[[#This Row],[Debit\]]-Table838[[#This Row],[Credit.]]),Table838[[#This Row],[Debit\]]-Table838[[#This Row],[Credit.]],""),"")</f>
        <v/>
      </c>
      <c r="AH175" s="34" t="str">
        <f>IFERROR(IF(AND(OR(Table838[[#This Row],[Classification]]="Liabilities",Table838[[#This Row],[Classification]]="Owner´s Equity"),Table838[[#This Row],[Credit.]]&gt;Table838[[#This Row],[Debit\]]),Table838[[#This Row],[Credit.]]-Table838[[#This Row],[Debit\]],""),"")</f>
        <v/>
      </c>
    </row>
    <row r="176" spans="2:34" hidden="1" x14ac:dyDescent="0.25">
      <c r="B176" s="34"/>
      <c r="C176" s="45"/>
      <c r="D176" s="34"/>
      <c r="E176" s="34"/>
      <c r="G176" s="39"/>
      <c r="H176" s="43"/>
      <c r="I176" s="41"/>
      <c r="J176" s="41"/>
      <c r="L176" s="34">
        <v>169</v>
      </c>
      <c r="M176" s="35"/>
      <c r="N176" s="35"/>
      <c r="O176" s="34">
        <f>IFERROR(SUMIF(Table435[,],Table637[[#This Row],[Accounts Name]],Table435[,3]),"")</f>
        <v>0</v>
      </c>
      <c r="P176" s="34">
        <f>IFERROR(SUMIF(Table435[,],Table637[[#This Row],[Accounts Name]],Table435[,2]),"")</f>
        <v>0</v>
      </c>
      <c r="S176" s="36">
        <f t="shared" si="2"/>
        <v>169</v>
      </c>
      <c r="T176" s="34"/>
      <c r="U176" s="37"/>
      <c r="V176" s="34">
        <f>IFERROR(SUMIF(Table637[Sub-Accounts],Table838[[#This Row],[Update your chart of accounts here]],Table637[Debit]),"")</f>
        <v>0</v>
      </c>
      <c r="W176" s="34">
        <f>IFERROR(SUMIF(Table637[Sub-Accounts],Table838[[#This Row],[Update your chart of accounts here]],Table637[Credit]),"")</f>
        <v>0</v>
      </c>
      <c r="X176" s="34"/>
      <c r="Y176" s="34"/>
      <c r="Z176" s="34"/>
      <c r="AA176" s="34"/>
      <c r="AB176" s="34">
        <f>MAX(Table838[[#This Row],[Debit]]+Table838[[#This Row],[Debit -]]-Table838[[#This Row],[Credit]]-Table838[[#This Row],[Credit +]],0)</f>
        <v>0</v>
      </c>
      <c r="AC176" s="34">
        <f>MAX(Table838[[#This Row],[Credit]]-Table838[[#This Row],[Debit]]+Table838[[#This Row],[Credit +]]-Table838[[#This Row],[Debit -]],0)</f>
        <v>0</v>
      </c>
      <c r="AD176" s="34" t="str">
        <f>IFERROR(IF(AND(OR(Table838[[#This Row],[Classification]]="Expense",Table838[[#This Row],[Classification]]="Cost of Goods Sold"),Table838[[#This Row],[Debit\]]&gt;Table838[[#This Row],[Credit.]]),Table838[[#This Row],[Debit\]]-Table838[[#This Row],[Credit.]],""),"")</f>
        <v/>
      </c>
      <c r="AE176" s="34" t="str">
        <f>IFERROR(IF(AND(OR(Table838[[#This Row],[Classification]]="Income",Table838[[#This Row],[Classification]]="Cost of Goods Sold"),Table838[[#This Row],[Credit.]]&gt;Table838[[#This Row],[Debit\]]),Table838[[#This Row],[Credit.]]-Table838[[#This Row],[Debit\]],""),"")</f>
        <v/>
      </c>
      <c r="AF176" s="34"/>
      <c r="AG176" s="34" t="str">
        <f>IFERROR(IF(AND(Table838[[#This Row],[Classification]]="Assets",Table838[[#This Row],[Debit\]]-Table838[[#This Row],[Credit.]]),Table838[[#This Row],[Debit\]]-Table838[[#This Row],[Credit.]],""),"")</f>
        <v/>
      </c>
      <c r="AH176" s="34" t="str">
        <f>IFERROR(IF(AND(OR(Table838[[#This Row],[Classification]]="Liabilities",Table838[[#This Row],[Classification]]="Owner´s Equity"),Table838[[#This Row],[Credit.]]&gt;Table838[[#This Row],[Debit\]]),Table838[[#This Row],[Credit.]]-Table838[[#This Row],[Debit\]],""),"")</f>
        <v/>
      </c>
    </row>
    <row r="177" spans="2:34" hidden="1" x14ac:dyDescent="0.25">
      <c r="B177" s="34"/>
      <c r="C177" s="45"/>
      <c r="D177" s="34"/>
      <c r="E177" s="34"/>
      <c r="G177" s="39"/>
      <c r="H177" s="40"/>
      <c r="I177" s="41"/>
      <c r="J177" s="41"/>
      <c r="L177" s="34">
        <v>170</v>
      </c>
      <c r="M177" s="35"/>
      <c r="N177" s="35"/>
      <c r="O177" s="34">
        <f>IFERROR(SUMIF(Table435[,],Table637[[#This Row],[Accounts Name]],Table435[,3]),"")</f>
        <v>0</v>
      </c>
      <c r="P177" s="34">
        <f>IFERROR(SUMIF(Table435[,],Table637[[#This Row],[Accounts Name]],Table435[,2]),"")</f>
        <v>0</v>
      </c>
      <c r="S177" s="36">
        <f t="shared" si="2"/>
        <v>170</v>
      </c>
      <c r="T177" s="34"/>
      <c r="U177" s="37"/>
      <c r="V177" s="34">
        <f>IFERROR(SUMIF(Table637[Sub-Accounts],Table838[[#This Row],[Update your chart of accounts here]],Table637[Debit]),"")</f>
        <v>0</v>
      </c>
      <c r="W177" s="34">
        <f>IFERROR(SUMIF(Table637[Sub-Accounts],Table838[[#This Row],[Update your chart of accounts here]],Table637[Credit]),"")</f>
        <v>0</v>
      </c>
      <c r="X177" s="34"/>
      <c r="Y177" s="34"/>
      <c r="Z177" s="34"/>
      <c r="AA177" s="34"/>
      <c r="AB177" s="34">
        <f>MAX(Table838[[#This Row],[Debit]]+Table838[[#This Row],[Debit -]]-Table838[[#This Row],[Credit]]-Table838[[#This Row],[Credit +]],0)</f>
        <v>0</v>
      </c>
      <c r="AC177" s="34">
        <f>MAX(Table838[[#This Row],[Credit]]-Table838[[#This Row],[Debit]]+Table838[[#This Row],[Credit +]]-Table838[[#This Row],[Debit -]],0)</f>
        <v>0</v>
      </c>
      <c r="AD177" s="34" t="str">
        <f>IFERROR(IF(AND(OR(Table838[[#This Row],[Classification]]="Expense",Table838[[#This Row],[Classification]]="Cost of Goods Sold"),Table838[[#This Row],[Debit\]]&gt;Table838[[#This Row],[Credit.]]),Table838[[#This Row],[Debit\]]-Table838[[#This Row],[Credit.]],""),"")</f>
        <v/>
      </c>
      <c r="AE177" s="34" t="str">
        <f>IFERROR(IF(AND(OR(Table838[[#This Row],[Classification]]="Income",Table838[[#This Row],[Classification]]="Cost of Goods Sold"),Table838[[#This Row],[Credit.]]&gt;Table838[[#This Row],[Debit\]]),Table838[[#This Row],[Credit.]]-Table838[[#This Row],[Debit\]],""),"")</f>
        <v/>
      </c>
      <c r="AF177" s="34"/>
      <c r="AG177" s="34" t="str">
        <f>IFERROR(IF(AND(Table838[[#This Row],[Classification]]="Assets",Table838[[#This Row],[Debit\]]-Table838[[#This Row],[Credit.]]),Table838[[#This Row],[Debit\]]-Table838[[#This Row],[Credit.]],""),"")</f>
        <v/>
      </c>
      <c r="AH177" s="34" t="str">
        <f>IFERROR(IF(AND(OR(Table838[[#This Row],[Classification]]="Liabilities",Table838[[#This Row],[Classification]]="Owner´s Equity"),Table838[[#This Row],[Credit.]]&gt;Table838[[#This Row],[Debit\]]),Table838[[#This Row],[Credit.]]-Table838[[#This Row],[Debit\]],""),"")</f>
        <v/>
      </c>
    </row>
    <row r="178" spans="2:34" hidden="1" x14ac:dyDescent="0.25">
      <c r="B178" s="34"/>
      <c r="C178" s="45"/>
      <c r="D178" s="34"/>
      <c r="E178" s="34"/>
      <c r="G178" s="39"/>
      <c r="H178" s="40"/>
      <c r="I178" s="41"/>
      <c r="J178" s="41"/>
      <c r="L178" s="34">
        <v>171</v>
      </c>
      <c r="M178" s="35"/>
      <c r="N178" s="35"/>
      <c r="O178" s="34">
        <f>IFERROR(SUMIF(Table435[,],Table637[[#This Row],[Accounts Name]],Table435[,3]),"")</f>
        <v>0</v>
      </c>
      <c r="P178" s="34">
        <f>IFERROR(SUMIF(Table435[,],Table637[[#This Row],[Accounts Name]],Table435[,2]),"")</f>
        <v>0</v>
      </c>
      <c r="S178" s="36">
        <f t="shared" si="2"/>
        <v>171</v>
      </c>
      <c r="T178" s="34"/>
      <c r="U178" s="37"/>
      <c r="V178" s="34">
        <f>IFERROR(SUMIF(Table637[Sub-Accounts],Table838[[#This Row],[Update your chart of accounts here]],Table637[Debit]),"")</f>
        <v>0</v>
      </c>
      <c r="W178" s="34">
        <f>IFERROR(SUMIF(Table637[Sub-Accounts],Table838[[#This Row],[Update your chart of accounts here]],Table637[Credit]),"")</f>
        <v>0</v>
      </c>
      <c r="X178" s="34"/>
      <c r="Y178" s="34"/>
      <c r="Z178" s="34"/>
      <c r="AA178" s="34"/>
      <c r="AB178" s="34">
        <f>MAX(Table838[[#This Row],[Debit]]+Table838[[#This Row],[Debit -]]-Table838[[#This Row],[Credit]]-Table838[[#This Row],[Credit +]],0)</f>
        <v>0</v>
      </c>
      <c r="AC178" s="34">
        <f>MAX(Table838[[#This Row],[Credit]]-Table838[[#This Row],[Debit]]+Table838[[#This Row],[Credit +]]-Table838[[#This Row],[Debit -]],0)</f>
        <v>0</v>
      </c>
      <c r="AD178" s="34" t="str">
        <f>IFERROR(IF(AND(OR(Table838[[#This Row],[Classification]]="Expense",Table838[[#This Row],[Classification]]="Cost of Goods Sold"),Table838[[#This Row],[Debit\]]&gt;Table838[[#This Row],[Credit.]]),Table838[[#This Row],[Debit\]]-Table838[[#This Row],[Credit.]],""),"")</f>
        <v/>
      </c>
      <c r="AE178" s="34" t="str">
        <f>IFERROR(IF(AND(OR(Table838[[#This Row],[Classification]]="Income",Table838[[#This Row],[Classification]]="Cost of Goods Sold"),Table838[[#This Row],[Credit.]]&gt;Table838[[#This Row],[Debit\]]),Table838[[#This Row],[Credit.]]-Table838[[#This Row],[Debit\]],""),"")</f>
        <v/>
      </c>
      <c r="AF178" s="34"/>
      <c r="AG178" s="34" t="str">
        <f>IFERROR(IF(AND(Table838[[#This Row],[Classification]]="Assets",Table838[[#This Row],[Debit\]]-Table838[[#This Row],[Credit.]]),Table838[[#This Row],[Debit\]]-Table838[[#This Row],[Credit.]],""),"")</f>
        <v/>
      </c>
      <c r="AH178" s="34" t="str">
        <f>IFERROR(IF(AND(OR(Table838[[#This Row],[Classification]]="Liabilities",Table838[[#This Row],[Classification]]="Owner´s Equity"),Table838[[#This Row],[Credit.]]&gt;Table838[[#This Row],[Debit\]]),Table838[[#This Row],[Credit.]]-Table838[[#This Row],[Debit\]],""),"")</f>
        <v/>
      </c>
    </row>
    <row r="179" spans="2:34" hidden="1" x14ac:dyDescent="0.25">
      <c r="B179" s="34"/>
      <c r="C179" s="45"/>
      <c r="D179" s="34"/>
      <c r="E179" s="34"/>
      <c r="G179" s="39"/>
      <c r="H179" s="43"/>
      <c r="I179" s="41"/>
      <c r="J179" s="41"/>
      <c r="L179" s="34">
        <v>172</v>
      </c>
      <c r="M179" s="35"/>
      <c r="N179" s="35"/>
      <c r="O179" s="34">
        <f>IFERROR(SUMIF(Table435[,],Table637[[#This Row],[Accounts Name]],Table435[,3]),"")</f>
        <v>0</v>
      </c>
      <c r="P179" s="34">
        <f>IFERROR(SUMIF(Table435[,],Table637[[#This Row],[Accounts Name]],Table435[,2]),"")</f>
        <v>0</v>
      </c>
      <c r="S179" s="36">
        <f t="shared" si="2"/>
        <v>172</v>
      </c>
      <c r="T179" s="34"/>
      <c r="U179" s="37"/>
      <c r="V179" s="34">
        <f>IFERROR(SUMIF(Table637[Sub-Accounts],Table838[[#This Row],[Update your chart of accounts here]],Table637[Debit]),"")</f>
        <v>0</v>
      </c>
      <c r="W179" s="34">
        <f>IFERROR(SUMIF(Table637[Sub-Accounts],Table838[[#This Row],[Update your chart of accounts here]],Table637[Credit]),"")</f>
        <v>0</v>
      </c>
      <c r="X179" s="34"/>
      <c r="Y179" s="34"/>
      <c r="Z179" s="34"/>
      <c r="AA179" s="34"/>
      <c r="AB179" s="34">
        <f>MAX(Table838[[#This Row],[Debit]]+Table838[[#This Row],[Debit -]]-Table838[[#This Row],[Credit]]-Table838[[#This Row],[Credit +]],0)</f>
        <v>0</v>
      </c>
      <c r="AC179" s="34">
        <f>MAX(Table838[[#This Row],[Credit]]-Table838[[#This Row],[Debit]]+Table838[[#This Row],[Credit +]]-Table838[[#This Row],[Debit -]],0)</f>
        <v>0</v>
      </c>
      <c r="AD179" s="34" t="str">
        <f>IFERROR(IF(AND(OR(Table838[[#This Row],[Classification]]="Expense",Table838[[#This Row],[Classification]]="Cost of Goods Sold"),Table838[[#This Row],[Debit\]]&gt;Table838[[#This Row],[Credit.]]),Table838[[#This Row],[Debit\]]-Table838[[#This Row],[Credit.]],""),"")</f>
        <v/>
      </c>
      <c r="AE179" s="34" t="str">
        <f>IFERROR(IF(AND(OR(Table838[[#This Row],[Classification]]="Income",Table838[[#This Row],[Classification]]="Cost of Goods Sold"),Table838[[#This Row],[Credit.]]&gt;Table838[[#This Row],[Debit\]]),Table838[[#This Row],[Credit.]]-Table838[[#This Row],[Debit\]],""),"")</f>
        <v/>
      </c>
      <c r="AF179" s="34"/>
      <c r="AG179" s="34" t="str">
        <f>IFERROR(IF(AND(Table838[[#This Row],[Classification]]="Assets",Table838[[#This Row],[Debit\]]-Table838[[#This Row],[Credit.]]),Table838[[#This Row],[Debit\]]-Table838[[#This Row],[Credit.]],""),"")</f>
        <v/>
      </c>
      <c r="AH179" s="34" t="str">
        <f>IFERROR(IF(AND(OR(Table838[[#This Row],[Classification]]="Liabilities",Table838[[#This Row],[Classification]]="Owner´s Equity"),Table838[[#This Row],[Credit.]]&gt;Table838[[#This Row],[Debit\]]),Table838[[#This Row],[Credit.]]-Table838[[#This Row],[Debit\]],""),"")</f>
        <v/>
      </c>
    </row>
    <row r="180" spans="2:34" hidden="1" x14ac:dyDescent="0.25">
      <c r="B180" s="34"/>
      <c r="C180" s="45"/>
      <c r="D180" s="34"/>
      <c r="E180" s="34"/>
      <c r="G180" s="39"/>
      <c r="H180" s="40"/>
      <c r="I180" s="41"/>
      <c r="J180" s="41"/>
      <c r="L180" s="34">
        <v>173</v>
      </c>
      <c r="M180" s="35"/>
      <c r="N180" s="35"/>
      <c r="O180" s="34">
        <f>IFERROR(SUMIF(Table435[,],Table637[[#This Row],[Accounts Name]],Table435[,3]),"")</f>
        <v>0</v>
      </c>
      <c r="P180" s="34">
        <f>IFERROR(SUMIF(Table435[,],Table637[[#This Row],[Accounts Name]],Table435[,2]),"")</f>
        <v>0</v>
      </c>
      <c r="S180" s="36">
        <f t="shared" si="2"/>
        <v>173</v>
      </c>
      <c r="T180" s="34"/>
      <c r="U180" s="37"/>
      <c r="V180" s="34">
        <f>IFERROR(SUMIF(Table637[Sub-Accounts],Table838[[#This Row],[Update your chart of accounts here]],Table637[Debit]),"")</f>
        <v>0</v>
      </c>
      <c r="W180" s="34">
        <f>IFERROR(SUMIF(Table637[Sub-Accounts],Table838[[#This Row],[Update your chart of accounts here]],Table637[Credit]),"")</f>
        <v>0</v>
      </c>
      <c r="X180" s="34"/>
      <c r="Y180" s="34"/>
      <c r="Z180" s="34"/>
      <c r="AA180" s="34"/>
      <c r="AB180" s="34">
        <f>MAX(Table838[[#This Row],[Debit]]+Table838[[#This Row],[Debit -]]-Table838[[#This Row],[Credit]]-Table838[[#This Row],[Credit +]],0)</f>
        <v>0</v>
      </c>
      <c r="AC180" s="34">
        <f>MAX(Table838[[#This Row],[Credit]]-Table838[[#This Row],[Debit]]+Table838[[#This Row],[Credit +]]-Table838[[#This Row],[Debit -]],0)</f>
        <v>0</v>
      </c>
      <c r="AD180" s="34" t="str">
        <f>IFERROR(IF(AND(OR(Table838[[#This Row],[Classification]]="Expense",Table838[[#This Row],[Classification]]="Cost of Goods Sold"),Table838[[#This Row],[Debit\]]&gt;Table838[[#This Row],[Credit.]]),Table838[[#This Row],[Debit\]]-Table838[[#This Row],[Credit.]],""),"")</f>
        <v/>
      </c>
      <c r="AE180" s="34" t="str">
        <f>IFERROR(IF(AND(OR(Table838[[#This Row],[Classification]]="Income",Table838[[#This Row],[Classification]]="Cost of Goods Sold"),Table838[[#This Row],[Credit.]]&gt;Table838[[#This Row],[Debit\]]),Table838[[#This Row],[Credit.]]-Table838[[#This Row],[Debit\]],""),"")</f>
        <v/>
      </c>
      <c r="AF180" s="34"/>
      <c r="AG180" s="34" t="str">
        <f>IFERROR(IF(AND(Table838[[#This Row],[Classification]]="Assets",Table838[[#This Row],[Debit\]]-Table838[[#This Row],[Credit.]]),Table838[[#This Row],[Debit\]]-Table838[[#This Row],[Credit.]],""),"")</f>
        <v/>
      </c>
      <c r="AH180" s="34" t="str">
        <f>IFERROR(IF(AND(OR(Table838[[#This Row],[Classification]]="Liabilities",Table838[[#This Row],[Classification]]="Owner´s Equity"),Table838[[#This Row],[Credit.]]&gt;Table838[[#This Row],[Debit\]]),Table838[[#This Row],[Credit.]]-Table838[[#This Row],[Debit\]],""),"")</f>
        <v/>
      </c>
    </row>
    <row r="181" spans="2:34" hidden="1" x14ac:dyDescent="0.25">
      <c r="B181" s="34"/>
      <c r="C181" s="45"/>
      <c r="D181" s="34"/>
      <c r="E181" s="34"/>
      <c r="G181" s="39"/>
      <c r="H181" s="40"/>
      <c r="I181" s="41"/>
      <c r="J181" s="41"/>
      <c r="L181" s="34">
        <v>174</v>
      </c>
      <c r="M181" s="35"/>
      <c r="N181" s="35"/>
      <c r="O181" s="34">
        <f>IFERROR(SUMIF(Table435[,],Table637[[#This Row],[Accounts Name]],Table435[,3]),"")</f>
        <v>0</v>
      </c>
      <c r="P181" s="34">
        <f>IFERROR(SUMIF(Table435[,],Table637[[#This Row],[Accounts Name]],Table435[,2]),"")</f>
        <v>0</v>
      </c>
      <c r="S181" s="36">
        <f t="shared" si="2"/>
        <v>174</v>
      </c>
      <c r="T181" s="34"/>
      <c r="U181" s="37"/>
      <c r="V181" s="34">
        <f>IFERROR(SUMIF(Table637[Sub-Accounts],Table838[[#This Row],[Update your chart of accounts here]],Table637[Debit]),"")</f>
        <v>0</v>
      </c>
      <c r="W181" s="34">
        <f>IFERROR(SUMIF(Table637[Sub-Accounts],Table838[[#This Row],[Update your chart of accounts here]],Table637[Credit]),"")</f>
        <v>0</v>
      </c>
      <c r="X181" s="34"/>
      <c r="Y181" s="34"/>
      <c r="Z181" s="34"/>
      <c r="AA181" s="34"/>
      <c r="AB181" s="34">
        <f>MAX(Table838[[#This Row],[Debit]]+Table838[[#This Row],[Debit -]]-Table838[[#This Row],[Credit]]-Table838[[#This Row],[Credit +]],0)</f>
        <v>0</v>
      </c>
      <c r="AC181" s="34">
        <f>MAX(Table838[[#This Row],[Credit]]-Table838[[#This Row],[Debit]]+Table838[[#This Row],[Credit +]]-Table838[[#This Row],[Debit -]],0)</f>
        <v>0</v>
      </c>
      <c r="AD181" s="34" t="str">
        <f>IFERROR(IF(AND(OR(Table838[[#This Row],[Classification]]="Expense",Table838[[#This Row],[Classification]]="Cost of Goods Sold"),Table838[[#This Row],[Debit\]]&gt;Table838[[#This Row],[Credit.]]),Table838[[#This Row],[Debit\]]-Table838[[#This Row],[Credit.]],""),"")</f>
        <v/>
      </c>
      <c r="AE181" s="34" t="str">
        <f>IFERROR(IF(AND(OR(Table838[[#This Row],[Classification]]="Income",Table838[[#This Row],[Classification]]="Cost of Goods Sold"),Table838[[#This Row],[Credit.]]&gt;Table838[[#This Row],[Debit\]]),Table838[[#This Row],[Credit.]]-Table838[[#This Row],[Debit\]],""),"")</f>
        <v/>
      </c>
      <c r="AF181" s="34"/>
      <c r="AG181" s="34" t="str">
        <f>IFERROR(IF(AND(Table838[[#This Row],[Classification]]="Assets",Table838[[#This Row],[Debit\]]-Table838[[#This Row],[Credit.]]),Table838[[#This Row],[Debit\]]-Table838[[#This Row],[Credit.]],""),"")</f>
        <v/>
      </c>
      <c r="AH181" s="34" t="str">
        <f>IFERROR(IF(AND(OR(Table838[[#This Row],[Classification]]="Liabilities",Table838[[#This Row],[Classification]]="Owner´s Equity"),Table838[[#This Row],[Credit.]]&gt;Table838[[#This Row],[Debit\]]),Table838[[#This Row],[Credit.]]-Table838[[#This Row],[Debit\]],""),"")</f>
        <v/>
      </c>
    </row>
    <row r="182" spans="2:34" hidden="1" x14ac:dyDescent="0.25">
      <c r="B182" s="34"/>
      <c r="C182" s="45"/>
      <c r="D182" s="34"/>
      <c r="E182" s="34"/>
      <c r="G182" s="39"/>
      <c r="H182" s="43"/>
      <c r="I182" s="41"/>
      <c r="J182" s="41"/>
      <c r="L182" s="34">
        <v>175</v>
      </c>
      <c r="M182" s="35"/>
      <c r="N182" s="35"/>
      <c r="O182" s="34">
        <f>IFERROR(SUMIF(Table435[,],Table637[[#This Row],[Accounts Name]],Table435[,3]),"")</f>
        <v>0</v>
      </c>
      <c r="P182" s="34">
        <f>IFERROR(SUMIF(Table435[,],Table637[[#This Row],[Accounts Name]],Table435[,2]),"")</f>
        <v>0</v>
      </c>
      <c r="S182" s="36">
        <f t="shared" si="2"/>
        <v>175</v>
      </c>
      <c r="T182" s="34"/>
      <c r="U182" s="37"/>
      <c r="V182" s="34">
        <f>IFERROR(SUMIF(Table637[Sub-Accounts],Table838[[#This Row],[Update your chart of accounts here]],Table637[Debit]),"")</f>
        <v>0</v>
      </c>
      <c r="W182" s="34">
        <f>IFERROR(SUMIF(Table637[Sub-Accounts],Table838[[#This Row],[Update your chart of accounts here]],Table637[Credit]),"")</f>
        <v>0</v>
      </c>
      <c r="X182" s="34"/>
      <c r="Y182" s="34"/>
      <c r="Z182" s="34"/>
      <c r="AA182" s="34"/>
      <c r="AB182" s="34">
        <f>MAX(Table838[[#This Row],[Debit]]+Table838[[#This Row],[Debit -]]-Table838[[#This Row],[Credit]]-Table838[[#This Row],[Credit +]],0)</f>
        <v>0</v>
      </c>
      <c r="AC182" s="34">
        <f>MAX(Table838[[#This Row],[Credit]]-Table838[[#This Row],[Debit]]+Table838[[#This Row],[Credit +]]-Table838[[#This Row],[Debit -]],0)</f>
        <v>0</v>
      </c>
      <c r="AD182" s="34" t="str">
        <f>IFERROR(IF(AND(OR(Table838[[#This Row],[Classification]]="Expense",Table838[[#This Row],[Classification]]="Cost of Goods Sold"),Table838[[#This Row],[Debit\]]&gt;Table838[[#This Row],[Credit.]]),Table838[[#This Row],[Debit\]]-Table838[[#This Row],[Credit.]],""),"")</f>
        <v/>
      </c>
      <c r="AE182" s="34" t="str">
        <f>IFERROR(IF(AND(OR(Table838[[#This Row],[Classification]]="Income",Table838[[#This Row],[Classification]]="Cost of Goods Sold"),Table838[[#This Row],[Credit.]]&gt;Table838[[#This Row],[Debit\]]),Table838[[#This Row],[Credit.]]-Table838[[#This Row],[Debit\]],""),"")</f>
        <v/>
      </c>
      <c r="AF182" s="34"/>
      <c r="AG182" s="34" t="str">
        <f>IFERROR(IF(AND(Table838[[#This Row],[Classification]]="Assets",Table838[[#This Row],[Debit\]]-Table838[[#This Row],[Credit.]]),Table838[[#This Row],[Debit\]]-Table838[[#This Row],[Credit.]],""),"")</f>
        <v/>
      </c>
      <c r="AH182" s="34" t="str">
        <f>IFERROR(IF(AND(OR(Table838[[#This Row],[Classification]]="Liabilities",Table838[[#This Row],[Classification]]="Owner´s Equity"),Table838[[#This Row],[Credit.]]&gt;Table838[[#This Row],[Debit\]]),Table838[[#This Row],[Credit.]]-Table838[[#This Row],[Debit\]],""),"")</f>
        <v/>
      </c>
    </row>
    <row r="183" spans="2:34" hidden="1" x14ac:dyDescent="0.25">
      <c r="B183" s="34"/>
      <c r="C183" s="45"/>
      <c r="D183" s="34"/>
      <c r="E183" s="34"/>
      <c r="G183" s="39"/>
      <c r="H183" s="40"/>
      <c r="I183" s="41"/>
      <c r="J183" s="41"/>
      <c r="L183" s="34">
        <v>176</v>
      </c>
      <c r="M183" s="35"/>
      <c r="N183" s="35"/>
      <c r="O183" s="34">
        <f>IFERROR(SUMIF(Table435[,],Table637[[#This Row],[Accounts Name]],Table435[,3]),"")</f>
        <v>0</v>
      </c>
      <c r="P183" s="34">
        <f>IFERROR(SUMIF(Table435[,],Table637[[#This Row],[Accounts Name]],Table435[,2]),"")</f>
        <v>0</v>
      </c>
      <c r="S183" s="36">
        <f t="shared" si="2"/>
        <v>176</v>
      </c>
      <c r="T183" s="34"/>
      <c r="U183" s="37"/>
      <c r="V183" s="34">
        <f>IFERROR(SUMIF(Table637[Sub-Accounts],Table838[[#This Row],[Update your chart of accounts here]],Table637[Debit]),"")</f>
        <v>0</v>
      </c>
      <c r="W183" s="34">
        <f>IFERROR(SUMIF(Table637[Sub-Accounts],Table838[[#This Row],[Update your chart of accounts here]],Table637[Credit]),"")</f>
        <v>0</v>
      </c>
      <c r="X183" s="34"/>
      <c r="Y183" s="34"/>
      <c r="Z183" s="34"/>
      <c r="AA183" s="34"/>
      <c r="AB183" s="34">
        <f>MAX(Table838[[#This Row],[Debit]]+Table838[[#This Row],[Debit -]]-Table838[[#This Row],[Credit]]-Table838[[#This Row],[Credit +]],0)</f>
        <v>0</v>
      </c>
      <c r="AC183" s="34">
        <f>MAX(Table838[[#This Row],[Credit]]-Table838[[#This Row],[Debit]]+Table838[[#This Row],[Credit +]]-Table838[[#This Row],[Debit -]],0)</f>
        <v>0</v>
      </c>
      <c r="AD183" s="34" t="str">
        <f>IFERROR(IF(AND(OR(Table838[[#This Row],[Classification]]="Expense",Table838[[#This Row],[Classification]]="Cost of Goods Sold"),Table838[[#This Row],[Debit\]]&gt;Table838[[#This Row],[Credit.]]),Table838[[#This Row],[Debit\]]-Table838[[#This Row],[Credit.]],""),"")</f>
        <v/>
      </c>
      <c r="AE183" s="34" t="str">
        <f>IFERROR(IF(AND(OR(Table838[[#This Row],[Classification]]="Income",Table838[[#This Row],[Classification]]="Cost of Goods Sold"),Table838[[#This Row],[Credit.]]&gt;Table838[[#This Row],[Debit\]]),Table838[[#This Row],[Credit.]]-Table838[[#This Row],[Debit\]],""),"")</f>
        <v/>
      </c>
      <c r="AF183" s="34"/>
      <c r="AG183" s="34" t="str">
        <f>IFERROR(IF(AND(Table838[[#This Row],[Classification]]="Assets",Table838[[#This Row],[Debit\]]-Table838[[#This Row],[Credit.]]),Table838[[#This Row],[Debit\]]-Table838[[#This Row],[Credit.]],""),"")</f>
        <v/>
      </c>
      <c r="AH183" s="34" t="str">
        <f>IFERROR(IF(AND(OR(Table838[[#This Row],[Classification]]="Liabilities",Table838[[#This Row],[Classification]]="Owner´s Equity"),Table838[[#This Row],[Credit.]]&gt;Table838[[#This Row],[Debit\]]),Table838[[#This Row],[Credit.]]-Table838[[#This Row],[Debit\]],""),"")</f>
        <v/>
      </c>
    </row>
    <row r="184" spans="2:34" hidden="1" x14ac:dyDescent="0.25">
      <c r="B184" s="34"/>
      <c r="C184" s="45"/>
      <c r="D184" s="34"/>
      <c r="E184" s="34"/>
      <c r="G184" s="39"/>
      <c r="H184" s="40"/>
      <c r="I184" s="41"/>
      <c r="J184" s="41"/>
      <c r="L184" s="34">
        <v>177</v>
      </c>
      <c r="M184" s="35"/>
      <c r="N184" s="35"/>
      <c r="O184" s="34">
        <f>IFERROR(SUMIF(Table435[,],Table637[[#This Row],[Accounts Name]],Table435[,3]),"")</f>
        <v>0</v>
      </c>
      <c r="P184" s="34">
        <f>IFERROR(SUMIF(Table435[,],Table637[[#This Row],[Accounts Name]],Table435[,2]),"")</f>
        <v>0</v>
      </c>
      <c r="S184" s="36">
        <f t="shared" si="2"/>
        <v>177</v>
      </c>
      <c r="T184" s="34"/>
      <c r="U184" s="37"/>
      <c r="V184" s="34">
        <f>IFERROR(SUMIF(Table637[Sub-Accounts],Table838[[#This Row],[Update your chart of accounts here]],Table637[Debit]),"")</f>
        <v>0</v>
      </c>
      <c r="W184" s="34">
        <f>IFERROR(SUMIF(Table637[Sub-Accounts],Table838[[#This Row],[Update your chart of accounts here]],Table637[Credit]),"")</f>
        <v>0</v>
      </c>
      <c r="X184" s="34"/>
      <c r="Y184" s="34"/>
      <c r="Z184" s="34"/>
      <c r="AA184" s="34"/>
      <c r="AB184" s="34">
        <f>MAX(Table838[[#This Row],[Debit]]+Table838[[#This Row],[Debit -]]-Table838[[#This Row],[Credit]]-Table838[[#This Row],[Credit +]],0)</f>
        <v>0</v>
      </c>
      <c r="AC184" s="34">
        <f>MAX(Table838[[#This Row],[Credit]]-Table838[[#This Row],[Debit]]+Table838[[#This Row],[Credit +]]-Table838[[#This Row],[Debit -]],0)</f>
        <v>0</v>
      </c>
      <c r="AD184" s="34" t="str">
        <f>IFERROR(IF(AND(OR(Table838[[#This Row],[Classification]]="Expense",Table838[[#This Row],[Classification]]="Cost of Goods Sold"),Table838[[#This Row],[Debit\]]&gt;Table838[[#This Row],[Credit.]]),Table838[[#This Row],[Debit\]]-Table838[[#This Row],[Credit.]],""),"")</f>
        <v/>
      </c>
      <c r="AE184" s="34" t="str">
        <f>IFERROR(IF(AND(OR(Table838[[#This Row],[Classification]]="Income",Table838[[#This Row],[Classification]]="Cost of Goods Sold"),Table838[[#This Row],[Credit.]]&gt;Table838[[#This Row],[Debit\]]),Table838[[#This Row],[Credit.]]-Table838[[#This Row],[Debit\]],""),"")</f>
        <v/>
      </c>
      <c r="AF184" s="34"/>
      <c r="AG184" s="34" t="str">
        <f>IFERROR(IF(AND(Table838[[#This Row],[Classification]]="Assets",Table838[[#This Row],[Debit\]]-Table838[[#This Row],[Credit.]]),Table838[[#This Row],[Debit\]]-Table838[[#This Row],[Credit.]],""),"")</f>
        <v/>
      </c>
      <c r="AH184" s="34" t="str">
        <f>IFERROR(IF(AND(OR(Table838[[#This Row],[Classification]]="Liabilities",Table838[[#This Row],[Classification]]="Owner´s Equity"),Table838[[#This Row],[Credit.]]&gt;Table838[[#This Row],[Debit\]]),Table838[[#This Row],[Credit.]]-Table838[[#This Row],[Debit\]],""),"")</f>
        <v/>
      </c>
    </row>
    <row r="185" spans="2:34" hidden="1" x14ac:dyDescent="0.25">
      <c r="B185" s="34"/>
      <c r="C185" s="45"/>
      <c r="D185" s="34"/>
      <c r="E185" s="34"/>
      <c r="G185" s="39"/>
      <c r="H185" s="43"/>
      <c r="I185" s="41"/>
      <c r="J185" s="41"/>
      <c r="L185" s="34">
        <v>178</v>
      </c>
      <c r="M185" s="35"/>
      <c r="N185" s="35"/>
      <c r="O185" s="34">
        <f>IFERROR(SUMIF(Table435[,],Table637[[#This Row],[Accounts Name]],Table435[,3]),"")</f>
        <v>0</v>
      </c>
      <c r="P185" s="34">
        <f>IFERROR(SUMIF(Table435[,],Table637[[#This Row],[Accounts Name]],Table435[,2]),"")</f>
        <v>0</v>
      </c>
      <c r="S185" s="36">
        <f t="shared" si="2"/>
        <v>178</v>
      </c>
      <c r="T185" s="34"/>
      <c r="U185" s="37"/>
      <c r="V185" s="34">
        <f>IFERROR(SUMIF(Table637[Sub-Accounts],Table838[[#This Row],[Update your chart of accounts here]],Table637[Debit]),"")</f>
        <v>0</v>
      </c>
      <c r="W185" s="34">
        <f>IFERROR(SUMIF(Table637[Sub-Accounts],Table838[[#This Row],[Update your chart of accounts here]],Table637[Credit]),"")</f>
        <v>0</v>
      </c>
      <c r="X185" s="34"/>
      <c r="Y185" s="34"/>
      <c r="Z185" s="34"/>
      <c r="AA185" s="34"/>
      <c r="AB185" s="34">
        <f>MAX(Table838[[#This Row],[Debit]]+Table838[[#This Row],[Debit -]]-Table838[[#This Row],[Credit]]-Table838[[#This Row],[Credit +]],0)</f>
        <v>0</v>
      </c>
      <c r="AC185" s="34">
        <f>MAX(Table838[[#This Row],[Credit]]-Table838[[#This Row],[Debit]]+Table838[[#This Row],[Credit +]]-Table838[[#This Row],[Debit -]],0)</f>
        <v>0</v>
      </c>
      <c r="AD185" s="34" t="str">
        <f>IFERROR(IF(AND(OR(Table838[[#This Row],[Classification]]="Expense",Table838[[#This Row],[Classification]]="Cost of Goods Sold"),Table838[[#This Row],[Debit\]]&gt;Table838[[#This Row],[Credit.]]),Table838[[#This Row],[Debit\]]-Table838[[#This Row],[Credit.]],""),"")</f>
        <v/>
      </c>
      <c r="AE185" s="34" t="str">
        <f>IFERROR(IF(AND(OR(Table838[[#This Row],[Classification]]="Income",Table838[[#This Row],[Classification]]="Cost of Goods Sold"),Table838[[#This Row],[Credit.]]&gt;Table838[[#This Row],[Debit\]]),Table838[[#This Row],[Credit.]]-Table838[[#This Row],[Debit\]],""),"")</f>
        <v/>
      </c>
      <c r="AF185" s="34"/>
      <c r="AG185" s="34" t="str">
        <f>IFERROR(IF(AND(Table838[[#This Row],[Classification]]="Assets",Table838[[#This Row],[Debit\]]-Table838[[#This Row],[Credit.]]),Table838[[#This Row],[Debit\]]-Table838[[#This Row],[Credit.]],""),"")</f>
        <v/>
      </c>
      <c r="AH185" s="34" t="str">
        <f>IFERROR(IF(AND(OR(Table838[[#This Row],[Classification]]="Liabilities",Table838[[#This Row],[Classification]]="Owner´s Equity"),Table838[[#This Row],[Credit.]]&gt;Table838[[#This Row],[Debit\]]),Table838[[#This Row],[Credit.]]-Table838[[#This Row],[Debit\]],""),"")</f>
        <v/>
      </c>
    </row>
    <row r="186" spans="2:34" hidden="1" x14ac:dyDescent="0.25">
      <c r="B186" s="34"/>
      <c r="C186" s="45"/>
      <c r="D186" s="34"/>
      <c r="E186" s="34"/>
      <c r="G186" s="39"/>
      <c r="H186" s="40"/>
      <c r="I186" s="41"/>
      <c r="J186" s="41"/>
      <c r="L186" s="34">
        <v>179</v>
      </c>
      <c r="M186" s="35"/>
      <c r="N186" s="35"/>
      <c r="O186" s="34">
        <f>IFERROR(SUMIF(Table435[,],Table637[[#This Row],[Accounts Name]],Table435[,3]),"")</f>
        <v>0</v>
      </c>
      <c r="P186" s="34">
        <f>IFERROR(SUMIF(Table435[,],Table637[[#This Row],[Accounts Name]],Table435[,2]),"")</f>
        <v>0</v>
      </c>
      <c r="S186" s="36">
        <f t="shared" si="2"/>
        <v>179</v>
      </c>
      <c r="T186" s="34"/>
      <c r="U186" s="37"/>
      <c r="V186" s="34">
        <f>IFERROR(SUMIF(Table637[Sub-Accounts],Table838[[#This Row],[Update your chart of accounts here]],Table637[Debit]),"")</f>
        <v>0</v>
      </c>
      <c r="W186" s="34">
        <f>IFERROR(SUMIF(Table637[Sub-Accounts],Table838[[#This Row],[Update your chart of accounts here]],Table637[Credit]),"")</f>
        <v>0</v>
      </c>
      <c r="X186" s="34"/>
      <c r="Y186" s="34"/>
      <c r="Z186" s="34"/>
      <c r="AA186" s="34"/>
      <c r="AB186" s="34">
        <f>MAX(Table838[[#This Row],[Debit]]+Table838[[#This Row],[Debit -]]-Table838[[#This Row],[Credit]]-Table838[[#This Row],[Credit +]],0)</f>
        <v>0</v>
      </c>
      <c r="AC186" s="34">
        <f>MAX(Table838[[#This Row],[Credit]]-Table838[[#This Row],[Debit]]+Table838[[#This Row],[Credit +]]-Table838[[#This Row],[Debit -]],0)</f>
        <v>0</v>
      </c>
      <c r="AD186" s="34" t="str">
        <f>IFERROR(IF(AND(OR(Table838[[#This Row],[Classification]]="Expense",Table838[[#This Row],[Classification]]="Cost of Goods Sold"),Table838[[#This Row],[Debit\]]&gt;Table838[[#This Row],[Credit.]]),Table838[[#This Row],[Debit\]]-Table838[[#This Row],[Credit.]],""),"")</f>
        <v/>
      </c>
      <c r="AE186" s="34" t="str">
        <f>IFERROR(IF(AND(OR(Table838[[#This Row],[Classification]]="Income",Table838[[#This Row],[Classification]]="Cost of Goods Sold"),Table838[[#This Row],[Credit.]]&gt;Table838[[#This Row],[Debit\]]),Table838[[#This Row],[Credit.]]-Table838[[#This Row],[Debit\]],""),"")</f>
        <v/>
      </c>
      <c r="AF186" s="34"/>
      <c r="AG186" s="34" t="str">
        <f>IFERROR(IF(AND(Table838[[#This Row],[Classification]]="Assets",Table838[[#This Row],[Debit\]]-Table838[[#This Row],[Credit.]]),Table838[[#This Row],[Debit\]]-Table838[[#This Row],[Credit.]],""),"")</f>
        <v/>
      </c>
      <c r="AH186" s="34" t="str">
        <f>IFERROR(IF(AND(OR(Table838[[#This Row],[Classification]]="Liabilities",Table838[[#This Row],[Classification]]="Owner´s Equity"),Table838[[#This Row],[Credit.]]&gt;Table838[[#This Row],[Debit\]]),Table838[[#This Row],[Credit.]]-Table838[[#This Row],[Debit\]],""),"")</f>
        <v/>
      </c>
    </row>
    <row r="187" spans="2:34" hidden="1" x14ac:dyDescent="0.25">
      <c r="B187" s="34"/>
      <c r="C187" s="45"/>
      <c r="D187" s="34"/>
      <c r="E187" s="34"/>
      <c r="G187" s="39"/>
      <c r="H187" s="40"/>
      <c r="I187" s="41"/>
      <c r="J187" s="41"/>
      <c r="L187" s="34">
        <v>180</v>
      </c>
      <c r="M187" s="35"/>
      <c r="N187" s="35"/>
      <c r="O187" s="34">
        <f>IFERROR(SUMIF(Table435[,],Table637[[#This Row],[Accounts Name]],Table435[,3]),"")</f>
        <v>0</v>
      </c>
      <c r="P187" s="34">
        <f>IFERROR(SUMIF(Table435[,],Table637[[#This Row],[Accounts Name]],Table435[,2]),"")</f>
        <v>0</v>
      </c>
      <c r="S187" s="36">
        <f t="shared" si="2"/>
        <v>180</v>
      </c>
      <c r="T187" s="34"/>
      <c r="U187" s="37"/>
      <c r="V187" s="34">
        <f>IFERROR(SUMIF(Table637[Sub-Accounts],Table838[[#This Row],[Update your chart of accounts here]],Table637[Debit]),"")</f>
        <v>0</v>
      </c>
      <c r="W187" s="34">
        <f>IFERROR(SUMIF(Table637[Sub-Accounts],Table838[[#This Row],[Update your chart of accounts here]],Table637[Credit]),"")</f>
        <v>0</v>
      </c>
      <c r="X187" s="34"/>
      <c r="Y187" s="34"/>
      <c r="Z187" s="34"/>
      <c r="AA187" s="34"/>
      <c r="AB187" s="34">
        <f>MAX(Table838[[#This Row],[Debit]]+Table838[[#This Row],[Debit -]]-Table838[[#This Row],[Credit]]-Table838[[#This Row],[Credit +]],0)</f>
        <v>0</v>
      </c>
      <c r="AC187" s="34">
        <f>MAX(Table838[[#This Row],[Credit]]-Table838[[#This Row],[Debit]]+Table838[[#This Row],[Credit +]]-Table838[[#This Row],[Debit -]],0)</f>
        <v>0</v>
      </c>
      <c r="AD187" s="34" t="str">
        <f>IFERROR(IF(AND(OR(Table838[[#This Row],[Classification]]="Expense",Table838[[#This Row],[Classification]]="Cost of Goods Sold"),Table838[[#This Row],[Debit\]]&gt;Table838[[#This Row],[Credit.]]),Table838[[#This Row],[Debit\]]-Table838[[#This Row],[Credit.]],""),"")</f>
        <v/>
      </c>
      <c r="AE187" s="34" t="str">
        <f>IFERROR(IF(AND(OR(Table838[[#This Row],[Classification]]="Income",Table838[[#This Row],[Classification]]="Cost of Goods Sold"),Table838[[#This Row],[Credit.]]&gt;Table838[[#This Row],[Debit\]]),Table838[[#This Row],[Credit.]]-Table838[[#This Row],[Debit\]],""),"")</f>
        <v/>
      </c>
      <c r="AF187" s="34"/>
      <c r="AG187" s="34" t="str">
        <f>IFERROR(IF(AND(Table838[[#This Row],[Classification]]="Assets",Table838[[#This Row],[Debit\]]-Table838[[#This Row],[Credit.]]),Table838[[#This Row],[Debit\]]-Table838[[#This Row],[Credit.]],""),"")</f>
        <v/>
      </c>
      <c r="AH187" s="34" t="str">
        <f>IFERROR(IF(AND(OR(Table838[[#This Row],[Classification]]="Liabilities",Table838[[#This Row],[Classification]]="Owner´s Equity"),Table838[[#This Row],[Credit.]]&gt;Table838[[#This Row],[Debit\]]),Table838[[#This Row],[Credit.]]-Table838[[#This Row],[Debit\]],""),"")</f>
        <v/>
      </c>
    </row>
    <row r="188" spans="2:34" hidden="1" x14ac:dyDescent="0.25">
      <c r="B188" s="34"/>
      <c r="C188" s="45"/>
      <c r="D188" s="34"/>
      <c r="E188" s="34"/>
      <c r="G188" s="39"/>
      <c r="H188" s="43"/>
      <c r="I188" s="41"/>
      <c r="J188" s="41"/>
      <c r="L188" s="34">
        <v>181</v>
      </c>
      <c r="M188" s="35"/>
      <c r="N188" s="35"/>
      <c r="O188" s="34">
        <f>IFERROR(SUMIF(Table435[,],Table637[[#This Row],[Accounts Name]],Table435[,3]),"")</f>
        <v>0</v>
      </c>
      <c r="P188" s="34">
        <f>IFERROR(SUMIF(Table435[,],Table637[[#This Row],[Accounts Name]],Table435[,2]),"")</f>
        <v>0</v>
      </c>
      <c r="S188" s="36">
        <f t="shared" si="2"/>
        <v>181</v>
      </c>
      <c r="T188" s="34"/>
      <c r="U188" s="37"/>
      <c r="V188" s="34">
        <f>IFERROR(SUMIF(Table637[Sub-Accounts],Table838[[#This Row],[Update your chart of accounts here]],Table637[Debit]),"")</f>
        <v>0</v>
      </c>
      <c r="W188" s="34">
        <f>IFERROR(SUMIF(Table637[Sub-Accounts],Table838[[#This Row],[Update your chart of accounts here]],Table637[Credit]),"")</f>
        <v>0</v>
      </c>
      <c r="X188" s="34"/>
      <c r="Y188" s="34"/>
      <c r="Z188" s="34"/>
      <c r="AA188" s="34"/>
      <c r="AB188" s="34">
        <f>MAX(Table838[[#This Row],[Debit]]+Table838[[#This Row],[Debit -]]-Table838[[#This Row],[Credit]]-Table838[[#This Row],[Credit +]],0)</f>
        <v>0</v>
      </c>
      <c r="AC188" s="34">
        <f>MAX(Table838[[#This Row],[Credit]]-Table838[[#This Row],[Debit]]+Table838[[#This Row],[Credit +]]-Table838[[#This Row],[Debit -]],0)</f>
        <v>0</v>
      </c>
      <c r="AD188" s="34" t="str">
        <f>IFERROR(IF(AND(OR(Table838[[#This Row],[Classification]]="Expense",Table838[[#This Row],[Classification]]="Cost of Goods Sold"),Table838[[#This Row],[Debit\]]&gt;Table838[[#This Row],[Credit.]]),Table838[[#This Row],[Debit\]]-Table838[[#This Row],[Credit.]],""),"")</f>
        <v/>
      </c>
      <c r="AE188" s="34" t="str">
        <f>IFERROR(IF(AND(OR(Table838[[#This Row],[Classification]]="Income",Table838[[#This Row],[Classification]]="Cost of Goods Sold"),Table838[[#This Row],[Credit.]]&gt;Table838[[#This Row],[Debit\]]),Table838[[#This Row],[Credit.]]-Table838[[#This Row],[Debit\]],""),"")</f>
        <v/>
      </c>
      <c r="AF188" s="34"/>
      <c r="AG188" s="34" t="str">
        <f>IFERROR(IF(AND(Table838[[#This Row],[Classification]]="Assets",Table838[[#This Row],[Debit\]]-Table838[[#This Row],[Credit.]]),Table838[[#This Row],[Debit\]]-Table838[[#This Row],[Credit.]],""),"")</f>
        <v/>
      </c>
      <c r="AH188" s="34" t="str">
        <f>IFERROR(IF(AND(OR(Table838[[#This Row],[Classification]]="Liabilities",Table838[[#This Row],[Classification]]="Owner´s Equity"),Table838[[#This Row],[Credit.]]&gt;Table838[[#This Row],[Debit\]]),Table838[[#This Row],[Credit.]]-Table838[[#This Row],[Debit\]],""),"")</f>
        <v/>
      </c>
    </row>
    <row r="189" spans="2:34" hidden="1" x14ac:dyDescent="0.25">
      <c r="B189" s="34"/>
      <c r="C189" s="45"/>
      <c r="D189" s="34"/>
      <c r="E189" s="34"/>
      <c r="G189" s="39"/>
      <c r="H189" s="40"/>
      <c r="I189" s="41"/>
      <c r="J189" s="41"/>
      <c r="L189" s="34">
        <v>182</v>
      </c>
      <c r="M189" s="35"/>
      <c r="N189" s="35"/>
      <c r="O189" s="34">
        <f>IFERROR(SUMIF(Table435[,],Table637[[#This Row],[Accounts Name]],Table435[,3]),"")</f>
        <v>0</v>
      </c>
      <c r="P189" s="34">
        <f>IFERROR(SUMIF(Table435[,],Table637[[#This Row],[Accounts Name]],Table435[,2]),"")</f>
        <v>0</v>
      </c>
      <c r="S189" s="36">
        <f t="shared" si="2"/>
        <v>182</v>
      </c>
      <c r="T189" s="34"/>
      <c r="U189" s="37"/>
      <c r="V189" s="34">
        <f>IFERROR(SUMIF(Table637[Sub-Accounts],Table838[[#This Row],[Update your chart of accounts here]],Table637[Debit]),"")</f>
        <v>0</v>
      </c>
      <c r="W189" s="34">
        <f>IFERROR(SUMIF(Table637[Sub-Accounts],Table838[[#This Row],[Update your chart of accounts here]],Table637[Credit]),"")</f>
        <v>0</v>
      </c>
      <c r="X189" s="34"/>
      <c r="Y189" s="34"/>
      <c r="Z189" s="34"/>
      <c r="AA189" s="34"/>
      <c r="AB189" s="34">
        <f>MAX(Table838[[#This Row],[Debit]]+Table838[[#This Row],[Debit -]]-Table838[[#This Row],[Credit]]-Table838[[#This Row],[Credit +]],0)</f>
        <v>0</v>
      </c>
      <c r="AC189" s="34">
        <f>MAX(Table838[[#This Row],[Credit]]-Table838[[#This Row],[Debit]]+Table838[[#This Row],[Credit +]]-Table838[[#This Row],[Debit -]],0)</f>
        <v>0</v>
      </c>
      <c r="AD189" s="34" t="str">
        <f>IFERROR(IF(AND(OR(Table838[[#This Row],[Classification]]="Expense",Table838[[#This Row],[Classification]]="Cost of Goods Sold"),Table838[[#This Row],[Debit\]]&gt;Table838[[#This Row],[Credit.]]),Table838[[#This Row],[Debit\]]-Table838[[#This Row],[Credit.]],""),"")</f>
        <v/>
      </c>
      <c r="AE189" s="34" t="str">
        <f>IFERROR(IF(AND(OR(Table838[[#This Row],[Classification]]="Income",Table838[[#This Row],[Classification]]="Cost of Goods Sold"),Table838[[#This Row],[Credit.]]&gt;Table838[[#This Row],[Debit\]]),Table838[[#This Row],[Credit.]]-Table838[[#This Row],[Debit\]],""),"")</f>
        <v/>
      </c>
      <c r="AF189" s="34"/>
      <c r="AG189" s="34" t="str">
        <f>IFERROR(IF(AND(Table838[[#This Row],[Classification]]="Assets",Table838[[#This Row],[Debit\]]-Table838[[#This Row],[Credit.]]),Table838[[#This Row],[Debit\]]-Table838[[#This Row],[Credit.]],""),"")</f>
        <v/>
      </c>
      <c r="AH189" s="34" t="str">
        <f>IFERROR(IF(AND(OR(Table838[[#This Row],[Classification]]="Liabilities",Table838[[#This Row],[Classification]]="Owner´s Equity"),Table838[[#This Row],[Credit.]]&gt;Table838[[#This Row],[Debit\]]),Table838[[#This Row],[Credit.]]-Table838[[#This Row],[Debit\]],""),"")</f>
        <v/>
      </c>
    </row>
    <row r="190" spans="2:34" hidden="1" x14ac:dyDescent="0.25">
      <c r="B190" s="34"/>
      <c r="C190" s="45"/>
      <c r="D190" s="34"/>
      <c r="E190" s="34"/>
      <c r="G190" s="39"/>
      <c r="H190" s="40"/>
      <c r="I190" s="41"/>
      <c r="J190" s="41"/>
      <c r="L190" s="34">
        <v>183</v>
      </c>
      <c r="M190" s="35"/>
      <c r="N190" s="35"/>
      <c r="O190" s="34">
        <f>IFERROR(SUMIF(Table435[,],Table637[[#This Row],[Accounts Name]],Table435[,3]),"")</f>
        <v>0</v>
      </c>
      <c r="P190" s="34">
        <f>IFERROR(SUMIF(Table435[,],Table637[[#This Row],[Accounts Name]],Table435[,2]),"")</f>
        <v>0</v>
      </c>
      <c r="S190" s="36">
        <f t="shared" si="2"/>
        <v>183</v>
      </c>
      <c r="T190" s="34"/>
      <c r="U190" s="37"/>
      <c r="V190" s="34">
        <f>IFERROR(SUMIF(Table637[Sub-Accounts],Table838[[#This Row],[Update your chart of accounts here]],Table637[Debit]),"")</f>
        <v>0</v>
      </c>
      <c r="W190" s="34">
        <f>IFERROR(SUMIF(Table637[Sub-Accounts],Table838[[#This Row],[Update your chart of accounts here]],Table637[Credit]),"")</f>
        <v>0</v>
      </c>
      <c r="X190" s="34"/>
      <c r="Y190" s="34"/>
      <c r="Z190" s="34"/>
      <c r="AA190" s="34"/>
      <c r="AB190" s="34">
        <f>MAX(Table838[[#This Row],[Debit]]+Table838[[#This Row],[Debit -]]-Table838[[#This Row],[Credit]]-Table838[[#This Row],[Credit +]],0)</f>
        <v>0</v>
      </c>
      <c r="AC190" s="34">
        <f>MAX(Table838[[#This Row],[Credit]]-Table838[[#This Row],[Debit]]+Table838[[#This Row],[Credit +]]-Table838[[#This Row],[Debit -]],0)</f>
        <v>0</v>
      </c>
      <c r="AD190" s="34" t="str">
        <f>IFERROR(IF(AND(OR(Table838[[#This Row],[Classification]]="Expense",Table838[[#This Row],[Classification]]="Cost of Goods Sold"),Table838[[#This Row],[Debit\]]&gt;Table838[[#This Row],[Credit.]]),Table838[[#This Row],[Debit\]]-Table838[[#This Row],[Credit.]],""),"")</f>
        <v/>
      </c>
      <c r="AE190" s="34" t="str">
        <f>IFERROR(IF(AND(OR(Table838[[#This Row],[Classification]]="Income",Table838[[#This Row],[Classification]]="Cost of Goods Sold"),Table838[[#This Row],[Credit.]]&gt;Table838[[#This Row],[Debit\]]),Table838[[#This Row],[Credit.]]-Table838[[#This Row],[Debit\]],""),"")</f>
        <v/>
      </c>
      <c r="AF190" s="34"/>
      <c r="AG190" s="34" t="str">
        <f>IFERROR(IF(AND(Table838[[#This Row],[Classification]]="Assets",Table838[[#This Row],[Debit\]]-Table838[[#This Row],[Credit.]]),Table838[[#This Row],[Debit\]]-Table838[[#This Row],[Credit.]],""),"")</f>
        <v/>
      </c>
      <c r="AH190" s="34" t="str">
        <f>IFERROR(IF(AND(OR(Table838[[#This Row],[Classification]]="Liabilities",Table838[[#This Row],[Classification]]="Owner´s Equity"),Table838[[#This Row],[Credit.]]&gt;Table838[[#This Row],[Debit\]]),Table838[[#This Row],[Credit.]]-Table838[[#This Row],[Debit\]],""),"")</f>
        <v/>
      </c>
    </row>
    <row r="191" spans="2:34" hidden="1" x14ac:dyDescent="0.25">
      <c r="B191" s="34"/>
      <c r="C191" s="45"/>
      <c r="D191" s="34"/>
      <c r="E191" s="34"/>
      <c r="G191" s="39"/>
      <c r="H191" s="43"/>
      <c r="I191" s="41"/>
      <c r="J191" s="41"/>
      <c r="L191" s="34">
        <v>184</v>
      </c>
      <c r="M191" s="35"/>
      <c r="N191" s="35"/>
      <c r="O191" s="34">
        <f>IFERROR(SUMIF(Table435[,],Table637[[#This Row],[Accounts Name]],Table435[,3]),"")</f>
        <v>0</v>
      </c>
      <c r="P191" s="34">
        <f>IFERROR(SUMIF(Table435[,],Table637[[#This Row],[Accounts Name]],Table435[,2]),"")</f>
        <v>0</v>
      </c>
      <c r="S191" s="36">
        <f t="shared" si="2"/>
        <v>184</v>
      </c>
      <c r="T191" s="34"/>
      <c r="U191" s="37"/>
      <c r="V191" s="34">
        <f>IFERROR(SUMIF(Table637[Sub-Accounts],Table838[[#This Row],[Update your chart of accounts here]],Table637[Debit]),"")</f>
        <v>0</v>
      </c>
      <c r="W191" s="34">
        <f>IFERROR(SUMIF(Table637[Sub-Accounts],Table838[[#This Row],[Update your chart of accounts here]],Table637[Credit]),"")</f>
        <v>0</v>
      </c>
      <c r="X191" s="34"/>
      <c r="Y191" s="34"/>
      <c r="Z191" s="34"/>
      <c r="AA191" s="34"/>
      <c r="AB191" s="34">
        <f>MAX(Table838[[#This Row],[Debit]]+Table838[[#This Row],[Debit -]]-Table838[[#This Row],[Credit]]-Table838[[#This Row],[Credit +]],0)</f>
        <v>0</v>
      </c>
      <c r="AC191" s="34">
        <f>MAX(Table838[[#This Row],[Credit]]-Table838[[#This Row],[Debit]]+Table838[[#This Row],[Credit +]]-Table838[[#This Row],[Debit -]],0)</f>
        <v>0</v>
      </c>
      <c r="AD191" s="34" t="str">
        <f>IFERROR(IF(AND(OR(Table838[[#This Row],[Classification]]="Expense",Table838[[#This Row],[Classification]]="Cost of Goods Sold"),Table838[[#This Row],[Debit\]]&gt;Table838[[#This Row],[Credit.]]),Table838[[#This Row],[Debit\]]-Table838[[#This Row],[Credit.]],""),"")</f>
        <v/>
      </c>
      <c r="AE191" s="34" t="str">
        <f>IFERROR(IF(AND(OR(Table838[[#This Row],[Classification]]="Income",Table838[[#This Row],[Classification]]="Cost of Goods Sold"),Table838[[#This Row],[Credit.]]&gt;Table838[[#This Row],[Debit\]]),Table838[[#This Row],[Credit.]]-Table838[[#This Row],[Debit\]],""),"")</f>
        <v/>
      </c>
      <c r="AF191" s="34"/>
      <c r="AG191" s="34" t="str">
        <f>IFERROR(IF(AND(Table838[[#This Row],[Classification]]="Assets",Table838[[#This Row],[Debit\]]-Table838[[#This Row],[Credit.]]),Table838[[#This Row],[Debit\]]-Table838[[#This Row],[Credit.]],""),"")</f>
        <v/>
      </c>
      <c r="AH191" s="34" t="str">
        <f>IFERROR(IF(AND(OR(Table838[[#This Row],[Classification]]="Liabilities",Table838[[#This Row],[Classification]]="Owner´s Equity"),Table838[[#This Row],[Credit.]]&gt;Table838[[#This Row],[Debit\]]),Table838[[#This Row],[Credit.]]-Table838[[#This Row],[Debit\]],""),"")</f>
        <v/>
      </c>
    </row>
    <row r="192" spans="2:34" hidden="1" x14ac:dyDescent="0.25">
      <c r="B192" s="34"/>
      <c r="C192" s="45"/>
      <c r="D192" s="34"/>
      <c r="E192" s="34"/>
      <c r="G192" s="39"/>
      <c r="H192" s="40"/>
      <c r="I192" s="41"/>
      <c r="J192" s="41"/>
      <c r="L192" s="34">
        <v>185</v>
      </c>
      <c r="M192" s="35"/>
      <c r="N192" s="35"/>
      <c r="O192" s="34">
        <f>IFERROR(SUMIF(Table435[,],Table637[[#This Row],[Accounts Name]],Table435[,3]),"")</f>
        <v>0</v>
      </c>
      <c r="P192" s="34">
        <f>IFERROR(SUMIF(Table435[,],Table637[[#This Row],[Accounts Name]],Table435[,2]),"")</f>
        <v>0</v>
      </c>
      <c r="S192" s="36">
        <f t="shared" si="2"/>
        <v>185</v>
      </c>
      <c r="T192" s="34"/>
      <c r="U192" s="37"/>
      <c r="V192" s="34">
        <f>IFERROR(SUMIF(Table637[Sub-Accounts],Table838[[#This Row],[Update your chart of accounts here]],Table637[Debit]),"")</f>
        <v>0</v>
      </c>
      <c r="W192" s="34">
        <f>IFERROR(SUMIF(Table637[Sub-Accounts],Table838[[#This Row],[Update your chart of accounts here]],Table637[Credit]),"")</f>
        <v>0</v>
      </c>
      <c r="X192" s="34"/>
      <c r="Y192" s="34"/>
      <c r="Z192" s="34"/>
      <c r="AA192" s="34"/>
      <c r="AB192" s="34">
        <f>MAX(Table838[[#This Row],[Debit]]+Table838[[#This Row],[Debit -]]-Table838[[#This Row],[Credit]]-Table838[[#This Row],[Credit +]],0)</f>
        <v>0</v>
      </c>
      <c r="AC192" s="34">
        <f>MAX(Table838[[#This Row],[Credit]]-Table838[[#This Row],[Debit]]+Table838[[#This Row],[Credit +]]-Table838[[#This Row],[Debit -]],0)</f>
        <v>0</v>
      </c>
      <c r="AD192" s="34" t="str">
        <f>IFERROR(IF(AND(OR(Table838[[#This Row],[Classification]]="Expense",Table838[[#This Row],[Classification]]="Cost of Goods Sold"),Table838[[#This Row],[Debit\]]&gt;Table838[[#This Row],[Credit.]]),Table838[[#This Row],[Debit\]]-Table838[[#This Row],[Credit.]],""),"")</f>
        <v/>
      </c>
      <c r="AE192" s="34" t="str">
        <f>IFERROR(IF(AND(OR(Table838[[#This Row],[Classification]]="Income",Table838[[#This Row],[Classification]]="Cost of Goods Sold"),Table838[[#This Row],[Credit.]]&gt;Table838[[#This Row],[Debit\]]),Table838[[#This Row],[Credit.]]-Table838[[#This Row],[Debit\]],""),"")</f>
        <v/>
      </c>
      <c r="AF192" s="34"/>
      <c r="AG192" s="34" t="str">
        <f>IFERROR(IF(AND(Table838[[#This Row],[Classification]]="Assets",Table838[[#This Row],[Debit\]]-Table838[[#This Row],[Credit.]]),Table838[[#This Row],[Debit\]]-Table838[[#This Row],[Credit.]],""),"")</f>
        <v/>
      </c>
      <c r="AH192" s="34" t="str">
        <f>IFERROR(IF(AND(OR(Table838[[#This Row],[Classification]]="Liabilities",Table838[[#This Row],[Classification]]="Owner´s Equity"),Table838[[#This Row],[Credit.]]&gt;Table838[[#This Row],[Debit\]]),Table838[[#This Row],[Credit.]]-Table838[[#This Row],[Debit\]],""),"")</f>
        <v/>
      </c>
    </row>
    <row r="193" spans="2:38" hidden="1" x14ac:dyDescent="0.25">
      <c r="B193" s="34"/>
      <c r="C193" s="45"/>
      <c r="D193" s="34"/>
      <c r="E193" s="34"/>
      <c r="G193" s="39"/>
      <c r="H193" s="40"/>
      <c r="I193" s="41"/>
      <c r="J193" s="41"/>
      <c r="L193" s="34">
        <v>186</v>
      </c>
      <c r="M193" s="35"/>
      <c r="N193" s="35"/>
      <c r="O193" s="34">
        <f>IFERROR(SUMIF(Table435[,],Table637[[#This Row],[Accounts Name]],Table435[,3]),"")</f>
        <v>0</v>
      </c>
      <c r="P193" s="34">
        <f>IFERROR(SUMIF(Table435[,],Table637[[#This Row],[Accounts Name]],Table435[,2]),"")</f>
        <v>0</v>
      </c>
      <c r="S193" s="36">
        <f t="shared" si="2"/>
        <v>186</v>
      </c>
      <c r="T193" s="34"/>
      <c r="U193" s="37"/>
      <c r="V193" s="34">
        <f>IFERROR(SUMIF(Table637[Sub-Accounts],Table838[[#This Row],[Update your chart of accounts here]],Table637[Debit]),"")</f>
        <v>0</v>
      </c>
      <c r="W193" s="34">
        <f>IFERROR(SUMIF(Table637[Sub-Accounts],Table838[[#This Row],[Update your chart of accounts here]],Table637[Credit]),"")</f>
        <v>0</v>
      </c>
      <c r="X193" s="34"/>
      <c r="Y193" s="34"/>
      <c r="Z193" s="34"/>
      <c r="AA193" s="34"/>
      <c r="AB193" s="34">
        <f>MAX(Table838[[#This Row],[Debit]]+Table838[[#This Row],[Debit -]]-Table838[[#This Row],[Credit]]-Table838[[#This Row],[Credit +]],0)</f>
        <v>0</v>
      </c>
      <c r="AC193" s="34">
        <f>MAX(Table838[[#This Row],[Credit]]-Table838[[#This Row],[Debit]]+Table838[[#This Row],[Credit +]]-Table838[[#This Row],[Debit -]],0)</f>
        <v>0</v>
      </c>
      <c r="AD193" s="34" t="str">
        <f>IFERROR(IF(AND(OR(Table838[[#This Row],[Classification]]="Expense",Table838[[#This Row],[Classification]]="Cost of Goods Sold"),Table838[[#This Row],[Debit\]]&gt;Table838[[#This Row],[Credit.]]),Table838[[#This Row],[Debit\]]-Table838[[#This Row],[Credit.]],""),"")</f>
        <v/>
      </c>
      <c r="AE193" s="34" t="str">
        <f>IFERROR(IF(AND(OR(Table838[[#This Row],[Classification]]="Income",Table838[[#This Row],[Classification]]="Cost of Goods Sold"),Table838[[#This Row],[Credit.]]&gt;Table838[[#This Row],[Debit\]]),Table838[[#This Row],[Credit.]]-Table838[[#This Row],[Debit\]],""),"")</f>
        <v/>
      </c>
      <c r="AF193" s="34"/>
      <c r="AG193" s="34" t="str">
        <f>IFERROR(IF(AND(Table838[[#This Row],[Classification]]="Assets",Table838[[#This Row],[Debit\]]-Table838[[#This Row],[Credit.]]),Table838[[#This Row],[Debit\]]-Table838[[#This Row],[Credit.]],""),"")</f>
        <v/>
      </c>
      <c r="AH193" s="34" t="str">
        <f>IFERROR(IF(AND(OR(Table838[[#This Row],[Classification]]="Liabilities",Table838[[#This Row],[Classification]]="Owner´s Equity"),Table838[[#This Row],[Credit.]]&gt;Table838[[#This Row],[Debit\]]),Table838[[#This Row],[Credit.]]-Table838[[#This Row],[Debit\]],""),"")</f>
        <v/>
      </c>
    </row>
    <row r="194" spans="2:38" hidden="1" x14ac:dyDescent="0.25">
      <c r="B194" s="34"/>
      <c r="C194" s="45"/>
      <c r="D194" s="34"/>
      <c r="E194" s="34"/>
      <c r="G194" s="39"/>
      <c r="H194" s="43"/>
      <c r="I194" s="41"/>
      <c r="J194" s="41"/>
      <c r="L194" s="34">
        <v>187</v>
      </c>
      <c r="M194" s="35"/>
      <c r="N194" s="35"/>
      <c r="O194" s="34">
        <f>IFERROR(SUMIF(Table435[,],Table637[[#This Row],[Accounts Name]],Table435[,3]),"")</f>
        <v>0</v>
      </c>
      <c r="P194" s="34">
        <f>IFERROR(SUMIF(Table435[,],Table637[[#This Row],[Accounts Name]],Table435[,2]),"")</f>
        <v>0</v>
      </c>
      <c r="S194" s="36">
        <f t="shared" si="2"/>
        <v>187</v>
      </c>
      <c r="T194" s="34"/>
      <c r="U194" s="37"/>
      <c r="V194" s="34">
        <f>IFERROR(SUMIF(Table637[Sub-Accounts],Table838[[#This Row],[Update your chart of accounts here]],Table637[Debit]),"")</f>
        <v>0</v>
      </c>
      <c r="W194" s="34">
        <f>IFERROR(SUMIF(Table637[Sub-Accounts],Table838[[#This Row],[Update your chart of accounts here]],Table637[Credit]),"")</f>
        <v>0</v>
      </c>
      <c r="X194" s="34"/>
      <c r="Y194" s="34"/>
      <c r="Z194" s="34"/>
      <c r="AA194" s="34"/>
      <c r="AB194" s="34">
        <f>MAX(Table838[[#This Row],[Debit]]+Table838[[#This Row],[Debit -]]-Table838[[#This Row],[Credit]]-Table838[[#This Row],[Credit +]],0)</f>
        <v>0</v>
      </c>
      <c r="AC194" s="34">
        <f>MAX(Table838[[#This Row],[Credit]]-Table838[[#This Row],[Debit]]+Table838[[#This Row],[Credit +]]-Table838[[#This Row],[Debit -]],0)</f>
        <v>0</v>
      </c>
      <c r="AD194" s="34" t="str">
        <f>IFERROR(IF(AND(OR(Table838[[#This Row],[Classification]]="Expense",Table838[[#This Row],[Classification]]="Cost of Goods Sold"),Table838[[#This Row],[Debit\]]&gt;Table838[[#This Row],[Credit.]]),Table838[[#This Row],[Debit\]]-Table838[[#This Row],[Credit.]],""),"")</f>
        <v/>
      </c>
      <c r="AE194" s="34" t="str">
        <f>IFERROR(IF(AND(OR(Table838[[#This Row],[Classification]]="Income",Table838[[#This Row],[Classification]]="Cost of Goods Sold"),Table838[[#This Row],[Credit.]]&gt;Table838[[#This Row],[Debit\]]),Table838[[#This Row],[Credit.]]-Table838[[#This Row],[Debit\]],""),"")</f>
        <v/>
      </c>
      <c r="AF194" s="34"/>
      <c r="AG194" s="34" t="str">
        <f>IFERROR(IF(AND(Table838[[#This Row],[Classification]]="Assets",Table838[[#This Row],[Debit\]]-Table838[[#This Row],[Credit.]]),Table838[[#This Row],[Debit\]]-Table838[[#This Row],[Credit.]],""),"")</f>
        <v/>
      </c>
      <c r="AH194" s="34" t="str">
        <f>IFERROR(IF(AND(OR(Table838[[#This Row],[Classification]]="Liabilities",Table838[[#This Row],[Classification]]="Owner´s Equity"),Table838[[#This Row],[Credit.]]&gt;Table838[[#This Row],[Debit\]]),Table838[[#This Row],[Credit.]]-Table838[[#This Row],[Debit\]],""),"")</f>
        <v/>
      </c>
    </row>
    <row r="195" spans="2:38" hidden="1" x14ac:dyDescent="0.25">
      <c r="B195" s="34"/>
      <c r="C195" s="45"/>
      <c r="D195" s="34"/>
      <c r="E195" s="34"/>
      <c r="G195" s="39"/>
      <c r="H195" s="40"/>
      <c r="I195" s="41"/>
      <c r="J195" s="41"/>
      <c r="L195" s="34">
        <v>188</v>
      </c>
      <c r="M195" s="35"/>
      <c r="N195" s="35"/>
      <c r="O195" s="34">
        <f>IFERROR(SUMIF(Table435[,],Table637[[#This Row],[Accounts Name]],Table435[,3]),"")</f>
        <v>0</v>
      </c>
      <c r="P195" s="34">
        <f>IFERROR(SUMIF(Table435[,],Table637[[#This Row],[Accounts Name]],Table435[,2]),"")</f>
        <v>0</v>
      </c>
      <c r="S195" s="36">
        <f t="shared" si="2"/>
        <v>188</v>
      </c>
      <c r="T195" s="34"/>
      <c r="U195" s="37"/>
      <c r="V195" s="34">
        <f>IFERROR(SUMIF(Table637[Sub-Accounts],Table838[[#This Row],[Update your chart of accounts here]],Table637[Debit]),"")</f>
        <v>0</v>
      </c>
      <c r="W195" s="34">
        <f>IFERROR(SUMIF(Table637[Sub-Accounts],Table838[[#This Row],[Update your chart of accounts here]],Table637[Credit]),"")</f>
        <v>0</v>
      </c>
      <c r="X195" s="34"/>
      <c r="Y195" s="34"/>
      <c r="Z195" s="34"/>
      <c r="AA195" s="34"/>
      <c r="AB195" s="34">
        <f>MAX(Table838[[#This Row],[Debit]]+Table838[[#This Row],[Debit -]]-Table838[[#This Row],[Credit]]-Table838[[#This Row],[Credit +]],0)</f>
        <v>0</v>
      </c>
      <c r="AC195" s="34">
        <f>MAX(Table838[[#This Row],[Credit]]-Table838[[#This Row],[Debit]]+Table838[[#This Row],[Credit +]]-Table838[[#This Row],[Debit -]],0)</f>
        <v>0</v>
      </c>
      <c r="AD195" s="34" t="str">
        <f>IFERROR(IF(AND(OR(Table838[[#This Row],[Classification]]="Expense",Table838[[#This Row],[Classification]]="Cost of Goods Sold"),Table838[[#This Row],[Debit\]]&gt;Table838[[#This Row],[Credit.]]),Table838[[#This Row],[Debit\]]-Table838[[#This Row],[Credit.]],""),"")</f>
        <v/>
      </c>
      <c r="AE195" s="34" t="str">
        <f>IFERROR(IF(AND(OR(Table838[[#This Row],[Classification]]="Income",Table838[[#This Row],[Classification]]="Cost of Goods Sold"),Table838[[#This Row],[Credit.]]&gt;Table838[[#This Row],[Debit\]]),Table838[[#This Row],[Credit.]]-Table838[[#This Row],[Debit\]],""),"")</f>
        <v/>
      </c>
      <c r="AF195" s="34"/>
      <c r="AG195" s="34" t="str">
        <f>IFERROR(IF(AND(Table838[[#This Row],[Classification]]="Assets",Table838[[#This Row],[Debit\]]-Table838[[#This Row],[Credit.]]),Table838[[#This Row],[Debit\]]-Table838[[#This Row],[Credit.]],""),"")</f>
        <v/>
      </c>
      <c r="AH195" s="34" t="str">
        <f>IFERROR(IF(AND(OR(Table838[[#This Row],[Classification]]="Liabilities",Table838[[#This Row],[Classification]]="Owner´s Equity"),Table838[[#This Row],[Credit.]]&gt;Table838[[#This Row],[Debit\]]),Table838[[#This Row],[Credit.]]-Table838[[#This Row],[Debit\]],""),"")</f>
        <v/>
      </c>
    </row>
    <row r="196" spans="2:38" hidden="1" x14ac:dyDescent="0.25">
      <c r="B196" s="34"/>
      <c r="C196" s="45"/>
      <c r="D196" s="34"/>
      <c r="E196" s="34"/>
      <c r="G196" s="39"/>
      <c r="H196" s="40"/>
      <c r="I196" s="41"/>
      <c r="J196" s="41"/>
      <c r="L196" s="34">
        <v>189</v>
      </c>
      <c r="M196" s="35"/>
      <c r="N196" s="35"/>
      <c r="O196" s="34">
        <f>IFERROR(SUMIF(Table435[,],Table637[[#This Row],[Accounts Name]],Table435[,3]),"")</f>
        <v>0</v>
      </c>
      <c r="P196" s="34">
        <f>IFERROR(SUMIF(Table435[,],Table637[[#This Row],[Accounts Name]],Table435[,2]),"")</f>
        <v>0</v>
      </c>
      <c r="S196" s="36">
        <f t="shared" si="2"/>
        <v>189</v>
      </c>
      <c r="T196" s="34"/>
      <c r="U196" s="37"/>
      <c r="V196" s="34">
        <f>IFERROR(SUMIF(Table637[Sub-Accounts],Table838[[#This Row],[Update your chart of accounts here]],Table637[Debit]),"")</f>
        <v>0</v>
      </c>
      <c r="W196" s="34">
        <f>IFERROR(SUMIF(Table637[Sub-Accounts],Table838[[#This Row],[Update your chart of accounts here]],Table637[Credit]),"")</f>
        <v>0</v>
      </c>
      <c r="X196" s="34"/>
      <c r="Y196" s="34"/>
      <c r="Z196" s="34"/>
      <c r="AA196" s="34"/>
      <c r="AB196" s="34">
        <f>MAX(Table838[[#This Row],[Debit]]+Table838[[#This Row],[Debit -]]-Table838[[#This Row],[Credit]]-Table838[[#This Row],[Credit +]],0)</f>
        <v>0</v>
      </c>
      <c r="AC196" s="34">
        <f>MAX(Table838[[#This Row],[Credit]]-Table838[[#This Row],[Debit]]+Table838[[#This Row],[Credit +]]-Table838[[#This Row],[Debit -]],0)</f>
        <v>0</v>
      </c>
      <c r="AD196" s="34" t="str">
        <f>IFERROR(IF(AND(OR(Table838[[#This Row],[Classification]]="Expense",Table838[[#This Row],[Classification]]="Cost of Goods Sold"),Table838[[#This Row],[Debit\]]&gt;Table838[[#This Row],[Credit.]]),Table838[[#This Row],[Debit\]]-Table838[[#This Row],[Credit.]],""),"")</f>
        <v/>
      </c>
      <c r="AE196" s="34" t="str">
        <f>IFERROR(IF(AND(OR(Table838[[#This Row],[Classification]]="Income",Table838[[#This Row],[Classification]]="Cost of Goods Sold"),Table838[[#This Row],[Credit.]]&gt;Table838[[#This Row],[Debit\]]),Table838[[#This Row],[Credit.]]-Table838[[#This Row],[Debit\]],""),"")</f>
        <v/>
      </c>
      <c r="AF196" s="34"/>
      <c r="AG196" s="34" t="str">
        <f>IFERROR(IF(AND(Table838[[#This Row],[Classification]]="Assets",Table838[[#This Row],[Debit\]]-Table838[[#This Row],[Credit.]]),Table838[[#This Row],[Debit\]]-Table838[[#This Row],[Credit.]],""),"")</f>
        <v/>
      </c>
      <c r="AH196" s="34" t="str">
        <f>IFERROR(IF(AND(OR(Table838[[#This Row],[Classification]]="Liabilities",Table838[[#This Row],[Classification]]="Owner´s Equity"),Table838[[#This Row],[Credit.]]&gt;Table838[[#This Row],[Debit\]]),Table838[[#This Row],[Credit.]]-Table838[[#This Row],[Debit\]],""),"")</f>
        <v/>
      </c>
    </row>
    <row r="197" spans="2:38" hidden="1" x14ac:dyDescent="0.25">
      <c r="B197" s="34"/>
      <c r="C197" s="45"/>
      <c r="D197" s="34"/>
      <c r="E197" s="34"/>
      <c r="G197" s="39"/>
      <c r="H197" s="43"/>
      <c r="I197" s="41"/>
      <c r="J197" s="41"/>
      <c r="L197" s="34">
        <v>190</v>
      </c>
      <c r="M197" s="35"/>
      <c r="N197" s="35"/>
      <c r="O197" s="34">
        <f>IFERROR(SUMIF(Table435[,],Table637[[#This Row],[Accounts Name]],Table435[,3]),"")</f>
        <v>0</v>
      </c>
      <c r="P197" s="34">
        <f>IFERROR(SUMIF(Table435[,],Table637[[#This Row],[Accounts Name]],Table435[,2]),"")</f>
        <v>0</v>
      </c>
      <c r="S197" s="36">
        <f t="shared" si="2"/>
        <v>190</v>
      </c>
      <c r="T197" s="34"/>
      <c r="U197" s="37"/>
      <c r="V197" s="34">
        <f>IFERROR(SUMIF(Table637[Sub-Accounts],Table838[[#This Row],[Update your chart of accounts here]],Table637[Debit]),"")</f>
        <v>0</v>
      </c>
      <c r="W197" s="34">
        <f>IFERROR(SUMIF(Table637[Sub-Accounts],Table838[[#This Row],[Update your chart of accounts here]],Table637[Credit]),"")</f>
        <v>0</v>
      </c>
      <c r="X197" s="34"/>
      <c r="Y197" s="34"/>
      <c r="Z197" s="34"/>
      <c r="AA197" s="34"/>
      <c r="AB197" s="34">
        <f>MAX(Table838[[#This Row],[Debit]]+Table838[[#This Row],[Debit -]]-Table838[[#This Row],[Credit]]-Table838[[#This Row],[Credit +]],0)</f>
        <v>0</v>
      </c>
      <c r="AC197" s="34">
        <f>MAX(Table838[[#This Row],[Credit]]-Table838[[#This Row],[Debit]]+Table838[[#This Row],[Credit +]]-Table838[[#This Row],[Debit -]],0)</f>
        <v>0</v>
      </c>
      <c r="AD197" s="34" t="str">
        <f>IFERROR(IF(AND(OR(Table838[[#This Row],[Classification]]="Expense",Table838[[#This Row],[Classification]]="Cost of Goods Sold"),Table838[[#This Row],[Debit\]]&gt;Table838[[#This Row],[Credit.]]),Table838[[#This Row],[Debit\]]-Table838[[#This Row],[Credit.]],""),"")</f>
        <v/>
      </c>
      <c r="AE197" s="34" t="str">
        <f>IFERROR(IF(AND(OR(Table838[[#This Row],[Classification]]="Income",Table838[[#This Row],[Classification]]="Cost of Goods Sold"),Table838[[#This Row],[Credit.]]&gt;Table838[[#This Row],[Debit\]]),Table838[[#This Row],[Credit.]]-Table838[[#This Row],[Debit\]],""),"")</f>
        <v/>
      </c>
      <c r="AF197" s="34"/>
      <c r="AG197" s="34" t="str">
        <f>IFERROR(IF(AND(Table838[[#This Row],[Classification]]="Assets",Table838[[#This Row],[Debit\]]-Table838[[#This Row],[Credit.]]),Table838[[#This Row],[Debit\]]-Table838[[#This Row],[Credit.]],""),"")</f>
        <v/>
      </c>
      <c r="AH197" s="34" t="str">
        <f>IFERROR(IF(AND(OR(Table838[[#This Row],[Classification]]="Liabilities",Table838[[#This Row],[Classification]]="Owner´s Equity"),Table838[[#This Row],[Credit.]]&gt;Table838[[#This Row],[Debit\]]),Table838[[#This Row],[Credit.]]-Table838[[#This Row],[Debit\]],""),"")</f>
        <v/>
      </c>
    </row>
    <row r="198" spans="2:38" hidden="1" x14ac:dyDescent="0.25">
      <c r="B198" s="34"/>
      <c r="C198" s="45"/>
      <c r="D198" s="34"/>
      <c r="E198" s="34"/>
      <c r="G198" s="39"/>
      <c r="H198" s="40"/>
      <c r="I198" s="41"/>
      <c r="J198" s="41"/>
      <c r="L198" s="34">
        <v>191</v>
      </c>
      <c r="M198" s="35"/>
      <c r="N198" s="35"/>
      <c r="O198" s="34">
        <f>IFERROR(SUMIF(Table435[,],Table637[[#This Row],[Accounts Name]],Table435[,3]),"")</f>
        <v>0</v>
      </c>
      <c r="P198" s="34">
        <f>IFERROR(SUMIF(Table435[,],Table637[[#This Row],[Accounts Name]],Table435[,2]),"")</f>
        <v>0</v>
      </c>
      <c r="S198" s="36">
        <f t="shared" si="2"/>
        <v>191</v>
      </c>
      <c r="T198" s="34"/>
      <c r="U198" s="37"/>
      <c r="V198" s="34">
        <f>IFERROR(SUMIF(Table637[Sub-Accounts],Table838[[#This Row],[Update your chart of accounts here]],Table637[Debit]),"")</f>
        <v>0</v>
      </c>
      <c r="W198" s="34">
        <f>IFERROR(SUMIF(Table637[Sub-Accounts],Table838[[#This Row],[Update your chart of accounts here]],Table637[Credit]),"")</f>
        <v>0</v>
      </c>
      <c r="X198" s="34"/>
      <c r="Y198" s="34"/>
      <c r="Z198" s="34"/>
      <c r="AA198" s="34"/>
      <c r="AB198" s="34">
        <f>MAX(Table838[[#This Row],[Debit]]+Table838[[#This Row],[Debit -]]-Table838[[#This Row],[Credit]]-Table838[[#This Row],[Credit +]],0)</f>
        <v>0</v>
      </c>
      <c r="AC198" s="34">
        <f>MAX(Table838[[#This Row],[Credit]]-Table838[[#This Row],[Debit]]+Table838[[#This Row],[Credit +]]-Table838[[#This Row],[Debit -]],0)</f>
        <v>0</v>
      </c>
      <c r="AD198" s="34" t="str">
        <f>IFERROR(IF(AND(OR(Table838[[#This Row],[Classification]]="Expense",Table838[[#This Row],[Classification]]="Cost of Goods Sold"),Table838[[#This Row],[Debit\]]&gt;Table838[[#This Row],[Credit.]]),Table838[[#This Row],[Debit\]]-Table838[[#This Row],[Credit.]],""),"")</f>
        <v/>
      </c>
      <c r="AE198" s="34" t="str">
        <f>IFERROR(IF(AND(OR(Table838[[#This Row],[Classification]]="Income",Table838[[#This Row],[Classification]]="Cost of Goods Sold"),Table838[[#This Row],[Credit.]]&gt;Table838[[#This Row],[Debit\]]),Table838[[#This Row],[Credit.]]-Table838[[#This Row],[Debit\]],""),"")</f>
        <v/>
      </c>
      <c r="AF198" s="34"/>
      <c r="AG198" s="34" t="str">
        <f>IFERROR(IF(AND(Table838[[#This Row],[Classification]]="Assets",Table838[[#This Row],[Debit\]]-Table838[[#This Row],[Credit.]]),Table838[[#This Row],[Debit\]]-Table838[[#This Row],[Credit.]],""),"")</f>
        <v/>
      </c>
      <c r="AH198" s="34" t="str">
        <f>IFERROR(IF(AND(OR(Table838[[#This Row],[Classification]]="Liabilities",Table838[[#This Row],[Classification]]="Owner´s Equity"),Table838[[#This Row],[Credit.]]&gt;Table838[[#This Row],[Debit\]]),Table838[[#This Row],[Credit.]]-Table838[[#This Row],[Debit\]],""),"")</f>
        <v/>
      </c>
    </row>
    <row r="199" spans="2:38" hidden="1" x14ac:dyDescent="0.25">
      <c r="B199" s="34"/>
      <c r="C199" s="45"/>
      <c r="D199" s="34"/>
      <c r="E199" s="34"/>
      <c r="G199" s="39"/>
      <c r="H199" s="40"/>
      <c r="I199" s="41"/>
      <c r="J199" s="41"/>
      <c r="L199" s="34">
        <v>192</v>
      </c>
      <c r="M199" s="35"/>
      <c r="N199" s="35"/>
      <c r="O199" s="34">
        <f>IFERROR(SUMIF(Table435[,],Table637[[#This Row],[Accounts Name]],Table435[,3]),"")</f>
        <v>0</v>
      </c>
      <c r="P199" s="34">
        <f>IFERROR(SUMIF(Table435[,],Table637[[#This Row],[Accounts Name]],Table435[,2]),"")</f>
        <v>0</v>
      </c>
      <c r="S199" s="36">
        <f t="shared" si="2"/>
        <v>192</v>
      </c>
      <c r="T199" s="34"/>
      <c r="U199" s="46"/>
      <c r="V199" s="34">
        <f>IFERROR(SUMIF(Table637[Sub-Accounts],Table838[[#This Row],[Update your chart of accounts here]],Table637[Debit]),"")</f>
        <v>0</v>
      </c>
      <c r="W199" s="34">
        <f>IFERROR(SUMIF(Table637[Sub-Accounts],Table838[[#This Row],[Update your chart of accounts here]],Table637[Credit]),"")</f>
        <v>0</v>
      </c>
      <c r="X199" s="34"/>
      <c r="Y199" s="34"/>
      <c r="Z199" s="34"/>
      <c r="AA199" s="34"/>
      <c r="AB199" s="34">
        <f>MAX(Table838[[#This Row],[Debit]]+Table838[[#This Row],[Debit -]]-Table838[[#This Row],[Credit]]-Table838[[#This Row],[Credit +]],0)</f>
        <v>0</v>
      </c>
      <c r="AC199" s="34">
        <f>MAX(Table838[[#This Row],[Credit]]-Table838[[#This Row],[Debit]]+Table838[[#This Row],[Credit +]]-Table838[[#This Row],[Debit -]],0)</f>
        <v>0</v>
      </c>
      <c r="AD199" s="34" t="str">
        <f>IFERROR(IF(AND(OR(Table838[[#This Row],[Classification]]="Expense",Table838[[#This Row],[Classification]]="Cost of Goods Sold"),Table838[[#This Row],[Debit\]]&gt;Table838[[#This Row],[Credit.]]),Table838[[#This Row],[Debit\]]-Table838[[#This Row],[Credit.]],""),"")</f>
        <v/>
      </c>
      <c r="AE199" s="34" t="str">
        <f>IFERROR(IF(AND(OR(Table838[[#This Row],[Classification]]="Income",Table838[[#This Row],[Classification]]="Cost of Goods Sold"),Table838[[#This Row],[Credit.]]&gt;Table838[[#This Row],[Debit\]]),Table838[[#This Row],[Credit.]]-Table838[[#This Row],[Debit\]],""),"")</f>
        <v/>
      </c>
      <c r="AF199" s="34"/>
      <c r="AG199" s="34" t="str">
        <f>IFERROR(IF(AND(Table838[[#This Row],[Classification]]="Assets",Table838[[#This Row],[Debit\]]-Table838[[#This Row],[Credit.]]),Table838[[#This Row],[Debit\]]-Table838[[#This Row],[Credit.]],""),"")</f>
        <v/>
      </c>
      <c r="AH199" s="34" t="str">
        <f>IFERROR(IF(AND(OR(Table838[[#This Row],[Classification]]="Liabilities",Table838[[#This Row],[Classification]]="Owner´s Equity"),Table838[[#This Row],[Credit.]]&gt;Table838[[#This Row],[Debit\]]),Table838[[#This Row],[Credit.]]-Table838[[#This Row],[Debit\]],""),"")</f>
        <v/>
      </c>
    </row>
    <row r="200" spans="2:38" hidden="1" x14ac:dyDescent="0.25">
      <c r="B200" s="34"/>
      <c r="C200" s="45"/>
      <c r="D200" s="34"/>
      <c r="E200" s="34"/>
      <c r="G200" s="39"/>
      <c r="H200" s="43"/>
      <c r="I200" s="41"/>
      <c r="J200" s="41"/>
      <c r="L200" s="34">
        <v>193</v>
      </c>
      <c r="M200" s="35"/>
      <c r="N200" s="35"/>
      <c r="O200" s="34">
        <f>IFERROR(SUMIF(Table435[,],Table637[[#This Row],[Accounts Name]],Table435[,3]),"")</f>
        <v>0</v>
      </c>
      <c r="P200" s="34">
        <f>IFERROR(SUMIF(Table435[,],Table637[[#This Row],[Accounts Name]],Table435[,2]),"")</f>
        <v>0</v>
      </c>
      <c r="S200" s="36">
        <f t="shared" si="2"/>
        <v>193</v>
      </c>
      <c r="T200" s="34"/>
      <c r="U200" s="47"/>
      <c r="V200" s="34">
        <f>IFERROR(SUMIF(Table637[Sub-Accounts],Table838[[#This Row],[Update your chart of accounts here]],Table637[Debit]),"")</f>
        <v>0</v>
      </c>
      <c r="W200" s="34">
        <f>IFERROR(SUMIF(Table637[Sub-Accounts],Table838[[#This Row],[Update your chart of accounts here]],Table637[Credit]),"")</f>
        <v>0</v>
      </c>
      <c r="X200" s="34"/>
      <c r="Y200" s="34"/>
      <c r="Z200" s="34"/>
      <c r="AA200" s="34"/>
      <c r="AB200" s="34">
        <f>MAX(Table838[[#This Row],[Debit]]+Table838[[#This Row],[Debit -]]-Table838[[#This Row],[Credit]]-Table838[[#This Row],[Credit +]],0)</f>
        <v>0</v>
      </c>
      <c r="AC200" s="34">
        <f>MAX(Table838[[#This Row],[Credit]]-Table838[[#This Row],[Debit]]+Table838[[#This Row],[Credit +]]-Table838[[#This Row],[Debit -]],0)</f>
        <v>0</v>
      </c>
      <c r="AD200" s="34" t="str">
        <f>IFERROR(IF(AND(OR(Table838[[#This Row],[Classification]]="Expense",Table838[[#This Row],[Classification]]="Cost of Goods Sold"),Table838[[#This Row],[Debit\]]&gt;Table838[[#This Row],[Credit.]]),Table838[[#This Row],[Debit\]]-Table838[[#This Row],[Credit.]],""),"")</f>
        <v/>
      </c>
      <c r="AE200" s="34" t="str">
        <f>IFERROR(IF(AND(OR(Table838[[#This Row],[Classification]]="Income",Table838[[#This Row],[Classification]]="Cost of Goods Sold"),Table838[[#This Row],[Credit.]]&gt;Table838[[#This Row],[Debit\]]),Table838[[#This Row],[Credit.]]-Table838[[#This Row],[Debit\]],""),"")</f>
        <v/>
      </c>
      <c r="AF200" s="34"/>
      <c r="AG200" s="34" t="str">
        <f>IFERROR(IF(AND(Table838[[#This Row],[Classification]]="Assets",Table838[[#This Row],[Debit\]]-Table838[[#This Row],[Credit.]]),Table838[[#This Row],[Debit\]]-Table838[[#This Row],[Credit.]],""),"")</f>
        <v/>
      </c>
      <c r="AH200" s="34" t="str">
        <f>IFERROR(IF(AND(OR(Table838[[#This Row],[Classification]]="Liabilities",Table838[[#This Row],[Classification]]="Owner´s Equity"),Table838[[#This Row],[Credit.]]&gt;Table838[[#This Row],[Debit\]]),Table838[[#This Row],[Credit.]]-Table838[[#This Row],[Debit\]],""),"")</f>
        <v/>
      </c>
      <c r="AI200" s="20" t="b">
        <f>Table838[[#Totals],[Debit .]]=Table838[[#Totals],[Credit'']]</f>
        <v>0</v>
      </c>
      <c r="AL200" s="20">
        <f>Table838[[#Totals],[Debit .]]-Table838[[#Totals],[Credit'']]</f>
        <v>0</v>
      </c>
    </row>
    <row r="201" spans="2:38" ht="15.75" thickBot="1" x14ac:dyDescent="0.3">
      <c r="B201" s="20" t="s">
        <v>60</v>
      </c>
      <c r="D201" s="57">
        <f>SUBTOTAL(109,Table435[,3])</f>
        <v>6373139.6100000003</v>
      </c>
      <c r="E201" s="57">
        <f>SUBTOTAL(109,Table435[,2])</f>
        <v>12625152.699999999</v>
      </c>
      <c r="G201" s="39"/>
      <c r="H201" s="40"/>
      <c r="I201" s="41"/>
      <c r="J201" s="41"/>
      <c r="L201" s="49" t="s">
        <v>60</v>
      </c>
      <c r="M201" s="35"/>
      <c r="N201" s="35"/>
      <c r="O201" s="48">
        <f>SUBTOTAL(109,Table637[Debit])</f>
        <v>8568388.6600000001</v>
      </c>
      <c r="P201" s="48">
        <f>SUBTOTAL(109,Table637[Credit])</f>
        <v>4047608.7</v>
      </c>
      <c r="S201" s="62" t="s">
        <v>60</v>
      </c>
      <c r="T201" s="63"/>
      <c r="U201" s="64"/>
      <c r="V201" s="63">
        <f>SUBTOTAL(109,Table838[Debit])</f>
        <v>33634688.240000002</v>
      </c>
      <c r="W201" s="63">
        <f>SUBTOTAL(109,Table838[Credit])</f>
        <v>33587719.600000001</v>
      </c>
      <c r="X201" s="63"/>
      <c r="Y201" s="63"/>
      <c r="Z201" s="63"/>
      <c r="AA201" s="63"/>
      <c r="AB201" s="63">
        <f>SUBTOTAL(109,Table838[Debit\])</f>
        <v>38476056.723225519</v>
      </c>
      <c r="AC201" s="63">
        <f>SUBTOTAL(109,Table838[Credit.])</f>
        <v>38476056.723225571</v>
      </c>
      <c r="AD201" s="63">
        <f>SUBTOTAL(109,Table838[[Debit ]])</f>
        <v>0</v>
      </c>
      <c r="AE201" s="63">
        <f>SUBTOTAL(109,Table838[Credit,])</f>
        <v>0</v>
      </c>
      <c r="AF201" s="63"/>
      <c r="AG201" s="63">
        <f>SUBTOTAL(109,Table838[Debit .])</f>
        <v>38476056.723225519</v>
      </c>
      <c r="AH201" s="63">
        <f>SUBTOTAL(109,Table838[Credit''])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56" priority="8">
      <formula>"Balanced"</formula>
    </cfRule>
  </conditionalFormatting>
  <dataValidations count="3">
    <dataValidation type="list" allowBlank="1" showInputMessage="1" showErrorMessage="1" sqref="T8:T200" xr:uid="{00000000-0002-0000-0D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D00-000001000000}">
      <formula1>P_LSub_Group</formula1>
    </dataValidation>
    <dataValidation type="list" allowBlank="1" showInputMessage="1" showErrorMessage="1" sqref="N8:N200" xr:uid="{00000000-0002-0000-0D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7D96D569-441C-4AC9-8059-33FE04AD99AB}">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BD2EA6C5-F8E9-41AD-B81B-9761895CA9E2}">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AE1B44B1-2F60-4718-B94C-47BCC125BD5B}">
            <xm:f>NOT(ISERROR(SEARCH($T$407,T8)))</xm:f>
            <xm:f>$T$407</xm:f>
            <x14:dxf>
              <fill>
                <patternFill>
                  <bgColor rgb="FF7030A0"/>
                </patternFill>
              </fill>
            </x14:dxf>
          </x14:cfRule>
          <x14:cfRule type="containsText" priority="2" operator="containsText" id="{8F4E64FC-521C-472B-8DD2-70DBD5A5F632}">
            <xm:f>NOT(ISERROR(SEARCH($T$406,T8)))</xm:f>
            <xm:f>$T$406</xm:f>
            <x14:dxf>
              <fill>
                <patternFill>
                  <bgColor rgb="FFFFFF00"/>
                </patternFill>
              </fill>
            </x14:dxf>
          </x14:cfRule>
          <x14:cfRule type="containsText" priority="3" operator="containsText" id="{293DFFC8-0DC6-40F0-A5BC-D3B2A236EA8B}">
            <xm:f>NOT(ISERROR(SEARCH($T$405,T8)))</xm:f>
            <xm:f>$T$405</xm:f>
            <x14:dxf>
              <fill>
                <patternFill>
                  <bgColor rgb="FF00B050"/>
                </patternFill>
              </fill>
            </x14:dxf>
          </x14:cfRule>
          <x14:cfRule type="containsText" priority="4" operator="containsText" id="{A1009442-0FB9-4466-B485-BB1137E9C617}">
            <xm:f>NOT(ISERROR(SEARCH($T$404,T8)))</xm:f>
            <xm:f>$T$404</xm:f>
            <x14:dxf>
              <fill>
                <patternFill>
                  <bgColor theme="0"/>
                </patternFill>
              </fill>
            </x14:dxf>
          </x14:cfRule>
          <x14:cfRule type="containsText" priority="5" operator="containsText" id="{6179832B-35C8-4538-8207-1EC300C85A0C}">
            <xm:f>NOT(ISERROR(SEARCH($T$403,T8)))</xm:f>
            <xm:f>$T$403</xm:f>
            <x14:dxf>
              <fill>
                <patternFill>
                  <bgColor rgb="FFFF0000"/>
                </patternFill>
              </fill>
            </x14:dxf>
          </x14:cfRule>
          <x14:cfRule type="containsText" priority="6" operator="containsText" id="{6816181F-530E-4223-9448-549F2C0F35DD}">
            <xm:f>NOT(ISERROR(SEARCH($T$402,T8)))</xm:f>
            <xm:f>$T$402</xm:f>
            <x14:dxf>
              <fill>
                <patternFill>
                  <bgColor theme="8" tint="-0.24994659260841701"/>
                </patternFill>
              </fill>
            </x14:dxf>
          </x14:cfRule>
          <xm:sqref>T8:T200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B1:AN407"/>
  <sheetViews>
    <sheetView showGridLines="0" workbookViewId="0">
      <selection activeCell="U17" sqref="U17"/>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IFERROR(SUMIF(Table439[,],Table641[[#This Row],[Accounts Name]],Table439[,3]),"")</f>
        <v>3977142.74</v>
      </c>
      <c r="P8" s="34">
        <f>IFERROR(SUMIF(Table439[,],Table641[[#This Row],[Accounts Name]],Table439[,2]),"")</f>
        <v>0</v>
      </c>
      <c r="S8" s="36">
        <v>1</v>
      </c>
      <c r="T8" s="34" t="s">
        <v>11</v>
      </c>
      <c r="U8" s="37" t="s">
        <v>138</v>
      </c>
      <c r="V8" s="34">
        <f>IFERROR(SUMIF(Table641[Sub-Accounts],Table842[[#This Row],[Update your chart of accounts here]],Table641[Debit]),"")</f>
        <v>5942202.0100000007</v>
      </c>
      <c r="W8" s="34">
        <f>IFERROR(SUMIF(Table641[Sub-Accounts],Table842[[#This Row],[Update your chart of accounts here]],Table641[Credit]),"")</f>
        <v>0</v>
      </c>
      <c r="X8" s="34"/>
      <c r="Y8" s="34" t="s">
        <v>228</v>
      </c>
      <c r="Z8" s="34"/>
      <c r="AA8" s="34">
        <f>J25</f>
        <v>21</v>
      </c>
      <c r="AB8" s="34">
        <f>MAX(Table842[[#This Row],[Debit]]+Table842[[#This Row],[Debit -]]-Table842[[#This Row],[Credit]]-Table842[[#This Row],[Credit +]],0)</f>
        <v>5942181.0100000007</v>
      </c>
      <c r="AC8" s="34">
        <f>MAX(Table842[[#This Row],[Credit]]-Table842[[#This Row],[Debit]]+Table842[[#This Row],[Credit +]]-Table842[[#This Row],[Debit -]],0)</f>
        <v>0</v>
      </c>
      <c r="AD8" s="34" t="str">
        <f>IFERROR(IF(AND(OR(Table842[[#This Row],[Classification]]="Expense",Table842[[#This Row],[Classification]]="Cost of Goods Sold"),Table842[[#This Row],[Debit\]]&gt;Table842[[#This Row],[Credit.]]),Table842[[#This Row],[Debit\]]-Table842[[#This Row],[Credit.]],""),"")</f>
        <v/>
      </c>
      <c r="AE8" s="34" t="str">
        <f>IFERROR(IF(AND(OR(Table842[[#This Row],[Classification]]="Income",Table842[[#This Row],[Classification]]="Cost of Goods Sold"),Table842[[#This Row],[Credit.]]&gt;Table842[[#This Row],[Debit\]]),Table842[[#This Row],[Credit.]]-Table842[[#This Row],[Debit\]],""),"")</f>
        <v/>
      </c>
      <c r="AF8" s="34"/>
      <c r="AG8" s="34">
        <f>IFERROR(IF(AND(Table842[[#This Row],[Classification]]="Assets",Table842[[#This Row],[Debit\]]-Table842[[#This Row],[Credit.]]),Table842[[#This Row],[Debit\]]-Table842[[#This Row],[Credit.]],""),"")</f>
        <v>5942181.0100000007</v>
      </c>
      <c r="AH8" s="34" t="str">
        <f>IFERROR(IF(AND(OR(Table842[[#This Row],[Classification]]="Liabilities",Table842[[#This Row],[Classification]]="Owner´s Equity"),Table842[[#This Row],[Credit.]]&gt;Table842[[#This Row],[Debit\]]),Table842[[#This Row],[Credit.]]-Table842[[#This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IFERROR(SUMIF(Table439[,],Table641[[#This Row],[Accounts Name]],Table439[,3]),"")</f>
        <v>0</v>
      </c>
      <c r="P9" s="34">
        <f>IFERROR(SUMIF(Table439[,],Table641[[#This Row],[Accounts Name]],Table439[,2]),"")</f>
        <v>1699952.7</v>
      </c>
      <c r="S9" s="36">
        <f>S8+1</f>
        <v>2</v>
      </c>
      <c r="T9" s="34" t="s">
        <v>12</v>
      </c>
      <c r="U9" s="37" t="s">
        <v>139</v>
      </c>
      <c r="V9" s="34">
        <f>IFERROR(SUMIF(Table641[Sub-Accounts],Table842[[#This Row],[Update your chart of accounts here]],Table641[Debit]),"")</f>
        <v>0</v>
      </c>
      <c r="W9" s="34">
        <f>IFERROR(SUMIF(Table641[Sub-Accounts],Table842[[#This Row],[Update your chart of accounts here]],Table641[Credit]),"")</f>
        <v>3699952.7</v>
      </c>
      <c r="X9" s="34"/>
      <c r="Y9" s="34"/>
      <c r="Z9" s="34"/>
      <c r="AA9" s="34"/>
      <c r="AB9" s="34">
        <f>MAX(Table842[[#This Row],[Debit]]+Table842[[#This Row],[Debit -]]-Table842[[#This Row],[Credit]]-Table842[[#This Row],[Credit +]],0)</f>
        <v>0</v>
      </c>
      <c r="AC9" s="34">
        <f>MAX(Table842[[#This Row],[Credit]]-Table842[[#This Row],[Debit]]+Table842[[#This Row],[Credit +]]-Table842[[#This Row],[Debit -]],0)</f>
        <v>3699952.7</v>
      </c>
      <c r="AD9" s="34" t="str">
        <f>IFERROR(IF(AND(OR(Table842[[#This Row],[Classification]]="Expense",Table842[[#This Row],[Classification]]="Cost of Goods Sold"),Table842[[#This Row],[Debit\]]&gt;Table842[[#This Row],[Credit.]]),Table842[[#This Row],[Debit\]]-Table842[[#This Row],[Credit.]],""),"")</f>
        <v/>
      </c>
      <c r="AE9" s="34" t="str">
        <f>IFERROR(IF(AND(OR(Table842[[#This Row],[Classification]]="Income",Table842[[#This Row],[Classification]]="Cost of Goods Sold"),Table842[[#This Row],[Credit.]]&gt;Table842[[#This Row],[Debit\]]),Table842[[#This Row],[Credit.]]-Table842[[#This Row],[Debit\]],""),"")</f>
        <v/>
      </c>
      <c r="AF9" s="34"/>
      <c r="AG9" s="34" t="str">
        <f>IFERROR(IF(AND(Table842[[#This Row],[Classification]]="Assets",Table842[[#This Row],[Debit\]]-Table842[[#This Row],[Credit.]]),Table842[[#This Row],[Debit\]]-Table842[[#This Row],[Credit.]],""),"")</f>
        <v/>
      </c>
      <c r="AH9" s="34">
        <f>IFERROR(IF(AND(OR(Table842[[#This Row],[Classification]]="Liabilities",Table842[[#This Row],[Classification]]="Owner´s Equity"),Table842[[#This Row],[Credit.]]&gt;Table842[[#This Row],[Debit\]]),Table842[[#This Row],[Credit.]]-Table842[[#This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IFERROR(SUMIF(Table439[,],Table641[[#This Row],[Accounts Name]],Table439[,3]),"")</f>
        <v>0</v>
      </c>
      <c r="P10" s="34">
        <f>IFERROR(SUMIF(Table439[,],Table641[[#This Row],[Accounts Name]],Table439[,2]),"")</f>
        <v>2000000</v>
      </c>
      <c r="S10" s="36">
        <f t="shared" ref="S10:S73" si="0">S9+1</f>
        <v>3</v>
      </c>
      <c r="T10" s="34" t="s">
        <v>11</v>
      </c>
      <c r="U10" s="37" t="s">
        <v>172</v>
      </c>
      <c r="V10" s="34">
        <f>IFERROR(SUMIF(Table641[Sub-Accounts],Table842[[#This Row],[Update your chart of accounts here]],Table641[Debit]),"")</f>
        <v>4355552.28</v>
      </c>
      <c r="W10" s="34">
        <f>IFERROR(SUMIF(Table641[Sub-Accounts],Table842[[#This Row],[Update your chart of accounts here]],Table641[Credit]),"")</f>
        <v>2517904</v>
      </c>
      <c r="X10" s="34"/>
      <c r="Y10" s="34" t="s">
        <v>224</v>
      </c>
      <c r="Z10" s="34">
        <f>I12</f>
        <v>251563</v>
      </c>
      <c r="AA10" s="34">
        <f>Table540[[#This Row],[,2]]</f>
        <v>409278.51677448238</v>
      </c>
      <c r="AB10" s="34">
        <f>MAX(Table842[[#This Row],[Debit]]+Table842[[#This Row],[Debit -]]-Table842[[#This Row],[Credit]]-Table842[[#This Row],[Credit +]],0)</f>
        <v>1679932.7632255179</v>
      </c>
      <c r="AC10" s="34">
        <f>MAX(Table842[[#This Row],[Credit]]-Table842[[#This Row],[Debit]]+Table842[[#This Row],[Credit +]]-Table842[[#This Row],[Debit -]],0)</f>
        <v>0</v>
      </c>
      <c r="AD10" s="34" t="str">
        <f>IFERROR(IF(AND(OR(Table842[[#This Row],[Classification]]="Expense",Table842[[#This Row],[Classification]]="Cost of Goods Sold"),Table842[[#This Row],[Debit\]]&gt;Table842[[#This Row],[Credit.]]),Table842[[#This Row],[Debit\]]-Table842[[#This Row],[Credit.]],""),"")</f>
        <v/>
      </c>
      <c r="AE10" s="34" t="str">
        <f>IFERROR(IF(AND(OR(Table842[[#This Row],[Classification]]="Income",Table842[[#This Row],[Classification]]="Cost of Goods Sold"),Table842[[#This Row],[Credit.]]&gt;Table842[[#This Row],[Debit\]]),Table842[[#This Row],[Credit.]]-Table842[[#This Row],[Debit\]],""),"")</f>
        <v/>
      </c>
      <c r="AF10" s="34"/>
      <c r="AG10" s="34">
        <f>IFERROR(IF(AND(Table842[[#This Row],[Classification]]="Assets",Table842[[#This Row],[Debit\]]-Table842[[#This Row],[Credit.]]),Table842[[#This Row],[Debit\]]-Table842[[#This Row],[Credit.]],""),"")</f>
        <v>1679932.7632255179</v>
      </c>
      <c r="AH10" s="34" t="str">
        <f>IFERROR(IF(AND(OR(Table842[[#This Row],[Classification]]="Liabilities",Table842[[#This Row],[Classification]]="Owner´s Equity"),Table842[[#This Row],[Credit.]]&gt;Table842[[#This Row],[Debit\]]),Table842[[#This Row],[Credit.]]-Table842[[#This Row],[Debit\]],""),"")</f>
        <v/>
      </c>
    </row>
    <row r="11" spans="2:40" x14ac:dyDescent="0.25">
      <c r="B11" s="34"/>
      <c r="C11" s="42" t="s">
        <v>65</v>
      </c>
      <c r="D11" s="34"/>
      <c r="E11" s="34">
        <v>2000000</v>
      </c>
      <c r="G11" s="39"/>
      <c r="H11" s="43" t="s">
        <v>180</v>
      </c>
      <c r="I11" s="41"/>
      <c r="J11" s="41"/>
      <c r="L11" s="34">
        <v>4</v>
      </c>
      <c r="M11" s="35" t="s">
        <v>138</v>
      </c>
      <c r="N11" s="35" t="s">
        <v>66</v>
      </c>
      <c r="O11" s="34">
        <f>IFERROR(SUMIF(Table439[,],Table641[[#This Row],[Accounts Name]],Table439[,3]),"")</f>
        <v>219779.97</v>
      </c>
      <c r="P11" s="34">
        <f>IFERROR(SUMIF(Table439[,],Table641[[#This Row],[Accounts Name]],Table439[,2]),"")</f>
        <v>0</v>
      </c>
      <c r="S11" s="36">
        <f t="shared" si="0"/>
        <v>4</v>
      </c>
      <c r="T11" s="34" t="s">
        <v>11</v>
      </c>
      <c r="U11" s="37" t="s">
        <v>140</v>
      </c>
      <c r="V11" s="34">
        <f>IFERROR(SUMIF(Table641[Sub-Accounts],Table842[[#This Row],[Update your chart of accounts here]],Table641[Debit]),"")</f>
        <v>21108825.949999999</v>
      </c>
      <c r="W11" s="34">
        <f>IFERROR(SUMIF(Table641[Sub-Accounts],Table842[[#This Row],[Update your chart of accounts here]],Table641[Credit]),"")</f>
        <v>0</v>
      </c>
      <c r="X11" s="34"/>
      <c r="Y11" s="34" t="s">
        <v>231</v>
      </c>
      <c r="Z11" s="34"/>
      <c r="AA11" s="34">
        <f>J31</f>
        <v>2551250</v>
      </c>
      <c r="AB11" s="34">
        <f>MAX(Table842[[#This Row],[Debit]]+Table842[[#This Row],[Debit -]]-Table842[[#This Row],[Credit]]-Table842[[#This Row],[Credit +]],0)</f>
        <v>18557575.949999999</v>
      </c>
      <c r="AC11" s="34">
        <f>MAX(Table842[[#This Row],[Credit]]-Table842[[#This Row],[Debit]]+Table842[[#This Row],[Credit +]]-Table842[[#This Row],[Debit -]],0)</f>
        <v>0</v>
      </c>
      <c r="AD11" s="34" t="str">
        <f>IFERROR(IF(AND(OR(Table842[[#This Row],[Classification]]="Expense",Table842[[#This Row],[Classification]]="Cost of Goods Sold"),Table842[[#This Row],[Debit\]]&gt;Table842[[#This Row],[Credit.]]),Table842[[#This Row],[Debit\]]-Table842[[#This Row],[Credit.]],""),"")</f>
        <v/>
      </c>
      <c r="AE11" s="34" t="str">
        <f>IFERROR(IF(AND(OR(Table842[[#This Row],[Classification]]="Income",Table842[[#This Row],[Classification]]="Cost of Goods Sold"),Table842[[#This Row],[Credit.]]&gt;Table842[[#This Row],[Debit\]]),Table842[[#This Row],[Credit.]]-Table842[[#This Row],[Debit\]],""),"")</f>
        <v/>
      </c>
      <c r="AF11" s="34"/>
      <c r="AG11" s="34">
        <f>IFERROR(IF(AND(Table842[[#This Row],[Classification]]="Assets",Table842[[#This Row],[Debit\]]-Table842[[#This Row],[Credit.]]),Table842[[#This Row],[Debit\]]-Table842[[#This Row],[Credit.]],""),"")</f>
        <v>18557575.949999999</v>
      </c>
      <c r="AH11" s="34" t="str">
        <f>IFERROR(IF(AND(OR(Table842[[#This Row],[Classification]]="Liabilities",Table842[[#This Row],[Classification]]="Owner´s Equity"),Table842[[#This Row],[Credit.]]&gt;Table842[[#This Row],[Debit\]]),Table842[[#This Row],[Credit.]]-Table842[[#This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IFERROR(SUMIF(Table439[,],Table641[[#This Row],[Accounts Name]],Table439[,3]),"")</f>
        <v>1054457.3500000001</v>
      </c>
      <c r="P12" s="34">
        <f>IFERROR(SUMIF(Table439[,],Table641[[#This Row],[Accounts Name]],Table439[,2]),"")</f>
        <v>0</v>
      </c>
      <c r="S12" s="36">
        <f t="shared" si="0"/>
        <v>5</v>
      </c>
      <c r="T12" s="34" t="s">
        <v>61</v>
      </c>
      <c r="U12" s="37" t="s">
        <v>207</v>
      </c>
      <c r="V12" s="34">
        <f>IFERROR(SUMIF(Table641[Sub-Accounts],Table842[[#This Row],[Update your chart of accounts here]],Table641[Debit]),"")</f>
        <v>0</v>
      </c>
      <c r="W12" s="34">
        <f>IFERROR(SUMIF(Table641[Sub-Accounts],Table842[[#This Row],[Update your chart of accounts here]],Table641[Credit]),"")</f>
        <v>0</v>
      </c>
      <c r="X12" s="34"/>
      <c r="Y12" s="34"/>
      <c r="Z12" s="34">
        <f>AN7</f>
        <v>8341041.1232255697</v>
      </c>
      <c r="AA12" s="34">
        <f>AU6</f>
        <v>0</v>
      </c>
      <c r="AB12" s="34">
        <f>MAX(Table842[[#This Row],[Debit]]+Table842[[#This Row],[Debit -]]-Table842[[#This Row],[Credit]]-Table842[[#This Row],[Credit +]],0)</f>
        <v>8341041.1232255697</v>
      </c>
      <c r="AC12" s="34">
        <f>MAX(Table842[[#This Row],[Credit]]-Table842[[#This Row],[Debit]]+Table842[[#This Row],[Credit +]]-Table842[[#This Row],[Debit -]],0)</f>
        <v>0</v>
      </c>
      <c r="AD12" s="34">
        <f>IFERROR(IF(AND(OR(Table842[[#This Row],[Classification]]="Expense",Table842[[#This Row],[Classification]]="Cost of Goods Sold"),Table842[[#This Row],[Debit\]]&gt;Table842[[#This Row],[Credit.]]),Table842[[#This Row],[Debit\]]-Table842[[#This Row],[Credit.]],""),"")</f>
        <v>8341041.1232255697</v>
      </c>
      <c r="AE12" s="34" t="str">
        <f>IFERROR(IF(AND(OR(Table842[[#This Row],[Classification]]="Income",Table842[[#This Row],[Classification]]="Cost of Goods Sold"),Table842[[#This Row],[Credit.]]&gt;Table842[[#This Row],[Debit\]]),Table842[[#This Row],[Credit.]]-Table842[[#This Row],[Debit\]],""),"")</f>
        <v/>
      </c>
      <c r="AF12" s="34"/>
      <c r="AG12" s="34" t="str">
        <f>IFERROR(IF(AND(Table842[[#This Row],[Classification]]="Assets",Table842[[#This Row],[Debit\]]-Table842[[#This Row],[Credit.]]),Table842[[#This Row],[Debit\]]-Table842[[#This Row],[Credit.]],""),"")</f>
        <v/>
      </c>
      <c r="AH12" s="34" t="str">
        <f>IFERROR(IF(AND(OR(Table842[[#This Row],[Classification]]="Liabilities",Table842[[#This Row],[Classification]]="Owner´s Equity"),Table842[[#This Row],[Credit.]]&gt;Table842[[#This Row],[Debit\]]),Table842[[#This Row],[Credit.]]-Table842[[#This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IFERROR(SUMIF(Table439[,],Table641[[#This Row],[Accounts Name]],Table439[,3]),"")</f>
        <v>230653</v>
      </c>
      <c r="P13" s="34">
        <f>IFERROR(SUMIF(Table439[,],Table641[[#This Row],[Accounts Name]],Table439[,2]),"")</f>
        <v>0</v>
      </c>
      <c r="S13" s="36">
        <f t="shared" si="0"/>
        <v>6</v>
      </c>
      <c r="T13" s="34" t="s">
        <v>6</v>
      </c>
      <c r="U13" s="37" t="s">
        <v>142</v>
      </c>
      <c r="V13" s="34">
        <f>IFERROR(SUMIF(Table641[Sub-Accounts],Table842[[#This Row],[Update your chart of accounts here]],Table641[Debit]),"")</f>
        <v>3296400</v>
      </c>
      <c r="W13" s="34">
        <f>IFERROR(SUMIF(Table641[Sub-Accounts],Table842[[#This Row],[Update your chart of accounts here]],Table641[Credit]),"")</f>
        <v>0</v>
      </c>
      <c r="X13" s="34"/>
      <c r="Y13" s="34" t="s">
        <v>227</v>
      </c>
      <c r="Z13" s="65"/>
      <c r="AA13" s="34"/>
      <c r="AB13" s="34">
        <f>MAX(Table842[[#This Row],[Debit]]+Table842[[#This Row],[Debit -]]-Table842[[#This Row],[Credit]]-Table842[[#This Row],[Credit +]],0)</f>
        <v>3296400</v>
      </c>
      <c r="AC13" s="34">
        <f>MAX(Table842[[#This Row],[Credit]]-Table842[[#This Row],[Debit]]+Table842[[#This Row],[Credit +]]-Table842[[#This Row],[Debit -]],0)</f>
        <v>0</v>
      </c>
      <c r="AD13" s="34">
        <f>IFERROR(IF(AND(OR(Table842[[#This Row],[Classification]]="Expense",Table842[[#This Row],[Classification]]="Cost of Goods Sold"),Table842[[#This Row],[Debit\]]&gt;Table842[[#This Row],[Credit.]]),Table842[[#This Row],[Debit\]]-Table842[[#This Row],[Credit.]],""),"")</f>
        <v>3296400</v>
      </c>
      <c r="AE13" s="34" t="str">
        <f>IFERROR(IF(AND(OR(Table842[[#This Row],[Classification]]="Income",Table842[[#This Row],[Classification]]="Cost of Goods Sold"),Table842[[#This Row],[Credit.]]&gt;Table842[[#This Row],[Debit\]]),Table842[[#This Row],[Credit.]]-Table842[[#This Row],[Debit\]],""),"")</f>
        <v/>
      </c>
      <c r="AF13" s="34"/>
      <c r="AG13" s="34" t="str">
        <f>IFERROR(IF(AND(Table842[[#This Row],[Classification]]="Assets",Table842[[#This Row],[Debit\]]-Table842[[#This Row],[Credit.]]),Table842[[#This Row],[Debit\]]-Table842[[#This Row],[Credit.]],""),"")</f>
        <v/>
      </c>
      <c r="AH13" s="34" t="str">
        <f>IFERROR(IF(AND(OR(Table842[[#This Row],[Classification]]="Liabilities",Table842[[#This Row],[Classification]]="Owner´s Equity"),Table842[[#This Row],[Credit.]]&gt;Table842[[#This Row],[Debit\]]),Table842[[#This Row],[Credit.]]-Table842[[#This Row],[Debit\]],""),"")</f>
        <v/>
      </c>
    </row>
    <row r="14" spans="2:40" x14ac:dyDescent="0.25">
      <c r="B14" s="34"/>
      <c r="C14" s="38" t="s">
        <v>68</v>
      </c>
      <c r="D14" s="34">
        <v>230653</v>
      </c>
      <c r="E14" s="34"/>
      <c r="G14" s="39"/>
      <c r="H14" s="43" t="s">
        <v>184</v>
      </c>
      <c r="I14" s="41"/>
      <c r="J14" s="41"/>
      <c r="L14" s="34">
        <v>7</v>
      </c>
      <c r="M14" s="35" t="s">
        <v>138</v>
      </c>
      <c r="N14" s="35" t="s">
        <v>69</v>
      </c>
      <c r="O14" s="34">
        <f>IFERROR(SUMIF(Table439[,],Table641[[#This Row],[Accounts Name]],Table439[,3]),"")</f>
        <v>460168.95</v>
      </c>
      <c r="P14" s="34">
        <f>IFERROR(SUMIF(Table439[,],Table641[[#This Row],[Accounts Name]],Table439[,2]),"")</f>
        <v>0</v>
      </c>
      <c r="S14" s="36">
        <f t="shared" si="0"/>
        <v>7</v>
      </c>
      <c r="T14" s="34" t="s">
        <v>12</v>
      </c>
      <c r="U14" s="37" t="s">
        <v>141</v>
      </c>
      <c r="V14" s="34">
        <f>IFERROR(SUMIF(Table641[Sub-Accounts],Table842[[#This Row],[Update your chart of accounts here]],Table641[Debit]),"")</f>
        <v>0</v>
      </c>
      <c r="W14" s="34">
        <f>IFERROR(SUMIF(Table641[Sub-Accounts],Table842[[#This Row],[Update your chart of accounts here]],Table641[Credit]),"")</f>
        <v>15517383.640000001</v>
      </c>
      <c r="X14" s="34"/>
      <c r="Y14" s="34" t="s">
        <v>233</v>
      </c>
      <c r="Z14" s="34">
        <f>I18</f>
        <v>50000</v>
      </c>
      <c r="AA14" s="34">
        <f>J22</f>
        <v>115200</v>
      </c>
      <c r="AB14" s="34">
        <f>MAX(Table842[[#This Row],[Debit]]+Table842[[#This Row],[Debit -]]-Table842[[#This Row],[Credit]]-Table842[[#This Row],[Credit +]],0)</f>
        <v>0</v>
      </c>
      <c r="AC14" s="34">
        <f>MAX(Table842[[#This Row],[Credit]]-Table842[[#This Row],[Debit]]+Table842[[#This Row],[Credit +]]-Table842[[#This Row],[Debit -]],0)</f>
        <v>15582583.640000001</v>
      </c>
      <c r="AD14" s="34" t="str">
        <f>IFERROR(IF(AND(OR(Table842[[#This Row],[Classification]]="Expense",Table842[[#This Row],[Classification]]="Cost of Goods Sold"),Table842[[#This Row],[Debit\]]&gt;Table842[[#This Row],[Credit.]]),Table842[[#This Row],[Debit\]]-Table842[[#This Row],[Credit.]],""),"")</f>
        <v/>
      </c>
      <c r="AE14" s="34" t="str">
        <f>IFERROR(IF(AND(OR(Table842[[#This Row],[Classification]]="Income",Table842[[#This Row],[Classification]]="Cost of Goods Sold"),Table842[[#This Row],[Credit.]]&gt;Table842[[#This Row],[Debit\]]),Table842[[#This Row],[Credit.]]-Table842[[#This Row],[Debit\]],""),"")</f>
        <v/>
      </c>
      <c r="AF14" s="34"/>
      <c r="AG14" s="34" t="str">
        <f>IFERROR(IF(AND(Table842[[#This Row],[Classification]]="Assets",Table842[[#This Row],[Debit\]]-Table842[[#This Row],[Credit.]]),Table842[[#This Row],[Debit\]]-Table842[[#This Row],[Credit.]],""),"")</f>
        <v/>
      </c>
      <c r="AH14" s="34">
        <f>IFERROR(IF(AND(OR(Table842[[#This Row],[Classification]]="Liabilities",Table842[[#This Row],[Classification]]="Owner´s Equity"),Table842[[#This Row],[Credit.]]&gt;Table842[[#This Row],[Debit\]]),Table842[[#This Row],[Credit.]]-Table842[[#This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IFERROR(SUMIF(Table439[,],Table641[[#This Row],[Accounts Name]],Table439[,3]),"")</f>
        <v>17870623.949999999</v>
      </c>
      <c r="P15" s="34">
        <f>IFERROR(SUMIF(Table439[,],Table641[[#This Row],[Accounts Name]],Table439[,2]),"")</f>
        <v>0</v>
      </c>
      <c r="S15" s="36">
        <f t="shared" si="0"/>
        <v>8</v>
      </c>
      <c r="T15" s="34"/>
      <c r="U15" s="37" t="s">
        <v>208</v>
      </c>
      <c r="V15" s="34">
        <f>IFERROR(SUMIF(Table641[Sub-Accounts],Table842[[#This Row],[Update your chart of accounts here]],Table641[Debit]),"")</f>
        <v>0</v>
      </c>
      <c r="W15" s="34">
        <f>IFERROR(SUMIF(Table641[Sub-Accounts],Table842[[#This Row],[Update your chart of accounts here]],Table641[Credit]),"")</f>
        <v>0</v>
      </c>
      <c r="X15" s="34"/>
      <c r="Y15" s="34"/>
      <c r="Z15" s="34"/>
      <c r="AA15" s="34"/>
      <c r="AB15" s="34">
        <f>MAX(Table842[[#This Row],[Debit]]+Table842[[#This Row],[Debit -]]-Table842[[#This Row],[Credit]]-Table842[[#This Row],[Credit +]],0)</f>
        <v>0</v>
      </c>
      <c r="AC15" s="34">
        <f>MAX(Table842[[#This Row],[Credit]]-Table842[[#This Row],[Debit]]+Table842[[#This Row],[Credit +]]-Table842[[#This Row],[Debit -]],0)</f>
        <v>0</v>
      </c>
      <c r="AD15" s="34" t="str">
        <f>IFERROR(IF(AND(OR(Table842[[#This Row],[Classification]]="Expense",Table842[[#This Row],[Classification]]="Cost of Goods Sold"),Table842[[#This Row],[Debit\]]&gt;Table842[[#This Row],[Credit.]]),Table842[[#This Row],[Debit\]]-Table842[[#This Row],[Credit.]],""),"")</f>
        <v/>
      </c>
      <c r="AE15" s="34" t="str">
        <f>IFERROR(IF(AND(OR(Table842[[#This Row],[Classification]]="Income",Table842[[#This Row],[Classification]]="Cost of Goods Sold"),Table842[[#This Row],[Credit.]]&gt;Table842[[#This Row],[Debit\]]),Table842[[#This Row],[Credit.]]-Table842[[#This Row],[Debit\]],""),"")</f>
        <v/>
      </c>
      <c r="AF15" s="34"/>
      <c r="AG15" s="34" t="str">
        <f>IFERROR(IF(AND(Table842[[#This Row],[Classification]]="Assets",Table842[[#This Row],[Debit\]]-Table842[[#This Row],[Credit.]]),Table842[[#This Row],[Debit\]]-Table842[[#This Row],[Credit.]],""),"")</f>
        <v/>
      </c>
      <c r="AH15" s="34" t="str">
        <f>IFERROR(IF(AND(OR(Table842[[#This Row],[Classification]]="Liabilities",Table842[[#This Row],[Classification]]="Owner´s Equity"),Table842[[#This Row],[Credit.]]&gt;Table842[[#This Row],[Debit\]]),Table842[[#This Row],[Credit.]]-Table842[[#This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IFERROR(SUMIF(Table439[,],Table641[[#This Row],[Accounts Name]],Table439[,3]),"")</f>
        <v>0</v>
      </c>
      <c r="P16" s="34">
        <f>IFERROR(SUMIF(Table439[,],Table641[[#This Row],[Accounts Name]],Table439[,2]),"")</f>
        <v>8925200</v>
      </c>
      <c r="S16" s="36">
        <f t="shared" si="0"/>
        <v>9</v>
      </c>
      <c r="T16" s="34"/>
      <c r="U16" s="37" t="s">
        <v>209</v>
      </c>
      <c r="V16" s="34">
        <f>IFERROR(SUMIF(Table641[Sub-Accounts],Table842[[#This Row],[Update your chart of accounts here]],Table641[Debit]),"")</f>
        <v>0</v>
      </c>
      <c r="W16" s="34">
        <f>IFERROR(SUMIF(Table641[Sub-Accounts],Table842[[#This Row],[Update your chart of accounts here]],Table641[Credit]),"")</f>
        <v>0</v>
      </c>
      <c r="X16" s="34"/>
      <c r="Y16" s="34"/>
      <c r="Z16" s="34"/>
      <c r="AA16" s="34"/>
      <c r="AB16" s="34">
        <f>MAX(Table842[[#This Row],[Debit]]+Table842[[#This Row],[Debit -]]-Table842[[#This Row],[Credit]]-Table842[[#This Row],[Credit +]],0)</f>
        <v>0</v>
      </c>
      <c r="AC16" s="34">
        <f>MAX(Table842[[#This Row],[Credit]]-Table842[[#This Row],[Debit]]+Table842[[#This Row],[Credit +]]-Table842[[#This Row],[Debit -]],0)</f>
        <v>0</v>
      </c>
      <c r="AD16" s="34" t="str">
        <f>IFERROR(IF(AND(OR(Table842[[#This Row],[Classification]]="Expense",Table842[[#This Row],[Classification]]="Cost of Goods Sold"),Table842[[#This Row],[Debit\]]&gt;Table842[[#This Row],[Credit.]]),Table842[[#This Row],[Debit\]]-Table842[[#This Row],[Credit.]],""),"")</f>
        <v/>
      </c>
      <c r="AE16" s="34" t="str">
        <f>IFERROR(IF(AND(OR(Table842[[#This Row],[Classification]]="Income",Table842[[#This Row],[Classification]]="Cost of Goods Sold"),Table842[[#This Row],[Credit.]]&gt;Table842[[#This Row],[Debit\]]),Table842[[#This Row],[Credit.]]-Table842[[#This Row],[Debit\]],""),"")</f>
        <v/>
      </c>
      <c r="AF16" s="34"/>
      <c r="AG16" s="34" t="str">
        <f>IFERROR(IF(AND(Table842[[#This Row],[Classification]]="Assets",Table842[[#This Row],[Debit\]]-Table842[[#This Row],[Credit.]]),Table842[[#This Row],[Debit\]]-Table842[[#This Row],[Credit.]],""),"")</f>
        <v/>
      </c>
      <c r="AH16" s="34" t="str">
        <f>IFERROR(IF(AND(OR(Table842[[#This Row],[Classification]]="Liabilities",Table842[[#This Row],[Classification]]="Owner´s Equity"),Table842[[#This Row],[Credit.]]&gt;Table842[[#This Row],[Debit\]]),Table842[[#This Row],[Credit.]]-Table842[[#This Row],[Debit\]],""),"")</f>
        <v/>
      </c>
    </row>
    <row r="17" spans="2:34" x14ac:dyDescent="0.25">
      <c r="B17" s="34"/>
      <c r="C17" s="37" t="s">
        <v>71</v>
      </c>
      <c r="D17" s="34"/>
      <c r="E17" s="34">
        <v>8925200</v>
      </c>
      <c r="G17" s="39"/>
      <c r="H17" s="43" t="s">
        <v>185</v>
      </c>
      <c r="I17" s="41"/>
      <c r="J17" s="41"/>
      <c r="L17" s="34">
        <v>10</v>
      </c>
      <c r="M17" s="35" t="s">
        <v>142</v>
      </c>
      <c r="N17" s="35" t="s">
        <v>72</v>
      </c>
      <c r="O17" s="34">
        <f>IFERROR(SUMIF(Table439[,],Table641[[#This Row],[Accounts Name]],Table439[,3]),"")</f>
        <v>3296400</v>
      </c>
      <c r="P17" s="34">
        <f>IFERROR(SUMIF(Table439[,],Table641[[#This Row],[Accounts Name]],Table439[,2]),"")</f>
        <v>0</v>
      </c>
      <c r="S17" s="36">
        <f t="shared" si="0"/>
        <v>10</v>
      </c>
      <c r="T17" s="34" t="s">
        <v>48</v>
      </c>
      <c r="U17" s="37" t="s">
        <v>146</v>
      </c>
      <c r="V17" s="34">
        <f>IFERROR(SUMIF(Table641[Sub-Accounts],Table842[[#This Row],[Update your chart of accounts here]],Table641[Debit]),"")</f>
        <v>0</v>
      </c>
      <c r="W17" s="34">
        <f>IFERROR(SUMIF(Table641[Sub-Accounts],Table842[[#This Row],[Update your chart of accounts here]],Table641[Credit]),"")</f>
        <v>400</v>
      </c>
      <c r="X17" s="34"/>
      <c r="Y17" s="34"/>
      <c r="Z17" s="34"/>
      <c r="AA17" s="34"/>
      <c r="AB17" s="34">
        <f>MAX(Table842[[#This Row],[Debit]]+Table842[[#This Row],[Debit -]]-Table842[[#This Row],[Credit]]-Table842[[#This Row],[Credit +]],0)</f>
        <v>0</v>
      </c>
      <c r="AC17" s="34">
        <f>MAX(Table842[[#This Row],[Credit]]-Table842[[#This Row],[Debit]]+Table842[[#This Row],[Credit +]]-Table842[[#This Row],[Debit -]],0)</f>
        <v>400</v>
      </c>
      <c r="AD17" s="34" t="str">
        <f>IFERROR(IF(AND(OR(Table842[[#This Row],[Classification]]="Expense",Table842[[#This Row],[Classification]]="Cost of Goods Sold"),Table842[[#This Row],[Debit\]]&gt;Table842[[#This Row],[Credit.]]),Table842[[#This Row],[Debit\]]-Table842[[#This Row],[Credit.]],""),"")</f>
        <v/>
      </c>
      <c r="AE17" s="34" t="str">
        <f>IFERROR(IF(AND(OR(Table842[[#This Row],[Classification]]="Income",Table842[[#This Row],[Classification]]="Cost of Goods Sold"),Table842[[#This Row],[Credit.]]&gt;Table842[[#This Row],[Debit\]]),Table842[[#This Row],[Credit.]]-Table842[[#This Row],[Debit\]],""),"")</f>
        <v/>
      </c>
      <c r="AF17" s="34"/>
      <c r="AG17" s="34" t="str">
        <f>IFERROR(IF(AND(Table842[[#This Row],[Classification]]="Assets",Table842[[#This Row],[Debit\]]-Table842[[#This Row],[Credit.]]),Table842[[#This Row],[Debit\]]-Table842[[#This Row],[Credit.]],""),"")</f>
        <v/>
      </c>
      <c r="AH17" s="34">
        <f>IFERROR(IF(AND(OR(Table842[[#This Row],[Classification]]="Liabilities",Table842[[#This Row],[Classification]]="Owner´s Equity"),Table842[[#This Row],[Credit.]]&gt;Table842[[#This Row],[Debit\]]),Table842[[#This Row],[Credit.]]-Table842[[#This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IFERROR(SUMIF(Table439[,],Table641[[#This Row],[Accounts Name]],Table439[,3]),"")</f>
        <v>165000</v>
      </c>
      <c r="P18" s="34">
        <f>IFERROR(SUMIF(Table439[,],Table641[[#This Row],[Accounts Name]],Table439[,2]),"")</f>
        <v>0</v>
      </c>
      <c r="S18" s="36">
        <f t="shared" si="0"/>
        <v>11</v>
      </c>
      <c r="T18" s="34"/>
      <c r="U18" s="37" t="s">
        <v>210</v>
      </c>
      <c r="V18" s="34">
        <f>IFERROR(SUMIF(Table641[Sub-Accounts],Table842[[#This Row],[Update your chart of accounts here]],Table641[Debit]),"")</f>
        <v>0</v>
      </c>
      <c r="W18" s="34">
        <f>IFERROR(SUMIF(Table641[Sub-Accounts],Table842[[#This Row],[Update your chart of accounts here]],Table641[Credit]),"")</f>
        <v>0</v>
      </c>
      <c r="X18" s="34"/>
      <c r="Y18" s="34"/>
      <c r="Z18" s="34"/>
      <c r="AA18" s="34"/>
      <c r="AB18" s="34">
        <f>MAX(Table842[[#This Row],[Debit]]+Table842[[#This Row],[Debit -]]-Table842[[#This Row],[Credit]]-Table842[[#This Row],[Credit +]],0)</f>
        <v>0</v>
      </c>
      <c r="AC18" s="34">
        <f>MAX(Table842[[#This Row],[Credit]]-Table842[[#This Row],[Debit]]+Table842[[#This Row],[Credit +]]-Table842[[#This Row],[Debit -]],0)</f>
        <v>0</v>
      </c>
      <c r="AD18" s="34" t="str">
        <f>IFERROR(IF(AND(OR(Table842[[#This Row],[Classification]]="Expense",Table842[[#This Row],[Classification]]="Cost of Goods Sold"),Table842[[#This Row],[Debit\]]&gt;Table842[[#This Row],[Credit.]]),Table842[[#This Row],[Debit\]]-Table842[[#This Row],[Credit.]],""),"")</f>
        <v/>
      </c>
      <c r="AE18" s="34" t="str">
        <f>IFERROR(IF(AND(OR(Table842[[#This Row],[Classification]]="Income",Table842[[#This Row],[Classification]]="Cost of Goods Sold"),Table842[[#This Row],[Credit.]]&gt;Table842[[#This Row],[Debit\]]),Table842[[#This Row],[Credit.]]-Table842[[#This Row],[Debit\]],""),"")</f>
        <v/>
      </c>
      <c r="AF18" s="34"/>
      <c r="AG18" s="34" t="str">
        <f>IFERROR(IF(AND(Table842[[#This Row],[Classification]]="Assets",Table842[[#This Row],[Debit\]]-Table842[[#This Row],[Credit.]]),Table842[[#This Row],[Debit\]]-Table842[[#This Row],[Credit.]],""),"")</f>
        <v/>
      </c>
      <c r="AH18" s="34" t="str">
        <f>IFERROR(IF(AND(OR(Table842[[#This Row],[Classification]]="Liabilities",Table842[[#This Row],[Classification]]="Owner´s Equity"),Table842[[#This Row],[Credit.]]&gt;Table842[[#This Row],[Debit\]]),Table842[[#This Row],[Credit.]]-Table842[[#This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IFERROR(SUMIF(Table439[,],Table641[[#This Row],[Accounts Name]],Table439[,3]),"")</f>
        <v>676160</v>
      </c>
      <c r="P19" s="34">
        <f>IFERROR(SUMIF(Table439[,],Table641[[#This Row],[Accounts Name]],Table439[,2]),"")</f>
        <v>0</v>
      </c>
      <c r="S19" s="36">
        <f t="shared" si="0"/>
        <v>12</v>
      </c>
      <c r="T19" s="34"/>
      <c r="U19" s="37" t="s">
        <v>211</v>
      </c>
      <c r="V19" s="34">
        <f>IFERROR(SUMIF(Table641[Sub-Accounts],Table842[[#This Row],[Update your chart of accounts here]],Table641[Debit]),"")</f>
        <v>0</v>
      </c>
      <c r="W19" s="34">
        <f>IFERROR(SUMIF(Table641[Sub-Accounts],Table842[[#This Row],[Update your chart of accounts here]],Table641[Credit]),"")</f>
        <v>0</v>
      </c>
      <c r="X19" s="34"/>
      <c r="Y19" s="34"/>
      <c r="Z19" s="34"/>
      <c r="AA19" s="34"/>
      <c r="AB19" s="34">
        <f>MAX(Table842[[#This Row],[Debit]]+Table842[[#This Row],[Debit -]]-Table842[[#This Row],[Credit]]-Table842[[#This Row],[Credit +]],0)</f>
        <v>0</v>
      </c>
      <c r="AC19" s="34">
        <f>MAX(Table842[[#This Row],[Credit]]-Table842[[#This Row],[Debit]]+Table842[[#This Row],[Credit +]]-Table842[[#This Row],[Debit -]],0)</f>
        <v>0</v>
      </c>
      <c r="AD19" s="34" t="str">
        <f>IFERROR(IF(AND(OR(Table842[[#This Row],[Classification]]="Expense",Table842[[#This Row],[Classification]]="Cost of Goods Sold"),Table842[[#This Row],[Debit\]]&gt;Table842[[#This Row],[Credit.]]),Table842[[#This Row],[Debit\]]-Table842[[#This Row],[Credit.]],""),"")</f>
        <v/>
      </c>
      <c r="AE19" s="34" t="str">
        <f>IFERROR(IF(AND(OR(Table842[[#This Row],[Classification]]="Income",Table842[[#This Row],[Classification]]="Cost of Goods Sold"),Table842[[#This Row],[Credit.]]&gt;Table842[[#This Row],[Debit\]]),Table842[[#This Row],[Credit.]]-Table842[[#This Row],[Debit\]],""),"")</f>
        <v/>
      </c>
      <c r="AF19" s="34"/>
      <c r="AG19" s="34" t="str">
        <f>IFERROR(IF(AND(Table842[[#This Row],[Classification]]="Assets",Table842[[#This Row],[Debit\]]-Table842[[#This Row],[Credit.]]),Table842[[#This Row],[Debit\]]-Table842[[#This Row],[Credit.]],""),"")</f>
        <v/>
      </c>
      <c r="AH19" s="34" t="str">
        <f>IFERROR(IF(AND(OR(Table842[[#This Row],[Classification]]="Liabilities",Table842[[#This Row],[Classification]]="Owner´s Equity"),Table842[[#This Row],[Credit.]]&gt;Table842[[#This Row],[Debit\]]),Table842[[#This Row],[Credit.]]-Table842[[#This Row],[Debit\]],""),"")</f>
        <v/>
      </c>
    </row>
    <row r="20" spans="2:34" hidden="1" x14ac:dyDescent="0.25">
      <c r="B20" s="34"/>
      <c r="C20" s="37" t="s">
        <v>74</v>
      </c>
      <c r="D20" s="34">
        <v>676160</v>
      </c>
      <c r="E20" s="34"/>
      <c r="G20" s="39"/>
      <c r="H20" s="43" t="s">
        <v>187</v>
      </c>
      <c r="I20" s="41"/>
      <c r="J20" s="41"/>
      <c r="L20" s="34">
        <v>13</v>
      </c>
      <c r="M20" s="35" t="s">
        <v>143</v>
      </c>
      <c r="N20" s="35" t="s">
        <v>75</v>
      </c>
      <c r="O20" s="34">
        <f>IFERROR(SUMIF(Table439[,],Table641[[#This Row],[Accounts Name]],Table439[,3]),"")</f>
        <v>0</v>
      </c>
      <c r="P20" s="34">
        <f>IFERROR(SUMIF(Table439[,],Table641[[#This Row],[Accounts Name]],Table439[,2]),"")</f>
        <v>654898</v>
      </c>
      <c r="S20" s="36">
        <f t="shared" si="0"/>
        <v>13</v>
      </c>
      <c r="T20" s="34"/>
      <c r="U20" s="37" t="s">
        <v>212</v>
      </c>
      <c r="V20" s="34">
        <f>IFERROR(SUMIF(Table641[Sub-Accounts],Table842[[#This Row],[Update your chart of accounts here]],Table641[Debit]),"")</f>
        <v>0</v>
      </c>
      <c r="W20" s="34">
        <f>IFERROR(SUMIF(Table641[Sub-Accounts],Table842[[#This Row],[Update your chart of accounts here]],Table641[Credit]),"")</f>
        <v>0</v>
      </c>
      <c r="X20" s="34"/>
      <c r="Y20" s="34"/>
      <c r="Z20" s="34"/>
      <c r="AA20" s="34"/>
      <c r="AB20" s="34">
        <f>MAX(Table842[[#This Row],[Debit]]+Table842[[#This Row],[Debit -]]-Table842[[#This Row],[Credit]]-Table842[[#This Row],[Credit +]],0)</f>
        <v>0</v>
      </c>
      <c r="AC20" s="34">
        <f>MAX(Table842[[#This Row],[Credit]]-Table842[[#This Row],[Debit]]+Table842[[#This Row],[Credit +]]-Table842[[#This Row],[Debit -]],0)</f>
        <v>0</v>
      </c>
      <c r="AD20" s="34" t="str">
        <f>IFERROR(IF(AND(OR(Table842[[#This Row],[Classification]]="Expense",Table842[[#This Row],[Classification]]="Cost of Goods Sold"),Table842[[#This Row],[Debit\]]&gt;Table842[[#This Row],[Credit.]]),Table842[[#This Row],[Debit\]]-Table842[[#This Row],[Credit.]],""),"")</f>
        <v/>
      </c>
      <c r="AE20" s="34" t="str">
        <f>IFERROR(IF(AND(OR(Table842[[#This Row],[Classification]]="Income",Table842[[#This Row],[Classification]]="Cost of Goods Sold"),Table842[[#This Row],[Credit.]]&gt;Table842[[#This Row],[Debit\]]),Table842[[#This Row],[Credit.]]-Table842[[#This Row],[Debit\]],""),"")</f>
        <v/>
      </c>
      <c r="AF20" s="34"/>
      <c r="AG20" s="34" t="str">
        <f>IFERROR(IF(AND(Table842[[#This Row],[Classification]]="Assets",Table842[[#This Row],[Debit\]]-Table842[[#This Row],[Credit.]]),Table842[[#This Row],[Debit\]]-Table842[[#This Row],[Credit.]],""),"")</f>
        <v/>
      </c>
      <c r="AH20" s="34" t="str">
        <f>IFERROR(IF(AND(OR(Table842[[#This Row],[Classification]]="Liabilities",Table842[[#This Row],[Classification]]="Owner´s Equity"),Table842[[#This Row],[Credit.]]&gt;Table842[[#This Row],[Debit\]]),Table842[[#This Row],[Credit.]]-Table842[[#This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IFERROR(SUMIF(Table439[,],Table641[[#This Row],[Accounts Name]],Table439[,3]),"")</f>
        <v>828735.28</v>
      </c>
      <c r="P21" s="34">
        <f>IFERROR(SUMIF(Table439[,],Table641[[#This Row],[Accounts Name]],Table439[,2]),"")</f>
        <v>0</v>
      </c>
      <c r="S21" s="36">
        <f t="shared" si="0"/>
        <v>14</v>
      </c>
      <c r="T21" s="34"/>
      <c r="U21" s="37" t="s">
        <v>213</v>
      </c>
      <c r="V21" s="34">
        <f>IFERROR(SUMIF(Table641[Sub-Accounts],Table842[[#This Row],[Update your chart of accounts here]],Table641[Debit]),"")</f>
        <v>0</v>
      </c>
      <c r="W21" s="34">
        <f>IFERROR(SUMIF(Table641[Sub-Accounts],Table842[[#This Row],[Update your chart of accounts here]],Table641[Credit]),"")</f>
        <v>0</v>
      </c>
      <c r="X21" s="34"/>
      <c r="Y21" s="34"/>
      <c r="Z21" s="34"/>
      <c r="AA21" s="34"/>
      <c r="AB21" s="34">
        <f>MAX(Table842[[#This Row],[Debit]]+Table842[[#This Row],[Debit -]]-Table842[[#This Row],[Credit]]-Table842[[#This Row],[Credit +]],0)</f>
        <v>0</v>
      </c>
      <c r="AC21" s="34">
        <f>MAX(Table842[[#This Row],[Credit]]-Table842[[#This Row],[Debit]]+Table842[[#This Row],[Credit +]]-Table842[[#This Row],[Debit -]],0)</f>
        <v>0</v>
      </c>
      <c r="AD21" s="34" t="str">
        <f>IFERROR(IF(AND(OR(Table842[[#This Row],[Classification]]="Expense",Table842[[#This Row],[Classification]]="Cost of Goods Sold"),Table842[[#This Row],[Debit\]]&gt;Table842[[#This Row],[Credit.]]),Table842[[#This Row],[Debit\]]-Table842[[#This Row],[Credit.]],""),"")</f>
        <v/>
      </c>
      <c r="AE21" s="34" t="str">
        <f>IFERROR(IF(AND(OR(Table842[[#This Row],[Classification]]="Income",Table842[[#This Row],[Classification]]="Cost of Goods Sold"),Table842[[#This Row],[Credit.]]&gt;Table842[[#This Row],[Debit\]]),Table842[[#This Row],[Credit.]]-Table842[[#This Row],[Debit\]],""),"")</f>
        <v/>
      </c>
      <c r="AF21" s="34"/>
      <c r="AG21" s="34" t="str">
        <f>IFERROR(IF(AND(Table842[[#This Row],[Classification]]="Assets",Table842[[#This Row],[Debit\]]-Table842[[#This Row],[Credit.]]),Table842[[#This Row],[Debit\]]-Table842[[#This Row],[Credit.]],""),"")</f>
        <v/>
      </c>
      <c r="AH21" s="34" t="str">
        <f>IFERROR(IF(AND(OR(Table842[[#This Row],[Classification]]="Liabilities",Table842[[#This Row],[Classification]]="Owner´s Equity"),Table842[[#This Row],[Credit.]]&gt;Table842[[#This Row],[Debit\]]),Table842[[#This Row],[Credit.]]-Table842[[#This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IFERROR(SUMIF(Table439[,],Table641[[#This Row],[Accounts Name]],Table439[,3]),"")</f>
        <v>0</v>
      </c>
      <c r="P22" s="34">
        <f>IFERROR(SUMIF(Table439[,],Table641[[#This Row],[Accounts Name]],Table439[,2]),"")</f>
        <v>347656</v>
      </c>
      <c r="S22" s="36">
        <f t="shared" si="0"/>
        <v>15</v>
      </c>
      <c r="T22" s="34" t="s">
        <v>11</v>
      </c>
      <c r="U22" s="37" t="s">
        <v>144</v>
      </c>
      <c r="V22" s="34">
        <f>IFERROR(SUMIF(Table641[Sub-Accounts],Table842[[#This Row],[Update your chart of accounts here]],Table641[Debit]),"")</f>
        <v>2228108</v>
      </c>
      <c r="W22" s="34">
        <f>IFERROR(SUMIF(Table641[Sub-Accounts],Table842[[#This Row],[Update your chart of accounts here]],Table641[Credit]),"")</f>
        <v>0</v>
      </c>
      <c r="X22" s="34"/>
      <c r="Y22" s="34" t="s">
        <v>227</v>
      </c>
      <c r="Z22" s="34"/>
      <c r="AA22" s="34">
        <f>J19</f>
        <v>50000</v>
      </c>
      <c r="AB22" s="34">
        <f>MAX(Table842[[#This Row],[Debit]]+Table842[[#This Row],[Debit -]]-Table842[[#This Row],[Credit]]-Table842[[#This Row],[Credit +]],0)</f>
        <v>2178108</v>
      </c>
      <c r="AC22" s="34">
        <f>MAX(Table842[[#This Row],[Credit]]-Table842[[#This Row],[Debit]]+Table842[[#This Row],[Credit +]]-Table842[[#This Row],[Debit -]],0)</f>
        <v>0</v>
      </c>
      <c r="AD22" s="34" t="str">
        <f>IFERROR(IF(AND(OR(Table842[[#This Row],[Classification]]="Expense",Table842[[#This Row],[Classification]]="Cost of Goods Sold"),Table842[[#This Row],[Debit\]]&gt;Table842[[#This Row],[Credit.]]),Table842[[#This Row],[Debit\]]-Table842[[#This Row],[Credit.]],""),"")</f>
        <v/>
      </c>
      <c r="AE22" s="34" t="str">
        <f>IFERROR(IF(AND(OR(Table842[[#This Row],[Classification]]="Income",Table842[[#This Row],[Classification]]="Cost of Goods Sold"),Table842[[#This Row],[Credit.]]&gt;Table842[[#This Row],[Debit\]]),Table842[[#This Row],[Credit.]]-Table842[[#This Row],[Debit\]],""),"")</f>
        <v/>
      </c>
      <c r="AF22" s="34"/>
      <c r="AG22" s="34">
        <f>IFERROR(IF(AND(Table842[[#This Row],[Classification]]="Assets",Table842[[#This Row],[Debit\]]-Table842[[#This Row],[Credit.]]),Table842[[#This Row],[Debit\]]-Table842[[#This Row],[Credit.]],""),"")</f>
        <v>2178108</v>
      </c>
      <c r="AH22" s="34" t="str">
        <f>IFERROR(IF(AND(OR(Table842[[#This Row],[Classification]]="Liabilities",Table842[[#This Row],[Classification]]="Owner´s Equity"),Table842[[#This Row],[Credit.]]&gt;Table842[[#This Row],[Debit\]]),Table842[[#This Row],[Credit.]]-Table842[[#This Row],[Debit\]],""),"")</f>
        <v/>
      </c>
    </row>
    <row r="23" spans="2:34" hidden="1" x14ac:dyDescent="0.25">
      <c r="B23" s="34"/>
      <c r="C23" s="37" t="s">
        <v>77</v>
      </c>
      <c r="D23" s="34"/>
      <c r="E23" s="34">
        <v>347656</v>
      </c>
      <c r="G23" s="39"/>
      <c r="H23" s="43" t="s">
        <v>188</v>
      </c>
      <c r="I23" s="41"/>
      <c r="J23" s="41"/>
      <c r="L23" s="34">
        <v>16</v>
      </c>
      <c r="M23" s="35" t="s">
        <v>143</v>
      </c>
      <c r="N23" s="35" t="s">
        <v>78</v>
      </c>
      <c r="O23" s="34">
        <f>IFERROR(SUMIF(Table439[,],Table641[[#This Row],[Accounts Name]],Table439[,3]),"")</f>
        <v>1150000</v>
      </c>
      <c r="P23" s="34">
        <f>IFERROR(SUMIF(Table439[,],Table641[[#This Row],[Accounts Name]],Table439[,2]),"")</f>
        <v>0</v>
      </c>
      <c r="S23" s="36">
        <f t="shared" si="0"/>
        <v>16</v>
      </c>
      <c r="T23" s="34"/>
      <c r="U23" s="37" t="s">
        <v>214</v>
      </c>
      <c r="V23" s="34">
        <f>IFERROR(SUMIF(Table641[Sub-Accounts],Table842[[#This Row],[Update your chart of accounts here]],Table641[Debit]),"")</f>
        <v>0</v>
      </c>
      <c r="W23" s="34">
        <f>IFERROR(SUMIF(Table641[Sub-Accounts],Table842[[#This Row],[Update your chart of accounts here]],Table641[Credit]),"")</f>
        <v>0</v>
      </c>
      <c r="X23" s="34"/>
      <c r="Y23" s="34"/>
      <c r="Z23" s="34"/>
      <c r="AA23" s="34"/>
      <c r="AB23" s="34">
        <f>MAX(Table842[[#This Row],[Debit]]+Table842[[#This Row],[Debit -]]-Table842[[#This Row],[Credit]]-Table842[[#This Row],[Credit +]],0)</f>
        <v>0</v>
      </c>
      <c r="AC23" s="34">
        <f>MAX(Table842[[#This Row],[Credit]]-Table842[[#This Row],[Debit]]+Table842[[#This Row],[Credit +]]-Table842[[#This Row],[Debit -]],0)</f>
        <v>0</v>
      </c>
      <c r="AD23" s="34" t="str">
        <f>IFERROR(IF(AND(OR(Table842[[#This Row],[Classification]]="Expense",Table842[[#This Row],[Classification]]="Cost of Goods Sold"),Table842[[#This Row],[Debit\]]&gt;Table842[[#This Row],[Credit.]]),Table842[[#This Row],[Debit\]]-Table842[[#This Row],[Credit.]],""),"")</f>
        <v/>
      </c>
      <c r="AE23" s="34" t="str">
        <f>IFERROR(IF(AND(OR(Table842[[#This Row],[Classification]]="Income",Table842[[#This Row],[Classification]]="Cost of Goods Sold"),Table842[[#This Row],[Credit.]]&gt;Table842[[#This Row],[Debit\]]),Table842[[#This Row],[Credit.]]-Table842[[#This Row],[Debit\]],""),"")</f>
        <v/>
      </c>
      <c r="AF23" s="34"/>
      <c r="AG23" s="34" t="str">
        <f>IFERROR(IF(AND(Table842[[#This Row],[Classification]]="Assets",Table842[[#This Row],[Debit\]]-Table842[[#This Row],[Credit.]]),Table842[[#This Row],[Debit\]]-Table842[[#This Row],[Credit.]],""),"")</f>
        <v/>
      </c>
      <c r="AH23" s="34" t="str">
        <f>IFERROR(IF(AND(OR(Table842[[#This Row],[Classification]]="Liabilities",Table842[[#This Row],[Classification]]="Owner´s Equity"),Table842[[#This Row],[Credit.]]&gt;Table842[[#This Row],[Debit\]]),Table842[[#This Row],[Credit.]]-Table842[[#This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IFERROR(SUMIF(Table439[,],Table641[[#This Row],[Accounts Name]],Table439[,3]),"")</f>
        <v>375657</v>
      </c>
      <c r="P24" s="34">
        <f>IFERROR(SUMIF(Table439[,],Table641[[#This Row],[Accounts Name]],Table439[,2]),"")</f>
        <v>0</v>
      </c>
      <c r="S24" s="36">
        <f t="shared" si="0"/>
        <v>17</v>
      </c>
      <c r="T24" s="34" t="s">
        <v>48</v>
      </c>
      <c r="U24" s="37" t="s">
        <v>145</v>
      </c>
      <c r="V24" s="34">
        <f>IFERROR(SUMIF(Table641[Sub-Accounts],Table842[[#This Row],[Update your chart of accounts here]],Table641[Debit]),"")</f>
        <v>0</v>
      </c>
      <c r="W24" s="34">
        <f>IFERROR(SUMIF(Table641[Sub-Accounts],Table842[[#This Row],[Update your chart of accounts here]],Table641[Credit]),"")</f>
        <v>11852079.26</v>
      </c>
      <c r="X24" s="34"/>
      <c r="Y24" s="34" t="s">
        <v>226</v>
      </c>
      <c r="Z24" s="34">
        <f>I16</f>
        <v>1000000</v>
      </c>
      <c r="AA24" s="34"/>
      <c r="AB24" s="34">
        <f>MAX(Table842[[#This Row],[Debit]]+Table842[[#This Row],[Debit -]]-Table842[[#This Row],[Credit]]-Table842[[#This Row],[Credit +]],0)</f>
        <v>0</v>
      </c>
      <c r="AC24" s="34">
        <f>MAX(Table842[[#This Row],[Credit]]-Table842[[#This Row],[Debit]]+Table842[[#This Row],[Credit +]]-Table842[[#This Row],[Debit -]],0)</f>
        <v>10852079.26</v>
      </c>
      <c r="AD24" s="34" t="str">
        <f>IFERROR(IF(AND(OR(Table842[[#This Row],[Classification]]="Expense",Table842[[#This Row],[Classification]]="Cost of Goods Sold"),Table842[[#This Row],[Debit\]]&gt;Table842[[#This Row],[Credit.]]),Table842[[#This Row],[Debit\]]-Table842[[#This Row],[Credit.]],""),"")</f>
        <v/>
      </c>
      <c r="AE24" s="34" t="str">
        <f>IFERROR(IF(AND(OR(Table842[[#This Row],[Classification]]="Income",Table842[[#This Row],[Classification]]="Cost of Goods Sold"),Table842[[#This Row],[Credit.]]&gt;Table842[[#This Row],[Debit\]]),Table842[[#This Row],[Credit.]]-Table842[[#This Row],[Debit\]],""),"")</f>
        <v/>
      </c>
      <c r="AF24" s="34"/>
      <c r="AG24" s="34" t="str">
        <f>IFERROR(IF(AND(Table842[[#This Row],[Classification]]="Assets",Table842[[#This Row],[Debit\]]-Table842[[#This Row],[Credit.]]),Table842[[#This Row],[Debit\]]-Table842[[#This Row],[Credit.]],""),"")</f>
        <v/>
      </c>
      <c r="AH24" s="34">
        <f>IFERROR(IF(AND(OR(Table842[[#This Row],[Classification]]="Liabilities",Table842[[#This Row],[Classification]]="Owner´s Equity"),Table842[[#This Row],[Credit.]]&gt;Table842[[#This Row],[Debit\]]),Table842[[#This Row],[Credit.]]-Table842[[#This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IFERROR(SUMIF(Table439[,],Table641[[#This Row],[Accounts Name]],Table439[,3]),"")</f>
        <v>0</v>
      </c>
      <c r="P25" s="34">
        <f>IFERROR(SUMIF(Table439[,],Table641[[#This Row],[Accounts Name]],Table439[,2]),"")</f>
        <v>288789</v>
      </c>
      <c r="S25" s="36">
        <f t="shared" si="0"/>
        <v>18</v>
      </c>
      <c r="T25" s="34"/>
      <c r="U25" s="37" t="s">
        <v>215</v>
      </c>
      <c r="V25" s="34">
        <f>IFERROR(SUMIF(Table641[Sub-Accounts],Table842[[#This Row],[Update your chart of accounts here]],Table641[Debit]),"")</f>
        <v>0</v>
      </c>
      <c r="W25" s="34">
        <f>IFERROR(SUMIF(Table641[Sub-Accounts],Table842[[#This Row],[Update your chart of accounts here]],Table641[Credit]),"")</f>
        <v>0</v>
      </c>
      <c r="X25" s="34"/>
      <c r="Y25" s="34"/>
      <c r="Z25" s="34"/>
      <c r="AA25" s="34"/>
      <c r="AB25" s="34">
        <f>MAX(Table842[[#This Row],[Debit]]+Table842[[#This Row],[Debit -]]-Table842[[#This Row],[Credit]]-Table842[[#This Row],[Credit +]],0)</f>
        <v>0</v>
      </c>
      <c r="AC25" s="34">
        <f>MAX(Table842[[#This Row],[Credit]]-Table842[[#This Row],[Debit]]+Table842[[#This Row],[Credit +]]-Table842[[#This Row],[Debit -]],0)</f>
        <v>0</v>
      </c>
      <c r="AD25" s="34" t="str">
        <f>IFERROR(IF(AND(OR(Table842[[#This Row],[Classification]]="Expense",Table842[[#This Row],[Classification]]="Cost of Goods Sold"),Table842[[#This Row],[Debit\]]&gt;Table842[[#This Row],[Credit.]]),Table842[[#This Row],[Debit\]]-Table842[[#This Row],[Credit.]],""),"")</f>
        <v/>
      </c>
      <c r="AE25" s="34" t="str">
        <f>IFERROR(IF(AND(OR(Table842[[#This Row],[Classification]]="Income",Table842[[#This Row],[Classification]]="Cost of Goods Sold"),Table842[[#This Row],[Credit.]]&gt;Table842[[#This Row],[Debit\]]),Table842[[#This Row],[Credit.]]-Table842[[#This Row],[Debit\]],""),"")</f>
        <v/>
      </c>
      <c r="AF25" s="34"/>
      <c r="AG25" s="34" t="str">
        <f>IFERROR(IF(AND(Table842[[#This Row],[Classification]]="Assets",Table842[[#This Row],[Debit\]]-Table842[[#This Row],[Credit.]]),Table842[[#This Row],[Debit\]]-Table842[[#This Row],[Credit.]],""),"")</f>
        <v/>
      </c>
      <c r="AH25" s="34" t="str">
        <f>IFERROR(IF(AND(OR(Table842[[#This Row],[Classification]]="Liabilities",Table842[[#This Row],[Classification]]="Owner´s Equity"),Table842[[#This Row],[Credit.]]&gt;Table842[[#This Row],[Debit\]]),Table842[[#This Row],[Credit.]]-Table842[[#This Row],[Debit\]],""),"")</f>
        <v/>
      </c>
    </row>
    <row r="26" spans="2:34" hidden="1" x14ac:dyDescent="0.25">
      <c r="B26" s="34"/>
      <c r="C26" s="37" t="s">
        <v>80</v>
      </c>
      <c r="D26" s="34"/>
      <c r="E26" s="34">
        <v>288789</v>
      </c>
      <c r="G26" s="39"/>
      <c r="H26" s="43" t="s">
        <v>189</v>
      </c>
      <c r="I26" s="41"/>
      <c r="J26" s="41"/>
      <c r="L26" s="34">
        <v>19</v>
      </c>
      <c r="M26" s="35" t="s">
        <v>143</v>
      </c>
      <c r="N26" s="35" t="s">
        <v>81</v>
      </c>
      <c r="O26" s="34">
        <f>IFERROR(SUMIF(Table439[,],Table641[[#This Row],[Accounts Name]],Table439[,3]),"")</f>
        <v>975000</v>
      </c>
      <c r="P26" s="34">
        <f>IFERROR(SUMIF(Table439[,],Table641[[#This Row],[Accounts Name]],Table439[,2]),"")</f>
        <v>0</v>
      </c>
      <c r="S26" s="36">
        <f t="shared" si="0"/>
        <v>19</v>
      </c>
      <c r="T26" s="34" t="s">
        <v>62</v>
      </c>
      <c r="U26" s="37" t="s">
        <v>62</v>
      </c>
      <c r="V26" s="34">
        <f>IFERROR(SUMIF(Table641[Sub-Accounts],Table842[[#This Row],[Update your chart of accounts here]],Table641[Debit]),"")</f>
        <v>0</v>
      </c>
      <c r="W26" s="34">
        <f>IFERROR(SUMIF(Table641[Sub-Accounts],Table842[[#This Row],[Update your chart of accounts here]],Table641[Credit]),"")</f>
        <v>332888373.44999999</v>
      </c>
      <c r="X26" s="34"/>
      <c r="Y26" s="34" t="s">
        <v>228</v>
      </c>
      <c r="Z26" s="34">
        <f>I24</f>
        <v>21</v>
      </c>
      <c r="AA26" s="34"/>
      <c r="AB26" s="34">
        <f>MAX(Table842[[#This Row],[Debit]]+Table842[[#This Row],[Debit -]]-Table842[[#This Row],[Credit]]-Table842[[#This Row],[Credit +]],0)</f>
        <v>0</v>
      </c>
      <c r="AC26" s="34">
        <f>MAX(Table842[[#This Row],[Credit]]-Table842[[#This Row],[Debit]]+Table842[[#This Row],[Credit +]]-Table842[[#This Row],[Debit -]],0)</f>
        <v>332888352.44999999</v>
      </c>
      <c r="AD26" s="34" t="str">
        <f>IFERROR(IF(AND(OR(Table842[[#This Row],[Classification]]="Expense",Table842[[#This Row],[Classification]]="Cost of Goods Sold"),Table842[[#This Row],[Debit\]]&gt;Table842[[#This Row],[Credit.]]),Table842[[#This Row],[Debit\]]-Table842[[#This Row],[Credit.]],""),"")</f>
        <v/>
      </c>
      <c r="AE26" s="34">
        <f>IFERROR(IF(AND(OR(Table842[[#This Row],[Classification]]="Income",Table842[[#This Row],[Classification]]="Cost of Goods Sold"),Table842[[#This Row],[Credit.]]&gt;Table842[[#This Row],[Debit\]]),Table842[[#This Row],[Credit.]]-Table842[[#This Row],[Debit\]],""),"")</f>
        <v>332888352.44999999</v>
      </c>
      <c r="AF26" s="34"/>
      <c r="AG26" s="34" t="str">
        <f>IFERROR(IF(AND(Table842[[#This Row],[Classification]]="Assets",Table842[[#This Row],[Debit\]]-Table842[[#This Row],[Credit.]]),Table842[[#This Row],[Debit\]]-Table842[[#This Row],[Credit.]],""),"")</f>
        <v/>
      </c>
      <c r="AH26" s="34" t="str">
        <f>IFERROR(IF(AND(OR(Table842[[#This Row],[Classification]]="Liabilities",Table842[[#This Row],[Classification]]="Owner´s Equity"),Table842[[#This Row],[Credit.]]&gt;Table842[[#This Row],[Debit\]]),Table842[[#This Row],[Credit.]]-Table842[[#This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IFERROR(SUMIF(Table439[,],Table641[[#This Row],[Accounts Name]],Table439[,3]),"")</f>
        <v>0</v>
      </c>
      <c r="P27" s="34">
        <f>IFERROR(SUMIF(Table439[,],Table641[[#This Row],[Accounts Name]],Table439[,2]),"")</f>
        <v>426561</v>
      </c>
      <c r="S27" s="36">
        <f t="shared" si="0"/>
        <v>20</v>
      </c>
      <c r="T27" s="34" t="s">
        <v>62</v>
      </c>
      <c r="U27" s="37" t="s">
        <v>216</v>
      </c>
      <c r="V27" s="34">
        <f>IFERROR(SUMIF(Table641[Sub-Accounts],Table842[[#This Row],[Update your chart of accounts here]],Table641[Debit]),"")</f>
        <v>0</v>
      </c>
      <c r="W27" s="34">
        <f>IFERROR(SUMIF(Table641[Sub-Accounts],Table842[[#This Row],[Update your chart of accounts here]],Table641[Credit]),"")</f>
        <v>0</v>
      </c>
      <c r="X27" s="34"/>
      <c r="Y27" s="34" t="s">
        <v>225</v>
      </c>
      <c r="Z27" s="34"/>
      <c r="AA27" s="34">
        <f>J13</f>
        <v>251563</v>
      </c>
      <c r="AB27" s="34">
        <f>MAX(Table842[[#This Row],[Debit]]+Table842[[#This Row],[Debit -]]-Table842[[#This Row],[Credit]]-Table842[[#This Row],[Credit +]],0)</f>
        <v>0</v>
      </c>
      <c r="AC27" s="34">
        <f>MAX(Table842[[#This Row],[Credit]]-Table842[[#This Row],[Debit]]+Table842[[#This Row],[Credit +]]-Table842[[#This Row],[Debit -]],0)</f>
        <v>251563</v>
      </c>
      <c r="AD27" s="34" t="str">
        <f>IFERROR(IF(AND(OR(Table842[[#This Row],[Classification]]="Expense",Table842[[#This Row],[Classification]]="Cost of Goods Sold"),Table842[[#This Row],[Debit\]]&gt;Table842[[#This Row],[Credit.]]),Table842[[#This Row],[Debit\]]-Table842[[#This Row],[Credit.]],""),"")</f>
        <v/>
      </c>
      <c r="AE27" s="34">
        <f>IFERROR(IF(AND(OR(Table842[[#This Row],[Classification]]="Income",Table842[[#This Row],[Classification]]="Cost of Goods Sold"),Table842[[#This Row],[Credit.]]&gt;Table842[[#This Row],[Debit\]]),Table842[[#This Row],[Credit.]]-Table842[[#This Row],[Debit\]],""),"")</f>
        <v>251563</v>
      </c>
      <c r="AF27" s="34"/>
      <c r="AG27" s="34" t="str">
        <f>IFERROR(IF(AND(Table842[[#This Row],[Classification]]="Assets",Table842[[#This Row],[Debit\]]-Table842[[#This Row],[Credit.]]),Table842[[#This Row],[Debit\]]-Table842[[#This Row],[Credit.]],""),"")</f>
        <v/>
      </c>
      <c r="AH27" s="34" t="str">
        <f>IFERROR(IF(AND(OR(Table842[[#This Row],[Classification]]="Liabilities",Table842[[#This Row],[Classification]]="Owner´s Equity"),Table842[[#This Row],[Credit.]]&gt;Table842[[#This Row],[Debit\]]),Table842[[#This Row],[Credit.]]-Table842[[#This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IFERROR(SUMIF(Table439[,],Table641[[#This Row],[Accounts Name]],Table439[,3]),"")</f>
        <v>350000</v>
      </c>
      <c r="P28" s="34">
        <f>IFERROR(SUMIF(Table439[,],Table641[[#This Row],[Accounts Name]],Table439[,2]),"")</f>
        <v>0</v>
      </c>
      <c r="S28" s="36">
        <f t="shared" si="0"/>
        <v>21</v>
      </c>
      <c r="T28" s="34" t="s">
        <v>6</v>
      </c>
      <c r="U28" s="37" t="s">
        <v>147</v>
      </c>
      <c r="V28" s="34">
        <f>IFERROR(SUMIF(Table641[Sub-Accounts],Table842[[#This Row],[Update your chart of accounts here]],Table641[Debit]),"")</f>
        <v>316209838.63</v>
      </c>
      <c r="W28" s="34">
        <f>IFERROR(SUMIF(Table641[Sub-Accounts],Table842[[#This Row],[Update your chart of accounts here]],Table641[Credit]),"")</f>
        <v>0</v>
      </c>
      <c r="X28" s="34"/>
      <c r="Y28" s="34" t="s">
        <v>231</v>
      </c>
      <c r="Z28" s="34">
        <f>I30</f>
        <v>1379881</v>
      </c>
      <c r="AA28" s="34"/>
      <c r="AB28" s="34">
        <f>MAX(Table842[[#This Row],[Debit]]+Table842[[#This Row],[Debit -]]-Table842[[#This Row],[Credit]]-Table842[[#This Row],[Credit +]],0)</f>
        <v>317589719.63</v>
      </c>
      <c r="AC28" s="34">
        <f>MAX(Table842[[#This Row],[Credit]]-Table842[[#This Row],[Debit]]+Table842[[#This Row],[Credit +]]-Table842[[#This Row],[Debit -]],0)</f>
        <v>0</v>
      </c>
      <c r="AD28" s="34">
        <f>IFERROR(IF(AND(OR(Table842[[#This Row],[Classification]]="Expense",Table842[[#This Row],[Classification]]="Cost of Goods Sold"),Table842[[#This Row],[Debit\]]&gt;Table842[[#This Row],[Credit.]]),Table842[[#This Row],[Debit\]]-Table842[[#This Row],[Credit.]],""),"")</f>
        <v>317589719.63</v>
      </c>
      <c r="AE28" s="34" t="str">
        <f>IFERROR(IF(AND(OR(Table842[[#This Row],[Classification]]="Income",Table842[[#This Row],[Classification]]="Cost of Goods Sold"),Table842[[#This Row],[Credit.]]&gt;Table842[[#This Row],[Debit\]]),Table842[[#This Row],[Credit.]]-Table842[[#This Row],[Debit\]],""),"")</f>
        <v/>
      </c>
      <c r="AF28" s="34"/>
      <c r="AG28" s="34" t="str">
        <f>IFERROR(IF(AND(Table842[[#This Row],[Classification]]="Assets",Table842[[#This Row],[Debit\]]-Table842[[#This Row],[Credit.]]),Table842[[#This Row],[Debit\]]-Table842[[#This Row],[Credit.]],""),"")</f>
        <v/>
      </c>
      <c r="AH28" s="34" t="str">
        <f>IFERROR(IF(AND(OR(Table842[[#This Row],[Classification]]="Liabilities",Table842[[#This Row],[Classification]]="Owner´s Equity"),Table842[[#This Row],[Credit.]]&gt;Table842[[#This Row],[Debit\]]),Table842[[#This Row],[Credit.]]-Table842[[#This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IFERROR(SUMIF(Table439[,],Table641[[#This Row],[Accounts Name]],Table439[,3]),"")</f>
        <v>0</v>
      </c>
      <c r="P29" s="34">
        <f>IFERROR(SUMIF(Table439[,],Table641[[#This Row],[Accounts Name]],Table439[,2]),"")</f>
        <v>4840392.6399999997</v>
      </c>
      <c r="S29" s="36">
        <f t="shared" si="0"/>
        <v>22</v>
      </c>
      <c r="T29" s="34" t="s">
        <v>61</v>
      </c>
      <c r="U29" s="37" t="s">
        <v>151</v>
      </c>
      <c r="V29" s="34">
        <f>IFERROR(SUMIF(Table641[Sub-Accounts],Table842[[#This Row],[Update your chart of accounts here]],Table641[Debit]),"")</f>
        <v>3516485</v>
      </c>
      <c r="W29" s="34">
        <f>IFERROR(SUMIF(Table641[Sub-Accounts],Table842[[#This Row],[Update your chart of accounts here]],Table641[Credit]),"")</f>
        <v>0</v>
      </c>
      <c r="X29" s="34"/>
      <c r="Y29" s="34"/>
      <c r="Z29" s="34"/>
      <c r="AA29" s="34"/>
      <c r="AB29" s="34">
        <f>MAX(Table842[[#This Row],[Debit]]+Table842[[#This Row],[Debit -]]-Table842[[#This Row],[Credit]]-Table842[[#This Row],[Credit +]],0)</f>
        <v>3516485</v>
      </c>
      <c r="AC29" s="34">
        <f>MAX(Table842[[#This Row],[Credit]]-Table842[[#This Row],[Debit]]+Table842[[#This Row],[Credit +]]-Table842[[#This Row],[Debit -]],0)</f>
        <v>0</v>
      </c>
      <c r="AD29" s="34">
        <f>IFERROR(IF(AND(OR(Table842[[#This Row],[Classification]]="Expense",Table842[[#This Row],[Classification]]="Cost of Goods Sold"),Table842[[#This Row],[Debit\]]&gt;Table842[[#This Row],[Credit.]]),Table842[[#This Row],[Debit\]]-Table842[[#This Row],[Credit.]],""),"")</f>
        <v>3516485</v>
      </c>
      <c r="AE29" s="34" t="str">
        <f>IFERROR(IF(AND(OR(Table842[[#This Row],[Classification]]="Income",Table842[[#This Row],[Classification]]="Cost of Goods Sold"),Table842[[#This Row],[Credit.]]&gt;Table842[[#This Row],[Debit\]]),Table842[[#This Row],[Credit.]]-Table842[[#This Row],[Debit\]],""),"")</f>
        <v/>
      </c>
      <c r="AF29" s="34"/>
      <c r="AG29" s="34" t="str">
        <f>IFERROR(IF(AND(Table842[[#This Row],[Classification]]="Assets",Table842[[#This Row],[Debit\]]-Table842[[#This Row],[Credit.]]),Table842[[#This Row],[Debit\]]-Table842[[#This Row],[Credit.]],""),"")</f>
        <v/>
      </c>
      <c r="AH29" s="34" t="str">
        <f>IFERROR(IF(AND(OR(Table842[[#This Row],[Classification]]="Liabilities",Table842[[#This Row],[Classification]]="Owner´s Equity"),Table842[[#This Row],[Credit.]]&gt;Table842[[#This Row],[Debit\]]),Table842[[#This Row],[Credit.]]-Table842[[#This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IFERROR(SUMIF(Table439[,],Table641[[#This Row],[Accounts Name]],Table439[,3]),"")</f>
        <v>0</v>
      </c>
      <c r="P30" s="34">
        <f>IFERROR(SUMIF(Table439[,],Table641[[#This Row],[Accounts Name]],Table439[,2]),"")</f>
        <v>175000</v>
      </c>
      <c r="S30" s="36">
        <f t="shared" si="0"/>
        <v>23</v>
      </c>
      <c r="T30" s="34" t="s">
        <v>61</v>
      </c>
      <c r="U30" s="37" t="s">
        <v>167</v>
      </c>
      <c r="V30" s="34">
        <f>IFERROR(SUMIF(Table641[Sub-Accounts],Table842[[#This Row],[Update your chart of accounts here]],Table641[Debit]),"")</f>
        <v>395822.76</v>
      </c>
      <c r="W30" s="34">
        <f>IFERROR(SUMIF(Table641[Sub-Accounts],Table842[[#This Row],[Update your chart of accounts here]],Table641[Credit]),"")</f>
        <v>0</v>
      </c>
      <c r="X30" s="34"/>
      <c r="Y30" s="34" t="s">
        <v>231</v>
      </c>
      <c r="Z30" s="34">
        <f>I29</f>
        <v>325745</v>
      </c>
      <c r="AA30" s="34"/>
      <c r="AB30" s="34">
        <f>MAX(Table842[[#This Row],[Debit]]+Table842[[#This Row],[Debit -]]-Table842[[#This Row],[Credit]]-Table842[[#This Row],[Credit +]],0)</f>
        <v>721567.76</v>
      </c>
      <c r="AC30" s="34">
        <f>MAX(Table842[[#This Row],[Credit]]-Table842[[#This Row],[Debit]]+Table842[[#This Row],[Credit +]]-Table842[[#This Row],[Debit -]],0)</f>
        <v>0</v>
      </c>
      <c r="AD30" s="34">
        <f>IFERROR(IF(AND(OR(Table842[[#This Row],[Classification]]="Expense",Table842[[#This Row],[Classification]]="Cost of Goods Sold"),Table842[[#This Row],[Debit\]]&gt;Table842[[#This Row],[Credit.]]),Table842[[#This Row],[Debit\]]-Table842[[#This Row],[Credit.]],""),"")</f>
        <v>721567.76</v>
      </c>
      <c r="AE30" s="34" t="str">
        <f>IFERROR(IF(AND(OR(Table842[[#This Row],[Classification]]="Income",Table842[[#This Row],[Classification]]="Cost of Goods Sold"),Table842[[#This Row],[Credit.]]&gt;Table842[[#This Row],[Debit\]]),Table842[[#This Row],[Credit.]]-Table842[[#This Row],[Debit\]],""),"")</f>
        <v/>
      </c>
      <c r="AF30" s="34"/>
      <c r="AG30" s="34" t="str">
        <f>IFERROR(IF(AND(Table842[[#This Row],[Classification]]="Assets",Table842[[#This Row],[Debit\]]-Table842[[#This Row],[Credit.]]),Table842[[#This Row],[Debit\]]-Table842[[#This Row],[Credit.]],""),"")</f>
        <v/>
      </c>
      <c r="AH30" s="34" t="str">
        <f>IFERROR(IF(AND(OR(Table842[[#This Row],[Classification]]="Liabilities",Table842[[#This Row],[Classification]]="Owner´s Equity"),Table842[[#This Row],[Credit.]]&gt;Table842[[#This Row],[Debit\]]),Table842[[#This Row],[Credit.]]-Table842[[#This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IFERROR(SUMIF(Table439[,],Table641[[#This Row],[Accounts Name]],Table439[,3]),"")</f>
        <v>0</v>
      </c>
      <c r="P31" s="34">
        <f>IFERROR(SUMIF(Table439[,],Table641[[#This Row],[Accounts Name]],Table439[,2]),"")</f>
        <v>100000</v>
      </c>
      <c r="S31" s="36">
        <f t="shared" si="0"/>
        <v>24</v>
      </c>
      <c r="T31" s="34" t="s">
        <v>61</v>
      </c>
      <c r="U31" s="37" t="s">
        <v>166</v>
      </c>
      <c r="V31" s="34">
        <f>IFERROR(SUMIF(Table641[Sub-Accounts],Table842[[#This Row],[Update your chart of accounts here]],Table641[Debit]),"")</f>
        <v>1409746.56</v>
      </c>
      <c r="W31" s="34">
        <f>IFERROR(SUMIF(Table641[Sub-Accounts],Table842[[#This Row],[Update your chart of accounts here]],Table641[Credit]),"")</f>
        <v>0</v>
      </c>
      <c r="X31" s="34"/>
      <c r="Y31" s="34"/>
      <c r="Z31" s="34"/>
      <c r="AA31" s="34"/>
      <c r="AB31" s="34">
        <f>MAX(Table842[[#This Row],[Debit]]+Table842[[#This Row],[Debit -]]-Table842[[#This Row],[Credit]]-Table842[[#This Row],[Credit +]],0)</f>
        <v>1409746.56</v>
      </c>
      <c r="AC31" s="34">
        <f>MAX(Table842[[#This Row],[Credit]]-Table842[[#This Row],[Debit]]+Table842[[#This Row],[Credit +]]-Table842[[#This Row],[Debit -]],0)</f>
        <v>0</v>
      </c>
      <c r="AD31" s="34">
        <f>IFERROR(IF(AND(OR(Table842[[#This Row],[Classification]]="Expense",Table842[[#This Row],[Classification]]="Cost of Goods Sold"),Table842[[#This Row],[Debit\]]&gt;Table842[[#This Row],[Credit.]]),Table842[[#This Row],[Debit\]]-Table842[[#This Row],[Credit.]],""),"")</f>
        <v>1409746.56</v>
      </c>
      <c r="AE31" s="34" t="str">
        <f>IFERROR(IF(AND(OR(Table842[[#This Row],[Classification]]="Income",Table842[[#This Row],[Classification]]="Cost of Goods Sold"),Table842[[#This Row],[Credit.]]&gt;Table842[[#This Row],[Debit\]]),Table842[[#This Row],[Credit.]]-Table842[[#This Row],[Debit\]],""),"")</f>
        <v/>
      </c>
      <c r="AF31" s="34"/>
      <c r="AG31" s="34" t="str">
        <f>IFERROR(IF(AND(Table842[[#This Row],[Classification]]="Assets",Table842[[#This Row],[Debit\]]-Table842[[#This Row],[Credit.]]),Table842[[#This Row],[Debit\]]-Table842[[#This Row],[Credit.]],""),"")</f>
        <v/>
      </c>
      <c r="AH31" s="34" t="str">
        <f>IFERROR(IF(AND(OR(Table842[[#This Row],[Classification]]="Liabilities",Table842[[#This Row],[Classification]]="Owner´s Equity"),Table842[[#This Row],[Credit.]]&gt;Table842[[#This Row],[Debit\]]),Table842[[#This Row],[Credit.]]-Table842[[#This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IFERROR(SUMIF(Table439[,],Table641[[#This Row],[Accounts Name]],Table439[,3]),"")</f>
        <v>0</v>
      </c>
      <c r="P32" s="34">
        <f>IFERROR(SUMIF(Table439[,],Table641[[#This Row],[Accounts Name]],Table439[,2]),"")</f>
        <v>10050</v>
      </c>
      <c r="S32" s="36">
        <f t="shared" si="0"/>
        <v>25</v>
      </c>
      <c r="T32" s="34" t="s">
        <v>61</v>
      </c>
      <c r="U32" s="37" t="s">
        <v>175</v>
      </c>
      <c r="V32" s="34">
        <f>IFERROR(SUMIF(Table641[Sub-Accounts],Table842[[#This Row],[Update your chart of accounts here]],Table641[Debit]),"")</f>
        <v>0</v>
      </c>
      <c r="W32" s="34">
        <f>IFERROR(SUMIF(Table641[Sub-Accounts],Table842[[#This Row],[Update your chart of accounts here]],Table641[Credit]),"")</f>
        <v>0</v>
      </c>
      <c r="X32" s="34"/>
      <c r="Y32" s="34" t="s">
        <v>231</v>
      </c>
      <c r="Z32" s="34">
        <f>I27</f>
        <v>845624</v>
      </c>
      <c r="AA32" s="34"/>
      <c r="AB32" s="34">
        <f>MAX(Table842[[#This Row],[Debit]]+Table842[[#This Row],[Debit -]]-Table842[[#This Row],[Credit]]-Table842[[#This Row],[Credit +]],0)</f>
        <v>845624</v>
      </c>
      <c r="AC32" s="34">
        <f>MAX(Table842[[#This Row],[Credit]]-Table842[[#This Row],[Debit]]+Table842[[#This Row],[Credit +]]-Table842[[#This Row],[Debit -]],0)</f>
        <v>0</v>
      </c>
      <c r="AD32" s="34">
        <f>IFERROR(IF(AND(OR(Table842[[#This Row],[Classification]]="Expense",Table842[[#This Row],[Classification]]="Cost of Goods Sold"),Table842[[#This Row],[Debit\]]&gt;Table842[[#This Row],[Credit.]]),Table842[[#This Row],[Debit\]]-Table842[[#This Row],[Credit.]],""),"")</f>
        <v>845624</v>
      </c>
      <c r="AE32" s="34" t="str">
        <f>IFERROR(IF(AND(OR(Table842[[#This Row],[Classification]]="Income",Table842[[#This Row],[Classification]]="Cost of Goods Sold"),Table842[[#This Row],[Credit.]]&gt;Table842[[#This Row],[Debit\]]),Table842[[#This Row],[Credit.]]-Table842[[#This Row],[Debit\]],""),"")</f>
        <v/>
      </c>
      <c r="AF32" s="34"/>
      <c r="AG32" s="34" t="str">
        <f>IFERROR(IF(AND(Table842[[#This Row],[Classification]]="Assets",Table842[[#This Row],[Debit\]]-Table842[[#This Row],[Credit.]]),Table842[[#This Row],[Debit\]]-Table842[[#This Row],[Credit.]],""),"")</f>
        <v/>
      </c>
      <c r="AH32" s="34" t="str">
        <f>IFERROR(IF(AND(OR(Table842[[#This Row],[Classification]]="Liabilities",Table842[[#This Row],[Classification]]="Owner´s Equity"),Table842[[#This Row],[Credit.]]&gt;Table842[[#This Row],[Debit\]]),Table842[[#This Row],[Credit.]]-Table842[[#This Row],[Debit\]],""),"")</f>
        <v/>
      </c>
    </row>
    <row r="33" spans="2:34" hidden="1" x14ac:dyDescent="0.25">
      <c r="B33" s="34"/>
      <c r="C33" s="37" t="s">
        <v>87</v>
      </c>
      <c r="D33" s="34"/>
      <c r="E33" s="34">
        <v>10050</v>
      </c>
      <c r="G33" s="39"/>
      <c r="H33" s="40"/>
      <c r="I33" s="41"/>
      <c r="J33" s="41"/>
      <c r="L33" s="34">
        <v>26</v>
      </c>
      <c r="M33" s="35" t="s">
        <v>141</v>
      </c>
      <c r="N33" s="35" t="s">
        <v>88</v>
      </c>
      <c r="O33" s="34">
        <f>IFERROR(SUMIF(Table439[,],Table641[[#This Row],[Accounts Name]],Table439[,3]),"")</f>
        <v>0</v>
      </c>
      <c r="P33" s="34">
        <f>IFERROR(SUMIF(Table439[,],Table641[[#This Row],[Accounts Name]],Table439[,2]),"")</f>
        <v>4800</v>
      </c>
      <c r="S33" s="36">
        <f t="shared" si="0"/>
        <v>26</v>
      </c>
      <c r="T33" s="34" t="s">
        <v>61</v>
      </c>
      <c r="U33" s="37" t="s">
        <v>154</v>
      </c>
      <c r="V33" s="34">
        <f>IFERROR(SUMIF(Table641[Sub-Accounts],Table842[[#This Row],[Update your chart of accounts here]],Table641[Debit]),"")</f>
        <v>2500001</v>
      </c>
      <c r="W33" s="34">
        <f>IFERROR(SUMIF(Table641[Sub-Accounts],Table842[[#This Row],[Update your chart of accounts here]],Table641[Credit]),"")</f>
        <v>0</v>
      </c>
      <c r="X33" s="34"/>
      <c r="Y33" s="34"/>
      <c r="Z33" s="34"/>
      <c r="AA33" s="34"/>
      <c r="AB33" s="34">
        <f>MAX(Table842[[#This Row],[Debit]]+Table842[[#This Row],[Debit -]]-Table842[[#This Row],[Credit]]-Table842[[#This Row],[Credit +]],0)</f>
        <v>2500001</v>
      </c>
      <c r="AC33" s="34">
        <f>MAX(Table842[[#This Row],[Credit]]-Table842[[#This Row],[Debit]]+Table842[[#This Row],[Credit +]]-Table842[[#This Row],[Debit -]],0)</f>
        <v>0</v>
      </c>
      <c r="AD33" s="34">
        <f>IFERROR(IF(AND(OR(Table842[[#This Row],[Classification]]="Expense",Table842[[#This Row],[Classification]]="Cost of Goods Sold"),Table842[[#This Row],[Debit\]]&gt;Table842[[#This Row],[Credit.]]),Table842[[#This Row],[Debit\]]-Table842[[#This Row],[Credit.]],""),"")</f>
        <v>2500001</v>
      </c>
      <c r="AE33" s="34" t="str">
        <f>IFERROR(IF(AND(OR(Table842[[#This Row],[Classification]]="Income",Table842[[#This Row],[Classification]]="Cost of Goods Sold"),Table842[[#This Row],[Credit.]]&gt;Table842[[#This Row],[Debit\]]),Table842[[#This Row],[Credit.]]-Table842[[#This Row],[Debit\]],""),"")</f>
        <v/>
      </c>
      <c r="AF33" s="34"/>
      <c r="AG33" s="34" t="str">
        <f>IFERROR(IF(AND(Table842[[#This Row],[Classification]]="Assets",Table842[[#This Row],[Debit\]]-Table842[[#This Row],[Credit.]]),Table842[[#This Row],[Debit\]]-Table842[[#This Row],[Credit.]],""),"")</f>
        <v/>
      </c>
      <c r="AH33" s="34" t="str">
        <f>IFERROR(IF(AND(OR(Table842[[#This Row],[Classification]]="Liabilities",Table842[[#This Row],[Classification]]="Owner´s Equity"),Table842[[#This Row],[Credit.]]&gt;Table842[[#This Row],[Debit\]]),Table842[[#This Row],[Credit.]]-Table842[[#This Row],[Debit\]],""),"")</f>
        <v/>
      </c>
    </row>
    <row r="34" spans="2:34" hidden="1" x14ac:dyDescent="0.25">
      <c r="B34" s="34"/>
      <c r="C34" s="37" t="s">
        <v>88</v>
      </c>
      <c r="D34" s="34"/>
      <c r="E34" s="34">
        <v>4800</v>
      </c>
      <c r="G34" s="39"/>
      <c r="H34" s="40"/>
      <c r="I34" s="41"/>
      <c r="J34" s="41"/>
      <c r="L34" s="34">
        <v>27</v>
      </c>
      <c r="M34" s="35" t="s">
        <v>141</v>
      </c>
      <c r="N34" s="35" t="s">
        <v>89</v>
      </c>
      <c r="O34" s="34">
        <f>IFERROR(SUMIF(Table439[,],Table641[[#This Row],[Accounts Name]],Table439[,3]),"")</f>
        <v>0</v>
      </c>
      <c r="P34" s="34">
        <f>IFERROR(SUMIF(Table439[,],Table641[[#This Row],[Accounts Name]],Table439[,2]),"")</f>
        <v>110610</v>
      </c>
      <c r="S34" s="36">
        <f t="shared" si="0"/>
        <v>27</v>
      </c>
      <c r="T34" s="34" t="s">
        <v>61</v>
      </c>
      <c r="U34" s="37" t="s">
        <v>161</v>
      </c>
      <c r="V34" s="34">
        <f>IFERROR(SUMIF(Table641[Sub-Accounts],Table842[[#This Row],[Update your chart of accounts here]],Table641[Debit]),"")</f>
        <v>77850</v>
      </c>
      <c r="W34" s="34">
        <f>IFERROR(SUMIF(Table641[Sub-Accounts],Table842[[#This Row],[Update your chart of accounts here]],Table641[Credit]),"")</f>
        <v>0</v>
      </c>
      <c r="X34" s="34"/>
      <c r="Y34" s="34"/>
      <c r="Z34" s="34"/>
      <c r="AA34" s="34"/>
      <c r="AB34" s="34">
        <f>MAX(Table842[[#This Row],[Debit]]+Table842[[#This Row],[Debit -]]-Table842[[#This Row],[Credit]]-Table842[[#This Row],[Credit +]],0)</f>
        <v>77850</v>
      </c>
      <c r="AC34" s="34">
        <f>MAX(Table842[[#This Row],[Credit]]-Table842[[#This Row],[Debit]]+Table842[[#This Row],[Credit +]]-Table842[[#This Row],[Debit -]],0)</f>
        <v>0</v>
      </c>
      <c r="AD34" s="34">
        <f>IFERROR(IF(AND(OR(Table842[[#This Row],[Classification]]="Expense",Table842[[#This Row],[Classification]]="Cost of Goods Sold"),Table842[[#This Row],[Debit\]]&gt;Table842[[#This Row],[Credit.]]),Table842[[#This Row],[Debit\]]-Table842[[#This Row],[Credit.]],""),"")</f>
        <v>77850</v>
      </c>
      <c r="AE34" s="34" t="str">
        <f>IFERROR(IF(AND(OR(Table842[[#This Row],[Classification]]="Income",Table842[[#This Row],[Classification]]="Cost of Goods Sold"),Table842[[#This Row],[Credit.]]&gt;Table842[[#This Row],[Debit\]]),Table842[[#This Row],[Credit.]]-Table842[[#This Row],[Debit\]],""),"")</f>
        <v/>
      </c>
      <c r="AF34" s="34"/>
      <c r="AG34" s="34" t="str">
        <f>IFERROR(IF(AND(Table842[[#This Row],[Classification]]="Assets",Table842[[#This Row],[Debit\]]-Table842[[#This Row],[Credit.]]),Table842[[#This Row],[Debit\]]-Table842[[#This Row],[Credit.]],""),"")</f>
        <v/>
      </c>
      <c r="AH34" s="34" t="str">
        <f>IFERROR(IF(AND(OR(Table842[[#This Row],[Classification]]="Liabilities",Table842[[#This Row],[Classification]]="Owner´s Equity"),Table842[[#This Row],[Credit.]]&gt;Table842[[#This Row],[Debit\]]),Table842[[#This Row],[Credit.]]-Table842[[#This Row],[Debit\]],""),"")</f>
        <v/>
      </c>
    </row>
    <row r="35" spans="2:34" hidden="1" x14ac:dyDescent="0.25">
      <c r="B35" s="34"/>
      <c r="C35" s="37" t="s">
        <v>89</v>
      </c>
      <c r="D35" s="34"/>
      <c r="E35" s="34">
        <v>110610</v>
      </c>
      <c r="G35" s="39"/>
      <c r="H35" s="43"/>
      <c r="I35" s="41"/>
      <c r="J35" s="41"/>
      <c r="L35" s="34">
        <v>28</v>
      </c>
      <c r="M35" s="35" t="s">
        <v>141</v>
      </c>
      <c r="N35" s="35" t="s">
        <v>90</v>
      </c>
      <c r="O35" s="34">
        <f>IFERROR(SUMIF(Table439[,],Table641[[#This Row],[Accounts Name]],Table439[,3]),"")</f>
        <v>0</v>
      </c>
      <c r="P35" s="34">
        <f>IFERROR(SUMIF(Table439[,],Table641[[#This Row],[Accounts Name]],Table439[,2]),"")</f>
        <v>33200</v>
      </c>
      <c r="S35" s="36">
        <f t="shared" si="0"/>
        <v>28</v>
      </c>
      <c r="T35" s="34" t="s">
        <v>61</v>
      </c>
      <c r="U35" s="37" t="s">
        <v>162</v>
      </c>
      <c r="V35" s="34">
        <f>IFERROR(SUMIF(Table641[Sub-Accounts],Table842[[#This Row],[Update your chart of accounts here]],Table641[Debit]),"")</f>
        <v>268183.07</v>
      </c>
      <c r="W35" s="34">
        <f>IFERROR(SUMIF(Table641[Sub-Accounts],Table842[[#This Row],[Update your chart of accounts here]],Table641[Credit]),"")</f>
        <v>0</v>
      </c>
      <c r="X35" s="34"/>
      <c r="Y35" s="34"/>
      <c r="Z35" s="34">
        <f>I28</f>
        <v>0</v>
      </c>
      <c r="AA35" s="34"/>
      <c r="AB35" s="34">
        <f>MAX(Table842[[#This Row],[Debit]]+Table842[[#This Row],[Debit -]]-Table842[[#This Row],[Credit]]-Table842[[#This Row],[Credit +]],0)</f>
        <v>268183.07</v>
      </c>
      <c r="AC35" s="34">
        <f>MAX(Table842[[#This Row],[Credit]]-Table842[[#This Row],[Debit]]+Table842[[#This Row],[Credit +]]-Table842[[#This Row],[Debit -]],0)</f>
        <v>0</v>
      </c>
      <c r="AD35" s="34">
        <f>IFERROR(IF(AND(OR(Table842[[#This Row],[Classification]]="Expense",Table842[[#This Row],[Classification]]="Cost of Goods Sold"),Table842[[#This Row],[Debit\]]&gt;Table842[[#This Row],[Credit.]]),Table842[[#This Row],[Debit\]]-Table842[[#This Row],[Credit.]],""),"")</f>
        <v>268183.07</v>
      </c>
      <c r="AE35" s="34" t="str">
        <f>IFERROR(IF(AND(OR(Table842[[#This Row],[Classification]]="Income",Table842[[#This Row],[Classification]]="Cost of Goods Sold"),Table842[[#This Row],[Credit.]]&gt;Table842[[#This Row],[Debit\]]),Table842[[#This Row],[Credit.]]-Table842[[#This Row],[Debit\]],""),"")</f>
        <v/>
      </c>
      <c r="AF35" s="34"/>
      <c r="AG35" s="34" t="str">
        <f>IFERROR(IF(AND(Table842[[#This Row],[Classification]]="Assets",Table842[[#This Row],[Debit\]]-Table842[[#This Row],[Credit.]]),Table842[[#This Row],[Debit\]]-Table842[[#This Row],[Credit.]],""),"")</f>
        <v/>
      </c>
      <c r="AH35" s="34" t="str">
        <f>IFERROR(IF(AND(OR(Table842[[#This Row],[Classification]]="Liabilities",Table842[[#This Row],[Classification]]="Owner´s Equity"),Table842[[#This Row],[Credit.]]&gt;Table842[[#This Row],[Debit\]]),Table842[[#This Row],[Credit.]]-Table842[[#This Row],[Debit\]],""),"")</f>
        <v/>
      </c>
    </row>
    <row r="36" spans="2:34" hidden="1" x14ac:dyDescent="0.25">
      <c r="B36" s="34"/>
      <c r="C36" s="37" t="s">
        <v>90</v>
      </c>
      <c r="D36" s="34"/>
      <c r="E36" s="34">
        <v>33200</v>
      </c>
      <c r="G36" s="39"/>
      <c r="H36" s="40"/>
      <c r="I36" s="41"/>
      <c r="J36" s="41"/>
      <c r="L36" s="34">
        <v>29</v>
      </c>
      <c r="M36" s="35" t="s">
        <v>140</v>
      </c>
      <c r="N36" s="35" t="s">
        <v>91</v>
      </c>
      <c r="O36" s="34">
        <f>IFERROR(SUMIF(Table439[,],Table641[[#This Row],[Accounts Name]],Table439[,3]),"")</f>
        <v>124460</v>
      </c>
      <c r="P36" s="34">
        <f>IFERROR(SUMIF(Table439[,],Table641[[#This Row],[Accounts Name]],Table439[,2]),"")</f>
        <v>0</v>
      </c>
      <c r="S36" s="36">
        <f t="shared" si="0"/>
        <v>29</v>
      </c>
      <c r="T36" s="34" t="s">
        <v>61</v>
      </c>
      <c r="U36" s="37" t="s">
        <v>165</v>
      </c>
      <c r="V36" s="34">
        <f>IFERROR(SUMIF(Table641[Sub-Accounts],Table842[[#This Row],[Update your chart of accounts here]],Table641[Debit]),"")</f>
        <v>653656.38</v>
      </c>
      <c r="W36" s="34">
        <f>IFERROR(SUMIF(Table641[Sub-Accounts],Table842[[#This Row],[Update your chart of accounts here]],Table641[Credit]),"")</f>
        <v>0</v>
      </c>
      <c r="X36" s="34"/>
      <c r="Y36" s="34"/>
      <c r="Z36" s="34"/>
      <c r="AA36" s="34"/>
      <c r="AB36" s="34">
        <f>MAX(Table842[[#This Row],[Debit]]+Table842[[#This Row],[Debit -]]-Table842[[#This Row],[Credit]]-Table842[[#This Row],[Credit +]],0)</f>
        <v>653656.38</v>
      </c>
      <c r="AC36" s="34">
        <f>MAX(Table842[[#This Row],[Credit]]-Table842[[#This Row],[Debit]]+Table842[[#This Row],[Credit +]]-Table842[[#This Row],[Debit -]],0)</f>
        <v>0</v>
      </c>
      <c r="AD36" s="34">
        <f>IFERROR(IF(AND(OR(Table842[[#This Row],[Classification]]="Expense",Table842[[#This Row],[Classification]]="Cost of Goods Sold"),Table842[[#This Row],[Debit\]]&gt;Table842[[#This Row],[Credit.]]),Table842[[#This Row],[Debit\]]-Table842[[#This Row],[Credit.]],""),"")</f>
        <v>653656.38</v>
      </c>
      <c r="AE36" s="34" t="str">
        <f>IFERROR(IF(AND(OR(Table842[[#This Row],[Classification]]="Income",Table842[[#This Row],[Classification]]="Cost of Goods Sold"),Table842[[#This Row],[Credit.]]&gt;Table842[[#This Row],[Debit\]]),Table842[[#This Row],[Credit.]]-Table842[[#This Row],[Debit\]],""),"")</f>
        <v/>
      </c>
      <c r="AF36" s="34"/>
      <c r="AG36" s="34" t="str">
        <f>IFERROR(IF(AND(Table842[[#This Row],[Classification]]="Assets",Table842[[#This Row],[Debit\]]-Table842[[#This Row],[Credit.]]),Table842[[#This Row],[Debit\]]-Table842[[#This Row],[Credit.]],""),"")</f>
        <v/>
      </c>
      <c r="AH36" s="34" t="str">
        <f>IFERROR(IF(AND(OR(Table842[[#This Row],[Classification]]="Liabilities",Table842[[#This Row],[Classification]]="Owner´s Equity"),Table842[[#This Row],[Credit.]]&gt;Table842[[#This Row],[Debit\]]),Table842[[#This Row],[Credit.]]-Table842[[#This Row],[Debit\]],""),"")</f>
        <v/>
      </c>
    </row>
    <row r="37" spans="2:34" hidden="1" x14ac:dyDescent="0.25">
      <c r="B37" s="34"/>
      <c r="C37" s="37" t="s">
        <v>91</v>
      </c>
      <c r="D37" s="34">
        <v>124460</v>
      </c>
      <c r="E37" s="34"/>
      <c r="G37" s="39"/>
      <c r="H37" s="40"/>
      <c r="I37" s="41"/>
      <c r="J37" s="41"/>
      <c r="L37" s="34">
        <v>30</v>
      </c>
      <c r="M37" s="35" t="s">
        <v>144</v>
      </c>
      <c r="N37" s="35" t="s">
        <v>92</v>
      </c>
      <c r="O37" s="34">
        <f>IFERROR(SUMIF(Table439[,],Table641[[#This Row],[Accounts Name]],Table439[,3]),"")</f>
        <v>2228108</v>
      </c>
      <c r="P37" s="34">
        <f>IFERROR(SUMIF(Table439[,],Table641[[#This Row],[Accounts Name]],Table439[,2]),"")</f>
        <v>0</v>
      </c>
      <c r="S37" s="36">
        <f t="shared" si="0"/>
        <v>30</v>
      </c>
      <c r="T37" s="34" t="s">
        <v>61</v>
      </c>
      <c r="U37" s="37" t="s">
        <v>159</v>
      </c>
      <c r="V37" s="34">
        <f>IFERROR(SUMIF(Table641[Sub-Accounts],Table842[[#This Row],[Update your chart of accounts here]],Table641[Debit]),"")</f>
        <v>208578.65</v>
      </c>
      <c r="W37" s="34">
        <f>IFERROR(SUMIF(Table641[Sub-Accounts],Table842[[#This Row],[Update your chart of accounts here]],Table641[Credit]),"")</f>
        <v>0</v>
      </c>
      <c r="X37" s="34"/>
      <c r="Y37" s="34"/>
      <c r="Z37" s="34"/>
      <c r="AA37" s="34"/>
      <c r="AB37" s="34">
        <f>MAX(Table842[[#This Row],[Debit]]+Table842[[#This Row],[Debit -]]-Table842[[#This Row],[Credit]]-Table842[[#This Row],[Credit +]],0)</f>
        <v>208578.65</v>
      </c>
      <c r="AC37" s="34">
        <f>MAX(Table842[[#This Row],[Credit]]-Table842[[#This Row],[Debit]]+Table842[[#This Row],[Credit +]]-Table842[[#This Row],[Debit -]],0)</f>
        <v>0</v>
      </c>
      <c r="AD37" s="34">
        <f>IFERROR(IF(AND(OR(Table842[[#This Row],[Classification]]="Expense",Table842[[#This Row],[Classification]]="Cost of Goods Sold"),Table842[[#This Row],[Debit\]]&gt;Table842[[#This Row],[Credit.]]),Table842[[#This Row],[Debit\]]-Table842[[#This Row],[Credit.]],""),"")</f>
        <v>208578.65</v>
      </c>
      <c r="AE37" s="34" t="str">
        <f>IFERROR(IF(AND(OR(Table842[[#This Row],[Classification]]="Income",Table842[[#This Row],[Classification]]="Cost of Goods Sold"),Table842[[#This Row],[Credit.]]&gt;Table842[[#This Row],[Debit\]]),Table842[[#This Row],[Credit.]]-Table842[[#This Row],[Debit\]],""),"")</f>
        <v/>
      </c>
      <c r="AF37" s="34"/>
      <c r="AG37" s="34" t="str">
        <f>IFERROR(IF(AND(Table842[[#This Row],[Classification]]="Assets",Table842[[#This Row],[Debit\]]-Table842[[#This Row],[Credit.]]),Table842[[#This Row],[Debit\]]-Table842[[#This Row],[Credit.]],""),"")</f>
        <v/>
      </c>
      <c r="AH37" s="34" t="str">
        <f>IFERROR(IF(AND(OR(Table842[[#This Row],[Classification]]="Liabilities",Table842[[#This Row],[Classification]]="Owner´s Equity"),Table842[[#This Row],[Credit.]]&gt;Table842[[#This Row],[Debit\]]),Table842[[#This Row],[Credit.]]-Table842[[#This Row],[Debit\]],""),"")</f>
        <v/>
      </c>
    </row>
    <row r="38" spans="2:34" hidden="1" x14ac:dyDescent="0.25">
      <c r="B38" s="34"/>
      <c r="C38" s="37" t="s">
        <v>92</v>
      </c>
      <c r="D38" s="34">
        <v>2228108</v>
      </c>
      <c r="E38" s="34"/>
      <c r="G38" s="39"/>
      <c r="H38" s="43"/>
      <c r="I38" s="41"/>
      <c r="J38" s="41"/>
      <c r="L38" s="34">
        <v>31</v>
      </c>
      <c r="M38" s="35" t="s">
        <v>140</v>
      </c>
      <c r="N38" s="35" t="s">
        <v>93</v>
      </c>
      <c r="O38" s="34">
        <f>IFERROR(SUMIF(Table439[,],Table641[[#This Row],[Accounts Name]],Table439[,3]),"")</f>
        <v>510902</v>
      </c>
      <c r="P38" s="34">
        <f>IFERROR(SUMIF(Table439[,],Table641[[#This Row],[Accounts Name]],Table439[,2]),"")</f>
        <v>0</v>
      </c>
      <c r="S38" s="36">
        <f t="shared" si="0"/>
        <v>31</v>
      </c>
      <c r="T38" s="34" t="s">
        <v>61</v>
      </c>
      <c r="U38" s="37" t="s">
        <v>157</v>
      </c>
      <c r="V38" s="34">
        <f>IFERROR(SUMIF(Table641[Sub-Accounts],Table842[[#This Row],[Update your chart of accounts here]],Table641[Debit]),"")</f>
        <v>542263</v>
      </c>
      <c r="W38" s="34">
        <f>IFERROR(SUMIF(Table641[Sub-Accounts],Table842[[#This Row],[Update your chart of accounts here]],Table641[Credit]),"")</f>
        <v>0</v>
      </c>
      <c r="X38" s="34"/>
      <c r="Y38" s="34"/>
      <c r="Z38" s="34"/>
      <c r="AA38" s="34"/>
      <c r="AB38" s="34">
        <f>MAX(Table842[[#This Row],[Debit]]+Table842[[#This Row],[Debit -]]-Table842[[#This Row],[Credit]]-Table842[[#This Row],[Credit +]],0)</f>
        <v>542263</v>
      </c>
      <c r="AC38" s="34">
        <f>MAX(Table842[[#This Row],[Credit]]-Table842[[#This Row],[Debit]]+Table842[[#This Row],[Credit +]]-Table842[[#This Row],[Debit -]],0)</f>
        <v>0</v>
      </c>
      <c r="AD38" s="34">
        <f>IFERROR(IF(AND(OR(Table842[[#This Row],[Classification]]="Expense",Table842[[#This Row],[Classification]]="Cost of Goods Sold"),Table842[[#This Row],[Debit\]]&gt;Table842[[#This Row],[Credit.]]),Table842[[#This Row],[Debit\]]-Table842[[#This Row],[Credit.]],""),"")</f>
        <v>542263</v>
      </c>
      <c r="AE38" s="34" t="str">
        <f>IFERROR(IF(AND(OR(Table842[[#This Row],[Classification]]="Income",Table842[[#This Row],[Classification]]="Cost of Goods Sold"),Table842[[#This Row],[Credit.]]&gt;Table842[[#This Row],[Debit\]]),Table842[[#This Row],[Credit.]]-Table842[[#This Row],[Debit\]],""),"")</f>
        <v/>
      </c>
      <c r="AF38" s="34"/>
      <c r="AG38" s="34" t="str">
        <f>IFERROR(IF(AND(Table842[[#This Row],[Classification]]="Assets",Table842[[#This Row],[Debit\]]-Table842[[#This Row],[Credit.]]),Table842[[#This Row],[Debit\]]-Table842[[#This Row],[Credit.]],""),"")</f>
        <v/>
      </c>
      <c r="AH38" s="34" t="str">
        <f>IFERROR(IF(AND(OR(Table842[[#This Row],[Classification]]="Liabilities",Table842[[#This Row],[Classification]]="Owner´s Equity"),Table842[[#This Row],[Credit.]]&gt;Table842[[#This Row],[Debit\]]),Table842[[#This Row],[Credit.]]-Table842[[#This Row],[Debit\]],""),"")</f>
        <v/>
      </c>
    </row>
    <row r="39" spans="2:34" hidden="1" x14ac:dyDescent="0.25">
      <c r="B39" s="34"/>
      <c r="C39" s="37" t="s">
        <v>93</v>
      </c>
      <c r="D39" s="34">
        <v>510902</v>
      </c>
      <c r="E39" s="34"/>
      <c r="G39" s="39"/>
      <c r="H39" s="40"/>
      <c r="I39" s="41"/>
      <c r="J39" s="41"/>
      <c r="L39" s="34">
        <v>32</v>
      </c>
      <c r="M39" s="35" t="s">
        <v>140</v>
      </c>
      <c r="N39" s="35" t="s">
        <v>94</v>
      </c>
      <c r="O39" s="34">
        <f>IFERROR(SUMIF(Table439[,],Table641[[#This Row],[Accounts Name]],Table439[,3]),"")</f>
        <v>1702569</v>
      </c>
      <c r="P39" s="34">
        <f>IFERROR(SUMIF(Table439[,],Table641[[#This Row],[Accounts Name]],Table439[,2]),"")</f>
        <v>0</v>
      </c>
      <c r="S39" s="36">
        <f t="shared" si="0"/>
        <v>32</v>
      </c>
      <c r="T39" s="34" t="s">
        <v>61</v>
      </c>
      <c r="U39" s="37" t="s">
        <v>168</v>
      </c>
      <c r="V39" s="34">
        <f>IFERROR(SUMIF(Table641[Sub-Accounts],Table842[[#This Row],[Update your chart of accounts here]],Table641[Debit]),"")</f>
        <v>302989.64</v>
      </c>
      <c r="W39" s="34">
        <f>IFERROR(SUMIF(Table641[Sub-Accounts],Table842[[#This Row],[Update your chart of accounts here]],Table641[Credit]),"")</f>
        <v>0</v>
      </c>
      <c r="X39" s="34"/>
      <c r="Y39" s="34"/>
      <c r="Z39" s="34"/>
      <c r="AA39" s="34"/>
      <c r="AB39" s="34">
        <f>MAX(Table842[[#This Row],[Debit]]+Table842[[#This Row],[Debit -]]-Table842[[#This Row],[Credit]]-Table842[[#This Row],[Credit +]],0)</f>
        <v>302989.64</v>
      </c>
      <c r="AC39" s="34">
        <f>MAX(Table842[[#This Row],[Credit]]-Table842[[#This Row],[Debit]]+Table842[[#This Row],[Credit +]]-Table842[[#This Row],[Debit -]],0)</f>
        <v>0</v>
      </c>
      <c r="AD39" s="34">
        <f>IFERROR(IF(AND(OR(Table842[[#This Row],[Classification]]="Expense",Table842[[#This Row],[Classification]]="Cost of Goods Sold"),Table842[[#This Row],[Debit\]]&gt;Table842[[#This Row],[Credit.]]),Table842[[#This Row],[Debit\]]-Table842[[#This Row],[Credit.]],""),"")</f>
        <v>302989.64</v>
      </c>
      <c r="AE39" s="34" t="str">
        <f>IFERROR(IF(AND(OR(Table842[[#This Row],[Classification]]="Income",Table842[[#This Row],[Classification]]="Cost of Goods Sold"),Table842[[#This Row],[Credit.]]&gt;Table842[[#This Row],[Debit\]]),Table842[[#This Row],[Credit.]]-Table842[[#This Row],[Debit\]],""),"")</f>
        <v/>
      </c>
      <c r="AF39" s="34"/>
      <c r="AG39" s="34" t="str">
        <f>IFERROR(IF(AND(Table842[[#This Row],[Classification]]="Assets",Table842[[#This Row],[Debit\]]-Table842[[#This Row],[Credit.]]),Table842[[#This Row],[Debit\]]-Table842[[#This Row],[Credit.]],""),"")</f>
        <v/>
      </c>
      <c r="AH39" s="34" t="str">
        <f>IFERROR(IF(AND(OR(Table842[[#This Row],[Classification]]="Liabilities",Table842[[#This Row],[Classification]]="Owner´s Equity"),Table842[[#This Row],[Credit.]]&gt;Table842[[#This Row],[Debit\]]),Table842[[#This Row],[Credit.]]-Table842[[#This Row],[Debit\]],""),"")</f>
        <v/>
      </c>
    </row>
    <row r="40" spans="2:34" hidden="1" x14ac:dyDescent="0.25">
      <c r="B40" s="34"/>
      <c r="C40" s="37" t="s">
        <v>94</v>
      </c>
      <c r="D40" s="34">
        <v>1702569</v>
      </c>
      <c r="E40" s="34"/>
      <c r="G40" s="39"/>
      <c r="H40" s="40"/>
      <c r="I40" s="41"/>
      <c r="J40" s="41"/>
      <c r="L40" s="34">
        <v>33</v>
      </c>
      <c r="M40" s="35" t="s">
        <v>140</v>
      </c>
      <c r="N40" s="35" t="s">
        <v>95</v>
      </c>
      <c r="O40" s="34">
        <f>IFERROR(SUMIF(Table439[,],Table641[[#This Row],[Accounts Name]],Table439[,3]),"")</f>
        <v>735271</v>
      </c>
      <c r="P40" s="34">
        <f>IFERROR(SUMIF(Table439[,],Table641[[#This Row],[Accounts Name]],Table439[,2]),"")</f>
        <v>0</v>
      </c>
      <c r="S40" s="36">
        <f t="shared" si="0"/>
        <v>33</v>
      </c>
      <c r="T40" s="34" t="s">
        <v>61</v>
      </c>
      <c r="U40" s="37" t="s">
        <v>153</v>
      </c>
      <c r="V40" s="34">
        <f>IFERROR(SUMIF(Table641[Sub-Accounts],Table842[[#This Row],[Update your chart of accounts here]],Table641[Debit]),"")</f>
        <v>233250</v>
      </c>
      <c r="W40" s="34">
        <f>IFERROR(SUMIF(Table641[Sub-Accounts],Table842[[#This Row],[Update your chart of accounts here]],Table641[Credit]),"")</f>
        <v>0</v>
      </c>
      <c r="X40" s="34"/>
      <c r="Y40" s="34"/>
      <c r="Z40" s="34"/>
      <c r="AA40" s="34"/>
      <c r="AB40" s="34">
        <f>MAX(Table842[[#This Row],[Debit]]+Table842[[#This Row],[Debit -]]-Table842[[#This Row],[Credit]]-Table842[[#This Row],[Credit +]],0)</f>
        <v>233250</v>
      </c>
      <c r="AC40" s="34">
        <f>MAX(Table842[[#This Row],[Credit]]-Table842[[#This Row],[Debit]]+Table842[[#This Row],[Credit +]]-Table842[[#This Row],[Debit -]],0)</f>
        <v>0</v>
      </c>
      <c r="AD40" s="34">
        <f>IFERROR(IF(AND(OR(Table842[[#This Row],[Classification]]="Expense",Table842[[#This Row],[Classification]]="Cost of Goods Sold"),Table842[[#This Row],[Debit\]]&gt;Table842[[#This Row],[Credit.]]),Table842[[#This Row],[Debit\]]-Table842[[#This Row],[Credit.]],""),"")</f>
        <v>233250</v>
      </c>
      <c r="AE40" s="34" t="str">
        <f>IFERROR(IF(AND(OR(Table842[[#This Row],[Classification]]="Income",Table842[[#This Row],[Classification]]="Cost of Goods Sold"),Table842[[#This Row],[Credit.]]&gt;Table842[[#This Row],[Debit\]]),Table842[[#This Row],[Credit.]]-Table842[[#This Row],[Debit\]],""),"")</f>
        <v/>
      </c>
      <c r="AF40" s="34"/>
      <c r="AG40" s="34" t="str">
        <f>IFERROR(IF(AND(Table842[[#This Row],[Classification]]="Assets",Table842[[#This Row],[Debit\]]-Table842[[#This Row],[Credit.]]),Table842[[#This Row],[Debit\]]-Table842[[#This Row],[Credit.]],""),"")</f>
        <v/>
      </c>
      <c r="AH40" s="34" t="str">
        <f>IFERROR(IF(AND(OR(Table842[[#This Row],[Classification]]="Liabilities",Table842[[#This Row],[Classification]]="Owner´s Equity"),Table842[[#This Row],[Credit.]]&gt;Table842[[#This Row],[Debit\]]),Table842[[#This Row],[Credit.]]-Table842[[#This Row],[Debit\]],""),"")</f>
        <v/>
      </c>
    </row>
    <row r="41" spans="2:34" hidden="1" x14ac:dyDescent="0.25">
      <c r="B41" s="34"/>
      <c r="C41" s="37" t="s">
        <v>95</v>
      </c>
      <c r="D41" s="34">
        <v>735271</v>
      </c>
      <c r="E41" s="34"/>
      <c r="G41" s="39"/>
      <c r="H41" s="43"/>
      <c r="I41" s="41"/>
      <c r="J41" s="41"/>
      <c r="L41" s="34">
        <v>34</v>
      </c>
      <c r="M41" s="35" t="s">
        <v>141</v>
      </c>
      <c r="N41" s="35" t="s">
        <v>96</v>
      </c>
      <c r="O41" s="34">
        <f>IFERROR(SUMIF(Table439[,],Table641[[#This Row],[Accounts Name]],Table439[,3]),"")</f>
        <v>0</v>
      </c>
      <c r="P41" s="34">
        <f>IFERROR(SUMIF(Table439[,],Table641[[#This Row],[Accounts Name]],Table439[,2]),"")</f>
        <v>1318131</v>
      </c>
      <c r="S41" s="36">
        <f t="shared" si="0"/>
        <v>34</v>
      </c>
      <c r="T41" s="34" t="s">
        <v>61</v>
      </c>
      <c r="U41" s="37" t="s">
        <v>152</v>
      </c>
      <c r="V41" s="34">
        <f>IFERROR(SUMIF(Table641[Sub-Accounts],Table842[[#This Row],[Update your chart of accounts here]],Table641[Debit]),"")</f>
        <v>51948.32</v>
      </c>
      <c r="W41" s="34">
        <f>IFERROR(SUMIF(Table641[Sub-Accounts],Table842[[#This Row],[Update your chart of accounts here]],Table641[Credit]),"")</f>
        <v>0</v>
      </c>
      <c r="X41" s="34"/>
      <c r="Y41" s="34"/>
      <c r="Z41" s="34"/>
      <c r="AA41" s="34"/>
      <c r="AB41" s="34">
        <f>MAX(Table842[[#This Row],[Debit]]+Table842[[#This Row],[Debit -]]-Table842[[#This Row],[Credit]]-Table842[[#This Row],[Credit +]],0)</f>
        <v>51948.32</v>
      </c>
      <c r="AC41" s="34">
        <f>MAX(Table842[[#This Row],[Credit]]-Table842[[#This Row],[Debit]]+Table842[[#This Row],[Credit +]]-Table842[[#This Row],[Debit -]],0)</f>
        <v>0</v>
      </c>
      <c r="AD41" s="34">
        <f>IFERROR(IF(AND(OR(Table842[[#This Row],[Classification]]="Expense",Table842[[#This Row],[Classification]]="Cost of Goods Sold"),Table842[[#This Row],[Debit\]]&gt;Table842[[#This Row],[Credit.]]),Table842[[#This Row],[Debit\]]-Table842[[#This Row],[Credit.]],""),"")</f>
        <v>51948.32</v>
      </c>
      <c r="AE41" s="34" t="str">
        <f>IFERROR(IF(AND(OR(Table842[[#This Row],[Classification]]="Income",Table842[[#This Row],[Classification]]="Cost of Goods Sold"),Table842[[#This Row],[Credit.]]&gt;Table842[[#This Row],[Debit\]]),Table842[[#This Row],[Credit.]]-Table842[[#This Row],[Debit\]],""),"")</f>
        <v/>
      </c>
      <c r="AF41" s="34"/>
      <c r="AG41" s="34" t="str">
        <f>IFERROR(IF(AND(Table842[[#This Row],[Classification]]="Assets",Table842[[#This Row],[Debit\]]-Table842[[#This Row],[Credit.]]),Table842[[#This Row],[Debit\]]-Table842[[#This Row],[Credit.]],""),"")</f>
        <v/>
      </c>
      <c r="AH41" s="34" t="str">
        <f>IFERROR(IF(AND(OR(Table842[[#This Row],[Classification]]="Liabilities",Table842[[#This Row],[Classification]]="Owner´s Equity"),Table842[[#This Row],[Credit.]]&gt;Table842[[#This Row],[Debit\]]),Table842[[#This Row],[Credit.]]-Table842[[#This Row],[Debit\]],""),"")</f>
        <v/>
      </c>
    </row>
    <row r="42" spans="2:34" hidden="1" x14ac:dyDescent="0.25">
      <c r="B42" s="34"/>
      <c r="C42" s="37" t="s">
        <v>96</v>
      </c>
      <c r="D42" s="34"/>
      <c r="E42" s="34">
        <v>1318131</v>
      </c>
      <c r="G42" s="39"/>
      <c r="H42" s="40"/>
      <c r="I42" s="41"/>
      <c r="J42" s="41"/>
      <c r="L42" s="34">
        <v>35</v>
      </c>
      <c r="M42" s="35" t="s">
        <v>145</v>
      </c>
      <c r="N42" s="35" t="s">
        <v>97</v>
      </c>
      <c r="O42" s="34">
        <f>IFERROR(SUMIF(Table439[,],Table641[[#This Row],[Accounts Name]],Table439[,3]),"")</f>
        <v>0</v>
      </c>
      <c r="P42" s="34">
        <f>IFERROR(SUMIF(Table439[,],Table641[[#This Row],[Accounts Name]],Table439[,2]),"")</f>
        <v>11852079.26</v>
      </c>
      <c r="S42" s="36">
        <f t="shared" si="0"/>
        <v>35</v>
      </c>
      <c r="T42" s="34" t="s">
        <v>61</v>
      </c>
      <c r="U42" s="37" t="s">
        <v>156</v>
      </c>
      <c r="V42" s="34">
        <f>IFERROR(SUMIF(Table641[Sub-Accounts],Table842[[#This Row],[Update your chart of accounts here]],Table641[Debit]),"")</f>
        <v>219706</v>
      </c>
      <c r="W42" s="34">
        <f>IFERROR(SUMIF(Table641[Sub-Accounts],Table842[[#This Row],[Update your chart of accounts here]],Table641[Credit]),"")</f>
        <v>0</v>
      </c>
      <c r="X42" s="34"/>
      <c r="Y42" s="34"/>
      <c r="Z42" s="34"/>
      <c r="AA42" s="34"/>
      <c r="AB42" s="34">
        <f>MAX(Table842[[#This Row],[Debit]]+Table842[[#This Row],[Debit -]]-Table842[[#This Row],[Credit]]-Table842[[#This Row],[Credit +]],0)</f>
        <v>219706</v>
      </c>
      <c r="AC42" s="34">
        <f>MAX(Table842[[#This Row],[Credit]]-Table842[[#This Row],[Debit]]+Table842[[#This Row],[Credit +]]-Table842[[#This Row],[Debit -]],0)</f>
        <v>0</v>
      </c>
      <c r="AD42" s="34">
        <f>IFERROR(IF(AND(OR(Table842[[#This Row],[Classification]]="Expense",Table842[[#This Row],[Classification]]="Cost of Goods Sold"),Table842[[#This Row],[Debit\]]&gt;Table842[[#This Row],[Credit.]]),Table842[[#This Row],[Debit\]]-Table842[[#This Row],[Credit.]],""),"")</f>
        <v>219706</v>
      </c>
      <c r="AE42" s="34" t="str">
        <f>IFERROR(IF(AND(OR(Table842[[#This Row],[Classification]]="Income",Table842[[#This Row],[Classification]]="Cost of Goods Sold"),Table842[[#This Row],[Credit.]]&gt;Table842[[#This Row],[Debit\]]),Table842[[#This Row],[Credit.]]-Table842[[#This Row],[Debit\]],""),"")</f>
        <v/>
      </c>
      <c r="AF42" s="34"/>
      <c r="AG42" s="34" t="str">
        <f>IFERROR(IF(AND(Table842[[#This Row],[Classification]]="Assets",Table842[[#This Row],[Debit\]]-Table842[[#This Row],[Credit.]]),Table842[[#This Row],[Debit\]]-Table842[[#This Row],[Credit.]],""),"")</f>
        <v/>
      </c>
      <c r="AH42" s="34" t="str">
        <f>IFERROR(IF(AND(OR(Table842[[#This Row],[Classification]]="Liabilities",Table842[[#This Row],[Classification]]="Owner´s Equity"),Table842[[#This Row],[Credit.]]&gt;Table842[[#This Row],[Debit\]]),Table842[[#This Row],[Credit.]]-Table842[[#This Row],[Debit\]],""),"")</f>
        <v/>
      </c>
    </row>
    <row r="43" spans="2:34" hidden="1" x14ac:dyDescent="0.25">
      <c r="B43" s="34"/>
      <c r="C43" s="37" t="s">
        <v>97</v>
      </c>
      <c r="D43" s="34"/>
      <c r="E43" s="34">
        <v>11852079.26</v>
      </c>
      <c r="G43" s="39"/>
      <c r="H43" s="40"/>
      <c r="I43" s="41"/>
      <c r="J43" s="41"/>
      <c r="L43" s="34">
        <v>36</v>
      </c>
      <c r="M43" s="35" t="s">
        <v>146</v>
      </c>
      <c r="N43" s="35" t="s">
        <v>98</v>
      </c>
      <c r="O43" s="34">
        <f>IFERROR(SUMIF(Table439[,],Table641[[#This Row],[Accounts Name]],Table439[,3]),"")</f>
        <v>0</v>
      </c>
      <c r="P43" s="34">
        <f>IFERROR(SUMIF(Table439[,],Table641[[#This Row],[Accounts Name]],Table439[,2]),"")</f>
        <v>400</v>
      </c>
      <c r="S43" s="36">
        <f t="shared" si="0"/>
        <v>36</v>
      </c>
      <c r="T43" s="34" t="s">
        <v>61</v>
      </c>
      <c r="U43" s="37" t="s">
        <v>217</v>
      </c>
      <c r="V43" s="34">
        <f>IFERROR(SUMIF(Table641[Sub-Accounts],Table842[[#This Row],[Update your chart of accounts here]],Table641[Debit]),"")</f>
        <v>0</v>
      </c>
      <c r="W43" s="34">
        <f>IFERROR(SUMIF(Table641[Sub-Accounts],Table842[[#This Row],[Update your chart of accounts here]],Table641[Credit]),"")</f>
        <v>0</v>
      </c>
      <c r="X43" s="34"/>
      <c r="Y43" s="34"/>
      <c r="Z43" s="34"/>
      <c r="AA43" s="34"/>
      <c r="AB43" s="34">
        <f>MAX(Table842[[#This Row],[Debit]]+Table842[[#This Row],[Debit -]]-Table842[[#This Row],[Credit]]-Table842[[#This Row],[Credit +]],0)</f>
        <v>0</v>
      </c>
      <c r="AC43" s="34">
        <f>MAX(Table842[[#This Row],[Credit]]-Table842[[#This Row],[Debit]]+Table842[[#This Row],[Credit +]]-Table842[[#This Row],[Debit -]],0)</f>
        <v>0</v>
      </c>
      <c r="AD43" s="34" t="str">
        <f>IFERROR(IF(AND(OR(Table842[[#This Row],[Classification]]="Expense",Table842[[#This Row],[Classification]]="Cost of Goods Sold"),Table842[[#This Row],[Debit\]]&gt;Table842[[#This Row],[Credit.]]),Table842[[#This Row],[Debit\]]-Table842[[#This Row],[Credit.]],""),"")</f>
        <v/>
      </c>
      <c r="AE43" s="34" t="str">
        <f>IFERROR(IF(AND(OR(Table842[[#This Row],[Classification]]="Income",Table842[[#This Row],[Classification]]="Cost of Goods Sold"),Table842[[#This Row],[Credit.]]&gt;Table842[[#This Row],[Debit\]]),Table842[[#This Row],[Credit.]]-Table842[[#This Row],[Debit\]],""),"")</f>
        <v/>
      </c>
      <c r="AF43" s="34"/>
      <c r="AG43" s="34" t="str">
        <f>IFERROR(IF(AND(Table842[[#This Row],[Classification]]="Assets",Table842[[#This Row],[Debit\]]-Table842[[#This Row],[Credit.]]),Table842[[#This Row],[Debit\]]-Table842[[#This Row],[Credit.]],""),"")</f>
        <v/>
      </c>
      <c r="AH43" s="34" t="str">
        <f>IFERROR(IF(AND(OR(Table842[[#This Row],[Classification]]="Liabilities",Table842[[#This Row],[Classification]]="Owner´s Equity"),Table842[[#This Row],[Credit.]]&gt;Table842[[#This Row],[Debit\]]),Table842[[#This Row],[Credit.]]-Table842[[#This Row],[Debit\]],""),"")</f>
        <v/>
      </c>
    </row>
    <row r="44" spans="2:34" hidden="1" x14ac:dyDescent="0.25">
      <c r="B44" s="34"/>
      <c r="C44" s="37" t="s">
        <v>98</v>
      </c>
      <c r="D44" s="34"/>
      <c r="E44" s="34">
        <v>400</v>
      </c>
      <c r="G44" s="39"/>
      <c r="H44" s="43"/>
      <c r="I44" s="41"/>
      <c r="J44" s="41"/>
      <c r="L44" s="34">
        <v>37</v>
      </c>
      <c r="M44" s="35" t="s">
        <v>143</v>
      </c>
      <c r="N44" s="35" t="s">
        <v>99</v>
      </c>
      <c r="O44" s="34">
        <f>IFERROR(SUMIF(Table439[,],Table641[[#This Row],[Accounts Name]],Table439[,3]),"")</f>
        <v>0</v>
      </c>
      <c r="P44" s="34">
        <f>IFERROR(SUMIF(Table439[,],Table641[[#This Row],[Accounts Name]],Table439[,2]),"")</f>
        <v>800000</v>
      </c>
      <c r="S44" s="36">
        <f t="shared" si="0"/>
        <v>37</v>
      </c>
      <c r="T44" s="34" t="s">
        <v>61</v>
      </c>
      <c r="U44" s="37" t="s">
        <v>218</v>
      </c>
      <c r="V44" s="34">
        <f>IFERROR(SUMIF(Table641[Sub-Accounts],Table842[[#This Row],[Update your chart of accounts here]],Table641[Debit]),"")</f>
        <v>0</v>
      </c>
      <c r="W44" s="34">
        <f>IFERROR(SUMIF(Table641[Sub-Accounts],Table842[[#This Row],[Update your chart of accounts here]],Table641[Credit]),"")</f>
        <v>0</v>
      </c>
      <c r="X44" s="34"/>
      <c r="Y44" s="34"/>
      <c r="Z44" s="34"/>
      <c r="AA44" s="34"/>
      <c r="AB44" s="34">
        <f>MAX(Table842[[#This Row],[Debit]]+Table842[[#This Row],[Debit -]]-Table842[[#This Row],[Credit]]-Table842[[#This Row],[Credit +]],0)</f>
        <v>0</v>
      </c>
      <c r="AC44" s="34">
        <f>MAX(Table842[[#This Row],[Credit]]-Table842[[#This Row],[Debit]]+Table842[[#This Row],[Credit +]]-Table842[[#This Row],[Debit -]],0)</f>
        <v>0</v>
      </c>
      <c r="AD44" s="34" t="str">
        <f>IFERROR(IF(AND(OR(Table842[[#This Row],[Classification]]="Expense",Table842[[#This Row],[Classification]]="Cost of Goods Sold"),Table842[[#This Row],[Debit\]]&gt;Table842[[#This Row],[Credit.]]),Table842[[#This Row],[Debit\]]-Table842[[#This Row],[Credit.]],""),"")</f>
        <v/>
      </c>
      <c r="AE44" s="34" t="str">
        <f>IFERROR(IF(AND(OR(Table842[[#This Row],[Classification]]="Income",Table842[[#This Row],[Classification]]="Cost of Goods Sold"),Table842[[#This Row],[Credit.]]&gt;Table842[[#This Row],[Debit\]]),Table842[[#This Row],[Credit.]]-Table842[[#This Row],[Debit\]],""),"")</f>
        <v/>
      </c>
      <c r="AF44" s="34"/>
      <c r="AG44" s="34" t="str">
        <f>IFERROR(IF(AND(Table842[[#This Row],[Classification]]="Assets",Table842[[#This Row],[Debit\]]-Table842[[#This Row],[Credit.]]),Table842[[#This Row],[Debit\]]-Table842[[#This Row],[Credit.]],""),"")</f>
        <v/>
      </c>
      <c r="AH44" s="34" t="str">
        <f>IFERROR(IF(AND(OR(Table842[[#This Row],[Classification]]="Liabilities",Table842[[#This Row],[Classification]]="Owner´s Equity"),Table842[[#This Row],[Credit.]]&gt;Table842[[#This Row],[Debit\]]),Table842[[#This Row],[Credit.]]-Table842[[#This Row],[Debit\]],""),"")</f>
        <v/>
      </c>
    </row>
    <row r="45" spans="2:34" hidden="1" x14ac:dyDescent="0.25">
      <c r="B45" s="34"/>
      <c r="C45" s="37" t="s">
        <v>99</v>
      </c>
      <c r="D45" s="34"/>
      <c r="E45" s="34">
        <v>800000</v>
      </c>
      <c r="G45" s="39"/>
      <c r="H45" s="40"/>
      <c r="I45" s="41"/>
      <c r="J45" s="41"/>
      <c r="L45" s="34">
        <v>38</v>
      </c>
      <c r="M45" s="35" t="s">
        <v>62</v>
      </c>
      <c r="N45" s="35" t="s">
        <v>100</v>
      </c>
      <c r="O45" s="34">
        <f>IFERROR(SUMIF(Table439[,],Table641[[#This Row],[Accounts Name]],Table439[,3]),"")</f>
        <v>0</v>
      </c>
      <c r="P45" s="34">
        <f>IFERROR(SUMIF(Table439[,],Table641[[#This Row],[Accounts Name]],Table439[,2]),"")</f>
        <v>332888373.44999999</v>
      </c>
      <c r="S45" s="36">
        <f t="shared" si="0"/>
        <v>38</v>
      </c>
      <c r="T45" s="34" t="s">
        <v>61</v>
      </c>
      <c r="U45" s="37" t="s">
        <v>163</v>
      </c>
      <c r="V45" s="34">
        <f>IFERROR(SUMIF(Table641[Sub-Accounts],Table842[[#This Row],[Update your chart of accounts here]],Table641[Debit]),"")</f>
        <v>300</v>
      </c>
      <c r="W45" s="34">
        <f>IFERROR(SUMIF(Table641[Sub-Accounts],Table842[[#This Row],[Update your chart of accounts here]],Table641[Credit]),"")</f>
        <v>0</v>
      </c>
      <c r="X45" s="34"/>
      <c r="Y45" s="34"/>
      <c r="Z45" s="34"/>
      <c r="AA45" s="34"/>
      <c r="AB45" s="34">
        <f>MAX(Table842[[#This Row],[Debit]]+Table842[[#This Row],[Debit -]]-Table842[[#This Row],[Credit]]-Table842[[#This Row],[Credit +]],0)</f>
        <v>300</v>
      </c>
      <c r="AC45" s="34">
        <f>MAX(Table842[[#This Row],[Credit]]-Table842[[#This Row],[Debit]]+Table842[[#This Row],[Credit +]]-Table842[[#This Row],[Debit -]],0)</f>
        <v>0</v>
      </c>
      <c r="AD45" s="34">
        <f>IFERROR(IF(AND(OR(Table842[[#This Row],[Classification]]="Expense",Table842[[#This Row],[Classification]]="Cost of Goods Sold"),Table842[[#This Row],[Debit\]]&gt;Table842[[#This Row],[Credit.]]),Table842[[#This Row],[Debit\]]-Table842[[#This Row],[Credit.]],""),"")</f>
        <v>300</v>
      </c>
      <c r="AE45" s="34" t="str">
        <f>IFERROR(IF(AND(OR(Table842[[#This Row],[Classification]]="Income",Table842[[#This Row],[Classification]]="Cost of Goods Sold"),Table842[[#This Row],[Credit.]]&gt;Table842[[#This Row],[Debit\]]),Table842[[#This Row],[Credit.]]-Table842[[#This Row],[Debit\]],""),"")</f>
        <v/>
      </c>
      <c r="AF45" s="34"/>
      <c r="AG45" s="34" t="str">
        <f>IFERROR(IF(AND(Table842[[#This Row],[Classification]]="Assets",Table842[[#This Row],[Debit\]]-Table842[[#This Row],[Credit.]]),Table842[[#This Row],[Debit\]]-Table842[[#This Row],[Credit.]],""),"")</f>
        <v/>
      </c>
      <c r="AH45" s="34" t="str">
        <f>IFERROR(IF(AND(OR(Table842[[#This Row],[Classification]]="Liabilities",Table842[[#This Row],[Classification]]="Owner´s Equity"),Table842[[#This Row],[Credit.]]&gt;Table842[[#This Row],[Debit\]]),Table842[[#This Row],[Credit.]]-Table842[[#This Row],[Debit\]],""),"")</f>
        <v/>
      </c>
    </row>
    <row r="46" spans="2:34" hidden="1" x14ac:dyDescent="0.25">
      <c r="B46" s="34"/>
      <c r="C46" s="37" t="s">
        <v>100</v>
      </c>
      <c r="D46" s="34"/>
      <c r="E46" s="34">
        <v>332888373.44999999</v>
      </c>
      <c r="G46" s="39"/>
      <c r="H46" s="40"/>
      <c r="I46" s="41"/>
      <c r="J46" s="41"/>
      <c r="L46" s="34">
        <v>39</v>
      </c>
      <c r="M46" s="35" t="s">
        <v>147</v>
      </c>
      <c r="N46" s="35" t="s">
        <v>101</v>
      </c>
      <c r="O46" s="34">
        <f>IFERROR(SUMIF(Table439[,],Table641[[#This Row],[Accounts Name]],Table439[,3]),"")</f>
        <v>316209838.63</v>
      </c>
      <c r="P46" s="34">
        <f>IFERROR(SUMIF(Table439[,],Table641[[#This Row],[Accounts Name]],Table439[,2]),"")</f>
        <v>0</v>
      </c>
      <c r="S46" s="36">
        <f t="shared" si="0"/>
        <v>39</v>
      </c>
      <c r="T46" s="34" t="s">
        <v>61</v>
      </c>
      <c r="U46" s="37" t="s">
        <v>164</v>
      </c>
      <c r="V46" s="34">
        <f>IFERROR(SUMIF(Table641[Sub-Accounts],Table842[[#This Row],[Update your chart of accounts here]],Table641[Debit]),"")</f>
        <v>436840.42</v>
      </c>
      <c r="W46" s="34">
        <f>IFERROR(SUMIF(Table641[Sub-Accounts],Table842[[#This Row],[Update your chart of accounts here]],Table641[Credit]),"")</f>
        <v>0</v>
      </c>
      <c r="X46" s="34"/>
      <c r="Y46" s="34"/>
      <c r="Z46" s="34"/>
      <c r="AA46" s="34"/>
      <c r="AB46" s="34">
        <f>MAX(Table842[[#This Row],[Debit]]+Table842[[#This Row],[Debit -]]-Table842[[#This Row],[Credit]]-Table842[[#This Row],[Credit +]],0)</f>
        <v>436840.42</v>
      </c>
      <c r="AC46" s="34">
        <f>MAX(Table842[[#This Row],[Credit]]-Table842[[#This Row],[Debit]]+Table842[[#This Row],[Credit +]]-Table842[[#This Row],[Debit -]],0)</f>
        <v>0</v>
      </c>
      <c r="AD46" s="34">
        <f>IFERROR(IF(AND(OR(Table842[[#This Row],[Classification]]="Expense",Table842[[#This Row],[Classification]]="Cost of Goods Sold"),Table842[[#This Row],[Debit\]]&gt;Table842[[#This Row],[Credit.]]),Table842[[#This Row],[Debit\]]-Table842[[#This Row],[Credit.]],""),"")</f>
        <v>436840.42</v>
      </c>
      <c r="AE46" s="34" t="str">
        <f>IFERROR(IF(AND(OR(Table842[[#This Row],[Classification]]="Income",Table842[[#This Row],[Classification]]="Cost of Goods Sold"),Table842[[#This Row],[Credit.]]&gt;Table842[[#This Row],[Debit\]]),Table842[[#This Row],[Credit.]]-Table842[[#This Row],[Debit\]],""),"")</f>
        <v/>
      </c>
      <c r="AF46" s="34"/>
      <c r="AG46" s="34" t="str">
        <f>IFERROR(IF(AND(Table842[[#This Row],[Classification]]="Assets",Table842[[#This Row],[Debit\]]-Table842[[#This Row],[Credit.]]),Table842[[#This Row],[Debit\]]-Table842[[#This Row],[Credit.]],""),"")</f>
        <v/>
      </c>
      <c r="AH46" s="34" t="str">
        <f>IFERROR(IF(AND(OR(Table842[[#This Row],[Classification]]="Liabilities",Table842[[#This Row],[Classification]]="Owner´s Equity"),Table842[[#This Row],[Credit.]]&gt;Table842[[#This Row],[Debit\]]),Table842[[#This Row],[Credit.]]-Table842[[#This Row],[Debit\]],""),"")</f>
        <v/>
      </c>
    </row>
    <row r="47" spans="2:34" hidden="1" x14ac:dyDescent="0.25">
      <c r="B47" s="34"/>
      <c r="C47" s="37" t="s">
        <v>101</v>
      </c>
      <c r="D47" s="34">
        <v>316209838.63</v>
      </c>
      <c r="E47" s="34"/>
      <c r="G47" s="39"/>
      <c r="H47" s="43"/>
      <c r="I47" s="41"/>
      <c r="J47" s="41"/>
      <c r="L47" s="34">
        <v>40</v>
      </c>
      <c r="M47" s="35" t="s">
        <v>148</v>
      </c>
      <c r="N47" s="35" t="s">
        <v>102</v>
      </c>
      <c r="O47" s="34">
        <f>IFERROR(SUMIF(Table439[,],Table641[[#This Row],[Accounts Name]],Table439[,3]),"")</f>
        <v>568965.54</v>
      </c>
      <c r="P47" s="34">
        <f>IFERROR(SUMIF(Table439[,],Table641[[#This Row],[Accounts Name]],Table439[,2]),"")</f>
        <v>0</v>
      </c>
      <c r="S47" s="36">
        <f t="shared" si="0"/>
        <v>40</v>
      </c>
      <c r="T47" s="34" t="s">
        <v>61</v>
      </c>
      <c r="U47" s="37" t="s">
        <v>219</v>
      </c>
      <c r="V47" s="34">
        <f>IFERROR(SUMIF(Table641[Sub-Accounts],Table842[[#This Row],[Update your chart of accounts here]],Table641[Debit]),"")</f>
        <v>0</v>
      </c>
      <c r="W47" s="34">
        <f>IFERROR(SUMIF(Table641[Sub-Accounts],Table842[[#This Row],[Update your chart of accounts here]],Table641[Credit]),"")</f>
        <v>0</v>
      </c>
      <c r="X47" s="34"/>
      <c r="Y47" s="34"/>
      <c r="Z47" s="34"/>
      <c r="AA47" s="34"/>
      <c r="AB47" s="34">
        <f>MAX(Table842[[#This Row],[Debit]]+Table842[[#This Row],[Debit -]]-Table842[[#This Row],[Credit]]-Table842[[#This Row],[Credit +]],0)</f>
        <v>0</v>
      </c>
      <c r="AC47" s="34">
        <f>MAX(Table842[[#This Row],[Credit]]-Table842[[#This Row],[Debit]]+Table842[[#This Row],[Credit +]]-Table842[[#This Row],[Debit -]],0)</f>
        <v>0</v>
      </c>
      <c r="AD47" s="34" t="str">
        <f>IFERROR(IF(AND(OR(Table842[[#This Row],[Classification]]="Expense",Table842[[#This Row],[Classification]]="Cost of Goods Sold"),Table842[[#This Row],[Debit\]]&gt;Table842[[#This Row],[Credit.]]),Table842[[#This Row],[Debit\]]-Table842[[#This Row],[Credit.]],""),"")</f>
        <v/>
      </c>
      <c r="AE47" s="34" t="str">
        <f>IFERROR(IF(AND(OR(Table842[[#This Row],[Classification]]="Income",Table842[[#This Row],[Classification]]="Cost of Goods Sold"),Table842[[#This Row],[Credit.]]&gt;Table842[[#This Row],[Debit\]]),Table842[[#This Row],[Credit.]]-Table842[[#This Row],[Debit\]],""),"")</f>
        <v/>
      </c>
      <c r="AF47" s="34"/>
      <c r="AG47" s="34" t="str">
        <f>IFERROR(IF(AND(Table842[[#This Row],[Classification]]="Assets",Table842[[#This Row],[Debit\]]-Table842[[#This Row],[Credit.]]),Table842[[#This Row],[Debit\]]-Table842[[#This Row],[Credit.]],""),"")</f>
        <v/>
      </c>
      <c r="AH47" s="34" t="str">
        <f>IFERROR(IF(AND(OR(Table842[[#This Row],[Classification]]="Liabilities",Table842[[#This Row],[Classification]]="Owner´s Equity"),Table842[[#This Row],[Credit.]]&gt;Table842[[#This Row],[Debit\]]),Table842[[#This Row],[Credit.]]-Table842[[#This Row],[Debit\]],""),"")</f>
        <v/>
      </c>
    </row>
    <row r="48" spans="2:34" hidden="1" x14ac:dyDescent="0.25">
      <c r="B48" s="34"/>
      <c r="C48" s="37" t="s">
        <v>102</v>
      </c>
      <c r="D48" s="34">
        <v>568965.54</v>
      </c>
      <c r="E48" s="34"/>
      <c r="G48" s="39"/>
      <c r="H48" s="40"/>
      <c r="I48" s="41"/>
      <c r="J48" s="41"/>
      <c r="L48" s="34">
        <v>41</v>
      </c>
      <c r="M48" s="35" t="s">
        <v>149</v>
      </c>
      <c r="N48" s="35" t="s">
        <v>103</v>
      </c>
      <c r="O48" s="34">
        <f>IFERROR(SUMIF(Table439[,],Table641[[#This Row],[Accounts Name]],Table439[,3]),"")</f>
        <v>175000</v>
      </c>
      <c r="P48" s="34">
        <f>IFERROR(SUMIF(Table439[,],Table641[[#This Row],[Accounts Name]],Table439[,2]),"")</f>
        <v>0</v>
      </c>
      <c r="S48" s="36">
        <f t="shared" si="0"/>
        <v>41</v>
      </c>
      <c r="T48" s="34" t="s">
        <v>61</v>
      </c>
      <c r="U48" s="37" t="s">
        <v>169</v>
      </c>
      <c r="V48" s="34">
        <f>IFERROR(SUMIF(Table641[Sub-Accounts],Table842[[#This Row],[Update your chart of accounts here]],Table641[Debit]),"")</f>
        <v>2000</v>
      </c>
      <c r="W48" s="34">
        <f>IFERROR(SUMIF(Table641[Sub-Accounts],Table842[[#This Row],[Update your chart of accounts here]],Table641[Credit]),"")</f>
        <v>0</v>
      </c>
      <c r="X48" s="34"/>
      <c r="Y48" s="34"/>
      <c r="Z48" s="34"/>
      <c r="AA48" s="34"/>
      <c r="AB48" s="34">
        <f>MAX(Table842[[#This Row],[Debit]]+Table842[[#This Row],[Debit -]]-Table842[[#This Row],[Credit]]-Table842[[#This Row],[Credit +]],0)</f>
        <v>2000</v>
      </c>
      <c r="AC48" s="34">
        <f>MAX(Table842[[#This Row],[Credit]]-Table842[[#This Row],[Debit]]+Table842[[#This Row],[Credit +]]-Table842[[#This Row],[Debit -]],0)</f>
        <v>0</v>
      </c>
      <c r="AD48" s="34">
        <f>IFERROR(IF(AND(OR(Table842[[#This Row],[Classification]]="Expense",Table842[[#This Row],[Classification]]="Cost of Goods Sold"),Table842[[#This Row],[Debit\]]&gt;Table842[[#This Row],[Credit.]]),Table842[[#This Row],[Debit\]]-Table842[[#This Row],[Credit.]],""),"")</f>
        <v>2000</v>
      </c>
      <c r="AE48" s="34" t="str">
        <f>IFERROR(IF(AND(OR(Table842[[#This Row],[Classification]]="Income",Table842[[#This Row],[Classification]]="Cost of Goods Sold"),Table842[[#This Row],[Credit.]]&gt;Table842[[#This Row],[Debit\]]),Table842[[#This Row],[Credit.]]-Table842[[#This Row],[Debit\]],""),"")</f>
        <v/>
      </c>
      <c r="AF48" s="34"/>
      <c r="AG48" s="34" t="str">
        <f>IFERROR(IF(AND(Table842[[#This Row],[Classification]]="Assets",Table842[[#This Row],[Debit\]]-Table842[[#This Row],[Credit.]]),Table842[[#This Row],[Debit\]]-Table842[[#This Row],[Credit.]],""),"")</f>
        <v/>
      </c>
      <c r="AH48" s="34" t="str">
        <f>IFERROR(IF(AND(OR(Table842[[#This Row],[Classification]]="Liabilities",Table842[[#This Row],[Classification]]="Owner´s Equity"),Table842[[#This Row],[Credit.]]&gt;Table842[[#This Row],[Debit\]]),Table842[[#This Row],[Credit.]]-Table842[[#This Row],[Debit\]],""),"")</f>
        <v/>
      </c>
    </row>
    <row r="49" spans="2:34" hidden="1" x14ac:dyDescent="0.25">
      <c r="B49" s="34"/>
      <c r="C49" s="37" t="s">
        <v>103</v>
      </c>
      <c r="D49" s="34">
        <v>175000</v>
      </c>
      <c r="E49" s="34"/>
      <c r="G49" s="39"/>
      <c r="H49" s="40"/>
      <c r="I49" s="41"/>
      <c r="J49" s="41"/>
      <c r="L49" s="34">
        <v>42</v>
      </c>
      <c r="M49" s="35" t="s">
        <v>150</v>
      </c>
      <c r="N49" s="35" t="s">
        <v>104</v>
      </c>
      <c r="O49" s="34">
        <f>IFERROR(SUMIF(Table439[,],Table641[[#This Row],[Accounts Name]],Table439[,3]),"")</f>
        <v>176009.84</v>
      </c>
      <c r="P49" s="34">
        <f>IFERROR(SUMIF(Table439[,],Table641[[#This Row],[Accounts Name]],Table439[,2]),"")</f>
        <v>0</v>
      </c>
      <c r="S49" s="36">
        <f t="shared" si="0"/>
        <v>42</v>
      </c>
      <c r="T49" s="34" t="s">
        <v>61</v>
      </c>
      <c r="U49" s="37" t="s">
        <v>170</v>
      </c>
      <c r="V49" s="34">
        <f>IFERROR(SUMIF(Table641[Sub-Accounts],Table842[[#This Row],[Update your chart of accounts here]],Table641[Debit]),"")</f>
        <v>13250</v>
      </c>
      <c r="W49" s="34">
        <f>IFERROR(SUMIF(Table641[Sub-Accounts],Table842[[#This Row],[Update your chart of accounts here]],Table641[Credit]),"")</f>
        <v>0</v>
      </c>
      <c r="X49" s="34"/>
      <c r="Y49" s="34"/>
      <c r="Z49" s="34"/>
      <c r="AA49" s="34"/>
      <c r="AB49" s="34">
        <f>MAX(Table842[[#This Row],[Debit]]+Table842[[#This Row],[Debit -]]-Table842[[#This Row],[Credit]]-Table842[[#This Row],[Credit +]],0)</f>
        <v>13250</v>
      </c>
      <c r="AC49" s="34">
        <f>MAX(Table842[[#This Row],[Credit]]-Table842[[#This Row],[Debit]]+Table842[[#This Row],[Credit +]]-Table842[[#This Row],[Debit -]],0)</f>
        <v>0</v>
      </c>
      <c r="AD49" s="34">
        <f>IFERROR(IF(AND(OR(Table842[[#This Row],[Classification]]="Expense",Table842[[#This Row],[Classification]]="Cost of Goods Sold"),Table842[[#This Row],[Debit\]]&gt;Table842[[#This Row],[Credit.]]),Table842[[#This Row],[Debit\]]-Table842[[#This Row],[Credit.]],""),"")</f>
        <v>13250</v>
      </c>
      <c r="AE49" s="34" t="str">
        <f>IFERROR(IF(AND(OR(Table842[[#This Row],[Classification]]="Income",Table842[[#This Row],[Classification]]="Cost of Goods Sold"),Table842[[#This Row],[Credit.]]&gt;Table842[[#This Row],[Debit\]]),Table842[[#This Row],[Credit.]]-Table842[[#This Row],[Debit\]],""),"")</f>
        <v/>
      </c>
      <c r="AF49" s="34"/>
      <c r="AG49" s="34" t="str">
        <f>IFERROR(IF(AND(Table842[[#This Row],[Classification]]="Assets",Table842[[#This Row],[Debit\]]-Table842[[#This Row],[Credit.]]),Table842[[#This Row],[Debit\]]-Table842[[#This Row],[Credit.]],""),"")</f>
        <v/>
      </c>
      <c r="AH49" s="34" t="str">
        <f>IFERROR(IF(AND(OR(Table842[[#This Row],[Classification]]="Liabilities",Table842[[#This Row],[Classification]]="Owner´s Equity"),Table842[[#This Row],[Credit.]]&gt;Table842[[#This Row],[Debit\]]),Table842[[#This Row],[Credit.]]-Table842[[#This Row],[Debit\]],""),"")</f>
        <v/>
      </c>
    </row>
    <row r="50" spans="2:34" hidden="1" x14ac:dyDescent="0.25">
      <c r="B50" s="34"/>
      <c r="C50" s="37" t="s">
        <v>104</v>
      </c>
      <c r="D50" s="34">
        <v>176009.84</v>
      </c>
      <c r="E50" s="34"/>
      <c r="G50" s="39"/>
      <c r="H50" s="43"/>
      <c r="I50" s="41"/>
      <c r="J50" s="41"/>
      <c r="L50" s="34">
        <v>43</v>
      </c>
      <c r="M50" s="35" t="s">
        <v>151</v>
      </c>
      <c r="N50" s="35" t="s">
        <v>105</v>
      </c>
      <c r="O50" s="34">
        <f>IFERROR(SUMIF(Table439[,],Table641[[#This Row],[Accounts Name]],Table439[,3]),"")</f>
        <v>4000</v>
      </c>
      <c r="P50" s="34">
        <f>IFERROR(SUMIF(Table439[,],Table641[[#This Row],[Accounts Name]],Table439[,2]),"")</f>
        <v>0</v>
      </c>
      <c r="S50" s="36">
        <f t="shared" si="0"/>
        <v>43</v>
      </c>
      <c r="T50" s="34" t="s">
        <v>61</v>
      </c>
      <c r="U50" s="37" t="s">
        <v>220</v>
      </c>
      <c r="V50" s="34">
        <f>IFERROR(SUMIF(Table641[Sub-Accounts],Table842[[#This Row],[Update your chart of accounts here]],Table641[Debit]),"")</f>
        <v>0</v>
      </c>
      <c r="W50" s="34">
        <f>IFERROR(SUMIF(Table641[Sub-Accounts],Table842[[#This Row],[Update your chart of accounts here]],Table641[Credit]),"")</f>
        <v>0</v>
      </c>
      <c r="X50" s="34"/>
      <c r="Y50" s="34"/>
      <c r="Z50" s="34"/>
      <c r="AA50" s="34"/>
      <c r="AB50" s="34">
        <f>MAX(Table842[[#This Row],[Debit]]+Table842[[#This Row],[Debit -]]-Table842[[#This Row],[Credit]]-Table842[[#This Row],[Credit +]],0)</f>
        <v>0</v>
      </c>
      <c r="AC50" s="34">
        <f>MAX(Table842[[#This Row],[Credit]]-Table842[[#This Row],[Debit]]+Table842[[#This Row],[Credit +]]-Table842[[#This Row],[Debit -]],0)</f>
        <v>0</v>
      </c>
      <c r="AD50" s="34" t="str">
        <f>IFERROR(IF(AND(OR(Table842[[#This Row],[Classification]]="Expense",Table842[[#This Row],[Classification]]="Cost of Goods Sold"),Table842[[#This Row],[Debit\]]&gt;Table842[[#This Row],[Credit.]]),Table842[[#This Row],[Debit\]]-Table842[[#This Row],[Credit.]],""),"")</f>
        <v/>
      </c>
      <c r="AE50" s="34" t="str">
        <f>IFERROR(IF(AND(OR(Table842[[#This Row],[Classification]]="Income",Table842[[#This Row],[Classification]]="Cost of Goods Sold"),Table842[[#This Row],[Credit.]]&gt;Table842[[#This Row],[Debit\]]),Table842[[#This Row],[Credit.]]-Table842[[#This Row],[Debit\]],""),"")</f>
        <v/>
      </c>
      <c r="AF50" s="34"/>
      <c r="AG50" s="34" t="str">
        <f>IFERROR(IF(AND(Table842[[#This Row],[Classification]]="Assets",Table842[[#This Row],[Debit\]]-Table842[[#This Row],[Credit.]]),Table842[[#This Row],[Debit\]]-Table842[[#This Row],[Credit.]],""),"")</f>
        <v/>
      </c>
      <c r="AH50" s="34" t="str">
        <f>IFERROR(IF(AND(OR(Table842[[#This Row],[Classification]]="Liabilities",Table842[[#This Row],[Classification]]="Owner´s Equity"),Table842[[#This Row],[Credit.]]&gt;Table842[[#This Row],[Debit\]]),Table842[[#This Row],[Credit.]]-Table842[[#This Row],[Debit\]],""),"")</f>
        <v/>
      </c>
    </row>
    <row r="51" spans="2:34" hidden="1" x14ac:dyDescent="0.25">
      <c r="B51" s="34"/>
      <c r="C51" s="37" t="s">
        <v>105</v>
      </c>
      <c r="D51" s="34">
        <v>4000</v>
      </c>
      <c r="E51" s="34"/>
      <c r="G51" s="39"/>
      <c r="H51" s="40"/>
      <c r="I51" s="41"/>
      <c r="J51" s="41"/>
      <c r="L51" s="34">
        <v>44</v>
      </c>
      <c r="M51" s="35" t="s">
        <v>152</v>
      </c>
      <c r="N51" s="35" t="s">
        <v>106</v>
      </c>
      <c r="O51" s="34">
        <f>IFERROR(SUMIF(Table439[,],Table641[[#This Row],[Accounts Name]],Table439[,3]),"")</f>
        <v>50190.32</v>
      </c>
      <c r="P51" s="34">
        <f>IFERROR(SUMIF(Table439[,],Table641[[#This Row],[Accounts Name]],Table439[,2]),"")</f>
        <v>0</v>
      </c>
      <c r="S51" s="36">
        <f t="shared" si="0"/>
        <v>44</v>
      </c>
      <c r="T51" s="34" t="s">
        <v>61</v>
      </c>
      <c r="U51" s="37" t="s">
        <v>155</v>
      </c>
      <c r="V51" s="34">
        <f>IFERROR(SUMIF(Table641[Sub-Accounts],Table842[[#This Row],[Update your chart of accounts here]],Table641[Debit]),"")</f>
        <v>1000000</v>
      </c>
      <c r="W51" s="34">
        <f>IFERROR(SUMIF(Table641[Sub-Accounts],Table842[[#This Row],[Update your chart of accounts here]],Table641[Credit]),"")</f>
        <v>0</v>
      </c>
      <c r="X51" s="34"/>
      <c r="Y51" s="34" t="s">
        <v>226</v>
      </c>
      <c r="Z51" s="34"/>
      <c r="AA51" s="34">
        <f>J15</f>
        <v>1000000</v>
      </c>
      <c r="AB51" s="34">
        <f>MAX(Table842[[#This Row],[Debit]]+Table842[[#This Row],[Debit -]]-Table842[[#This Row],[Credit]]-Table842[[#This Row],[Credit +]],0)</f>
        <v>0</v>
      </c>
      <c r="AC51" s="34">
        <f>MAX(Table842[[#This Row],[Credit]]-Table842[[#This Row],[Debit]]+Table842[[#This Row],[Credit +]]-Table842[[#This Row],[Debit -]],0)</f>
        <v>0</v>
      </c>
      <c r="AD51" s="34" t="str">
        <f>IFERROR(IF(AND(OR(Table842[[#This Row],[Classification]]="Expense",Table842[[#This Row],[Classification]]="Cost of Goods Sold"),Table842[[#This Row],[Debit\]]&gt;Table842[[#This Row],[Credit.]]),Table842[[#This Row],[Debit\]]-Table842[[#This Row],[Credit.]],""),"")</f>
        <v/>
      </c>
      <c r="AE51" s="34" t="str">
        <f>IFERROR(IF(AND(OR(Table842[[#This Row],[Classification]]="Income",Table842[[#This Row],[Classification]]="Cost of Goods Sold"),Table842[[#This Row],[Credit.]]&gt;Table842[[#This Row],[Debit\]]),Table842[[#This Row],[Credit.]]-Table842[[#This Row],[Debit\]],""),"")</f>
        <v/>
      </c>
      <c r="AF51" s="34"/>
      <c r="AG51" s="34" t="str">
        <f>IFERROR(IF(AND(Table842[[#This Row],[Classification]]="Assets",Table842[[#This Row],[Debit\]]-Table842[[#This Row],[Credit.]]),Table842[[#This Row],[Debit\]]-Table842[[#This Row],[Credit.]],""),"")</f>
        <v/>
      </c>
      <c r="AH51" s="34" t="str">
        <f>IFERROR(IF(AND(OR(Table842[[#This Row],[Classification]]="Liabilities",Table842[[#This Row],[Classification]]="Owner´s Equity"),Table842[[#This Row],[Credit.]]&gt;Table842[[#This Row],[Debit\]]),Table842[[#This Row],[Credit.]]-Table842[[#This Row],[Debit\]],""),"")</f>
        <v/>
      </c>
    </row>
    <row r="52" spans="2:34" hidden="1" x14ac:dyDescent="0.25">
      <c r="B52" s="34"/>
      <c r="C52" s="37" t="s">
        <v>106</v>
      </c>
      <c r="D52" s="34">
        <v>50190.32</v>
      </c>
      <c r="E52" s="34"/>
      <c r="G52" s="39"/>
      <c r="H52" s="40"/>
      <c r="I52" s="41"/>
      <c r="J52" s="41"/>
      <c r="L52" s="34">
        <v>45</v>
      </c>
      <c r="M52" s="35" t="s">
        <v>153</v>
      </c>
      <c r="N52" s="35" t="s">
        <v>107</v>
      </c>
      <c r="O52" s="34">
        <f>IFERROR(SUMIF(Table439[,],Table641[[#This Row],[Accounts Name]],Table439[,3]),"")</f>
        <v>233250</v>
      </c>
      <c r="P52" s="34">
        <f>IFERROR(SUMIF(Table439[,],Table641[[#This Row],[Accounts Name]],Table439[,2]),"")</f>
        <v>0</v>
      </c>
      <c r="S52" s="36">
        <f t="shared" si="0"/>
        <v>45</v>
      </c>
      <c r="T52" s="34" t="s">
        <v>61</v>
      </c>
      <c r="U52" s="37" t="s">
        <v>171</v>
      </c>
      <c r="V52" s="34">
        <f>IFERROR(SUMIF(Table641[Sub-Accounts],Table842[[#This Row],[Update your chart of accounts here]],Table641[Debit]),"")</f>
        <v>0</v>
      </c>
      <c r="W52" s="34">
        <f>IFERROR(SUMIF(Table641[Sub-Accounts],Table842[[#This Row],[Update your chart of accounts here]],Table641[Credit]),"")</f>
        <v>0</v>
      </c>
      <c r="X52" s="34"/>
      <c r="Y52" s="34" t="s">
        <v>224</v>
      </c>
      <c r="Z52" s="34">
        <f>I9</f>
        <v>409278.51677448238</v>
      </c>
      <c r="AA52" s="34"/>
      <c r="AB52" s="34">
        <f>MAX(Table842[[#This Row],[Debit]]+Table842[[#This Row],[Debit -]]-Table842[[#This Row],[Credit]]-Table842[[#This Row],[Credit +]],0)</f>
        <v>409278.51677448238</v>
      </c>
      <c r="AC52" s="34">
        <f>MAX(Table842[[#This Row],[Credit]]-Table842[[#This Row],[Debit]]+Table842[[#This Row],[Credit +]]-Table842[[#This Row],[Debit -]],0)</f>
        <v>0</v>
      </c>
      <c r="AD52" s="34">
        <f>IFERROR(IF(AND(OR(Table842[[#This Row],[Classification]]="Expense",Table842[[#This Row],[Classification]]="Cost of Goods Sold"),Table842[[#This Row],[Debit\]]&gt;Table842[[#This Row],[Credit.]]),Table842[[#This Row],[Debit\]]-Table842[[#This Row],[Credit.]],""),"")</f>
        <v>409278.51677448238</v>
      </c>
      <c r="AE52" s="34" t="str">
        <f>IFERROR(IF(AND(OR(Table842[[#This Row],[Classification]]="Income",Table842[[#This Row],[Classification]]="Cost of Goods Sold"),Table842[[#This Row],[Credit.]]&gt;Table842[[#This Row],[Debit\]]),Table842[[#This Row],[Credit.]]-Table842[[#This Row],[Debit\]],""),"")</f>
        <v/>
      </c>
      <c r="AF52" s="34"/>
      <c r="AG52" s="34" t="str">
        <f>IFERROR(IF(AND(Table842[[#This Row],[Classification]]="Assets",Table842[[#This Row],[Debit\]]-Table842[[#This Row],[Credit.]]),Table842[[#This Row],[Debit\]]-Table842[[#This Row],[Credit.]],""),"")</f>
        <v/>
      </c>
      <c r="AH52" s="34" t="str">
        <f>IFERROR(IF(AND(OR(Table842[[#This Row],[Classification]]="Liabilities",Table842[[#This Row],[Classification]]="Owner´s Equity"),Table842[[#This Row],[Credit.]]&gt;Table842[[#This Row],[Debit\]]),Table842[[#This Row],[Credit.]]-Table842[[#This Row],[Debit\]],""),"")</f>
        <v/>
      </c>
    </row>
    <row r="53" spans="2:34" hidden="1" x14ac:dyDescent="0.25">
      <c r="B53" s="34"/>
      <c r="C53" s="37" t="s">
        <v>107</v>
      </c>
      <c r="D53" s="34">
        <v>233250</v>
      </c>
      <c r="E53" s="34"/>
      <c r="G53" s="39"/>
      <c r="H53" s="43"/>
      <c r="I53" s="41"/>
      <c r="J53" s="41"/>
      <c r="L53" s="34">
        <v>46</v>
      </c>
      <c r="M53" s="35" t="s">
        <v>154</v>
      </c>
      <c r="N53" s="35" t="s">
        <v>108</v>
      </c>
      <c r="O53" s="34">
        <f>IFERROR(SUMIF(Table439[,],Table641[[#This Row],[Accounts Name]],Table439[,3]),"")</f>
        <v>2500001</v>
      </c>
      <c r="P53" s="34">
        <f>IFERROR(SUMIF(Table439[,],Table641[[#This Row],[Accounts Name]],Table439[,2]),"")</f>
        <v>0</v>
      </c>
      <c r="S53" s="36">
        <f t="shared" si="0"/>
        <v>46</v>
      </c>
      <c r="T53" s="34" t="s">
        <v>61</v>
      </c>
      <c r="U53" s="37" t="s">
        <v>148</v>
      </c>
      <c r="V53" s="34">
        <f>IFERROR(SUMIF(Table641[Sub-Accounts],Table842[[#This Row],[Update your chart of accounts here]],Table641[Debit]),"")</f>
        <v>568965.54</v>
      </c>
      <c r="W53" s="34">
        <f>IFERROR(SUMIF(Table641[Sub-Accounts],Table842[[#This Row],[Update your chart of accounts here]],Table641[Credit]),"")</f>
        <v>0</v>
      </c>
      <c r="X53" s="34"/>
      <c r="Y53" s="34"/>
      <c r="Z53" s="34"/>
      <c r="AA53" s="34"/>
      <c r="AB53" s="34">
        <f>MAX(Table842[[#This Row],[Debit]]+Table842[[#This Row],[Debit -]]-Table842[[#This Row],[Credit]]-Table842[[#This Row],[Credit +]],0)</f>
        <v>568965.54</v>
      </c>
      <c r="AC53" s="34">
        <f>MAX(Table842[[#This Row],[Credit]]-Table842[[#This Row],[Debit]]+Table842[[#This Row],[Credit +]]-Table842[[#This Row],[Debit -]],0)</f>
        <v>0</v>
      </c>
      <c r="AD53" s="34">
        <f>IFERROR(IF(AND(OR(Table842[[#This Row],[Classification]]="Expense",Table842[[#This Row],[Classification]]="Cost of Goods Sold"),Table842[[#This Row],[Debit\]]&gt;Table842[[#This Row],[Credit.]]),Table842[[#This Row],[Debit\]]-Table842[[#This Row],[Credit.]],""),"")</f>
        <v>568965.54</v>
      </c>
      <c r="AE53" s="34" t="str">
        <f>IFERROR(IF(AND(OR(Table842[[#This Row],[Classification]]="Income",Table842[[#This Row],[Classification]]="Cost of Goods Sold"),Table842[[#This Row],[Credit.]]&gt;Table842[[#This Row],[Debit\]]),Table842[[#This Row],[Credit.]]-Table842[[#This Row],[Debit\]],""),"")</f>
        <v/>
      </c>
      <c r="AF53" s="34"/>
      <c r="AG53" s="34" t="str">
        <f>IFERROR(IF(AND(Table842[[#This Row],[Classification]]="Assets",Table842[[#This Row],[Debit\]]-Table842[[#This Row],[Credit.]]),Table842[[#This Row],[Debit\]]-Table842[[#This Row],[Credit.]],""),"")</f>
        <v/>
      </c>
      <c r="AH53" s="34" t="str">
        <f>IFERROR(IF(AND(OR(Table842[[#This Row],[Classification]]="Liabilities",Table842[[#This Row],[Classification]]="Owner´s Equity"),Table842[[#This Row],[Credit.]]&gt;Table842[[#This Row],[Debit\]]),Table842[[#This Row],[Credit.]]-Table842[[#This Row],[Debit\]],""),"")</f>
        <v/>
      </c>
    </row>
    <row r="54" spans="2:34" hidden="1" x14ac:dyDescent="0.25">
      <c r="B54" s="34"/>
      <c r="C54" s="37" t="s">
        <v>108</v>
      </c>
      <c r="D54" s="34">
        <v>2500001</v>
      </c>
      <c r="E54" s="34"/>
      <c r="G54" s="39"/>
      <c r="H54" s="40"/>
      <c r="I54" s="41"/>
      <c r="J54" s="41"/>
      <c r="L54" s="34">
        <v>47</v>
      </c>
      <c r="M54" s="35" t="s">
        <v>155</v>
      </c>
      <c r="N54" s="35" t="s">
        <v>109</v>
      </c>
      <c r="O54" s="34">
        <f>IFERROR(SUMIF(Table439[,],Table641[[#This Row],[Accounts Name]],Table439[,3]),"")</f>
        <v>1000000</v>
      </c>
      <c r="P54" s="34">
        <f>IFERROR(SUMIF(Table439[,],Table641[[#This Row],[Accounts Name]],Table439[,2]),"")</f>
        <v>0</v>
      </c>
      <c r="S54" s="36">
        <f t="shared" si="0"/>
        <v>47</v>
      </c>
      <c r="T54" s="34" t="s">
        <v>61</v>
      </c>
      <c r="U54" s="37" t="s">
        <v>158</v>
      </c>
      <c r="V54" s="34">
        <f>IFERROR(SUMIF(Table641[Sub-Accounts],Table842[[#This Row],[Update your chart of accounts here]],Table641[Debit]),"")</f>
        <v>436880</v>
      </c>
      <c r="W54" s="34">
        <f>IFERROR(SUMIF(Table641[Sub-Accounts],Table842[[#This Row],[Update your chart of accounts here]],Table641[Credit]),"")</f>
        <v>0</v>
      </c>
      <c r="X54" s="34"/>
      <c r="Y54" s="34"/>
      <c r="Z54" s="34"/>
      <c r="AA54" s="34"/>
      <c r="AB54" s="34">
        <f>MAX(Table842[[#This Row],[Debit]]+Table842[[#This Row],[Debit -]]-Table842[[#This Row],[Credit]]-Table842[[#This Row],[Credit +]],0)</f>
        <v>436880</v>
      </c>
      <c r="AC54" s="34">
        <f>MAX(Table842[[#This Row],[Credit]]-Table842[[#This Row],[Debit]]+Table842[[#This Row],[Credit +]]-Table842[[#This Row],[Debit -]],0)</f>
        <v>0</v>
      </c>
      <c r="AD54" s="34">
        <f>IFERROR(IF(AND(OR(Table842[[#This Row],[Classification]]="Expense",Table842[[#This Row],[Classification]]="Cost of Goods Sold"),Table842[[#This Row],[Debit\]]&gt;Table842[[#This Row],[Credit.]]),Table842[[#This Row],[Debit\]]-Table842[[#This Row],[Credit.]],""),"")</f>
        <v>436880</v>
      </c>
      <c r="AE54" s="34" t="str">
        <f>IFERROR(IF(AND(OR(Table842[[#This Row],[Classification]]="Income",Table842[[#This Row],[Classification]]="Cost of Goods Sold"),Table842[[#This Row],[Credit.]]&gt;Table842[[#This Row],[Debit\]]),Table842[[#This Row],[Credit.]]-Table842[[#This Row],[Debit\]],""),"")</f>
        <v/>
      </c>
      <c r="AF54" s="34"/>
      <c r="AG54" s="34" t="str">
        <f>IFERROR(IF(AND(Table842[[#This Row],[Classification]]="Assets",Table842[[#This Row],[Debit\]]-Table842[[#This Row],[Credit.]]),Table842[[#This Row],[Debit\]]-Table842[[#This Row],[Credit.]],""),"")</f>
        <v/>
      </c>
      <c r="AH54" s="34" t="str">
        <f>IFERROR(IF(AND(OR(Table842[[#This Row],[Classification]]="Liabilities",Table842[[#This Row],[Classification]]="Owner´s Equity"),Table842[[#This Row],[Credit.]]&gt;Table842[[#This Row],[Debit\]]),Table842[[#This Row],[Credit.]]-Table842[[#This Row],[Debit\]],""),"")</f>
        <v/>
      </c>
    </row>
    <row r="55" spans="2:34" hidden="1" x14ac:dyDescent="0.25">
      <c r="B55" s="34"/>
      <c r="C55" s="37" t="s">
        <v>109</v>
      </c>
      <c r="D55" s="34">
        <v>1000000</v>
      </c>
      <c r="E55" s="34"/>
      <c r="G55" s="39"/>
      <c r="H55" s="40"/>
      <c r="I55" s="41"/>
      <c r="J55" s="41"/>
      <c r="L55" s="34">
        <v>48</v>
      </c>
      <c r="M55" s="35" t="s">
        <v>156</v>
      </c>
      <c r="N55" s="35" t="s">
        <v>110</v>
      </c>
      <c r="O55" s="34">
        <f>IFERROR(SUMIF(Table439[,],Table641[[#This Row],[Accounts Name]],Table439[,3]),"")</f>
        <v>900</v>
      </c>
      <c r="P55" s="34">
        <f>IFERROR(SUMIF(Table439[,],Table641[[#This Row],[Accounts Name]],Table439[,2]),"")</f>
        <v>0</v>
      </c>
      <c r="S55" s="36">
        <f t="shared" si="0"/>
        <v>48</v>
      </c>
      <c r="T55" s="34" t="s">
        <v>61</v>
      </c>
      <c r="U55" s="37" t="s">
        <v>149</v>
      </c>
      <c r="V55" s="34">
        <f>IFERROR(SUMIF(Table641[Sub-Accounts],Table842[[#This Row],[Update your chart of accounts here]],Table641[Debit]),"")</f>
        <v>175000</v>
      </c>
      <c r="W55" s="34">
        <f>IFERROR(SUMIF(Table641[Sub-Accounts],Table842[[#This Row],[Update your chart of accounts here]],Table641[Credit]),"")</f>
        <v>0</v>
      </c>
      <c r="X55" s="34"/>
      <c r="Y55" s="34"/>
      <c r="Z55" s="34"/>
      <c r="AA55" s="34"/>
      <c r="AB55" s="34">
        <f>MAX(Table842[[#This Row],[Debit]]+Table842[[#This Row],[Debit -]]-Table842[[#This Row],[Credit]]-Table842[[#This Row],[Credit +]],0)</f>
        <v>175000</v>
      </c>
      <c r="AC55" s="34">
        <f>MAX(Table842[[#This Row],[Credit]]-Table842[[#This Row],[Debit]]+Table842[[#This Row],[Credit +]]-Table842[[#This Row],[Debit -]],0)</f>
        <v>0</v>
      </c>
      <c r="AD55" s="34">
        <f>IFERROR(IF(AND(OR(Table842[[#This Row],[Classification]]="Expense",Table842[[#This Row],[Classification]]="Cost of Goods Sold"),Table842[[#This Row],[Debit\]]&gt;Table842[[#This Row],[Credit.]]),Table842[[#This Row],[Debit\]]-Table842[[#This Row],[Credit.]],""),"")</f>
        <v>175000</v>
      </c>
      <c r="AE55" s="34" t="str">
        <f>IFERROR(IF(AND(OR(Table842[[#This Row],[Classification]]="Income",Table842[[#This Row],[Classification]]="Cost of Goods Sold"),Table842[[#This Row],[Credit.]]&gt;Table842[[#This Row],[Debit\]]),Table842[[#This Row],[Credit.]]-Table842[[#This Row],[Debit\]],""),"")</f>
        <v/>
      </c>
      <c r="AF55" s="34"/>
      <c r="AG55" s="34" t="str">
        <f>IFERROR(IF(AND(Table842[[#This Row],[Classification]]="Assets",Table842[[#This Row],[Debit\]]-Table842[[#This Row],[Credit.]]),Table842[[#This Row],[Debit\]]-Table842[[#This Row],[Credit.]],""),"")</f>
        <v/>
      </c>
      <c r="AH55" s="34" t="str">
        <f>IFERROR(IF(AND(OR(Table842[[#This Row],[Classification]]="Liabilities",Table842[[#This Row],[Classification]]="Owner´s Equity"),Table842[[#This Row],[Credit.]]&gt;Table842[[#This Row],[Debit\]]),Table842[[#This Row],[Credit.]]-Table842[[#This Row],[Debit\]],""),"")</f>
        <v/>
      </c>
    </row>
    <row r="56" spans="2:34" hidden="1" x14ac:dyDescent="0.25">
      <c r="B56" s="34"/>
      <c r="C56" s="37" t="s">
        <v>110</v>
      </c>
      <c r="D56" s="34">
        <v>900</v>
      </c>
      <c r="E56" s="34"/>
      <c r="G56" s="39"/>
      <c r="H56" s="43"/>
      <c r="I56" s="41"/>
      <c r="J56" s="41"/>
      <c r="L56" s="34">
        <v>49</v>
      </c>
      <c r="M56" s="35" t="s">
        <v>157</v>
      </c>
      <c r="N56" s="35" t="s">
        <v>111</v>
      </c>
      <c r="O56" s="34">
        <f>IFERROR(SUMIF(Table439[,],Table641[[#This Row],[Accounts Name]],Table439[,3]),"")</f>
        <v>542263</v>
      </c>
      <c r="P56" s="34">
        <f>IFERROR(SUMIF(Table439[,],Table641[[#This Row],[Accounts Name]],Table439[,2]),"")</f>
        <v>0</v>
      </c>
      <c r="S56" s="36">
        <f t="shared" si="0"/>
        <v>49</v>
      </c>
      <c r="T56" s="34" t="s">
        <v>61</v>
      </c>
      <c r="U56" s="37" t="s">
        <v>160</v>
      </c>
      <c r="V56" s="34">
        <f>IFERROR(SUMIF(Table641[Sub-Accounts],Table842[[#This Row],[Update your chart of accounts here]],Table641[Debit]),"")</f>
        <v>145440</v>
      </c>
      <c r="W56" s="34">
        <f>IFERROR(SUMIF(Table641[Sub-Accounts],Table842[[#This Row],[Update your chart of accounts here]],Table641[Credit]),"")</f>
        <v>0</v>
      </c>
      <c r="X56" s="34"/>
      <c r="Y56" s="34"/>
      <c r="Z56" s="34"/>
      <c r="AA56" s="34"/>
      <c r="AB56" s="34">
        <f>MAX(Table842[[#This Row],[Debit]]+Table842[[#This Row],[Debit -]]-Table842[[#This Row],[Credit]]-Table842[[#This Row],[Credit +]],0)</f>
        <v>145440</v>
      </c>
      <c r="AC56" s="34">
        <f>MAX(Table842[[#This Row],[Credit]]-Table842[[#This Row],[Debit]]+Table842[[#This Row],[Credit +]]-Table842[[#This Row],[Debit -]],0)</f>
        <v>0</v>
      </c>
      <c r="AD56" s="34">
        <f>IFERROR(IF(AND(OR(Table842[[#This Row],[Classification]]="Expense",Table842[[#This Row],[Classification]]="Cost of Goods Sold"),Table842[[#This Row],[Debit\]]&gt;Table842[[#This Row],[Credit.]]),Table842[[#This Row],[Debit\]]-Table842[[#This Row],[Credit.]],""),"")</f>
        <v>145440</v>
      </c>
      <c r="AE56" s="34" t="str">
        <f>IFERROR(IF(AND(OR(Table842[[#This Row],[Classification]]="Income",Table842[[#This Row],[Classification]]="Cost of Goods Sold"),Table842[[#This Row],[Credit.]]&gt;Table842[[#This Row],[Debit\]]),Table842[[#This Row],[Credit.]]-Table842[[#This Row],[Debit\]],""),"")</f>
        <v/>
      </c>
      <c r="AF56" s="34"/>
      <c r="AG56" s="34" t="str">
        <f>IFERROR(IF(AND(Table842[[#This Row],[Classification]]="Assets",Table842[[#This Row],[Debit\]]-Table842[[#This Row],[Credit.]]),Table842[[#This Row],[Debit\]]-Table842[[#This Row],[Credit.]],""),"")</f>
        <v/>
      </c>
      <c r="AH56" s="34" t="str">
        <f>IFERROR(IF(AND(OR(Table842[[#This Row],[Classification]]="Liabilities",Table842[[#This Row],[Classification]]="Owner´s Equity"),Table842[[#This Row],[Credit.]]&gt;Table842[[#This Row],[Debit\]]),Table842[[#This Row],[Credit.]]-Table842[[#This Row],[Debit\]],""),"")</f>
        <v/>
      </c>
    </row>
    <row r="57" spans="2:34" hidden="1" x14ac:dyDescent="0.25">
      <c r="B57" s="34"/>
      <c r="C57" s="37" t="s">
        <v>111</v>
      </c>
      <c r="D57" s="34">
        <v>542263</v>
      </c>
      <c r="E57" s="34"/>
      <c r="G57" s="39"/>
      <c r="H57" s="40"/>
      <c r="I57" s="41"/>
      <c r="J57" s="41"/>
      <c r="L57" s="34">
        <v>50</v>
      </c>
      <c r="M57" s="35" t="s">
        <v>158</v>
      </c>
      <c r="N57" s="35" t="s">
        <v>112</v>
      </c>
      <c r="O57" s="34">
        <f>IFERROR(SUMIF(Table439[,],Table641[[#This Row],[Accounts Name]],Table439[,3]),"")</f>
        <v>20412.8</v>
      </c>
      <c r="P57" s="34">
        <f>IFERROR(SUMIF(Table439[,],Table641[[#This Row],[Accounts Name]],Table439[,2]),"")</f>
        <v>0</v>
      </c>
      <c r="S57" s="36">
        <f t="shared" si="0"/>
        <v>50</v>
      </c>
      <c r="T57" s="34" t="s">
        <v>61</v>
      </c>
      <c r="U57" s="37" t="s">
        <v>150</v>
      </c>
      <c r="V57" s="34">
        <f>IFERROR(SUMIF(Table641[Sub-Accounts],Table842[[#This Row],[Update your chart of accounts here]],Table641[Debit]),"")</f>
        <v>176009.84</v>
      </c>
      <c r="W57" s="34">
        <f>IFERROR(SUMIF(Table641[Sub-Accounts],Table842[[#This Row],[Update your chart of accounts here]],Table641[Credit]),"")</f>
        <v>0</v>
      </c>
      <c r="X57" s="34"/>
      <c r="Y57" s="34"/>
      <c r="Z57" s="34"/>
      <c r="AA57" s="34"/>
      <c r="AB57" s="34">
        <f>MAX(Table842[[#This Row],[Debit]]+Table842[[#This Row],[Debit -]]-Table842[[#This Row],[Credit]]-Table842[[#This Row],[Credit +]],0)</f>
        <v>176009.84</v>
      </c>
      <c r="AC57" s="34">
        <f>MAX(Table842[[#This Row],[Credit]]-Table842[[#This Row],[Debit]]+Table842[[#This Row],[Credit +]]-Table842[[#This Row],[Debit -]],0)</f>
        <v>0</v>
      </c>
      <c r="AD57" s="34">
        <f>IFERROR(IF(AND(OR(Table842[[#This Row],[Classification]]="Expense",Table842[[#This Row],[Classification]]="Cost of Goods Sold"),Table842[[#This Row],[Debit\]]&gt;Table842[[#This Row],[Credit.]]),Table842[[#This Row],[Debit\]]-Table842[[#This Row],[Credit.]],""),"")</f>
        <v>176009.84</v>
      </c>
      <c r="AE57" s="34" t="str">
        <f>IFERROR(IF(AND(OR(Table842[[#This Row],[Classification]]="Income",Table842[[#This Row],[Classification]]="Cost of Goods Sold"),Table842[[#This Row],[Credit.]]&gt;Table842[[#This Row],[Debit\]]),Table842[[#This Row],[Credit.]]-Table842[[#This Row],[Debit\]],""),"")</f>
        <v/>
      </c>
      <c r="AF57" s="34"/>
      <c r="AG57" s="34" t="str">
        <f>IFERROR(IF(AND(Table842[[#This Row],[Classification]]="Assets",Table842[[#This Row],[Debit\]]-Table842[[#This Row],[Credit.]]),Table842[[#This Row],[Debit\]]-Table842[[#This Row],[Credit.]],""),"")</f>
        <v/>
      </c>
      <c r="AH57" s="34" t="str">
        <f>IFERROR(IF(AND(OR(Table842[[#This Row],[Classification]]="Liabilities",Table842[[#This Row],[Classification]]="Owner´s Equity"),Table842[[#This Row],[Credit.]]&gt;Table842[[#This Row],[Debit\]]),Table842[[#This Row],[Credit.]]-Table842[[#This Row],[Debit\]],""),"")</f>
        <v/>
      </c>
    </row>
    <row r="58" spans="2:34" hidden="1" x14ac:dyDescent="0.25">
      <c r="B58" s="34"/>
      <c r="C58" s="37" t="s">
        <v>112</v>
      </c>
      <c r="D58" s="34">
        <v>20412.8</v>
      </c>
      <c r="E58" s="34"/>
      <c r="G58" s="39"/>
      <c r="H58" s="40"/>
      <c r="I58" s="41"/>
      <c r="J58" s="41"/>
      <c r="L58" s="34">
        <v>51</v>
      </c>
      <c r="M58" s="35" t="s">
        <v>158</v>
      </c>
      <c r="N58" s="35" t="s">
        <v>113</v>
      </c>
      <c r="O58" s="34">
        <f>IFERROR(SUMIF(Table439[,],Table641[[#This Row],[Accounts Name]],Table439[,3]),"")</f>
        <v>416467.20000000001</v>
      </c>
      <c r="P58" s="34">
        <f>IFERROR(SUMIF(Table439[,],Table641[[#This Row],[Accounts Name]],Table439[,2]),"")</f>
        <v>0</v>
      </c>
      <c r="S58" s="36">
        <f t="shared" si="0"/>
        <v>51</v>
      </c>
      <c r="T58" s="34" t="s">
        <v>61</v>
      </c>
      <c r="U58" s="37" t="s">
        <v>221</v>
      </c>
      <c r="V58" s="34">
        <f>IFERROR(SUMIF(Table641[Sub-Accounts],Table842[[#This Row],[Update your chart of accounts here]],Table641[Debit]),"")</f>
        <v>0</v>
      </c>
      <c r="W58" s="34">
        <f>IFERROR(SUMIF(Table641[Sub-Accounts],Table842[[#This Row],[Update your chart of accounts here]],Table641[Credit]),"")</f>
        <v>0</v>
      </c>
      <c r="X58" s="34"/>
      <c r="Y58" s="34"/>
      <c r="Z58" s="34"/>
      <c r="AA58" s="34"/>
      <c r="AB58" s="34">
        <f>MAX(Table842[[#This Row],[Debit]]+Table842[[#This Row],[Debit -]]-Table842[[#This Row],[Credit]]-Table842[[#This Row],[Credit +]],0)</f>
        <v>0</v>
      </c>
      <c r="AC58" s="34">
        <f>MAX(Table842[[#This Row],[Credit]]-Table842[[#This Row],[Debit]]+Table842[[#This Row],[Credit +]]-Table842[[#This Row],[Debit -]],0)</f>
        <v>0</v>
      </c>
      <c r="AD58" s="34" t="str">
        <f>IFERROR(IF(AND(OR(Table842[[#This Row],[Classification]]="Expense",Table842[[#This Row],[Classification]]="Cost of Goods Sold"),Table842[[#This Row],[Debit\]]&gt;Table842[[#This Row],[Credit.]]),Table842[[#This Row],[Debit\]]-Table842[[#This Row],[Credit.]],""),"")</f>
        <v/>
      </c>
      <c r="AE58" s="34" t="str">
        <f>IFERROR(IF(AND(OR(Table842[[#This Row],[Classification]]="Income",Table842[[#This Row],[Classification]]="Cost of Goods Sold"),Table842[[#This Row],[Credit.]]&gt;Table842[[#This Row],[Debit\]]),Table842[[#This Row],[Credit.]]-Table842[[#This Row],[Debit\]],""),"")</f>
        <v/>
      </c>
      <c r="AF58" s="34"/>
      <c r="AG58" s="34" t="str">
        <f>IFERROR(IF(AND(Table842[[#This Row],[Classification]]="Assets",Table842[[#This Row],[Debit\]]-Table842[[#This Row],[Credit.]]),Table842[[#This Row],[Debit\]]-Table842[[#This Row],[Credit.]],""),"")</f>
        <v/>
      </c>
      <c r="AH58" s="34" t="str">
        <f>IFERROR(IF(AND(OR(Table842[[#This Row],[Classification]]="Liabilities",Table842[[#This Row],[Classification]]="Owner´s Equity"),Table842[[#This Row],[Credit.]]&gt;Table842[[#This Row],[Debit\]]),Table842[[#This Row],[Credit.]]-Table842[[#This Row],[Debit\]],""),"")</f>
        <v/>
      </c>
    </row>
    <row r="59" spans="2:34" hidden="1" x14ac:dyDescent="0.25">
      <c r="B59" s="34"/>
      <c r="C59" s="37" t="s">
        <v>113</v>
      </c>
      <c r="D59" s="34">
        <v>416467.20000000001</v>
      </c>
      <c r="E59" s="34"/>
      <c r="G59" s="39"/>
      <c r="H59" s="43"/>
      <c r="I59" s="41"/>
      <c r="J59" s="41"/>
      <c r="L59" s="34">
        <v>52</v>
      </c>
      <c r="M59" s="35" t="s">
        <v>159</v>
      </c>
      <c r="N59" s="35" t="s">
        <v>114</v>
      </c>
      <c r="O59" s="34">
        <f>IFERROR(SUMIF(Table439[,],Table641[[#This Row],[Accounts Name]],Table439[,3]),"")</f>
        <v>27500</v>
      </c>
      <c r="P59" s="34">
        <f>IFERROR(SUMIF(Table439[,],Table641[[#This Row],[Accounts Name]],Table439[,2]),"")</f>
        <v>0</v>
      </c>
      <c r="S59" s="36">
        <f t="shared" si="0"/>
        <v>52</v>
      </c>
      <c r="T59" s="34" t="s">
        <v>61</v>
      </c>
      <c r="U59" s="37" t="s">
        <v>222</v>
      </c>
      <c r="V59" s="34">
        <f>IFERROR(SUMIF(Table641[Sub-Accounts],Table842[[#This Row],[Update your chart of accounts here]],Table641[Debit]),"")</f>
        <v>0</v>
      </c>
      <c r="W59" s="34">
        <f>IFERROR(SUMIF(Table641[Sub-Accounts],Table842[[#This Row],[Update your chart of accounts here]],Table641[Credit]),"")</f>
        <v>0</v>
      </c>
      <c r="X59" s="34"/>
      <c r="Y59" s="34"/>
      <c r="Z59" s="34"/>
      <c r="AA59" s="34"/>
      <c r="AB59" s="34">
        <f>MAX(Table842[[#This Row],[Debit]]+Table842[[#This Row],[Debit -]]-Table842[[#This Row],[Credit]]-Table842[[#This Row],[Credit +]],0)</f>
        <v>0</v>
      </c>
      <c r="AC59" s="34">
        <f>MAX(Table842[[#This Row],[Credit]]-Table842[[#This Row],[Debit]]+Table842[[#This Row],[Credit +]]-Table842[[#This Row],[Debit -]],0)</f>
        <v>0</v>
      </c>
      <c r="AD59" s="34" t="str">
        <f>IFERROR(IF(AND(OR(Table842[[#This Row],[Classification]]="Expense",Table842[[#This Row],[Classification]]="Cost of Goods Sold"),Table842[[#This Row],[Debit\]]&gt;Table842[[#This Row],[Credit.]]),Table842[[#This Row],[Debit\]]-Table842[[#This Row],[Credit.]],""),"")</f>
        <v/>
      </c>
      <c r="AE59" s="34" t="str">
        <f>IFERROR(IF(AND(OR(Table842[[#This Row],[Classification]]="Income",Table842[[#This Row],[Classification]]="Cost of Goods Sold"),Table842[[#This Row],[Credit.]]&gt;Table842[[#This Row],[Debit\]]),Table842[[#This Row],[Credit.]]-Table842[[#This Row],[Debit\]],""),"")</f>
        <v/>
      </c>
      <c r="AF59" s="34"/>
      <c r="AG59" s="34" t="str">
        <f>IFERROR(IF(AND(Table842[[#This Row],[Classification]]="Assets",Table842[[#This Row],[Debit\]]-Table842[[#This Row],[Credit.]]),Table842[[#This Row],[Debit\]]-Table842[[#This Row],[Credit.]],""),"")</f>
        <v/>
      </c>
      <c r="AH59" s="34" t="str">
        <f>IFERROR(IF(AND(OR(Table842[[#This Row],[Classification]]="Liabilities",Table842[[#This Row],[Classification]]="Owner´s Equity"),Table842[[#This Row],[Credit.]]&gt;Table842[[#This Row],[Debit\]]),Table842[[#This Row],[Credit.]]-Table842[[#This Row],[Debit\]],""),"")</f>
        <v/>
      </c>
    </row>
    <row r="60" spans="2:34" x14ac:dyDescent="0.25">
      <c r="B60" s="34"/>
      <c r="C60" s="37" t="s">
        <v>114</v>
      </c>
      <c r="D60" s="34">
        <v>27500</v>
      </c>
      <c r="E60" s="34"/>
      <c r="G60" s="39"/>
      <c r="H60" s="40"/>
      <c r="I60" s="41"/>
      <c r="J60" s="41"/>
      <c r="L60" s="34">
        <v>53</v>
      </c>
      <c r="M60" s="35" t="s">
        <v>160</v>
      </c>
      <c r="N60" s="35" t="s">
        <v>115</v>
      </c>
      <c r="O60" s="34">
        <f>IFERROR(SUMIF(Table439[,],Table641[[#This Row],[Accounts Name]],Table439[,3]),"")</f>
        <v>30000</v>
      </c>
      <c r="P60" s="34">
        <f>IFERROR(SUMIF(Table439[,],Table641[[#This Row],[Accounts Name]],Table439[,2]),"")</f>
        <v>0</v>
      </c>
      <c r="S60" s="36">
        <f t="shared" si="0"/>
        <v>53</v>
      </c>
      <c r="T60" s="34" t="s">
        <v>11</v>
      </c>
      <c r="U60" s="37" t="s">
        <v>229</v>
      </c>
      <c r="V60" s="34">
        <f>IFERROR(SUMIF(Table641[Sub-Accounts],Table842[[#This Row],[Update your chart of accounts here]],Table641[Debit]),"")</f>
        <v>0</v>
      </c>
      <c r="W60" s="34">
        <f>IFERROR(SUMIF(Table641[Sub-Accounts],Table842[[#This Row],[Update your chart of accounts here]],Table641[Credit]),"")</f>
        <v>0</v>
      </c>
      <c r="X60" s="34"/>
      <c r="Y60" s="34"/>
      <c r="Z60" s="34">
        <f>AA62</f>
        <v>10003059</v>
      </c>
      <c r="AA60" s="34"/>
      <c r="AB60" s="34">
        <f>MAX(Table842[[#This Row],[Debit]]+Table842[[#This Row],[Debit -]]-Table842[[#This Row],[Credit]]-Table842[[#This Row],[Credit +]],0)</f>
        <v>10003059</v>
      </c>
      <c r="AC60" s="34">
        <f>MAX(Table842[[#This Row],[Credit]]-Table842[[#This Row],[Debit]]+Table842[[#This Row],[Credit +]]-Table842[[#This Row],[Debit -]],0)</f>
        <v>0</v>
      </c>
      <c r="AD60" s="34" t="str">
        <f>IFERROR(IF(AND(OR(Table842[[#This Row],[Classification]]="Expense",Table842[[#This Row],[Classification]]="Cost of Goods Sold"),Table842[[#This Row],[Debit\]]&gt;Table842[[#This Row],[Credit.]]),Table842[[#This Row],[Debit\]]-Table842[[#This Row],[Credit.]],""),"")</f>
        <v/>
      </c>
      <c r="AE60" s="34" t="str">
        <f>IFERROR(IF(AND(OR(Table842[[#This Row],[Classification]]="Income",Table842[[#This Row],[Classification]]="Cost of Goods Sold"),Table842[[#This Row],[Credit.]]&gt;Table842[[#This Row],[Debit\]]),Table842[[#This Row],[Credit.]]-Table842[[#This Row],[Debit\]],""),"")</f>
        <v/>
      </c>
      <c r="AF60" s="34"/>
      <c r="AG60" s="34">
        <f>IFERROR(IF(AND(Table842[[#This Row],[Classification]]="Assets",Table842[[#This Row],[Debit\]]-Table842[[#This Row],[Credit.]]),Table842[[#This Row],[Debit\]]-Table842[[#This Row],[Credit.]],""),"")</f>
        <v>10003059</v>
      </c>
      <c r="AH60" s="34" t="str">
        <f>IFERROR(IF(AND(OR(Table842[[#This Row],[Classification]]="Liabilities",Table842[[#This Row],[Classification]]="Owner´s Equity"),Table842[[#This Row],[Credit.]]&gt;Table842[[#This Row],[Debit\]]),Table842[[#This Row],[Credit.]]-Table842[[#This Row],[Debit\]],""),"")</f>
        <v/>
      </c>
    </row>
    <row r="61" spans="2:34" x14ac:dyDescent="0.25">
      <c r="B61" s="34"/>
      <c r="C61" s="37" t="s">
        <v>115</v>
      </c>
      <c r="D61" s="34">
        <v>30000</v>
      </c>
      <c r="E61" s="34"/>
      <c r="G61" s="39"/>
      <c r="H61" s="40"/>
      <c r="I61" s="41"/>
      <c r="J61" s="41"/>
      <c r="L61" s="34">
        <v>54</v>
      </c>
      <c r="M61" s="35" t="s">
        <v>161</v>
      </c>
      <c r="N61" s="35" t="s">
        <v>116</v>
      </c>
      <c r="O61" s="34">
        <f>IFERROR(SUMIF(Table439[,],Table641[[#This Row],[Accounts Name]],Table439[,3]),"")</f>
        <v>77850</v>
      </c>
      <c r="P61" s="34">
        <f>IFERROR(SUMIF(Table439[,],Table641[[#This Row],[Accounts Name]],Table439[,2]),"")</f>
        <v>0</v>
      </c>
      <c r="S61" s="36">
        <f t="shared" si="0"/>
        <v>54</v>
      </c>
      <c r="T61" s="34" t="s">
        <v>48</v>
      </c>
      <c r="U61" s="37" t="s">
        <v>207</v>
      </c>
      <c r="V61" s="34">
        <f>IFERROR(SUMIF(Table641[Sub-Accounts],Table842[[#This Row],[Update your chart of accounts here]],Table641[Debit]),"")</f>
        <v>0</v>
      </c>
      <c r="W61" s="34">
        <f>IFERROR(SUMIF(Table641[Sub-Accounts],Table842[[#This Row],[Update your chart of accounts here]],Table641[Credit]),"")</f>
        <v>0</v>
      </c>
      <c r="X61" s="34"/>
      <c r="Y61" s="34"/>
      <c r="Z61" s="34"/>
      <c r="AA61" s="34">
        <f>Z12</f>
        <v>8341041.1232255697</v>
      </c>
      <c r="AB61" s="34">
        <f>MAX(Table842[[#This Row],[Debit]]+Table842[[#This Row],[Debit -]]-Table842[[#This Row],[Credit]]-Table842[[#This Row],[Credit +]],0)</f>
        <v>0</v>
      </c>
      <c r="AC61" s="34">
        <f>MAX(Table842[[#This Row],[Credit]]-Table842[[#This Row],[Debit]]+Table842[[#This Row],[Credit +]]-Table842[[#This Row],[Debit -]],0)</f>
        <v>8341041.1232255697</v>
      </c>
      <c r="AD61" s="34" t="str">
        <f>IFERROR(IF(AND(OR(Table842[[#This Row],[Classification]]="Expense",Table842[[#This Row],[Classification]]="Cost of Goods Sold"),Table842[[#This Row],[Debit\]]&gt;Table842[[#This Row],[Credit.]]),Table842[[#This Row],[Debit\]]-Table842[[#This Row],[Credit.]],""),"")</f>
        <v/>
      </c>
      <c r="AE61" s="34" t="str">
        <f>IFERROR(IF(AND(OR(Table842[[#This Row],[Classification]]="Income",Table842[[#This Row],[Classification]]="Cost of Goods Sold"),Table842[[#This Row],[Credit.]]&gt;Table842[[#This Row],[Debit\]]),Table842[[#This Row],[Credit.]]-Table842[[#This Row],[Debit\]],""),"")</f>
        <v/>
      </c>
      <c r="AF61" s="34"/>
      <c r="AG61" s="34" t="str">
        <f>IFERROR(IF(AND(Table842[[#This Row],[Classification]]="Assets",Table842[[#This Row],[Debit\]]-Table842[[#This Row],[Credit.]]),Table842[[#This Row],[Debit\]]-Table842[[#This Row],[Credit.]],""),"")</f>
        <v/>
      </c>
      <c r="AH61" s="34">
        <f>IFERROR(IF(AND(OR(Table842[[#This Row],[Classification]]="Liabilities",Table842[[#This Row],[Classification]]="Owner´s Equity"),Table842[[#This Row],[Credit.]]&gt;Table842[[#This Row],[Debit\]]),Table842[[#This Row],[Credit.]]-Table842[[#This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IFERROR(SUMIF(Table439[,],Table641[[#This Row],[Accounts Name]],Table439[,3]),"")</f>
        <v>129108.59</v>
      </c>
      <c r="P62" s="34">
        <f>IFERROR(SUMIF(Table439[,],Table641[[#This Row],[Accounts Name]],Table439[,2]),"")</f>
        <v>0</v>
      </c>
      <c r="S62" s="36">
        <f t="shared" si="0"/>
        <v>55</v>
      </c>
      <c r="T62" s="34" t="s">
        <v>62</v>
      </c>
      <c r="U62" s="37" t="s">
        <v>229</v>
      </c>
      <c r="V62" s="34">
        <f>IFERROR(SUMIF(Table641[Sub-Accounts],Table842[[#This Row],[Update your chart of accounts here]],Table641[Debit]),"")</f>
        <v>0</v>
      </c>
      <c r="W62" s="34">
        <f>IFERROR(SUMIF(Table641[Sub-Accounts],Table842[[#This Row],[Update your chart of accounts here]],Table641[Credit]),"")</f>
        <v>0</v>
      </c>
      <c r="X62" s="34"/>
      <c r="Y62" s="34"/>
      <c r="Z62" s="34"/>
      <c r="AA62" s="34">
        <v>10003059</v>
      </c>
      <c r="AB62" s="34">
        <f>MAX(Table842[[#This Row],[Debit]]+Table842[[#This Row],[Debit -]]-Table842[[#This Row],[Credit]]-Table842[[#This Row],[Credit +]],0)</f>
        <v>0</v>
      </c>
      <c r="AC62" s="34">
        <f>MAX(Table842[[#This Row],[Credit]]-Table842[[#This Row],[Debit]]+Table842[[#This Row],[Credit +]]-Table842[[#This Row],[Debit -]],0)</f>
        <v>10003059</v>
      </c>
      <c r="AD62" s="34" t="str">
        <f>IFERROR(IF(AND(OR(Table842[[#This Row],[Classification]]="Expense",Table842[[#This Row],[Classification]]="Cost of Goods Sold"),Table842[[#This Row],[Debit\]]&gt;Table842[[#This Row],[Credit.]]),Table842[[#This Row],[Debit\]]-Table842[[#This Row],[Credit.]],""),"")</f>
        <v/>
      </c>
      <c r="AE62" s="34">
        <f>IFERROR(IF(AND(OR(Table842[[#This Row],[Classification]]="Income",Table842[[#This Row],[Classification]]="Cost of Goods Sold"),Table842[[#This Row],[Credit.]]&gt;Table842[[#This Row],[Debit\]]),Table842[[#This Row],[Credit.]]-Table842[[#This Row],[Debit\]],""),"")</f>
        <v>10003059</v>
      </c>
      <c r="AF62" s="34"/>
      <c r="AG62" s="34" t="str">
        <f>IFERROR(IF(AND(Table842[[#This Row],[Classification]]="Assets",Table842[[#This Row],[Debit\]]-Table842[[#This Row],[Credit.]]),Table842[[#This Row],[Debit\]]-Table842[[#This Row],[Credit.]],""),"")</f>
        <v/>
      </c>
      <c r="AH62" s="34" t="str">
        <f>IFERROR(IF(AND(OR(Table842[[#This Row],[Classification]]="Liabilities",Table842[[#This Row],[Classification]]="Owner´s Equity"),Table842[[#This Row],[Credit.]]&gt;Table842[[#This Row],[Debit\]]),Table842[[#This Row],[Credit.]]-Table842[[#This Row],[Debit\]],""),"")</f>
        <v/>
      </c>
    </row>
    <row r="63" spans="2:34" x14ac:dyDescent="0.25">
      <c r="B63" s="34"/>
      <c r="C63" s="37" t="s">
        <v>117</v>
      </c>
      <c r="D63" s="34">
        <v>129108.59</v>
      </c>
      <c r="E63" s="34"/>
      <c r="G63" s="39"/>
      <c r="H63" s="40"/>
      <c r="I63" s="41"/>
      <c r="J63" s="41"/>
      <c r="L63" s="34">
        <v>56</v>
      </c>
      <c r="M63" s="35" t="s">
        <v>156</v>
      </c>
      <c r="N63" s="35" t="s">
        <v>118</v>
      </c>
      <c r="O63" s="34">
        <f>IFERROR(SUMIF(Table439[,],Table641[[#This Row],[Accounts Name]],Table439[,3]),"")</f>
        <v>131390</v>
      </c>
      <c r="P63" s="34">
        <f>IFERROR(SUMIF(Table439[,],Table641[[#This Row],[Accounts Name]],Table439[,2]),"")</f>
        <v>0</v>
      </c>
      <c r="S63" s="36">
        <f t="shared" si="0"/>
        <v>56</v>
      </c>
      <c r="T63" s="34" t="s">
        <v>11</v>
      </c>
      <c r="U63" s="37" t="s">
        <v>232</v>
      </c>
      <c r="V63" s="34">
        <f>IFERROR(SUMIF(Table641[Sub-Accounts],Table842[[#This Row],[Update your chart of accounts here]],Table641[Debit]),"")</f>
        <v>0</v>
      </c>
      <c r="W63" s="34">
        <f>IFERROR(SUMIF(Table641[Sub-Accounts],Table842[[#This Row],[Update your chart of accounts here]],Table641[Credit]),"")</f>
        <v>0</v>
      </c>
      <c r="X63" s="34"/>
      <c r="Y63" s="34" t="s">
        <v>233</v>
      </c>
      <c r="Z63" s="34">
        <f>I21</f>
        <v>115200</v>
      </c>
      <c r="AA63" s="34"/>
      <c r="AB63" s="34">
        <f>MAX(Table842[[#This Row],[Debit]]+Table842[[#This Row],[Debit -]]-Table842[[#This Row],[Credit]]-Table842[[#This Row],[Credit +]],0)</f>
        <v>115200</v>
      </c>
      <c r="AC63" s="34">
        <f>MAX(Table842[[#This Row],[Credit]]-Table842[[#This Row],[Debit]]+Table842[[#This Row],[Credit +]]-Table842[[#This Row],[Debit -]],0)</f>
        <v>0</v>
      </c>
      <c r="AD63" s="34" t="str">
        <f>IFERROR(IF(AND(OR(Table842[[#This Row],[Classification]]="Expense",Table842[[#This Row],[Classification]]="Cost of Goods Sold"),Table842[[#This Row],[Debit\]]&gt;Table842[[#This Row],[Credit.]]),Table842[[#This Row],[Debit\]]-Table842[[#This Row],[Credit.]],""),"")</f>
        <v/>
      </c>
      <c r="AE63" s="34" t="str">
        <f>IFERROR(IF(AND(OR(Table842[[#This Row],[Classification]]="Income",Table842[[#This Row],[Classification]]="Cost of Goods Sold"),Table842[[#This Row],[Credit.]]&gt;Table842[[#This Row],[Debit\]]),Table842[[#This Row],[Credit.]]-Table842[[#This Row],[Debit\]],""),"")</f>
        <v/>
      </c>
      <c r="AF63" s="34"/>
      <c r="AG63" s="34">
        <f>IFERROR(IF(AND(Table842[[#This Row],[Classification]]="Assets",Table842[[#This Row],[Debit\]]-Table842[[#This Row],[Credit.]]),Table842[[#This Row],[Debit\]]-Table842[[#This Row],[Credit.]],""),"")</f>
        <v>115200</v>
      </c>
      <c r="AH63" s="34" t="str">
        <f>IFERROR(IF(AND(OR(Table842[[#This Row],[Classification]]="Liabilities",Table842[[#This Row],[Classification]]="Owner´s Equity"),Table842[[#This Row],[Credit.]]&gt;Table842[[#This Row],[Debit\]]),Table842[[#This Row],[Credit.]]-Table842[[#This Row],[Debit\]],""),"")</f>
        <v/>
      </c>
    </row>
    <row r="64" spans="2:34" hidden="1" x14ac:dyDescent="0.25">
      <c r="B64" s="34"/>
      <c r="C64" s="37" t="s">
        <v>118</v>
      </c>
      <c r="D64" s="34">
        <v>131390</v>
      </c>
      <c r="E64" s="34"/>
      <c r="G64" s="39"/>
      <c r="H64" s="40"/>
      <c r="I64" s="41"/>
      <c r="J64" s="41"/>
      <c r="L64" s="34">
        <v>57</v>
      </c>
      <c r="M64" s="35" t="s">
        <v>163</v>
      </c>
      <c r="N64" s="35" t="s">
        <v>119</v>
      </c>
      <c r="O64" s="34">
        <f>IFERROR(SUMIF(Table439[,],Table641[[#This Row],[Accounts Name]],Table439[,3]),"")</f>
        <v>300</v>
      </c>
      <c r="P64" s="34">
        <f>IFERROR(SUMIF(Table439[,],Table641[[#This Row],[Accounts Name]],Table439[,2]),"")</f>
        <v>0</v>
      </c>
      <c r="S64" s="36">
        <f t="shared" si="0"/>
        <v>57</v>
      </c>
      <c r="T64" s="34"/>
      <c r="U64" s="37"/>
      <c r="V64" s="34">
        <f>IFERROR(SUMIF(Table641[Sub-Accounts],Table842[[#This Row],[Update your chart of accounts here]],Table641[Debit]),"")</f>
        <v>0</v>
      </c>
      <c r="W64" s="34">
        <f>IFERROR(SUMIF(Table641[Sub-Accounts],Table842[[#This Row],[Update your chart of accounts here]],Table641[Credit]),"")</f>
        <v>0</v>
      </c>
      <c r="X64" s="34"/>
      <c r="Y64" s="34"/>
      <c r="Z64" s="34"/>
      <c r="AA64" s="34"/>
      <c r="AB64" s="34">
        <f>MAX(Table842[[#This Row],[Debit]]+Table842[[#This Row],[Debit -]]-Table842[[#This Row],[Credit]]-Table842[[#This Row],[Credit +]],0)</f>
        <v>0</v>
      </c>
      <c r="AC64" s="34">
        <f>MAX(Table842[[#This Row],[Credit]]-Table842[[#This Row],[Debit]]+Table842[[#This Row],[Credit +]]-Table842[[#This Row],[Debit -]],0)</f>
        <v>0</v>
      </c>
      <c r="AD64" s="34" t="str">
        <f>IFERROR(IF(AND(OR(Table842[[#This Row],[Classification]]="Expense",Table842[[#This Row],[Classification]]="Cost of Goods Sold"),Table842[[#This Row],[Debit\]]&gt;Table842[[#This Row],[Credit.]]),Table842[[#This Row],[Debit\]]-Table842[[#This Row],[Credit.]],""),"")</f>
        <v/>
      </c>
      <c r="AE64" s="34" t="str">
        <f>IFERROR(IF(AND(OR(Table842[[#This Row],[Classification]]="Income",Table842[[#This Row],[Classification]]="Cost of Goods Sold"),Table842[[#This Row],[Credit.]]&gt;Table842[[#This Row],[Debit\]]),Table842[[#This Row],[Credit.]]-Table842[[#This Row],[Debit\]],""),"")</f>
        <v/>
      </c>
      <c r="AF64" s="34"/>
      <c r="AG64" s="34" t="str">
        <f>IFERROR(IF(AND(Table842[[#This Row],[Classification]]="Assets",Table842[[#This Row],[Debit\]]-Table842[[#This Row],[Credit.]]),Table842[[#This Row],[Debit\]]-Table842[[#This Row],[Credit.]],""),"")</f>
        <v/>
      </c>
      <c r="AH64" s="34" t="str">
        <f>IFERROR(IF(AND(OR(Table842[[#This Row],[Classification]]="Liabilities",Table842[[#This Row],[Classification]]="Owner´s Equity"),Table842[[#This Row],[Credit.]]&gt;Table842[[#This Row],[Debit\]]),Table842[[#This Row],[Credit.]]-Table842[[#This Row],[Debit\]],""),"")</f>
        <v/>
      </c>
    </row>
    <row r="65" spans="2:34" hidden="1" x14ac:dyDescent="0.25">
      <c r="B65" s="34"/>
      <c r="C65" s="37" t="s">
        <v>119</v>
      </c>
      <c r="D65" s="34">
        <v>300</v>
      </c>
      <c r="E65" s="34"/>
      <c r="G65" s="39"/>
      <c r="H65" s="43"/>
      <c r="I65" s="41"/>
      <c r="J65" s="41"/>
      <c r="L65" s="34">
        <v>58</v>
      </c>
      <c r="M65" s="35" t="s">
        <v>164</v>
      </c>
      <c r="N65" s="35" t="s">
        <v>120</v>
      </c>
      <c r="O65" s="34">
        <f>IFERROR(SUMIF(Table439[,],Table641[[#This Row],[Accounts Name]],Table439[,3]),"")</f>
        <v>436840.42</v>
      </c>
      <c r="P65" s="34">
        <f>IFERROR(SUMIF(Table439[,],Table641[[#This Row],[Accounts Name]],Table439[,2]),"")</f>
        <v>0</v>
      </c>
      <c r="S65" s="36">
        <f t="shared" si="0"/>
        <v>58</v>
      </c>
      <c r="T65" s="34"/>
      <c r="U65" s="37"/>
      <c r="V65" s="34">
        <f>IFERROR(SUMIF(Table641[Sub-Accounts],Table842[[#This Row],[Update your chart of accounts here]],Table641[Debit]),"")</f>
        <v>0</v>
      </c>
      <c r="W65" s="34">
        <f>IFERROR(SUMIF(Table641[Sub-Accounts],Table842[[#This Row],[Update your chart of accounts here]],Table641[Credit]),"")</f>
        <v>0</v>
      </c>
      <c r="X65" s="34"/>
      <c r="Y65" s="34"/>
      <c r="Z65" s="34"/>
      <c r="AA65" s="34"/>
      <c r="AB65" s="34">
        <f>MAX(Table842[[#This Row],[Debit]]+Table842[[#This Row],[Debit -]]-Table842[[#This Row],[Credit]]-Table842[[#This Row],[Credit +]],0)</f>
        <v>0</v>
      </c>
      <c r="AC65" s="34">
        <f>MAX(Table842[[#This Row],[Credit]]-Table842[[#This Row],[Debit]]+Table842[[#This Row],[Credit +]]-Table842[[#This Row],[Debit -]],0)</f>
        <v>0</v>
      </c>
      <c r="AD65" s="34" t="str">
        <f>IFERROR(IF(AND(OR(Table842[[#This Row],[Classification]]="Expense",Table842[[#This Row],[Classification]]="Cost of Goods Sold"),Table842[[#This Row],[Debit\]]&gt;Table842[[#This Row],[Credit.]]),Table842[[#This Row],[Debit\]]-Table842[[#This Row],[Credit.]],""),"")</f>
        <v/>
      </c>
      <c r="AE65" s="34" t="str">
        <f>IFERROR(IF(AND(OR(Table842[[#This Row],[Classification]]="Income",Table842[[#This Row],[Classification]]="Cost of Goods Sold"),Table842[[#This Row],[Credit.]]&gt;Table842[[#This Row],[Debit\]]),Table842[[#This Row],[Credit.]]-Table842[[#This Row],[Debit\]],""),"")</f>
        <v/>
      </c>
      <c r="AF65" s="34"/>
      <c r="AG65" s="34" t="str">
        <f>IFERROR(IF(AND(Table842[[#This Row],[Classification]]="Assets",Table842[[#This Row],[Debit\]]-Table842[[#This Row],[Credit.]]),Table842[[#This Row],[Debit\]]-Table842[[#This Row],[Credit.]],""),"")</f>
        <v/>
      </c>
      <c r="AH65" s="34" t="str">
        <f>IFERROR(IF(AND(OR(Table842[[#This Row],[Classification]]="Liabilities",Table842[[#This Row],[Classification]]="Owner´s Equity"),Table842[[#This Row],[Credit.]]&gt;Table842[[#This Row],[Debit\]]),Table842[[#This Row],[Credit.]]-Table842[[#This Row],[Debit\]],""),"")</f>
        <v/>
      </c>
    </row>
    <row r="66" spans="2:34" hidden="1" x14ac:dyDescent="0.25">
      <c r="B66" s="34"/>
      <c r="C66" s="37" t="s">
        <v>120</v>
      </c>
      <c r="D66" s="34">
        <v>436840.42</v>
      </c>
      <c r="E66" s="34"/>
      <c r="G66" s="39"/>
      <c r="H66" s="40"/>
      <c r="I66" s="41"/>
      <c r="J66" s="41"/>
      <c r="L66" s="34">
        <v>59</v>
      </c>
      <c r="M66" s="35" t="s">
        <v>151</v>
      </c>
      <c r="N66" s="35" t="s">
        <v>121</v>
      </c>
      <c r="O66" s="34">
        <f>IFERROR(SUMIF(Table439[,],Table641[[#This Row],[Accounts Name]],Table439[,3]),"")</f>
        <v>102350</v>
      </c>
      <c r="P66" s="34">
        <f>IFERROR(SUMIF(Table439[,],Table641[[#This Row],[Accounts Name]],Table439[,2]),"")</f>
        <v>0</v>
      </c>
      <c r="S66" s="36">
        <f t="shared" si="0"/>
        <v>59</v>
      </c>
      <c r="T66" s="34"/>
      <c r="U66" s="37"/>
      <c r="V66" s="34">
        <f>IFERROR(SUMIF(Table641[Sub-Accounts],Table842[[#This Row],[Update your chart of accounts here]],Table641[Debit]),"")</f>
        <v>0</v>
      </c>
      <c r="W66" s="34">
        <f>IFERROR(SUMIF(Table641[Sub-Accounts],Table842[[#This Row],[Update your chart of accounts here]],Table641[Credit]),"")</f>
        <v>0</v>
      </c>
      <c r="X66" s="34"/>
      <c r="Y66" s="34"/>
      <c r="Z66" s="34"/>
      <c r="AA66" s="34"/>
      <c r="AB66" s="34">
        <f>MAX(Table842[[#This Row],[Debit]]+Table842[[#This Row],[Debit -]]-Table842[[#This Row],[Credit]]-Table842[[#This Row],[Credit +]],0)</f>
        <v>0</v>
      </c>
      <c r="AC66" s="34">
        <f>MAX(Table842[[#This Row],[Credit]]-Table842[[#This Row],[Debit]]+Table842[[#This Row],[Credit +]]-Table842[[#This Row],[Debit -]],0)</f>
        <v>0</v>
      </c>
      <c r="AD66" s="34" t="str">
        <f>IFERROR(IF(AND(OR(Table842[[#This Row],[Classification]]="Expense",Table842[[#This Row],[Classification]]="Cost of Goods Sold"),Table842[[#This Row],[Debit\]]&gt;Table842[[#This Row],[Credit.]]),Table842[[#This Row],[Debit\]]-Table842[[#This Row],[Credit.]],""),"")</f>
        <v/>
      </c>
      <c r="AE66" s="34" t="str">
        <f>IFERROR(IF(AND(OR(Table842[[#This Row],[Classification]]="Income",Table842[[#This Row],[Classification]]="Cost of Goods Sold"),Table842[[#This Row],[Credit.]]&gt;Table842[[#This Row],[Debit\]]),Table842[[#This Row],[Credit.]]-Table842[[#This Row],[Debit\]],""),"")</f>
        <v/>
      </c>
      <c r="AF66" s="34"/>
      <c r="AG66" s="34" t="str">
        <f>IFERROR(IF(AND(Table842[[#This Row],[Classification]]="Assets",Table842[[#This Row],[Debit\]]-Table842[[#This Row],[Credit.]]),Table842[[#This Row],[Debit\]]-Table842[[#This Row],[Credit.]],""),"")</f>
        <v/>
      </c>
      <c r="AH66" s="34" t="str">
        <f>IFERROR(IF(AND(OR(Table842[[#This Row],[Classification]]="Liabilities",Table842[[#This Row],[Classification]]="Owner´s Equity"),Table842[[#This Row],[Credit.]]&gt;Table842[[#This Row],[Debit\]]),Table842[[#This Row],[Credit.]]-Table842[[#This Row],[Debit\]],""),"")</f>
        <v/>
      </c>
    </row>
    <row r="67" spans="2:34" hidden="1" x14ac:dyDescent="0.25">
      <c r="B67" s="34"/>
      <c r="C67" s="37" t="s">
        <v>121</v>
      </c>
      <c r="D67" s="34">
        <v>102350</v>
      </c>
      <c r="E67" s="34"/>
      <c r="G67" s="39"/>
      <c r="H67" s="40"/>
      <c r="I67" s="41"/>
      <c r="J67" s="41"/>
      <c r="L67" s="34">
        <v>60</v>
      </c>
      <c r="M67" s="35" t="s">
        <v>151</v>
      </c>
      <c r="N67" s="35" t="s">
        <v>122</v>
      </c>
      <c r="O67" s="34">
        <f>IFERROR(SUMIF(Table439[,],Table641[[#This Row],[Accounts Name]],Table439[,3]),"")</f>
        <v>62000</v>
      </c>
      <c r="P67" s="34">
        <f>IFERROR(SUMIF(Table439[,],Table641[[#This Row],[Accounts Name]],Table439[,2]),"")</f>
        <v>0</v>
      </c>
      <c r="S67" s="36">
        <f t="shared" si="0"/>
        <v>60</v>
      </c>
      <c r="T67" s="34"/>
      <c r="U67" s="37"/>
      <c r="V67" s="34">
        <f>IFERROR(SUMIF(Table641[Sub-Accounts],Table842[[#This Row],[Update your chart of accounts here]],Table641[Debit]),"")</f>
        <v>0</v>
      </c>
      <c r="W67" s="34">
        <f>IFERROR(SUMIF(Table641[Sub-Accounts],Table842[[#This Row],[Update your chart of accounts here]],Table641[Credit]),"")</f>
        <v>0</v>
      </c>
      <c r="X67" s="34"/>
      <c r="Y67" s="34"/>
      <c r="Z67" s="34"/>
      <c r="AA67" s="34"/>
      <c r="AB67" s="34">
        <f>MAX(Table842[[#This Row],[Debit]]+Table842[[#This Row],[Debit -]]-Table842[[#This Row],[Credit]]-Table842[[#This Row],[Credit +]],0)</f>
        <v>0</v>
      </c>
      <c r="AC67" s="34">
        <f>MAX(Table842[[#This Row],[Credit]]-Table842[[#This Row],[Debit]]+Table842[[#This Row],[Credit +]]-Table842[[#This Row],[Debit -]],0)</f>
        <v>0</v>
      </c>
      <c r="AD67" s="34" t="str">
        <f>IFERROR(IF(AND(OR(Table842[[#This Row],[Classification]]="Expense",Table842[[#This Row],[Classification]]="Cost of Goods Sold"),Table842[[#This Row],[Debit\]]&gt;Table842[[#This Row],[Credit.]]),Table842[[#This Row],[Debit\]]-Table842[[#This Row],[Credit.]],""),"")</f>
        <v/>
      </c>
      <c r="AE67" s="34" t="str">
        <f>IFERROR(IF(AND(OR(Table842[[#This Row],[Classification]]="Income",Table842[[#This Row],[Classification]]="Cost of Goods Sold"),Table842[[#This Row],[Credit.]]&gt;Table842[[#This Row],[Debit\]]),Table842[[#This Row],[Credit.]]-Table842[[#This Row],[Debit\]],""),"")</f>
        <v/>
      </c>
      <c r="AF67" s="34"/>
      <c r="AG67" s="34" t="str">
        <f>IFERROR(IF(AND(Table842[[#This Row],[Classification]]="Assets",Table842[[#This Row],[Debit\]]-Table842[[#This Row],[Credit.]]),Table842[[#This Row],[Debit\]]-Table842[[#This Row],[Credit.]],""),"")</f>
        <v/>
      </c>
      <c r="AH67" s="34" t="str">
        <f>IFERROR(IF(AND(OR(Table842[[#This Row],[Classification]]="Liabilities",Table842[[#This Row],[Classification]]="Owner´s Equity"),Table842[[#This Row],[Credit.]]&gt;Table842[[#This Row],[Debit\]]),Table842[[#This Row],[Credit.]]-Table842[[#This Row],[Debit\]],""),"")</f>
        <v/>
      </c>
    </row>
    <row r="68" spans="2:34" hidden="1" x14ac:dyDescent="0.25">
      <c r="B68" s="34"/>
      <c r="C68" s="37" t="s">
        <v>122</v>
      </c>
      <c r="D68" s="34">
        <v>62000</v>
      </c>
      <c r="E68" s="34"/>
      <c r="G68" s="39"/>
      <c r="H68" s="43"/>
      <c r="I68" s="41"/>
      <c r="J68" s="41"/>
      <c r="L68" s="34">
        <v>61</v>
      </c>
      <c r="M68" s="35" t="s">
        <v>151</v>
      </c>
      <c r="N68" s="35" t="s">
        <v>123</v>
      </c>
      <c r="O68" s="34">
        <f>IFERROR(SUMIF(Table439[,],Table641[[#This Row],[Accounts Name]],Table439[,3]),"")</f>
        <v>278343</v>
      </c>
      <c r="P68" s="34">
        <f>IFERROR(SUMIF(Table439[,],Table641[[#This Row],[Accounts Name]],Table439[,2]),"")</f>
        <v>0</v>
      </c>
      <c r="S68" s="36">
        <f t="shared" si="0"/>
        <v>61</v>
      </c>
      <c r="T68" s="34"/>
      <c r="U68" s="37"/>
      <c r="V68" s="34">
        <f>IFERROR(SUMIF(Table641[Sub-Accounts],Table842[[#This Row],[Update your chart of accounts here]],Table641[Debit]),"")</f>
        <v>0</v>
      </c>
      <c r="W68" s="34">
        <f>IFERROR(SUMIF(Table641[Sub-Accounts],Table842[[#This Row],[Update your chart of accounts here]],Table641[Credit]),"")</f>
        <v>0</v>
      </c>
      <c r="X68" s="34"/>
      <c r="Y68" s="34"/>
      <c r="Z68" s="34"/>
      <c r="AA68" s="34"/>
      <c r="AB68" s="34">
        <f>MAX(Table842[[#This Row],[Debit]]+Table842[[#This Row],[Debit -]]-Table842[[#This Row],[Credit]]-Table842[[#This Row],[Credit +]],0)</f>
        <v>0</v>
      </c>
      <c r="AC68" s="34">
        <f>MAX(Table842[[#This Row],[Credit]]-Table842[[#This Row],[Debit]]+Table842[[#This Row],[Credit +]]-Table842[[#This Row],[Debit -]],0)</f>
        <v>0</v>
      </c>
      <c r="AD68" s="34" t="str">
        <f>IFERROR(IF(AND(OR(Table842[[#This Row],[Classification]]="Expense",Table842[[#This Row],[Classification]]="Cost of Goods Sold"),Table842[[#This Row],[Debit\]]&gt;Table842[[#This Row],[Credit.]]),Table842[[#This Row],[Debit\]]-Table842[[#This Row],[Credit.]],""),"")</f>
        <v/>
      </c>
      <c r="AE68" s="34" t="str">
        <f>IFERROR(IF(AND(OR(Table842[[#This Row],[Classification]]="Income",Table842[[#This Row],[Classification]]="Cost of Goods Sold"),Table842[[#This Row],[Credit.]]&gt;Table842[[#This Row],[Debit\]]),Table842[[#This Row],[Credit.]]-Table842[[#This Row],[Debit\]],""),"")</f>
        <v/>
      </c>
      <c r="AF68" s="34"/>
      <c r="AG68" s="34" t="str">
        <f>IFERROR(IF(AND(Table842[[#This Row],[Classification]]="Assets",Table842[[#This Row],[Debit\]]-Table842[[#This Row],[Credit.]]),Table842[[#This Row],[Debit\]]-Table842[[#This Row],[Credit.]],""),"")</f>
        <v/>
      </c>
      <c r="AH68" s="34" t="str">
        <f>IFERROR(IF(AND(OR(Table842[[#This Row],[Classification]]="Liabilities",Table842[[#This Row],[Classification]]="Owner´s Equity"),Table842[[#This Row],[Credit.]]&gt;Table842[[#This Row],[Debit\]]),Table842[[#This Row],[Credit.]]-Table842[[#This Row],[Debit\]],""),"")</f>
        <v/>
      </c>
    </row>
    <row r="69" spans="2:34" hidden="1" x14ac:dyDescent="0.25">
      <c r="B69" s="34"/>
      <c r="C69" s="37" t="s">
        <v>123</v>
      </c>
      <c r="D69" s="34">
        <v>278343</v>
      </c>
      <c r="E69" s="34"/>
      <c r="G69" s="39"/>
      <c r="H69" s="40"/>
      <c r="I69" s="41"/>
      <c r="J69" s="41"/>
      <c r="L69" s="34">
        <v>62</v>
      </c>
      <c r="M69" s="35" t="s">
        <v>159</v>
      </c>
      <c r="N69" s="35" t="s">
        <v>124</v>
      </c>
      <c r="O69" s="34">
        <f>IFERROR(SUMIF(Table439[,],Table641[[#This Row],[Accounts Name]],Table439[,3]),"")</f>
        <v>181078.65</v>
      </c>
      <c r="P69" s="34">
        <f>IFERROR(SUMIF(Table439[,],Table641[[#This Row],[Accounts Name]],Table439[,2]),"")</f>
        <v>0</v>
      </c>
      <c r="S69" s="36">
        <f t="shared" si="0"/>
        <v>62</v>
      </c>
      <c r="T69" s="34"/>
      <c r="U69" s="37"/>
      <c r="V69" s="34">
        <f>IFERROR(SUMIF(Table641[Sub-Accounts],Table842[[#This Row],[Update your chart of accounts here]],Table641[Debit]),"")</f>
        <v>0</v>
      </c>
      <c r="W69" s="34">
        <f>IFERROR(SUMIF(Table641[Sub-Accounts],Table842[[#This Row],[Update your chart of accounts here]],Table641[Credit]),"")</f>
        <v>0</v>
      </c>
      <c r="X69" s="34"/>
      <c r="Y69" s="34"/>
      <c r="Z69" s="34"/>
      <c r="AA69" s="34"/>
      <c r="AB69" s="34">
        <f>MAX(Table842[[#This Row],[Debit]]+Table842[[#This Row],[Debit -]]-Table842[[#This Row],[Credit]]-Table842[[#This Row],[Credit +]],0)</f>
        <v>0</v>
      </c>
      <c r="AC69" s="34">
        <f>MAX(Table842[[#This Row],[Credit]]-Table842[[#This Row],[Debit]]+Table842[[#This Row],[Credit +]]-Table842[[#This Row],[Debit -]],0)</f>
        <v>0</v>
      </c>
      <c r="AD69" s="34" t="str">
        <f>IFERROR(IF(AND(OR(Table842[[#This Row],[Classification]]="Expense",Table842[[#This Row],[Classification]]="Cost of Goods Sold"),Table842[[#This Row],[Debit\]]&gt;Table842[[#This Row],[Credit.]]),Table842[[#This Row],[Debit\]]-Table842[[#This Row],[Credit.]],""),"")</f>
        <v/>
      </c>
      <c r="AE69" s="34" t="str">
        <f>IFERROR(IF(AND(OR(Table842[[#This Row],[Classification]]="Income",Table842[[#This Row],[Classification]]="Cost of Goods Sold"),Table842[[#This Row],[Credit.]]&gt;Table842[[#This Row],[Debit\]]),Table842[[#This Row],[Credit.]]-Table842[[#This Row],[Debit\]],""),"")</f>
        <v/>
      </c>
      <c r="AF69" s="34"/>
      <c r="AG69" s="34" t="str">
        <f>IFERROR(IF(AND(Table842[[#This Row],[Classification]]="Assets",Table842[[#This Row],[Debit\]]-Table842[[#This Row],[Credit.]]),Table842[[#This Row],[Debit\]]-Table842[[#This Row],[Credit.]],""),"")</f>
        <v/>
      </c>
      <c r="AH69" s="34" t="str">
        <f>IFERROR(IF(AND(OR(Table842[[#This Row],[Classification]]="Liabilities",Table842[[#This Row],[Classification]]="Owner´s Equity"),Table842[[#This Row],[Credit.]]&gt;Table842[[#This Row],[Debit\]]),Table842[[#This Row],[Credit.]]-Table842[[#This Row],[Debit\]],""),"")</f>
        <v/>
      </c>
    </row>
    <row r="70" spans="2:34" hidden="1" x14ac:dyDescent="0.25">
      <c r="B70" s="34"/>
      <c r="C70" s="37" t="s">
        <v>124</v>
      </c>
      <c r="D70" s="34">
        <v>181078.65</v>
      </c>
      <c r="E70" s="34"/>
      <c r="G70" s="39"/>
      <c r="H70" s="40"/>
      <c r="I70" s="41"/>
      <c r="J70" s="41"/>
      <c r="L70" s="34">
        <v>63</v>
      </c>
      <c r="M70" s="35" t="s">
        <v>165</v>
      </c>
      <c r="N70" s="35" t="s">
        <v>125</v>
      </c>
      <c r="O70" s="34">
        <f>IFERROR(SUMIF(Table439[,],Table641[[#This Row],[Accounts Name]],Table439[,3]),"")</f>
        <v>653656.38</v>
      </c>
      <c r="P70" s="34">
        <f>IFERROR(SUMIF(Table439[,],Table641[[#This Row],[Accounts Name]],Table439[,2]),"")</f>
        <v>0</v>
      </c>
      <c r="S70" s="36">
        <f t="shared" si="0"/>
        <v>63</v>
      </c>
      <c r="T70" s="34"/>
      <c r="U70" s="37"/>
      <c r="V70" s="34">
        <f>IFERROR(SUMIF(Table641[Sub-Accounts],Table842[[#This Row],[Update your chart of accounts here]],Table641[Debit]),"")</f>
        <v>0</v>
      </c>
      <c r="W70" s="34">
        <f>IFERROR(SUMIF(Table641[Sub-Accounts],Table842[[#This Row],[Update your chart of accounts here]],Table641[Credit]),"")</f>
        <v>0</v>
      </c>
      <c r="X70" s="34"/>
      <c r="Y70" s="34"/>
      <c r="Z70" s="34"/>
      <c r="AA70" s="34"/>
      <c r="AB70" s="34">
        <f>MAX(Table842[[#This Row],[Debit]]+Table842[[#This Row],[Debit -]]-Table842[[#This Row],[Credit]]-Table842[[#This Row],[Credit +]],0)</f>
        <v>0</v>
      </c>
      <c r="AC70" s="34">
        <f>MAX(Table842[[#This Row],[Credit]]-Table842[[#This Row],[Debit]]+Table842[[#This Row],[Credit +]]-Table842[[#This Row],[Debit -]],0)</f>
        <v>0</v>
      </c>
      <c r="AD70" s="34" t="str">
        <f>IFERROR(IF(AND(OR(Table842[[#This Row],[Classification]]="Expense",Table842[[#This Row],[Classification]]="Cost of Goods Sold"),Table842[[#This Row],[Debit\]]&gt;Table842[[#This Row],[Credit.]]),Table842[[#This Row],[Debit\]]-Table842[[#This Row],[Credit.]],""),"")</f>
        <v/>
      </c>
      <c r="AE70" s="34" t="str">
        <f>IFERROR(IF(AND(OR(Table842[[#This Row],[Classification]]="Income",Table842[[#This Row],[Classification]]="Cost of Goods Sold"),Table842[[#This Row],[Credit.]]&gt;Table842[[#This Row],[Debit\]]),Table842[[#This Row],[Credit.]]-Table842[[#This Row],[Debit\]],""),"")</f>
        <v/>
      </c>
      <c r="AF70" s="34"/>
      <c r="AG70" s="34" t="str">
        <f>IFERROR(IF(AND(Table842[[#This Row],[Classification]]="Assets",Table842[[#This Row],[Debit\]]-Table842[[#This Row],[Credit.]]),Table842[[#This Row],[Debit\]]-Table842[[#This Row],[Credit.]],""),"")</f>
        <v/>
      </c>
      <c r="AH70" s="34" t="str">
        <f>IFERROR(IF(AND(OR(Table842[[#This Row],[Classification]]="Liabilities",Table842[[#This Row],[Classification]]="Owner´s Equity"),Table842[[#This Row],[Credit.]]&gt;Table842[[#This Row],[Debit\]]),Table842[[#This Row],[Credit.]]-Table842[[#This Row],[Debit\]],""),"")</f>
        <v/>
      </c>
    </row>
    <row r="71" spans="2:34" hidden="1" x14ac:dyDescent="0.25">
      <c r="B71" s="34"/>
      <c r="C71" s="37" t="s">
        <v>125</v>
      </c>
      <c r="D71" s="34">
        <v>653656.38</v>
      </c>
      <c r="E71" s="34"/>
      <c r="G71" s="39"/>
      <c r="H71" s="43"/>
      <c r="I71" s="41"/>
      <c r="J71" s="41"/>
      <c r="L71" s="34">
        <v>64</v>
      </c>
      <c r="M71" s="35" t="s">
        <v>160</v>
      </c>
      <c r="N71" s="35" t="s">
        <v>126</v>
      </c>
      <c r="O71" s="34">
        <f>IFERROR(SUMIF(Table439[,],Table641[[#This Row],[Accounts Name]],Table439[,3]),"")</f>
        <v>115440</v>
      </c>
      <c r="P71" s="34">
        <f>IFERROR(SUMIF(Table439[,],Table641[[#This Row],[Accounts Name]],Table439[,2]),"")</f>
        <v>0</v>
      </c>
      <c r="S71" s="36">
        <f t="shared" si="0"/>
        <v>64</v>
      </c>
      <c r="T71" s="34"/>
      <c r="U71" s="37"/>
      <c r="V71" s="34">
        <f>IFERROR(SUMIF(Table641[Sub-Accounts],Table842[[#This Row],[Update your chart of accounts here]],Table641[Debit]),"")</f>
        <v>0</v>
      </c>
      <c r="W71" s="34">
        <f>IFERROR(SUMIF(Table641[Sub-Accounts],Table842[[#This Row],[Update your chart of accounts here]],Table641[Credit]),"")</f>
        <v>0</v>
      </c>
      <c r="X71" s="34"/>
      <c r="Y71" s="34"/>
      <c r="Z71" s="34"/>
      <c r="AA71" s="34"/>
      <c r="AB71" s="34">
        <f>MAX(Table842[[#This Row],[Debit]]+Table842[[#This Row],[Debit -]]-Table842[[#This Row],[Credit]]-Table842[[#This Row],[Credit +]],0)</f>
        <v>0</v>
      </c>
      <c r="AC71" s="34">
        <f>MAX(Table842[[#This Row],[Credit]]-Table842[[#This Row],[Debit]]+Table842[[#This Row],[Credit +]]-Table842[[#This Row],[Debit -]],0)</f>
        <v>0</v>
      </c>
      <c r="AD71" s="34" t="str">
        <f>IFERROR(IF(AND(OR(Table842[[#This Row],[Classification]]="Expense",Table842[[#This Row],[Classification]]="Cost of Goods Sold"),Table842[[#This Row],[Debit\]]&gt;Table842[[#This Row],[Credit.]]),Table842[[#This Row],[Debit\]]-Table842[[#This Row],[Credit.]],""),"")</f>
        <v/>
      </c>
      <c r="AE71" s="34" t="str">
        <f>IFERROR(IF(AND(OR(Table842[[#This Row],[Classification]]="Income",Table842[[#This Row],[Classification]]="Cost of Goods Sold"),Table842[[#This Row],[Credit.]]&gt;Table842[[#This Row],[Debit\]]),Table842[[#This Row],[Credit.]]-Table842[[#This Row],[Debit\]],""),"")</f>
        <v/>
      </c>
      <c r="AF71" s="34"/>
      <c r="AG71" s="34" t="str">
        <f>IFERROR(IF(AND(Table842[[#This Row],[Classification]]="Assets",Table842[[#This Row],[Debit\]]-Table842[[#This Row],[Credit.]]),Table842[[#This Row],[Debit\]]-Table842[[#This Row],[Credit.]],""),"")</f>
        <v/>
      </c>
      <c r="AH71" s="34" t="str">
        <f>IFERROR(IF(AND(OR(Table842[[#This Row],[Classification]]="Liabilities",Table842[[#This Row],[Classification]]="Owner´s Equity"),Table842[[#This Row],[Credit.]]&gt;Table842[[#This Row],[Debit\]]),Table842[[#This Row],[Credit.]]-Table842[[#This Row],[Debit\]],""),"")</f>
        <v/>
      </c>
    </row>
    <row r="72" spans="2:34" hidden="1" x14ac:dyDescent="0.25">
      <c r="B72" s="34"/>
      <c r="C72" s="37" t="s">
        <v>126</v>
      </c>
      <c r="D72" s="34">
        <v>115440</v>
      </c>
      <c r="E72" s="34"/>
      <c r="G72" s="39"/>
      <c r="H72" s="40"/>
      <c r="I72" s="41"/>
      <c r="J72" s="41"/>
      <c r="L72" s="34">
        <v>65</v>
      </c>
      <c r="M72" s="35" t="s">
        <v>166</v>
      </c>
      <c r="N72" s="35" t="s">
        <v>127</v>
      </c>
      <c r="O72" s="34">
        <f>IFERROR(SUMIF(Table439[,],Table641[[#This Row],[Accounts Name]],Table439[,3]),"")</f>
        <v>1409746.56</v>
      </c>
      <c r="P72" s="34">
        <f>IFERROR(SUMIF(Table439[,],Table641[[#This Row],[Accounts Name]],Table439[,2]),"")</f>
        <v>0</v>
      </c>
      <c r="S72" s="36">
        <f t="shared" si="0"/>
        <v>65</v>
      </c>
      <c r="T72" s="34"/>
      <c r="U72" s="37"/>
      <c r="V72" s="34">
        <f>IFERROR(SUMIF(Table641[Sub-Accounts],Table842[[#This Row],[Update your chart of accounts here]],Table641[Debit]),"")</f>
        <v>0</v>
      </c>
      <c r="W72" s="34">
        <f>IFERROR(SUMIF(Table641[Sub-Accounts],Table842[[#This Row],[Update your chart of accounts here]],Table641[Credit]),"")</f>
        <v>0</v>
      </c>
      <c r="X72" s="34"/>
      <c r="Y72" s="34"/>
      <c r="Z72" s="34"/>
      <c r="AA72" s="34"/>
      <c r="AB72" s="34">
        <f>MAX(Table842[[#This Row],[Debit]]+Table842[[#This Row],[Debit -]]-Table842[[#This Row],[Credit]]-Table842[[#This Row],[Credit +]],0)</f>
        <v>0</v>
      </c>
      <c r="AC72" s="34">
        <f>MAX(Table842[[#This Row],[Credit]]-Table842[[#This Row],[Debit]]+Table842[[#This Row],[Credit +]]-Table842[[#This Row],[Debit -]],0)</f>
        <v>0</v>
      </c>
      <c r="AD72" s="34" t="str">
        <f>IFERROR(IF(AND(OR(Table842[[#This Row],[Classification]]="Expense",Table842[[#This Row],[Classification]]="Cost of Goods Sold"),Table842[[#This Row],[Debit\]]&gt;Table842[[#This Row],[Credit.]]),Table842[[#This Row],[Debit\]]-Table842[[#This Row],[Credit.]],""),"")</f>
        <v/>
      </c>
      <c r="AE72" s="34" t="str">
        <f>IFERROR(IF(AND(OR(Table842[[#This Row],[Classification]]="Income",Table842[[#This Row],[Classification]]="Cost of Goods Sold"),Table842[[#This Row],[Credit.]]&gt;Table842[[#This Row],[Debit\]]),Table842[[#This Row],[Credit.]]-Table842[[#This Row],[Debit\]],""),"")</f>
        <v/>
      </c>
      <c r="AF72" s="34"/>
      <c r="AG72" s="34" t="str">
        <f>IFERROR(IF(AND(Table842[[#This Row],[Classification]]="Assets",Table842[[#This Row],[Debit\]]-Table842[[#This Row],[Credit.]]),Table842[[#This Row],[Debit\]]-Table842[[#This Row],[Credit.]],""),"")</f>
        <v/>
      </c>
      <c r="AH72" s="34" t="str">
        <f>IFERROR(IF(AND(OR(Table842[[#This Row],[Classification]]="Liabilities",Table842[[#This Row],[Classification]]="Owner´s Equity"),Table842[[#This Row],[Credit.]]&gt;Table842[[#This Row],[Debit\]]),Table842[[#This Row],[Credit.]]-Table842[[#This Row],[Debit\]],""),"")</f>
        <v/>
      </c>
    </row>
    <row r="73" spans="2:34" hidden="1" x14ac:dyDescent="0.25">
      <c r="B73" s="34"/>
      <c r="C73" s="37" t="s">
        <v>127</v>
      </c>
      <c r="D73" s="34">
        <v>1409746.56</v>
      </c>
      <c r="E73" s="34"/>
      <c r="G73" s="39"/>
      <c r="H73" s="40"/>
      <c r="I73" s="41"/>
      <c r="J73" s="41"/>
      <c r="L73" s="34">
        <v>66</v>
      </c>
      <c r="M73" s="35" t="s">
        <v>152</v>
      </c>
      <c r="N73" s="35" t="s">
        <v>128</v>
      </c>
      <c r="O73" s="34">
        <f>IFERROR(SUMIF(Table439[,],Table641[[#This Row],[Accounts Name]],Table439[,3]),"")</f>
        <v>1758</v>
      </c>
      <c r="P73" s="34">
        <f>IFERROR(SUMIF(Table439[,],Table641[[#This Row],[Accounts Name]],Table439[,2]),"")</f>
        <v>0</v>
      </c>
      <c r="S73" s="36">
        <f t="shared" si="0"/>
        <v>66</v>
      </c>
      <c r="T73" s="34"/>
      <c r="U73" s="37"/>
      <c r="V73" s="34">
        <f>IFERROR(SUMIF(Table641[Sub-Accounts],Table842[[#This Row],[Update your chart of accounts here]],Table641[Debit]),"")</f>
        <v>0</v>
      </c>
      <c r="W73" s="34">
        <f>IFERROR(SUMIF(Table641[Sub-Accounts],Table842[[#This Row],[Update your chart of accounts here]],Table641[Credit]),"")</f>
        <v>0</v>
      </c>
      <c r="X73" s="34"/>
      <c r="Y73" s="34"/>
      <c r="Z73" s="34"/>
      <c r="AA73" s="34"/>
      <c r="AB73" s="34">
        <f>MAX(Table842[[#This Row],[Debit]]+Table842[[#This Row],[Debit -]]-Table842[[#This Row],[Credit]]-Table842[[#This Row],[Credit +]],0)</f>
        <v>0</v>
      </c>
      <c r="AC73" s="34">
        <f>MAX(Table842[[#This Row],[Credit]]-Table842[[#This Row],[Debit]]+Table842[[#This Row],[Credit +]]-Table842[[#This Row],[Debit -]],0)</f>
        <v>0</v>
      </c>
      <c r="AD73" s="34" t="str">
        <f>IFERROR(IF(AND(OR(Table842[[#This Row],[Classification]]="Expense",Table842[[#This Row],[Classification]]="Cost of Goods Sold"),Table842[[#This Row],[Debit\]]&gt;Table842[[#This Row],[Credit.]]),Table842[[#This Row],[Debit\]]-Table842[[#This Row],[Credit.]],""),"")</f>
        <v/>
      </c>
      <c r="AE73" s="34" t="str">
        <f>IFERROR(IF(AND(OR(Table842[[#This Row],[Classification]]="Income",Table842[[#This Row],[Classification]]="Cost of Goods Sold"),Table842[[#This Row],[Credit.]]&gt;Table842[[#This Row],[Debit\]]),Table842[[#This Row],[Credit.]]-Table842[[#This Row],[Debit\]],""),"")</f>
        <v/>
      </c>
      <c r="AF73" s="34"/>
      <c r="AG73" s="34" t="str">
        <f>IFERROR(IF(AND(Table842[[#This Row],[Classification]]="Assets",Table842[[#This Row],[Debit\]]-Table842[[#This Row],[Credit.]]),Table842[[#This Row],[Debit\]]-Table842[[#This Row],[Credit.]],""),"")</f>
        <v/>
      </c>
      <c r="AH73" s="34" t="str">
        <f>IFERROR(IF(AND(OR(Table842[[#This Row],[Classification]]="Liabilities",Table842[[#This Row],[Classification]]="Owner´s Equity"),Table842[[#This Row],[Credit.]]&gt;Table842[[#This Row],[Debit\]]),Table842[[#This Row],[Credit.]]-Table842[[#This Row],[Debit\]],""),"")</f>
        <v/>
      </c>
    </row>
    <row r="74" spans="2:34" hidden="1" x14ac:dyDescent="0.25">
      <c r="B74" s="34"/>
      <c r="C74" s="37" t="s">
        <v>128</v>
      </c>
      <c r="D74" s="34">
        <v>1758</v>
      </c>
      <c r="E74" s="34"/>
      <c r="G74" s="39"/>
      <c r="H74" s="43"/>
      <c r="I74" s="41"/>
      <c r="J74" s="41"/>
      <c r="L74" s="34">
        <v>67</v>
      </c>
      <c r="M74" s="35" t="s">
        <v>167</v>
      </c>
      <c r="N74" s="35" t="s">
        <v>129</v>
      </c>
      <c r="O74" s="34">
        <f>IFERROR(SUMIF(Table439[,],Table641[[#This Row],[Accounts Name]],Table439[,3]),"")</f>
        <v>196582.42</v>
      </c>
      <c r="P74" s="34">
        <f>IFERROR(SUMIF(Table439[,],Table641[[#This Row],[Accounts Name]],Table439[,2]),"")</f>
        <v>0</v>
      </c>
      <c r="S74" s="36">
        <f t="shared" ref="S74:S137" si="1">S73+1</f>
        <v>67</v>
      </c>
      <c r="T74" s="34"/>
      <c r="U74" s="37"/>
      <c r="V74" s="34">
        <f>IFERROR(SUMIF(Table641[Sub-Accounts],Table842[[#This Row],[Update your chart of accounts here]],Table641[Debit]),"")</f>
        <v>0</v>
      </c>
      <c r="W74" s="34">
        <f>IFERROR(SUMIF(Table641[Sub-Accounts],Table842[[#This Row],[Update your chart of accounts here]],Table641[Credit]),"")</f>
        <v>0</v>
      </c>
      <c r="X74" s="34"/>
      <c r="Y74" s="34"/>
      <c r="Z74" s="34"/>
      <c r="AA74" s="34"/>
      <c r="AB74" s="34">
        <f>MAX(Table842[[#This Row],[Debit]]+Table842[[#This Row],[Debit -]]-Table842[[#This Row],[Credit]]-Table842[[#This Row],[Credit +]],0)</f>
        <v>0</v>
      </c>
      <c r="AC74" s="34">
        <f>MAX(Table842[[#This Row],[Credit]]-Table842[[#This Row],[Debit]]+Table842[[#This Row],[Credit +]]-Table842[[#This Row],[Debit -]],0)</f>
        <v>0</v>
      </c>
      <c r="AD74" s="34" t="str">
        <f>IFERROR(IF(AND(OR(Table842[[#This Row],[Classification]]="Expense",Table842[[#This Row],[Classification]]="Cost of Goods Sold"),Table842[[#This Row],[Debit\]]&gt;Table842[[#This Row],[Credit.]]),Table842[[#This Row],[Debit\]]-Table842[[#This Row],[Credit.]],""),"")</f>
        <v/>
      </c>
      <c r="AE74" s="34" t="str">
        <f>IFERROR(IF(AND(OR(Table842[[#This Row],[Classification]]="Income",Table842[[#This Row],[Classification]]="Cost of Goods Sold"),Table842[[#This Row],[Credit.]]&gt;Table842[[#This Row],[Debit\]]),Table842[[#This Row],[Credit.]]-Table842[[#This Row],[Debit\]],""),"")</f>
        <v/>
      </c>
      <c r="AF74" s="34"/>
      <c r="AG74" s="34" t="str">
        <f>IFERROR(IF(AND(Table842[[#This Row],[Classification]]="Assets",Table842[[#This Row],[Debit\]]-Table842[[#This Row],[Credit.]]),Table842[[#This Row],[Debit\]]-Table842[[#This Row],[Credit.]],""),"")</f>
        <v/>
      </c>
      <c r="AH74" s="34" t="str">
        <f>IFERROR(IF(AND(OR(Table842[[#This Row],[Classification]]="Liabilities",Table842[[#This Row],[Classification]]="Owner´s Equity"),Table842[[#This Row],[Credit.]]&gt;Table842[[#This Row],[Debit\]]),Table842[[#This Row],[Credit.]]-Table842[[#This Row],[Debit\]],""),"")</f>
        <v/>
      </c>
    </row>
    <row r="75" spans="2:34" hidden="1" x14ac:dyDescent="0.25">
      <c r="B75" s="34"/>
      <c r="C75" s="37" t="s">
        <v>129</v>
      </c>
      <c r="D75" s="34">
        <v>196582.42</v>
      </c>
      <c r="E75" s="34"/>
      <c r="G75" s="39"/>
      <c r="H75" s="40"/>
      <c r="I75" s="41"/>
      <c r="J75" s="41"/>
      <c r="L75" s="34">
        <v>68</v>
      </c>
      <c r="M75" s="35" t="s">
        <v>151</v>
      </c>
      <c r="N75" s="35" t="s">
        <v>130</v>
      </c>
      <c r="O75" s="34">
        <f>IFERROR(SUMIF(Table439[,],Table641[[#This Row],[Accounts Name]],Table439[,3]),"")</f>
        <v>3069792</v>
      </c>
      <c r="P75" s="34">
        <f>IFERROR(SUMIF(Table439[,],Table641[[#This Row],[Accounts Name]],Table439[,2]),"")</f>
        <v>0</v>
      </c>
      <c r="S75" s="36">
        <f t="shared" si="1"/>
        <v>68</v>
      </c>
      <c r="T75" s="34"/>
      <c r="U75" s="37"/>
      <c r="V75" s="34">
        <f>IFERROR(SUMIF(Table641[Sub-Accounts],Table842[[#This Row],[Update your chart of accounts here]],Table641[Debit]),"")</f>
        <v>0</v>
      </c>
      <c r="W75" s="34">
        <f>IFERROR(SUMIF(Table641[Sub-Accounts],Table842[[#This Row],[Update your chart of accounts here]],Table641[Credit]),"")</f>
        <v>0</v>
      </c>
      <c r="X75" s="34"/>
      <c r="Y75" s="34"/>
      <c r="Z75" s="34"/>
      <c r="AA75" s="34"/>
      <c r="AB75" s="34">
        <f>MAX(Table842[[#This Row],[Debit]]+Table842[[#This Row],[Debit -]]-Table842[[#This Row],[Credit]]-Table842[[#This Row],[Credit +]],0)</f>
        <v>0</v>
      </c>
      <c r="AC75" s="34">
        <f>MAX(Table842[[#This Row],[Credit]]-Table842[[#This Row],[Debit]]+Table842[[#This Row],[Credit +]]-Table842[[#This Row],[Debit -]],0)</f>
        <v>0</v>
      </c>
      <c r="AD75" s="34" t="str">
        <f>IFERROR(IF(AND(OR(Table842[[#This Row],[Classification]]="Expense",Table842[[#This Row],[Classification]]="Cost of Goods Sold"),Table842[[#This Row],[Debit\]]&gt;Table842[[#This Row],[Credit.]]),Table842[[#This Row],[Debit\]]-Table842[[#This Row],[Credit.]],""),"")</f>
        <v/>
      </c>
      <c r="AE75" s="34" t="str">
        <f>IFERROR(IF(AND(OR(Table842[[#This Row],[Classification]]="Income",Table842[[#This Row],[Classification]]="Cost of Goods Sold"),Table842[[#This Row],[Credit.]]&gt;Table842[[#This Row],[Debit\]]),Table842[[#This Row],[Credit.]]-Table842[[#This Row],[Debit\]],""),"")</f>
        <v/>
      </c>
      <c r="AF75" s="34"/>
      <c r="AG75" s="34" t="str">
        <f>IFERROR(IF(AND(Table842[[#This Row],[Classification]]="Assets",Table842[[#This Row],[Debit\]]-Table842[[#This Row],[Credit.]]),Table842[[#This Row],[Debit\]]-Table842[[#This Row],[Credit.]],""),"")</f>
        <v/>
      </c>
      <c r="AH75" s="34" t="str">
        <f>IFERROR(IF(AND(OR(Table842[[#This Row],[Classification]]="Liabilities",Table842[[#This Row],[Classification]]="Owner´s Equity"),Table842[[#This Row],[Credit.]]&gt;Table842[[#This Row],[Debit\]]),Table842[[#This Row],[Credit.]]-Table842[[#This Row],[Debit\]],""),"")</f>
        <v/>
      </c>
    </row>
    <row r="76" spans="2:34" hidden="1" x14ac:dyDescent="0.25">
      <c r="B76" s="34"/>
      <c r="C76" s="37" t="s">
        <v>130</v>
      </c>
      <c r="D76" s="34">
        <v>3069792</v>
      </c>
      <c r="E76" s="34"/>
      <c r="G76" s="39"/>
      <c r="H76" s="40"/>
      <c r="I76" s="41"/>
      <c r="J76" s="41"/>
      <c r="L76" s="34">
        <v>69</v>
      </c>
      <c r="M76" s="35" t="s">
        <v>168</v>
      </c>
      <c r="N76" s="35" t="s">
        <v>131</v>
      </c>
      <c r="O76" s="34">
        <f>IFERROR(SUMIF(Table439[,],Table641[[#This Row],[Accounts Name]],Table439[,3]),"")</f>
        <v>302989.64</v>
      </c>
      <c r="P76" s="34">
        <f>IFERROR(SUMIF(Table439[,],Table641[[#This Row],[Accounts Name]],Table439[,2]),"")</f>
        <v>0</v>
      </c>
      <c r="S76" s="36">
        <f t="shared" si="1"/>
        <v>69</v>
      </c>
      <c r="T76" s="34"/>
      <c r="U76" s="37"/>
      <c r="V76" s="34">
        <f>IFERROR(SUMIF(Table641[Sub-Accounts],Table842[[#This Row],[Update your chart of accounts here]],Table641[Debit]),"")</f>
        <v>0</v>
      </c>
      <c r="W76" s="34">
        <f>IFERROR(SUMIF(Table641[Sub-Accounts],Table842[[#This Row],[Update your chart of accounts here]],Table641[Credit]),"")</f>
        <v>0</v>
      </c>
      <c r="X76" s="34"/>
      <c r="Y76" s="34"/>
      <c r="Z76" s="34"/>
      <c r="AA76" s="34"/>
      <c r="AB76" s="34">
        <f>MAX(Table842[[#This Row],[Debit]]+Table842[[#This Row],[Debit -]]-Table842[[#This Row],[Credit]]-Table842[[#This Row],[Credit +]],0)</f>
        <v>0</v>
      </c>
      <c r="AC76" s="34">
        <f>MAX(Table842[[#This Row],[Credit]]-Table842[[#This Row],[Debit]]+Table842[[#This Row],[Credit +]]-Table842[[#This Row],[Debit -]],0)</f>
        <v>0</v>
      </c>
      <c r="AD76" s="34" t="str">
        <f>IFERROR(IF(AND(OR(Table842[[#This Row],[Classification]]="Expense",Table842[[#This Row],[Classification]]="Cost of Goods Sold"),Table842[[#This Row],[Debit\]]&gt;Table842[[#This Row],[Credit.]]),Table842[[#This Row],[Debit\]]-Table842[[#This Row],[Credit.]],""),"")</f>
        <v/>
      </c>
      <c r="AE76" s="34" t="str">
        <f>IFERROR(IF(AND(OR(Table842[[#This Row],[Classification]]="Income",Table842[[#This Row],[Classification]]="Cost of Goods Sold"),Table842[[#This Row],[Credit.]]&gt;Table842[[#This Row],[Debit\]]),Table842[[#This Row],[Credit.]]-Table842[[#This Row],[Debit\]],""),"")</f>
        <v/>
      </c>
      <c r="AF76" s="34"/>
      <c r="AG76" s="34" t="str">
        <f>IFERROR(IF(AND(Table842[[#This Row],[Classification]]="Assets",Table842[[#This Row],[Debit\]]-Table842[[#This Row],[Credit.]]),Table842[[#This Row],[Debit\]]-Table842[[#This Row],[Credit.]],""),"")</f>
        <v/>
      </c>
      <c r="AH76" s="34" t="str">
        <f>IFERROR(IF(AND(OR(Table842[[#This Row],[Classification]]="Liabilities",Table842[[#This Row],[Classification]]="Owner´s Equity"),Table842[[#This Row],[Credit.]]&gt;Table842[[#This Row],[Debit\]]),Table842[[#This Row],[Credit.]]-Table842[[#This Row],[Debit\]],""),"")</f>
        <v/>
      </c>
    </row>
    <row r="77" spans="2:34" hidden="1" x14ac:dyDescent="0.25">
      <c r="B77" s="34"/>
      <c r="C77" s="37" t="s">
        <v>131</v>
      </c>
      <c r="D77" s="34">
        <v>302989.64</v>
      </c>
      <c r="E77" s="34"/>
      <c r="G77" s="39"/>
      <c r="H77" s="43"/>
      <c r="I77" s="41"/>
      <c r="J77" s="41"/>
      <c r="L77" s="34">
        <v>70</v>
      </c>
      <c r="M77" s="35" t="s">
        <v>167</v>
      </c>
      <c r="N77" s="35" t="s">
        <v>132</v>
      </c>
      <c r="O77" s="34">
        <f>IFERROR(SUMIF(Table439[,],Table641[[#This Row],[Accounts Name]],Table439[,3]),"")</f>
        <v>35000</v>
      </c>
      <c r="P77" s="34">
        <f>IFERROR(SUMIF(Table439[,],Table641[[#This Row],[Accounts Name]],Table439[,2]),"")</f>
        <v>0</v>
      </c>
      <c r="S77" s="36">
        <f t="shared" si="1"/>
        <v>70</v>
      </c>
      <c r="T77" s="34"/>
      <c r="U77" s="37"/>
      <c r="V77" s="34">
        <f>IFERROR(SUMIF(Table641[Sub-Accounts],Table842[[#This Row],[Update your chart of accounts here]],Table641[Debit]),"")</f>
        <v>0</v>
      </c>
      <c r="W77" s="34">
        <f>IFERROR(SUMIF(Table641[Sub-Accounts],Table842[[#This Row],[Update your chart of accounts here]],Table641[Credit]),"")</f>
        <v>0</v>
      </c>
      <c r="X77" s="34"/>
      <c r="Y77" s="34"/>
      <c r="Z77" s="34"/>
      <c r="AA77" s="34"/>
      <c r="AB77" s="34">
        <f>MAX(Table842[[#This Row],[Debit]]+Table842[[#This Row],[Debit -]]-Table842[[#This Row],[Credit]]-Table842[[#This Row],[Credit +]],0)</f>
        <v>0</v>
      </c>
      <c r="AC77" s="34">
        <f>MAX(Table842[[#This Row],[Credit]]-Table842[[#This Row],[Debit]]+Table842[[#This Row],[Credit +]]-Table842[[#This Row],[Debit -]],0)</f>
        <v>0</v>
      </c>
      <c r="AD77" s="34" t="str">
        <f>IFERROR(IF(AND(OR(Table842[[#This Row],[Classification]]="Expense",Table842[[#This Row],[Classification]]="Cost of Goods Sold"),Table842[[#This Row],[Debit\]]&gt;Table842[[#This Row],[Credit.]]),Table842[[#This Row],[Debit\]]-Table842[[#This Row],[Credit.]],""),"")</f>
        <v/>
      </c>
      <c r="AE77" s="34" t="str">
        <f>IFERROR(IF(AND(OR(Table842[[#This Row],[Classification]]="Income",Table842[[#This Row],[Classification]]="Cost of Goods Sold"),Table842[[#This Row],[Credit.]]&gt;Table842[[#This Row],[Debit\]]),Table842[[#This Row],[Credit.]]-Table842[[#This Row],[Debit\]],""),"")</f>
        <v/>
      </c>
      <c r="AF77" s="34"/>
      <c r="AG77" s="34" t="str">
        <f>IFERROR(IF(AND(Table842[[#This Row],[Classification]]="Assets",Table842[[#This Row],[Debit\]]-Table842[[#This Row],[Credit.]]),Table842[[#This Row],[Debit\]]-Table842[[#This Row],[Credit.]],""),"")</f>
        <v/>
      </c>
      <c r="AH77" s="34" t="str">
        <f>IFERROR(IF(AND(OR(Table842[[#This Row],[Classification]]="Liabilities",Table842[[#This Row],[Classification]]="Owner´s Equity"),Table842[[#This Row],[Credit.]]&gt;Table842[[#This Row],[Debit\]]),Table842[[#This Row],[Credit.]]-Table842[[#This Row],[Debit\]],""),"")</f>
        <v/>
      </c>
    </row>
    <row r="78" spans="2:34" hidden="1" x14ac:dyDescent="0.25">
      <c r="B78" s="34"/>
      <c r="C78" s="37" t="s">
        <v>132</v>
      </c>
      <c r="D78" s="34">
        <v>35000</v>
      </c>
      <c r="E78" s="34"/>
      <c r="G78" s="39"/>
      <c r="H78" s="40"/>
      <c r="I78" s="41"/>
      <c r="J78" s="41"/>
      <c r="L78" s="34">
        <v>71</v>
      </c>
      <c r="M78" s="35" t="s">
        <v>167</v>
      </c>
      <c r="N78" s="35" t="s">
        <v>133</v>
      </c>
      <c r="O78" s="34">
        <f>IFERROR(SUMIF(Table439[,],Table641[[#This Row],[Accounts Name]],Table439[,3]),"")</f>
        <v>164240.34</v>
      </c>
      <c r="P78" s="34">
        <f>IFERROR(SUMIF(Table439[,],Table641[[#This Row],[Accounts Name]],Table439[,2]),"")</f>
        <v>0</v>
      </c>
      <c r="S78" s="36">
        <f t="shared" si="1"/>
        <v>71</v>
      </c>
      <c r="T78" s="34"/>
      <c r="U78" s="37"/>
      <c r="V78" s="34">
        <f>IFERROR(SUMIF(Table641[Sub-Accounts],Table842[[#This Row],[Update your chart of accounts here]],Table641[Debit]),"")</f>
        <v>0</v>
      </c>
      <c r="W78" s="34">
        <f>IFERROR(SUMIF(Table641[Sub-Accounts],Table842[[#This Row],[Update your chart of accounts here]],Table641[Credit]),"")</f>
        <v>0</v>
      </c>
      <c r="X78" s="34"/>
      <c r="Y78" s="34"/>
      <c r="Z78" s="34"/>
      <c r="AA78" s="34"/>
      <c r="AB78" s="34">
        <f>MAX(Table842[[#This Row],[Debit]]+Table842[[#This Row],[Debit -]]-Table842[[#This Row],[Credit]]-Table842[[#This Row],[Credit +]],0)</f>
        <v>0</v>
      </c>
      <c r="AC78" s="34">
        <f>MAX(Table842[[#This Row],[Credit]]-Table842[[#This Row],[Debit]]+Table842[[#This Row],[Credit +]]-Table842[[#This Row],[Debit -]],0)</f>
        <v>0</v>
      </c>
      <c r="AD78" s="34" t="str">
        <f>IFERROR(IF(AND(OR(Table842[[#This Row],[Classification]]="Expense",Table842[[#This Row],[Classification]]="Cost of Goods Sold"),Table842[[#This Row],[Debit\]]&gt;Table842[[#This Row],[Credit.]]),Table842[[#This Row],[Debit\]]-Table842[[#This Row],[Credit.]],""),"")</f>
        <v/>
      </c>
      <c r="AE78" s="34" t="str">
        <f>IFERROR(IF(AND(OR(Table842[[#This Row],[Classification]]="Income",Table842[[#This Row],[Classification]]="Cost of Goods Sold"),Table842[[#This Row],[Credit.]]&gt;Table842[[#This Row],[Debit\]]),Table842[[#This Row],[Credit.]]-Table842[[#This Row],[Debit\]],""),"")</f>
        <v/>
      </c>
      <c r="AF78" s="34"/>
      <c r="AG78" s="34" t="str">
        <f>IFERROR(IF(AND(Table842[[#This Row],[Classification]]="Assets",Table842[[#This Row],[Debit\]]-Table842[[#This Row],[Credit.]]),Table842[[#This Row],[Debit\]]-Table842[[#This Row],[Credit.]],""),"")</f>
        <v/>
      </c>
      <c r="AH78" s="34" t="str">
        <f>IFERROR(IF(AND(OR(Table842[[#This Row],[Classification]]="Liabilities",Table842[[#This Row],[Classification]]="Owner´s Equity"),Table842[[#This Row],[Credit.]]&gt;Table842[[#This Row],[Debit\]]),Table842[[#This Row],[Credit.]]-Table842[[#This Row],[Debit\]],""),"")</f>
        <v/>
      </c>
    </row>
    <row r="79" spans="2:34" hidden="1" x14ac:dyDescent="0.25">
      <c r="B79" s="34"/>
      <c r="C79" s="37" t="s">
        <v>133</v>
      </c>
      <c r="D79" s="34">
        <v>164240.34</v>
      </c>
      <c r="E79" s="34"/>
      <c r="G79" s="39"/>
      <c r="H79" s="40"/>
      <c r="I79" s="41"/>
      <c r="J79" s="41"/>
      <c r="L79" s="34">
        <v>72</v>
      </c>
      <c r="M79" s="35" t="s">
        <v>169</v>
      </c>
      <c r="N79" s="35" t="s">
        <v>134</v>
      </c>
      <c r="O79" s="34">
        <f>IFERROR(SUMIF(Table439[,],Table641[[#This Row],[Accounts Name]],Table439[,3]),"")</f>
        <v>2000</v>
      </c>
      <c r="P79" s="34">
        <f>IFERROR(SUMIF(Table439[,],Table641[[#This Row],[Accounts Name]],Table439[,2]),"")</f>
        <v>0</v>
      </c>
      <c r="S79" s="36">
        <f t="shared" si="1"/>
        <v>72</v>
      </c>
      <c r="T79" s="34"/>
      <c r="U79" s="37"/>
      <c r="V79" s="34">
        <f>IFERROR(SUMIF(Table641[Sub-Accounts],Table842[[#This Row],[Update your chart of accounts here]],Table641[Debit]),"")</f>
        <v>0</v>
      </c>
      <c r="W79" s="34">
        <f>IFERROR(SUMIF(Table641[Sub-Accounts],Table842[[#This Row],[Update your chart of accounts here]],Table641[Credit]),"")</f>
        <v>0</v>
      </c>
      <c r="X79" s="34"/>
      <c r="Y79" s="34"/>
      <c r="Z79" s="34"/>
      <c r="AA79" s="34"/>
      <c r="AB79" s="34">
        <f>MAX(Table842[[#This Row],[Debit]]+Table842[[#This Row],[Debit -]]-Table842[[#This Row],[Credit]]-Table842[[#This Row],[Credit +]],0)</f>
        <v>0</v>
      </c>
      <c r="AC79" s="34">
        <f>MAX(Table842[[#This Row],[Credit]]-Table842[[#This Row],[Debit]]+Table842[[#This Row],[Credit +]]-Table842[[#This Row],[Debit -]],0)</f>
        <v>0</v>
      </c>
      <c r="AD79" s="34" t="str">
        <f>IFERROR(IF(AND(OR(Table842[[#This Row],[Classification]]="Expense",Table842[[#This Row],[Classification]]="Cost of Goods Sold"),Table842[[#This Row],[Debit\]]&gt;Table842[[#This Row],[Credit.]]),Table842[[#This Row],[Debit\]]-Table842[[#This Row],[Credit.]],""),"")</f>
        <v/>
      </c>
      <c r="AE79" s="34" t="str">
        <f>IFERROR(IF(AND(OR(Table842[[#This Row],[Classification]]="Income",Table842[[#This Row],[Classification]]="Cost of Goods Sold"),Table842[[#This Row],[Credit.]]&gt;Table842[[#This Row],[Debit\]]),Table842[[#This Row],[Credit.]]-Table842[[#This Row],[Debit\]],""),"")</f>
        <v/>
      </c>
      <c r="AF79" s="34"/>
      <c r="AG79" s="34" t="str">
        <f>IFERROR(IF(AND(Table842[[#This Row],[Classification]]="Assets",Table842[[#This Row],[Debit\]]-Table842[[#This Row],[Credit.]]),Table842[[#This Row],[Debit\]]-Table842[[#This Row],[Credit.]],""),"")</f>
        <v/>
      </c>
      <c r="AH79" s="34" t="str">
        <f>IFERROR(IF(AND(OR(Table842[[#This Row],[Classification]]="Liabilities",Table842[[#This Row],[Classification]]="Owner´s Equity"),Table842[[#This Row],[Credit.]]&gt;Table842[[#This Row],[Debit\]]),Table842[[#This Row],[Credit.]]-Table842[[#This Row],[Debit\]],""),"")</f>
        <v/>
      </c>
    </row>
    <row r="80" spans="2:34" hidden="1" x14ac:dyDescent="0.25">
      <c r="B80" s="34"/>
      <c r="C80" s="37" t="s">
        <v>134</v>
      </c>
      <c r="D80" s="34">
        <v>2000</v>
      </c>
      <c r="E80" s="34"/>
      <c r="G80" s="39"/>
      <c r="H80" s="43"/>
      <c r="I80" s="41"/>
      <c r="J80" s="41"/>
      <c r="L80" s="34">
        <v>73</v>
      </c>
      <c r="M80" s="35" t="s">
        <v>170</v>
      </c>
      <c r="N80" s="35" t="s">
        <v>135</v>
      </c>
      <c r="O80" s="34">
        <f>IFERROR(SUMIF(Table439[,],Table641[[#This Row],[Accounts Name]],Table439[,3]),"")</f>
        <v>13250</v>
      </c>
      <c r="P80" s="34">
        <f>IFERROR(SUMIF(Table439[,],Table641[[#This Row],[Accounts Name]],Table439[,2]),"")</f>
        <v>0</v>
      </c>
      <c r="S80" s="36">
        <f t="shared" si="1"/>
        <v>73</v>
      </c>
      <c r="T80" s="34"/>
      <c r="U80" s="37"/>
      <c r="V80" s="34">
        <f>IFERROR(SUMIF(Table641[Sub-Accounts],Table842[[#This Row],[Update your chart of accounts here]],Table641[Debit]),"")</f>
        <v>0</v>
      </c>
      <c r="W80" s="34">
        <f>IFERROR(SUMIF(Table641[Sub-Accounts],Table842[[#This Row],[Update your chart of accounts here]],Table641[Credit]),"")</f>
        <v>0</v>
      </c>
      <c r="X80" s="34"/>
      <c r="Y80" s="34"/>
      <c r="Z80" s="34"/>
      <c r="AA80" s="34"/>
      <c r="AB80" s="34">
        <f>MAX(Table842[[#This Row],[Debit]]+Table842[[#This Row],[Debit -]]-Table842[[#This Row],[Credit]]-Table842[[#This Row],[Credit +]],0)</f>
        <v>0</v>
      </c>
      <c r="AC80" s="34">
        <f>MAX(Table842[[#This Row],[Credit]]-Table842[[#This Row],[Debit]]+Table842[[#This Row],[Credit +]]-Table842[[#This Row],[Debit -]],0)</f>
        <v>0</v>
      </c>
      <c r="AD80" s="34" t="str">
        <f>IFERROR(IF(AND(OR(Table842[[#This Row],[Classification]]="Expense",Table842[[#This Row],[Classification]]="Cost of Goods Sold"),Table842[[#This Row],[Debit\]]&gt;Table842[[#This Row],[Credit.]]),Table842[[#This Row],[Debit\]]-Table842[[#This Row],[Credit.]],""),"")</f>
        <v/>
      </c>
      <c r="AE80" s="34" t="str">
        <f>IFERROR(IF(AND(OR(Table842[[#This Row],[Classification]]="Income",Table842[[#This Row],[Classification]]="Cost of Goods Sold"),Table842[[#This Row],[Credit.]]&gt;Table842[[#This Row],[Debit\]]),Table842[[#This Row],[Credit.]]-Table842[[#This Row],[Debit\]],""),"")</f>
        <v/>
      </c>
      <c r="AF80" s="34"/>
      <c r="AG80" s="34" t="str">
        <f>IFERROR(IF(AND(Table842[[#This Row],[Classification]]="Assets",Table842[[#This Row],[Debit\]]-Table842[[#This Row],[Credit.]]),Table842[[#This Row],[Debit\]]-Table842[[#This Row],[Credit.]],""),"")</f>
        <v/>
      </c>
      <c r="AH80" s="34" t="str">
        <f>IFERROR(IF(AND(OR(Table842[[#This Row],[Classification]]="Liabilities",Table842[[#This Row],[Classification]]="Owner´s Equity"),Table842[[#This Row],[Credit.]]&gt;Table842[[#This Row],[Debit\]]),Table842[[#This Row],[Credit.]]-Table842[[#This Row],[Debit\]],""),"")</f>
        <v/>
      </c>
    </row>
    <row r="81" spans="2:34" hidden="1" x14ac:dyDescent="0.25">
      <c r="B81" s="34"/>
      <c r="C81" s="37" t="s">
        <v>135</v>
      </c>
      <c r="D81" s="34">
        <v>13250</v>
      </c>
      <c r="E81" s="34"/>
      <c r="G81" s="39"/>
      <c r="H81" s="40"/>
      <c r="I81" s="41"/>
      <c r="J81" s="41"/>
      <c r="L81" s="34">
        <v>74</v>
      </c>
      <c r="M81" s="35" t="s">
        <v>156</v>
      </c>
      <c r="N81" s="35" t="s">
        <v>136</v>
      </c>
      <c r="O81" s="34">
        <f>IFERROR(SUMIF(Table439[,],Table641[[#This Row],[Accounts Name]],Table439[,3]),"")</f>
        <v>87416</v>
      </c>
      <c r="P81" s="34">
        <f>IFERROR(SUMIF(Table439[,],Table641[[#This Row],[Accounts Name]],Table439[,2]),"")</f>
        <v>0</v>
      </c>
      <c r="S81" s="36">
        <f t="shared" si="1"/>
        <v>74</v>
      </c>
      <c r="T81" s="34"/>
      <c r="U81" s="37"/>
      <c r="V81" s="34">
        <f>IFERROR(SUMIF(Table641[Sub-Accounts],Table842[[#This Row],[Update your chart of accounts here]],Table641[Debit]),"")</f>
        <v>0</v>
      </c>
      <c r="W81" s="34">
        <f>IFERROR(SUMIF(Table641[Sub-Accounts],Table842[[#This Row],[Update your chart of accounts here]],Table641[Credit]),"")</f>
        <v>0</v>
      </c>
      <c r="X81" s="34"/>
      <c r="Y81" s="34"/>
      <c r="Z81" s="34"/>
      <c r="AA81" s="34"/>
      <c r="AB81" s="34">
        <f>MAX(Table842[[#This Row],[Debit]]+Table842[[#This Row],[Debit -]]-Table842[[#This Row],[Credit]]-Table842[[#This Row],[Credit +]],0)</f>
        <v>0</v>
      </c>
      <c r="AC81" s="34">
        <f>MAX(Table842[[#This Row],[Credit]]-Table842[[#This Row],[Debit]]+Table842[[#This Row],[Credit +]]-Table842[[#This Row],[Debit -]],0)</f>
        <v>0</v>
      </c>
      <c r="AD81" s="34" t="str">
        <f>IFERROR(IF(AND(OR(Table842[[#This Row],[Classification]]="Expense",Table842[[#This Row],[Classification]]="Cost of Goods Sold"),Table842[[#This Row],[Debit\]]&gt;Table842[[#This Row],[Credit.]]),Table842[[#This Row],[Debit\]]-Table842[[#This Row],[Credit.]],""),"")</f>
        <v/>
      </c>
      <c r="AE81" s="34" t="str">
        <f>IFERROR(IF(AND(OR(Table842[[#This Row],[Classification]]="Income",Table842[[#This Row],[Classification]]="Cost of Goods Sold"),Table842[[#This Row],[Credit.]]&gt;Table842[[#This Row],[Debit\]]),Table842[[#This Row],[Credit.]]-Table842[[#This Row],[Debit\]],""),"")</f>
        <v/>
      </c>
      <c r="AF81" s="34"/>
      <c r="AG81" s="34" t="str">
        <f>IFERROR(IF(AND(Table842[[#This Row],[Classification]]="Assets",Table842[[#This Row],[Debit\]]-Table842[[#This Row],[Credit.]]),Table842[[#This Row],[Debit\]]-Table842[[#This Row],[Credit.]],""),"")</f>
        <v/>
      </c>
      <c r="AH81" s="34" t="str">
        <f>IFERROR(IF(AND(OR(Table842[[#This Row],[Classification]]="Liabilities",Table842[[#This Row],[Classification]]="Owner´s Equity"),Table842[[#This Row],[Credit.]]&gt;Table842[[#This Row],[Debit\]]),Table842[[#This Row],[Credit.]]-Table842[[#This Row],[Debit\]],""),"")</f>
        <v/>
      </c>
    </row>
    <row r="82" spans="2:34" hidden="1" x14ac:dyDescent="0.25">
      <c r="B82" s="34"/>
      <c r="C82" s="37" t="s">
        <v>136</v>
      </c>
      <c r="D82" s="34">
        <v>87416</v>
      </c>
      <c r="E82" s="34"/>
      <c r="G82" s="39"/>
      <c r="H82" s="40"/>
      <c r="I82" s="41"/>
      <c r="J82" s="41"/>
      <c r="L82" s="34">
        <v>75</v>
      </c>
      <c r="M82" s="35" t="s">
        <v>162</v>
      </c>
      <c r="N82" s="35" t="s">
        <v>137</v>
      </c>
      <c r="O82" s="34">
        <f>IFERROR(SUMIF(Table439[,],Table641[[#This Row],[Accounts Name]],Table439[,3]),"")</f>
        <v>139074.48000000001</v>
      </c>
      <c r="P82" s="34">
        <f>IFERROR(SUMIF(Table439[,],Table641[[#This Row],[Accounts Name]],Table439[,2]),"")</f>
        <v>0</v>
      </c>
      <c r="S82" s="36">
        <f t="shared" si="1"/>
        <v>75</v>
      </c>
      <c r="T82" s="34"/>
      <c r="U82" s="37"/>
      <c r="V82" s="34">
        <f>IFERROR(SUMIF(Table641[Sub-Accounts],Table842[[#This Row],[Update your chart of accounts here]],Table641[Debit]),"")</f>
        <v>0</v>
      </c>
      <c r="W82" s="34">
        <f>IFERROR(SUMIF(Table641[Sub-Accounts],Table842[[#This Row],[Update your chart of accounts here]],Table641[Credit]),"")</f>
        <v>0</v>
      </c>
      <c r="X82" s="34"/>
      <c r="Y82" s="34"/>
      <c r="Z82" s="34"/>
      <c r="AA82" s="34"/>
      <c r="AB82" s="34">
        <f>MAX(Table842[[#This Row],[Debit]]+Table842[[#This Row],[Debit -]]-Table842[[#This Row],[Credit]]-Table842[[#This Row],[Credit +]],0)</f>
        <v>0</v>
      </c>
      <c r="AC82" s="34">
        <f>MAX(Table842[[#This Row],[Credit]]-Table842[[#This Row],[Debit]]+Table842[[#This Row],[Credit +]]-Table842[[#This Row],[Debit -]],0)</f>
        <v>0</v>
      </c>
      <c r="AD82" s="34" t="str">
        <f>IFERROR(IF(AND(OR(Table842[[#This Row],[Classification]]="Expense",Table842[[#This Row],[Classification]]="Cost of Goods Sold"),Table842[[#This Row],[Debit\]]&gt;Table842[[#This Row],[Credit.]]),Table842[[#This Row],[Debit\]]-Table842[[#This Row],[Credit.]],""),"")</f>
        <v/>
      </c>
      <c r="AE82" s="34" t="str">
        <f>IFERROR(IF(AND(OR(Table842[[#This Row],[Classification]]="Income",Table842[[#This Row],[Classification]]="Cost of Goods Sold"),Table842[[#This Row],[Credit.]]&gt;Table842[[#This Row],[Debit\]]),Table842[[#This Row],[Credit.]]-Table842[[#This Row],[Debit\]],""),"")</f>
        <v/>
      </c>
      <c r="AF82" s="34"/>
      <c r="AG82" s="34" t="str">
        <f>IFERROR(IF(AND(Table842[[#This Row],[Classification]]="Assets",Table842[[#This Row],[Debit\]]-Table842[[#This Row],[Credit.]]),Table842[[#This Row],[Debit\]]-Table842[[#This Row],[Credit.]],""),"")</f>
        <v/>
      </c>
      <c r="AH82" s="34" t="str">
        <f>IFERROR(IF(AND(OR(Table842[[#This Row],[Classification]]="Liabilities",Table842[[#This Row],[Classification]]="Owner´s Equity"),Table842[[#This Row],[Credit.]]&gt;Table842[[#This Row],[Debit\]]),Table842[[#This Row],[Credit.]]-Table842[[#This Row],[Debit\]],""),"")</f>
        <v/>
      </c>
    </row>
    <row r="83" spans="2:34" hidden="1" x14ac:dyDescent="0.25">
      <c r="B83" s="34"/>
      <c r="C83" s="37" t="s">
        <v>137</v>
      </c>
      <c r="D83" s="34">
        <v>139074.48000000001</v>
      </c>
      <c r="E83" s="34"/>
      <c r="G83" s="39"/>
      <c r="H83" s="43"/>
      <c r="I83" s="41"/>
      <c r="J83" s="41"/>
      <c r="L83" s="34">
        <v>76</v>
      </c>
      <c r="M83" s="35"/>
      <c r="N83" s="35"/>
      <c r="O83" s="34">
        <f>IFERROR(SUMIF(Table439[,],Table641[[#This Row],[Accounts Name]],Table439[,3]),"")</f>
        <v>0</v>
      </c>
      <c r="P83" s="34">
        <f>IFERROR(SUMIF(Table439[,],Table641[[#This Row],[Accounts Name]],Table439[,2]),"")</f>
        <v>0</v>
      </c>
      <c r="S83" s="36">
        <f t="shared" si="1"/>
        <v>76</v>
      </c>
      <c r="T83" s="34"/>
      <c r="U83" s="37"/>
      <c r="V83" s="34">
        <f>IFERROR(SUMIF(Table641[Sub-Accounts],Table842[[#This Row],[Update your chart of accounts here]],Table641[Debit]),"")</f>
        <v>0</v>
      </c>
      <c r="W83" s="34">
        <f>IFERROR(SUMIF(Table641[Sub-Accounts],Table842[[#This Row],[Update your chart of accounts here]],Table641[Credit]),"")</f>
        <v>0</v>
      </c>
      <c r="X83" s="34"/>
      <c r="Y83" s="34"/>
      <c r="Z83" s="34"/>
      <c r="AA83" s="34"/>
      <c r="AB83" s="34">
        <f>MAX(Table842[[#This Row],[Debit]]+Table842[[#This Row],[Debit -]]-Table842[[#This Row],[Credit]]-Table842[[#This Row],[Credit +]],0)</f>
        <v>0</v>
      </c>
      <c r="AC83" s="34">
        <f>MAX(Table842[[#This Row],[Credit]]-Table842[[#This Row],[Debit]]+Table842[[#This Row],[Credit +]]-Table842[[#This Row],[Debit -]],0)</f>
        <v>0</v>
      </c>
      <c r="AD83" s="34" t="str">
        <f>IFERROR(IF(AND(OR(Table842[[#This Row],[Classification]]="Expense",Table842[[#This Row],[Classification]]="Cost of Goods Sold"),Table842[[#This Row],[Debit\]]&gt;Table842[[#This Row],[Credit.]]),Table842[[#This Row],[Debit\]]-Table842[[#This Row],[Credit.]],""),"")</f>
        <v/>
      </c>
      <c r="AE83" s="34" t="str">
        <f>IFERROR(IF(AND(OR(Table842[[#This Row],[Classification]]="Income",Table842[[#This Row],[Classification]]="Cost of Goods Sold"),Table842[[#This Row],[Credit.]]&gt;Table842[[#This Row],[Debit\]]),Table842[[#This Row],[Credit.]]-Table842[[#This Row],[Debit\]],""),"")</f>
        <v/>
      </c>
      <c r="AF83" s="34"/>
      <c r="AG83" s="34" t="str">
        <f>IFERROR(IF(AND(Table842[[#This Row],[Classification]]="Assets",Table842[[#This Row],[Debit\]]-Table842[[#This Row],[Credit.]]),Table842[[#This Row],[Debit\]]-Table842[[#This Row],[Credit.]],""),"")</f>
        <v/>
      </c>
      <c r="AH83" s="34" t="str">
        <f>IFERROR(IF(AND(OR(Table842[[#This Row],[Classification]]="Liabilities",Table842[[#This Row],[Classification]]="Owner´s Equity"),Table842[[#This Row],[Credit.]]&gt;Table842[[#This Row],[Debit\]]),Table842[[#This Row],[Credit.]]-Table842[[#This Row],[Debit\]],""),"")</f>
        <v/>
      </c>
    </row>
    <row r="84" spans="2:34" hidden="1" x14ac:dyDescent="0.25">
      <c r="B84" s="34"/>
      <c r="C84" s="37"/>
      <c r="D84" s="34"/>
      <c r="E84" s="34"/>
      <c r="G84" s="39"/>
      <c r="H84" s="40"/>
      <c r="I84" s="41"/>
      <c r="J84" s="41"/>
      <c r="L84" s="34">
        <v>77</v>
      </c>
      <c r="M84" s="35"/>
      <c r="N84" s="35"/>
      <c r="O84" s="34">
        <f>IFERROR(SUMIF(Table439[,],Table641[[#This Row],[Accounts Name]],Table439[,3]),"")</f>
        <v>0</v>
      </c>
      <c r="P84" s="34">
        <f>IFERROR(SUMIF(Table439[,],Table641[[#This Row],[Accounts Name]],Table439[,2]),"")</f>
        <v>0</v>
      </c>
      <c r="S84" s="36">
        <f t="shared" si="1"/>
        <v>77</v>
      </c>
      <c r="T84" s="34"/>
      <c r="U84" s="37"/>
      <c r="V84" s="34">
        <f>IFERROR(SUMIF(Table641[Sub-Accounts],Table842[[#This Row],[Update your chart of accounts here]],Table641[Debit]),"")</f>
        <v>0</v>
      </c>
      <c r="W84" s="34">
        <f>IFERROR(SUMIF(Table641[Sub-Accounts],Table842[[#This Row],[Update your chart of accounts here]],Table641[Credit]),"")</f>
        <v>0</v>
      </c>
      <c r="X84" s="34"/>
      <c r="Y84" s="34"/>
      <c r="Z84" s="34"/>
      <c r="AA84" s="34"/>
      <c r="AB84" s="34">
        <f>MAX(Table842[[#This Row],[Debit]]+Table842[[#This Row],[Debit -]]-Table842[[#This Row],[Credit]]-Table842[[#This Row],[Credit +]],0)</f>
        <v>0</v>
      </c>
      <c r="AC84" s="34">
        <f>MAX(Table842[[#This Row],[Credit]]-Table842[[#This Row],[Debit]]+Table842[[#This Row],[Credit +]]-Table842[[#This Row],[Debit -]],0)</f>
        <v>0</v>
      </c>
      <c r="AD84" s="34" t="str">
        <f>IFERROR(IF(AND(OR(Table842[[#This Row],[Classification]]="Expense",Table842[[#This Row],[Classification]]="Cost of Goods Sold"),Table842[[#This Row],[Debit\]]&gt;Table842[[#This Row],[Credit.]]),Table842[[#This Row],[Debit\]]-Table842[[#This Row],[Credit.]],""),"")</f>
        <v/>
      </c>
      <c r="AE84" s="34" t="str">
        <f>IFERROR(IF(AND(OR(Table842[[#This Row],[Classification]]="Income",Table842[[#This Row],[Classification]]="Cost of Goods Sold"),Table842[[#This Row],[Credit.]]&gt;Table842[[#This Row],[Debit\]]),Table842[[#This Row],[Credit.]]-Table842[[#This Row],[Debit\]],""),"")</f>
        <v/>
      </c>
      <c r="AF84" s="34"/>
      <c r="AG84" s="34" t="str">
        <f>IFERROR(IF(AND(Table842[[#This Row],[Classification]]="Assets",Table842[[#This Row],[Debit\]]-Table842[[#This Row],[Credit.]]),Table842[[#This Row],[Debit\]]-Table842[[#This Row],[Credit.]],""),"")</f>
        <v/>
      </c>
      <c r="AH84" s="34" t="str">
        <f>IFERROR(IF(AND(OR(Table842[[#This Row],[Classification]]="Liabilities",Table842[[#This Row],[Classification]]="Owner´s Equity"),Table842[[#This Row],[Credit.]]&gt;Table842[[#This Row],[Debit\]]),Table842[[#This Row],[Credit.]]-Table842[[#This Row],[Debit\]],""),"")</f>
        <v/>
      </c>
    </row>
    <row r="85" spans="2:34" hidden="1" x14ac:dyDescent="0.25">
      <c r="B85" s="34"/>
      <c r="C85" s="37"/>
      <c r="D85" s="34"/>
      <c r="E85" s="34"/>
      <c r="G85" s="39"/>
      <c r="H85" s="40"/>
      <c r="I85" s="41"/>
      <c r="J85" s="41"/>
      <c r="L85" s="34">
        <v>78</v>
      </c>
      <c r="M85" s="35"/>
      <c r="N85" s="35"/>
      <c r="O85" s="34">
        <f>IFERROR(SUMIF(Table439[,],Table641[[#This Row],[Accounts Name]],Table439[,3]),"")</f>
        <v>0</v>
      </c>
      <c r="P85" s="34">
        <f>IFERROR(SUMIF(Table439[,],Table641[[#This Row],[Accounts Name]],Table439[,2]),"")</f>
        <v>0</v>
      </c>
      <c r="S85" s="36">
        <f t="shared" si="1"/>
        <v>78</v>
      </c>
      <c r="T85" s="34"/>
      <c r="U85" s="37"/>
      <c r="V85" s="34">
        <f>IFERROR(SUMIF(Table641[Sub-Accounts],Table842[[#This Row],[Update your chart of accounts here]],Table641[Debit]),"")</f>
        <v>0</v>
      </c>
      <c r="W85" s="34">
        <f>IFERROR(SUMIF(Table641[Sub-Accounts],Table842[[#This Row],[Update your chart of accounts here]],Table641[Credit]),"")</f>
        <v>0</v>
      </c>
      <c r="X85" s="34"/>
      <c r="Y85" s="34"/>
      <c r="Z85" s="34"/>
      <c r="AA85" s="34"/>
      <c r="AB85" s="34">
        <f>MAX(Table842[[#This Row],[Debit]]+Table842[[#This Row],[Debit -]]-Table842[[#This Row],[Credit]]-Table842[[#This Row],[Credit +]],0)</f>
        <v>0</v>
      </c>
      <c r="AC85" s="34">
        <f>MAX(Table842[[#This Row],[Credit]]-Table842[[#This Row],[Debit]]+Table842[[#This Row],[Credit +]]-Table842[[#This Row],[Debit -]],0)</f>
        <v>0</v>
      </c>
      <c r="AD85" s="34" t="str">
        <f>IFERROR(IF(AND(OR(Table842[[#This Row],[Classification]]="Expense",Table842[[#This Row],[Classification]]="Cost of Goods Sold"),Table842[[#This Row],[Debit\]]&gt;Table842[[#This Row],[Credit.]]),Table842[[#This Row],[Debit\]]-Table842[[#This Row],[Credit.]],""),"")</f>
        <v/>
      </c>
      <c r="AE85" s="34" t="str">
        <f>IFERROR(IF(AND(OR(Table842[[#This Row],[Classification]]="Income",Table842[[#This Row],[Classification]]="Cost of Goods Sold"),Table842[[#This Row],[Credit.]]&gt;Table842[[#This Row],[Debit\]]),Table842[[#This Row],[Credit.]]-Table842[[#This Row],[Debit\]],""),"")</f>
        <v/>
      </c>
      <c r="AF85" s="34"/>
      <c r="AG85" s="34" t="str">
        <f>IFERROR(IF(AND(Table842[[#This Row],[Classification]]="Assets",Table842[[#This Row],[Debit\]]-Table842[[#This Row],[Credit.]]),Table842[[#This Row],[Debit\]]-Table842[[#This Row],[Credit.]],""),"")</f>
        <v/>
      </c>
      <c r="AH85" s="34" t="str">
        <f>IFERROR(IF(AND(OR(Table842[[#This Row],[Classification]]="Liabilities",Table842[[#This Row],[Classification]]="Owner´s Equity"),Table842[[#This Row],[Credit.]]&gt;Table842[[#This Row],[Debit\]]),Table842[[#This Row],[Credit.]]-Table842[[#This Row],[Debit\]],""),"")</f>
        <v/>
      </c>
    </row>
    <row r="86" spans="2:34" hidden="1" x14ac:dyDescent="0.25">
      <c r="B86" s="34"/>
      <c r="C86" s="37"/>
      <c r="D86" s="34"/>
      <c r="E86" s="34"/>
      <c r="G86" s="39"/>
      <c r="H86" s="43"/>
      <c r="I86" s="41"/>
      <c r="J86" s="41"/>
      <c r="L86" s="34">
        <v>79</v>
      </c>
      <c r="M86" s="35"/>
      <c r="N86" s="35"/>
      <c r="O86" s="34">
        <f>IFERROR(SUMIF(Table439[,],Table641[[#This Row],[Accounts Name]],Table439[,3]),"")</f>
        <v>0</v>
      </c>
      <c r="P86" s="34">
        <f>IFERROR(SUMIF(Table439[,],Table641[[#This Row],[Accounts Name]],Table439[,2]),"")</f>
        <v>0</v>
      </c>
      <c r="S86" s="36">
        <f t="shared" si="1"/>
        <v>79</v>
      </c>
      <c r="T86" s="34"/>
      <c r="U86" s="37"/>
      <c r="V86" s="34">
        <f>IFERROR(SUMIF(Table641[Sub-Accounts],Table842[[#This Row],[Update your chart of accounts here]],Table641[Debit]),"")</f>
        <v>0</v>
      </c>
      <c r="W86" s="34">
        <f>IFERROR(SUMIF(Table641[Sub-Accounts],Table842[[#This Row],[Update your chart of accounts here]],Table641[Credit]),"")</f>
        <v>0</v>
      </c>
      <c r="X86" s="34"/>
      <c r="Y86" s="34"/>
      <c r="Z86" s="34"/>
      <c r="AA86" s="34"/>
      <c r="AB86" s="34">
        <f>MAX(Table842[[#This Row],[Debit]]+Table842[[#This Row],[Debit -]]-Table842[[#This Row],[Credit]]-Table842[[#This Row],[Credit +]],0)</f>
        <v>0</v>
      </c>
      <c r="AC86" s="34">
        <f>MAX(Table842[[#This Row],[Credit]]-Table842[[#This Row],[Debit]]+Table842[[#This Row],[Credit +]]-Table842[[#This Row],[Debit -]],0)</f>
        <v>0</v>
      </c>
      <c r="AD86" s="34" t="str">
        <f>IFERROR(IF(AND(OR(Table842[[#This Row],[Classification]]="Expense",Table842[[#This Row],[Classification]]="Cost of Goods Sold"),Table842[[#This Row],[Debit\]]&gt;Table842[[#This Row],[Credit.]]),Table842[[#This Row],[Debit\]]-Table842[[#This Row],[Credit.]],""),"")</f>
        <v/>
      </c>
      <c r="AE86" s="34" t="str">
        <f>IFERROR(IF(AND(OR(Table842[[#This Row],[Classification]]="Income",Table842[[#This Row],[Classification]]="Cost of Goods Sold"),Table842[[#This Row],[Credit.]]&gt;Table842[[#This Row],[Debit\]]),Table842[[#This Row],[Credit.]]-Table842[[#This Row],[Debit\]],""),"")</f>
        <v/>
      </c>
      <c r="AF86" s="34"/>
      <c r="AG86" s="34" t="str">
        <f>IFERROR(IF(AND(Table842[[#This Row],[Classification]]="Assets",Table842[[#This Row],[Debit\]]-Table842[[#This Row],[Credit.]]),Table842[[#This Row],[Debit\]]-Table842[[#This Row],[Credit.]],""),"")</f>
        <v/>
      </c>
      <c r="AH86" s="34" t="str">
        <f>IFERROR(IF(AND(OR(Table842[[#This Row],[Classification]]="Liabilities",Table842[[#This Row],[Classification]]="Owner´s Equity"),Table842[[#This Row],[Credit.]]&gt;Table842[[#This Row],[Debit\]]),Table842[[#This Row],[Credit.]]-Table842[[#This Row],[Debit\]],""),"")</f>
        <v/>
      </c>
    </row>
    <row r="87" spans="2:34" hidden="1" x14ac:dyDescent="0.25">
      <c r="B87" s="34"/>
      <c r="C87" s="37"/>
      <c r="D87" s="34"/>
      <c r="E87" s="34"/>
      <c r="G87" s="39"/>
      <c r="H87" s="40"/>
      <c r="I87" s="41"/>
      <c r="J87" s="41"/>
      <c r="L87" s="34">
        <v>80</v>
      </c>
      <c r="M87" s="35"/>
      <c r="N87" s="35"/>
      <c r="O87" s="34">
        <f>IFERROR(SUMIF(Table439[,],Table641[[#This Row],[Accounts Name]],Table439[,3]),"")</f>
        <v>0</v>
      </c>
      <c r="P87" s="34">
        <f>IFERROR(SUMIF(Table439[,],Table641[[#This Row],[Accounts Name]],Table439[,2]),"")</f>
        <v>0</v>
      </c>
      <c r="S87" s="36">
        <f t="shared" si="1"/>
        <v>80</v>
      </c>
      <c r="T87" s="34"/>
      <c r="U87" s="37"/>
      <c r="V87" s="34">
        <f>IFERROR(SUMIF(Table641[Sub-Accounts],Table842[[#This Row],[Update your chart of accounts here]],Table641[Debit]),"")</f>
        <v>0</v>
      </c>
      <c r="W87" s="34">
        <f>IFERROR(SUMIF(Table641[Sub-Accounts],Table842[[#This Row],[Update your chart of accounts here]],Table641[Credit]),"")</f>
        <v>0</v>
      </c>
      <c r="X87" s="34"/>
      <c r="Y87" s="34"/>
      <c r="Z87" s="34"/>
      <c r="AA87" s="34"/>
      <c r="AB87" s="34">
        <f>MAX(Table842[[#This Row],[Debit]]+Table842[[#This Row],[Debit -]]-Table842[[#This Row],[Credit]]-Table842[[#This Row],[Credit +]],0)</f>
        <v>0</v>
      </c>
      <c r="AC87" s="34">
        <f>MAX(Table842[[#This Row],[Credit]]-Table842[[#This Row],[Debit]]+Table842[[#This Row],[Credit +]]-Table842[[#This Row],[Debit -]],0)</f>
        <v>0</v>
      </c>
      <c r="AD87" s="34" t="str">
        <f>IFERROR(IF(AND(OR(Table842[[#This Row],[Classification]]="Expense",Table842[[#This Row],[Classification]]="Cost of Goods Sold"),Table842[[#This Row],[Debit\]]&gt;Table842[[#This Row],[Credit.]]),Table842[[#This Row],[Debit\]]-Table842[[#This Row],[Credit.]],""),"")</f>
        <v/>
      </c>
      <c r="AE87" s="34" t="str">
        <f>IFERROR(IF(AND(OR(Table842[[#This Row],[Classification]]="Income",Table842[[#This Row],[Classification]]="Cost of Goods Sold"),Table842[[#This Row],[Credit.]]&gt;Table842[[#This Row],[Debit\]]),Table842[[#This Row],[Credit.]]-Table842[[#This Row],[Debit\]],""),"")</f>
        <v/>
      </c>
      <c r="AF87" s="34"/>
      <c r="AG87" s="34" t="str">
        <f>IFERROR(IF(AND(Table842[[#This Row],[Classification]]="Assets",Table842[[#This Row],[Debit\]]-Table842[[#This Row],[Credit.]]),Table842[[#This Row],[Debit\]]-Table842[[#This Row],[Credit.]],""),"")</f>
        <v/>
      </c>
      <c r="AH87" s="34" t="str">
        <f>IFERROR(IF(AND(OR(Table842[[#This Row],[Classification]]="Liabilities",Table842[[#This Row],[Classification]]="Owner´s Equity"),Table842[[#This Row],[Credit.]]&gt;Table842[[#This Row],[Debit\]]),Table842[[#This Row],[Credit.]]-Table842[[#This Row],[Debit\]],""),"")</f>
        <v/>
      </c>
    </row>
    <row r="88" spans="2:34" hidden="1" x14ac:dyDescent="0.25">
      <c r="B88" s="34"/>
      <c r="C88" s="37"/>
      <c r="D88" s="34"/>
      <c r="E88" s="34"/>
      <c r="G88" s="39"/>
      <c r="H88" s="40"/>
      <c r="I88" s="41"/>
      <c r="J88" s="41"/>
      <c r="L88" s="34">
        <v>81</v>
      </c>
      <c r="M88" s="35"/>
      <c r="N88" s="35"/>
      <c r="O88" s="34">
        <f>IFERROR(SUMIF(Table439[,],Table641[[#This Row],[Accounts Name]],Table439[,3]),"")</f>
        <v>0</v>
      </c>
      <c r="P88" s="34">
        <f>IFERROR(SUMIF(Table439[,],Table641[[#This Row],[Accounts Name]],Table439[,2]),"")</f>
        <v>0</v>
      </c>
      <c r="S88" s="36">
        <f t="shared" si="1"/>
        <v>81</v>
      </c>
      <c r="T88" s="34"/>
      <c r="U88" s="37"/>
      <c r="V88" s="34">
        <f>IFERROR(SUMIF(Table641[Sub-Accounts],Table842[[#This Row],[Update your chart of accounts here]],Table641[Debit]),"")</f>
        <v>0</v>
      </c>
      <c r="W88" s="34">
        <f>IFERROR(SUMIF(Table641[Sub-Accounts],Table842[[#This Row],[Update your chart of accounts here]],Table641[Credit]),"")</f>
        <v>0</v>
      </c>
      <c r="X88" s="34"/>
      <c r="Y88" s="34"/>
      <c r="Z88" s="34"/>
      <c r="AA88" s="34"/>
      <c r="AB88" s="34">
        <f>MAX(Table842[[#This Row],[Debit]]+Table842[[#This Row],[Debit -]]-Table842[[#This Row],[Credit]]-Table842[[#This Row],[Credit +]],0)</f>
        <v>0</v>
      </c>
      <c r="AC88" s="34">
        <f>MAX(Table842[[#This Row],[Credit]]-Table842[[#This Row],[Debit]]+Table842[[#This Row],[Credit +]]-Table842[[#This Row],[Debit -]],0)</f>
        <v>0</v>
      </c>
      <c r="AD88" s="34" t="str">
        <f>IFERROR(IF(AND(OR(Table842[[#This Row],[Classification]]="Expense",Table842[[#This Row],[Classification]]="Cost of Goods Sold"),Table842[[#This Row],[Debit\]]&gt;Table842[[#This Row],[Credit.]]),Table842[[#This Row],[Debit\]]-Table842[[#This Row],[Credit.]],""),"")</f>
        <v/>
      </c>
      <c r="AE88" s="34" t="str">
        <f>IFERROR(IF(AND(OR(Table842[[#This Row],[Classification]]="Income",Table842[[#This Row],[Classification]]="Cost of Goods Sold"),Table842[[#This Row],[Credit.]]&gt;Table842[[#This Row],[Debit\]]),Table842[[#This Row],[Credit.]]-Table842[[#This Row],[Debit\]],""),"")</f>
        <v/>
      </c>
      <c r="AF88" s="34"/>
      <c r="AG88" s="34" t="str">
        <f>IFERROR(IF(AND(Table842[[#This Row],[Classification]]="Assets",Table842[[#This Row],[Debit\]]-Table842[[#This Row],[Credit.]]),Table842[[#This Row],[Debit\]]-Table842[[#This Row],[Credit.]],""),"")</f>
        <v/>
      </c>
      <c r="AH88" s="34" t="str">
        <f>IFERROR(IF(AND(OR(Table842[[#This Row],[Classification]]="Liabilities",Table842[[#This Row],[Classification]]="Owner´s Equity"),Table842[[#This Row],[Credit.]]&gt;Table842[[#This Row],[Debit\]]),Table842[[#This Row],[Credit.]]-Table842[[#This Row],[Debit\]],""),"")</f>
        <v/>
      </c>
    </row>
    <row r="89" spans="2:34" hidden="1" x14ac:dyDescent="0.25">
      <c r="B89" s="34"/>
      <c r="C89" s="37"/>
      <c r="D89" s="34"/>
      <c r="E89" s="34"/>
      <c r="G89" s="39"/>
      <c r="H89" s="43"/>
      <c r="I89" s="41"/>
      <c r="J89" s="41"/>
      <c r="L89" s="34">
        <v>82</v>
      </c>
      <c r="M89" s="35"/>
      <c r="N89" s="35"/>
      <c r="O89" s="34">
        <f>IFERROR(SUMIF(Table439[,],Table641[[#This Row],[Accounts Name]],Table439[,3]),"")</f>
        <v>0</v>
      </c>
      <c r="P89" s="34">
        <f>IFERROR(SUMIF(Table439[,],Table641[[#This Row],[Accounts Name]],Table439[,2]),"")</f>
        <v>0</v>
      </c>
      <c r="S89" s="36">
        <f t="shared" si="1"/>
        <v>82</v>
      </c>
      <c r="T89" s="34"/>
      <c r="U89" s="37"/>
      <c r="V89" s="34">
        <f>IFERROR(SUMIF(Table641[Sub-Accounts],Table842[[#This Row],[Update your chart of accounts here]],Table641[Debit]),"")</f>
        <v>0</v>
      </c>
      <c r="W89" s="34">
        <f>IFERROR(SUMIF(Table641[Sub-Accounts],Table842[[#This Row],[Update your chart of accounts here]],Table641[Credit]),"")</f>
        <v>0</v>
      </c>
      <c r="X89" s="34"/>
      <c r="Y89" s="34"/>
      <c r="Z89" s="34"/>
      <c r="AA89" s="34"/>
      <c r="AB89" s="34">
        <f>MAX(Table842[[#This Row],[Debit]]+Table842[[#This Row],[Debit -]]-Table842[[#This Row],[Credit]]-Table842[[#This Row],[Credit +]],0)</f>
        <v>0</v>
      </c>
      <c r="AC89" s="34">
        <f>MAX(Table842[[#This Row],[Credit]]-Table842[[#This Row],[Debit]]+Table842[[#This Row],[Credit +]]-Table842[[#This Row],[Debit -]],0)</f>
        <v>0</v>
      </c>
      <c r="AD89" s="34" t="str">
        <f>IFERROR(IF(AND(OR(Table842[[#This Row],[Classification]]="Expense",Table842[[#This Row],[Classification]]="Cost of Goods Sold"),Table842[[#This Row],[Debit\]]&gt;Table842[[#This Row],[Credit.]]),Table842[[#This Row],[Debit\]]-Table842[[#This Row],[Credit.]],""),"")</f>
        <v/>
      </c>
      <c r="AE89" s="34" t="str">
        <f>IFERROR(IF(AND(OR(Table842[[#This Row],[Classification]]="Income",Table842[[#This Row],[Classification]]="Cost of Goods Sold"),Table842[[#This Row],[Credit.]]&gt;Table842[[#This Row],[Debit\]]),Table842[[#This Row],[Credit.]]-Table842[[#This Row],[Debit\]],""),"")</f>
        <v/>
      </c>
      <c r="AF89" s="34"/>
      <c r="AG89" s="34" t="str">
        <f>IFERROR(IF(AND(Table842[[#This Row],[Classification]]="Assets",Table842[[#This Row],[Debit\]]-Table842[[#This Row],[Credit.]]),Table842[[#This Row],[Debit\]]-Table842[[#This Row],[Credit.]],""),"")</f>
        <v/>
      </c>
      <c r="AH89" s="34" t="str">
        <f>IFERROR(IF(AND(OR(Table842[[#This Row],[Classification]]="Liabilities",Table842[[#This Row],[Classification]]="Owner´s Equity"),Table842[[#This Row],[Credit.]]&gt;Table842[[#This Row],[Debit\]]),Table842[[#This Row],[Credit.]]-Table842[[#This Row],[Debit\]],""),"")</f>
        <v/>
      </c>
    </row>
    <row r="90" spans="2:34" hidden="1" x14ac:dyDescent="0.25">
      <c r="B90" s="34"/>
      <c r="C90" s="45"/>
      <c r="D90" s="34"/>
      <c r="E90" s="34"/>
      <c r="G90" s="39"/>
      <c r="H90" s="40"/>
      <c r="I90" s="41"/>
      <c r="J90" s="41"/>
      <c r="L90" s="34">
        <v>83</v>
      </c>
      <c r="M90" s="35"/>
      <c r="N90" s="35"/>
      <c r="O90" s="34">
        <f>IFERROR(SUMIF(Table439[,],Table641[[#This Row],[Accounts Name]],Table439[,3]),"")</f>
        <v>0</v>
      </c>
      <c r="P90" s="34">
        <f>IFERROR(SUMIF(Table439[,],Table641[[#This Row],[Accounts Name]],Table439[,2]),"")</f>
        <v>0</v>
      </c>
      <c r="S90" s="36">
        <f t="shared" si="1"/>
        <v>83</v>
      </c>
      <c r="T90" s="34"/>
      <c r="U90" s="37"/>
      <c r="V90" s="34">
        <f>IFERROR(SUMIF(Table641[Sub-Accounts],Table842[[#This Row],[Update your chart of accounts here]],Table641[Debit]),"")</f>
        <v>0</v>
      </c>
      <c r="W90" s="34">
        <f>IFERROR(SUMIF(Table641[Sub-Accounts],Table842[[#This Row],[Update your chart of accounts here]],Table641[Credit]),"")</f>
        <v>0</v>
      </c>
      <c r="X90" s="34"/>
      <c r="Y90" s="34"/>
      <c r="Z90" s="34"/>
      <c r="AA90" s="34"/>
      <c r="AB90" s="34">
        <f>MAX(Table842[[#This Row],[Debit]]+Table842[[#This Row],[Debit -]]-Table842[[#This Row],[Credit]]-Table842[[#This Row],[Credit +]],0)</f>
        <v>0</v>
      </c>
      <c r="AC90" s="34">
        <f>MAX(Table842[[#This Row],[Credit]]-Table842[[#This Row],[Debit]]+Table842[[#This Row],[Credit +]]-Table842[[#This Row],[Debit -]],0)</f>
        <v>0</v>
      </c>
      <c r="AD90" s="34" t="str">
        <f>IFERROR(IF(AND(OR(Table842[[#This Row],[Classification]]="Expense",Table842[[#This Row],[Classification]]="Cost of Goods Sold"),Table842[[#This Row],[Debit\]]&gt;Table842[[#This Row],[Credit.]]),Table842[[#This Row],[Debit\]]-Table842[[#This Row],[Credit.]],""),"")</f>
        <v/>
      </c>
      <c r="AE90" s="34" t="str">
        <f>IFERROR(IF(AND(OR(Table842[[#This Row],[Classification]]="Income",Table842[[#This Row],[Classification]]="Cost of Goods Sold"),Table842[[#This Row],[Credit.]]&gt;Table842[[#This Row],[Debit\]]),Table842[[#This Row],[Credit.]]-Table842[[#This Row],[Debit\]],""),"")</f>
        <v/>
      </c>
      <c r="AF90" s="34"/>
      <c r="AG90" s="34" t="str">
        <f>IFERROR(IF(AND(Table842[[#This Row],[Classification]]="Assets",Table842[[#This Row],[Debit\]]-Table842[[#This Row],[Credit.]]),Table842[[#This Row],[Debit\]]-Table842[[#This Row],[Credit.]],""),"")</f>
        <v/>
      </c>
      <c r="AH90" s="34" t="str">
        <f>IFERROR(IF(AND(OR(Table842[[#This Row],[Classification]]="Liabilities",Table842[[#This Row],[Classification]]="Owner´s Equity"),Table842[[#This Row],[Credit.]]&gt;Table842[[#This Row],[Debit\]]),Table842[[#This Row],[Credit.]]-Table842[[#This Row],[Debit\]],""),"")</f>
        <v/>
      </c>
    </row>
    <row r="91" spans="2:34" hidden="1" x14ac:dyDescent="0.25">
      <c r="B91" s="34"/>
      <c r="C91" s="45"/>
      <c r="D91" s="34"/>
      <c r="E91" s="34"/>
      <c r="G91" s="39"/>
      <c r="H91" s="40"/>
      <c r="I91" s="41"/>
      <c r="J91" s="41"/>
      <c r="L91" s="34">
        <v>84</v>
      </c>
      <c r="M91" s="35"/>
      <c r="N91" s="35"/>
      <c r="O91" s="34">
        <f>IFERROR(SUMIF(Table439[,],Table641[[#This Row],[Accounts Name]],Table439[,3]),"")</f>
        <v>0</v>
      </c>
      <c r="P91" s="34">
        <f>IFERROR(SUMIF(Table439[,],Table641[[#This Row],[Accounts Name]],Table439[,2]),"")</f>
        <v>0</v>
      </c>
      <c r="S91" s="36">
        <f t="shared" si="1"/>
        <v>84</v>
      </c>
      <c r="T91" s="34"/>
      <c r="U91" s="37"/>
      <c r="V91" s="34">
        <f>IFERROR(SUMIF(Table641[Sub-Accounts],Table842[[#This Row],[Update your chart of accounts here]],Table641[Debit]),"")</f>
        <v>0</v>
      </c>
      <c r="W91" s="34">
        <f>IFERROR(SUMIF(Table641[Sub-Accounts],Table842[[#This Row],[Update your chart of accounts here]],Table641[Credit]),"")</f>
        <v>0</v>
      </c>
      <c r="X91" s="34"/>
      <c r="Y91" s="34"/>
      <c r="Z91" s="34"/>
      <c r="AA91" s="34"/>
      <c r="AB91" s="34">
        <f>MAX(Table842[[#This Row],[Debit]]+Table842[[#This Row],[Debit -]]-Table842[[#This Row],[Credit]]-Table842[[#This Row],[Credit +]],0)</f>
        <v>0</v>
      </c>
      <c r="AC91" s="34">
        <f>MAX(Table842[[#This Row],[Credit]]-Table842[[#This Row],[Debit]]+Table842[[#This Row],[Credit +]]-Table842[[#This Row],[Debit -]],0)</f>
        <v>0</v>
      </c>
      <c r="AD91" s="34" t="str">
        <f>IFERROR(IF(AND(OR(Table842[[#This Row],[Classification]]="Expense",Table842[[#This Row],[Classification]]="Cost of Goods Sold"),Table842[[#This Row],[Debit\]]&gt;Table842[[#This Row],[Credit.]]),Table842[[#This Row],[Debit\]]-Table842[[#This Row],[Credit.]],""),"")</f>
        <v/>
      </c>
      <c r="AE91" s="34" t="str">
        <f>IFERROR(IF(AND(OR(Table842[[#This Row],[Classification]]="Income",Table842[[#This Row],[Classification]]="Cost of Goods Sold"),Table842[[#This Row],[Credit.]]&gt;Table842[[#This Row],[Debit\]]),Table842[[#This Row],[Credit.]]-Table842[[#This Row],[Debit\]],""),"")</f>
        <v/>
      </c>
      <c r="AF91" s="34"/>
      <c r="AG91" s="34" t="str">
        <f>IFERROR(IF(AND(Table842[[#This Row],[Classification]]="Assets",Table842[[#This Row],[Debit\]]-Table842[[#This Row],[Credit.]]),Table842[[#This Row],[Debit\]]-Table842[[#This Row],[Credit.]],""),"")</f>
        <v/>
      </c>
      <c r="AH91" s="34" t="str">
        <f>IFERROR(IF(AND(OR(Table842[[#This Row],[Classification]]="Liabilities",Table842[[#This Row],[Classification]]="Owner´s Equity"),Table842[[#This Row],[Credit.]]&gt;Table842[[#This Row],[Debit\]]),Table842[[#This Row],[Credit.]]-Table842[[#This Row],[Debit\]],""),"")</f>
        <v/>
      </c>
    </row>
    <row r="92" spans="2:34" hidden="1" x14ac:dyDescent="0.25">
      <c r="B92" s="34"/>
      <c r="C92" s="45"/>
      <c r="D92" s="34"/>
      <c r="E92" s="34"/>
      <c r="G92" s="39"/>
      <c r="H92" s="43"/>
      <c r="I92" s="41"/>
      <c r="J92" s="41"/>
      <c r="L92" s="34">
        <v>85</v>
      </c>
      <c r="M92" s="35"/>
      <c r="N92" s="35"/>
      <c r="O92" s="34">
        <f>IFERROR(SUMIF(Table439[,],Table641[[#This Row],[Accounts Name]],Table439[,3]),"")</f>
        <v>0</v>
      </c>
      <c r="P92" s="34">
        <f>IFERROR(SUMIF(Table439[,],Table641[[#This Row],[Accounts Name]],Table439[,2]),"")</f>
        <v>0</v>
      </c>
      <c r="S92" s="36">
        <f t="shared" si="1"/>
        <v>85</v>
      </c>
      <c r="T92" s="34"/>
      <c r="U92" s="37"/>
      <c r="V92" s="34">
        <f>IFERROR(SUMIF(Table641[Sub-Accounts],Table842[[#This Row],[Update your chart of accounts here]],Table641[Debit]),"")</f>
        <v>0</v>
      </c>
      <c r="W92" s="34">
        <f>IFERROR(SUMIF(Table641[Sub-Accounts],Table842[[#This Row],[Update your chart of accounts here]],Table641[Credit]),"")</f>
        <v>0</v>
      </c>
      <c r="X92" s="34"/>
      <c r="Y92" s="34"/>
      <c r="Z92" s="34"/>
      <c r="AA92" s="34"/>
      <c r="AB92" s="34">
        <f>MAX(Table842[[#This Row],[Debit]]+Table842[[#This Row],[Debit -]]-Table842[[#This Row],[Credit]]-Table842[[#This Row],[Credit +]],0)</f>
        <v>0</v>
      </c>
      <c r="AC92" s="34">
        <f>MAX(Table842[[#This Row],[Credit]]-Table842[[#This Row],[Debit]]+Table842[[#This Row],[Credit +]]-Table842[[#This Row],[Debit -]],0)</f>
        <v>0</v>
      </c>
      <c r="AD92" s="34" t="str">
        <f>IFERROR(IF(AND(OR(Table842[[#This Row],[Classification]]="Expense",Table842[[#This Row],[Classification]]="Cost of Goods Sold"),Table842[[#This Row],[Debit\]]&gt;Table842[[#This Row],[Credit.]]),Table842[[#This Row],[Debit\]]-Table842[[#This Row],[Credit.]],""),"")</f>
        <v/>
      </c>
      <c r="AE92" s="34" t="str">
        <f>IFERROR(IF(AND(OR(Table842[[#This Row],[Classification]]="Income",Table842[[#This Row],[Classification]]="Cost of Goods Sold"),Table842[[#This Row],[Credit.]]&gt;Table842[[#This Row],[Debit\]]),Table842[[#This Row],[Credit.]]-Table842[[#This Row],[Debit\]],""),"")</f>
        <v/>
      </c>
      <c r="AF92" s="34"/>
      <c r="AG92" s="34" t="str">
        <f>IFERROR(IF(AND(Table842[[#This Row],[Classification]]="Assets",Table842[[#This Row],[Debit\]]-Table842[[#This Row],[Credit.]]),Table842[[#This Row],[Debit\]]-Table842[[#This Row],[Credit.]],""),"")</f>
        <v/>
      </c>
      <c r="AH92" s="34" t="str">
        <f>IFERROR(IF(AND(OR(Table842[[#This Row],[Classification]]="Liabilities",Table842[[#This Row],[Classification]]="Owner´s Equity"),Table842[[#This Row],[Credit.]]&gt;Table842[[#This Row],[Debit\]]),Table842[[#This Row],[Credit.]]-Table842[[#This Row],[Debit\]],""),"")</f>
        <v/>
      </c>
    </row>
    <row r="93" spans="2:34" hidden="1" x14ac:dyDescent="0.25">
      <c r="B93" s="34"/>
      <c r="C93" s="45"/>
      <c r="D93" s="34"/>
      <c r="E93" s="34"/>
      <c r="G93" s="39"/>
      <c r="H93" s="40"/>
      <c r="I93" s="41"/>
      <c r="J93" s="41"/>
      <c r="L93" s="34">
        <v>86</v>
      </c>
      <c r="M93" s="35"/>
      <c r="N93" s="35"/>
      <c r="O93" s="34">
        <f>IFERROR(SUMIF(Table439[,],Table641[[#This Row],[Accounts Name]],Table439[,3]),"")</f>
        <v>0</v>
      </c>
      <c r="P93" s="34">
        <f>IFERROR(SUMIF(Table439[,],Table641[[#This Row],[Accounts Name]],Table439[,2]),"")</f>
        <v>0</v>
      </c>
      <c r="S93" s="36">
        <f t="shared" si="1"/>
        <v>86</v>
      </c>
      <c r="T93" s="34"/>
      <c r="U93" s="37"/>
      <c r="V93" s="34">
        <f>IFERROR(SUMIF(Table641[Sub-Accounts],Table842[[#This Row],[Update your chart of accounts here]],Table641[Debit]),"")</f>
        <v>0</v>
      </c>
      <c r="W93" s="34">
        <f>IFERROR(SUMIF(Table641[Sub-Accounts],Table842[[#This Row],[Update your chart of accounts here]],Table641[Credit]),"")</f>
        <v>0</v>
      </c>
      <c r="X93" s="34"/>
      <c r="Y93" s="34"/>
      <c r="Z93" s="34"/>
      <c r="AA93" s="34"/>
      <c r="AB93" s="34">
        <f>MAX(Table842[[#This Row],[Debit]]+Table842[[#This Row],[Debit -]]-Table842[[#This Row],[Credit]]-Table842[[#This Row],[Credit +]],0)</f>
        <v>0</v>
      </c>
      <c r="AC93" s="34">
        <f>MAX(Table842[[#This Row],[Credit]]-Table842[[#This Row],[Debit]]+Table842[[#This Row],[Credit +]]-Table842[[#This Row],[Debit -]],0)</f>
        <v>0</v>
      </c>
      <c r="AD93" s="34" t="str">
        <f>IFERROR(IF(AND(OR(Table842[[#This Row],[Classification]]="Expense",Table842[[#This Row],[Classification]]="Cost of Goods Sold"),Table842[[#This Row],[Debit\]]&gt;Table842[[#This Row],[Credit.]]),Table842[[#This Row],[Debit\]]-Table842[[#This Row],[Credit.]],""),"")</f>
        <v/>
      </c>
      <c r="AE93" s="34" t="str">
        <f>IFERROR(IF(AND(OR(Table842[[#This Row],[Classification]]="Income",Table842[[#This Row],[Classification]]="Cost of Goods Sold"),Table842[[#This Row],[Credit.]]&gt;Table842[[#This Row],[Debit\]]),Table842[[#This Row],[Credit.]]-Table842[[#This Row],[Debit\]],""),"")</f>
        <v/>
      </c>
      <c r="AF93" s="34"/>
      <c r="AG93" s="34" t="str">
        <f>IFERROR(IF(AND(Table842[[#This Row],[Classification]]="Assets",Table842[[#This Row],[Debit\]]-Table842[[#This Row],[Credit.]]),Table842[[#This Row],[Debit\]]-Table842[[#This Row],[Credit.]],""),"")</f>
        <v/>
      </c>
      <c r="AH93" s="34" t="str">
        <f>IFERROR(IF(AND(OR(Table842[[#This Row],[Classification]]="Liabilities",Table842[[#This Row],[Classification]]="Owner´s Equity"),Table842[[#This Row],[Credit.]]&gt;Table842[[#This Row],[Debit\]]),Table842[[#This Row],[Credit.]]-Table842[[#This Row],[Debit\]],""),"")</f>
        <v/>
      </c>
    </row>
    <row r="94" spans="2:34" hidden="1" x14ac:dyDescent="0.25">
      <c r="B94" s="34"/>
      <c r="C94" s="45"/>
      <c r="D94" s="34"/>
      <c r="E94" s="34"/>
      <c r="G94" s="39"/>
      <c r="H94" s="40"/>
      <c r="I94" s="41"/>
      <c r="J94" s="41"/>
      <c r="L94" s="34">
        <v>87</v>
      </c>
      <c r="M94" s="35"/>
      <c r="N94" s="35"/>
      <c r="O94" s="34">
        <f>IFERROR(SUMIF(Table439[,],Table641[[#This Row],[Accounts Name]],Table439[,3]),"")</f>
        <v>0</v>
      </c>
      <c r="P94" s="34">
        <f>IFERROR(SUMIF(Table439[,],Table641[[#This Row],[Accounts Name]],Table439[,2]),"")</f>
        <v>0</v>
      </c>
      <c r="S94" s="36">
        <f t="shared" si="1"/>
        <v>87</v>
      </c>
      <c r="T94" s="34"/>
      <c r="U94" s="37"/>
      <c r="V94" s="34">
        <f>IFERROR(SUMIF(Table641[Sub-Accounts],Table842[[#This Row],[Update your chart of accounts here]],Table641[Debit]),"")</f>
        <v>0</v>
      </c>
      <c r="W94" s="34">
        <f>IFERROR(SUMIF(Table641[Sub-Accounts],Table842[[#This Row],[Update your chart of accounts here]],Table641[Credit]),"")</f>
        <v>0</v>
      </c>
      <c r="X94" s="34"/>
      <c r="Y94" s="34"/>
      <c r="Z94" s="34"/>
      <c r="AA94" s="34"/>
      <c r="AB94" s="34">
        <f>MAX(Table842[[#This Row],[Debit]]+Table842[[#This Row],[Debit -]]-Table842[[#This Row],[Credit]]-Table842[[#This Row],[Credit +]],0)</f>
        <v>0</v>
      </c>
      <c r="AC94" s="34">
        <f>MAX(Table842[[#This Row],[Credit]]-Table842[[#This Row],[Debit]]+Table842[[#This Row],[Credit +]]-Table842[[#This Row],[Debit -]],0)</f>
        <v>0</v>
      </c>
      <c r="AD94" s="34" t="str">
        <f>IFERROR(IF(AND(OR(Table842[[#This Row],[Classification]]="Expense",Table842[[#This Row],[Classification]]="Cost of Goods Sold"),Table842[[#This Row],[Debit\]]&gt;Table842[[#This Row],[Credit.]]),Table842[[#This Row],[Debit\]]-Table842[[#This Row],[Credit.]],""),"")</f>
        <v/>
      </c>
      <c r="AE94" s="34" t="str">
        <f>IFERROR(IF(AND(OR(Table842[[#This Row],[Classification]]="Income",Table842[[#This Row],[Classification]]="Cost of Goods Sold"),Table842[[#This Row],[Credit.]]&gt;Table842[[#This Row],[Debit\]]),Table842[[#This Row],[Credit.]]-Table842[[#This Row],[Debit\]],""),"")</f>
        <v/>
      </c>
      <c r="AF94" s="34"/>
      <c r="AG94" s="34" t="str">
        <f>IFERROR(IF(AND(Table842[[#This Row],[Classification]]="Assets",Table842[[#This Row],[Debit\]]-Table842[[#This Row],[Credit.]]),Table842[[#This Row],[Debit\]]-Table842[[#This Row],[Credit.]],""),"")</f>
        <v/>
      </c>
      <c r="AH94" s="34" t="str">
        <f>IFERROR(IF(AND(OR(Table842[[#This Row],[Classification]]="Liabilities",Table842[[#This Row],[Classification]]="Owner´s Equity"),Table842[[#This Row],[Credit.]]&gt;Table842[[#This Row],[Debit\]]),Table842[[#This Row],[Credit.]]-Table842[[#This Row],[Debit\]],""),"")</f>
        <v/>
      </c>
    </row>
    <row r="95" spans="2:34" hidden="1" x14ac:dyDescent="0.25">
      <c r="B95" s="34"/>
      <c r="C95" s="45"/>
      <c r="D95" s="34"/>
      <c r="E95" s="34"/>
      <c r="G95" s="39"/>
      <c r="H95" s="43"/>
      <c r="I95" s="41"/>
      <c r="J95" s="41"/>
      <c r="L95" s="34">
        <v>88</v>
      </c>
      <c r="M95" s="35"/>
      <c r="N95" s="35"/>
      <c r="O95" s="34">
        <f>IFERROR(SUMIF(Table439[,],Table641[[#This Row],[Accounts Name]],Table439[,3]),"")</f>
        <v>0</v>
      </c>
      <c r="P95" s="34">
        <f>IFERROR(SUMIF(Table439[,],Table641[[#This Row],[Accounts Name]],Table439[,2]),"")</f>
        <v>0</v>
      </c>
      <c r="S95" s="36">
        <f t="shared" si="1"/>
        <v>88</v>
      </c>
      <c r="T95" s="34"/>
      <c r="U95" s="37"/>
      <c r="V95" s="34">
        <f>IFERROR(SUMIF(Table641[Sub-Accounts],Table842[[#This Row],[Update your chart of accounts here]],Table641[Debit]),"")</f>
        <v>0</v>
      </c>
      <c r="W95" s="34">
        <f>IFERROR(SUMIF(Table641[Sub-Accounts],Table842[[#This Row],[Update your chart of accounts here]],Table641[Credit]),"")</f>
        <v>0</v>
      </c>
      <c r="X95" s="34"/>
      <c r="Y95" s="34"/>
      <c r="Z95" s="34"/>
      <c r="AA95" s="34"/>
      <c r="AB95" s="34">
        <f>MAX(Table842[[#This Row],[Debit]]+Table842[[#This Row],[Debit -]]-Table842[[#This Row],[Credit]]-Table842[[#This Row],[Credit +]],0)</f>
        <v>0</v>
      </c>
      <c r="AC95" s="34">
        <f>MAX(Table842[[#This Row],[Credit]]-Table842[[#This Row],[Debit]]+Table842[[#This Row],[Credit +]]-Table842[[#This Row],[Debit -]],0)</f>
        <v>0</v>
      </c>
      <c r="AD95" s="34" t="str">
        <f>IFERROR(IF(AND(OR(Table842[[#This Row],[Classification]]="Expense",Table842[[#This Row],[Classification]]="Cost of Goods Sold"),Table842[[#This Row],[Debit\]]&gt;Table842[[#This Row],[Credit.]]),Table842[[#This Row],[Debit\]]-Table842[[#This Row],[Credit.]],""),"")</f>
        <v/>
      </c>
      <c r="AE95" s="34" t="str">
        <f>IFERROR(IF(AND(OR(Table842[[#This Row],[Classification]]="Income",Table842[[#This Row],[Classification]]="Cost of Goods Sold"),Table842[[#This Row],[Credit.]]&gt;Table842[[#This Row],[Debit\]]),Table842[[#This Row],[Credit.]]-Table842[[#This Row],[Debit\]],""),"")</f>
        <v/>
      </c>
      <c r="AF95" s="34"/>
      <c r="AG95" s="34" t="str">
        <f>IFERROR(IF(AND(Table842[[#This Row],[Classification]]="Assets",Table842[[#This Row],[Debit\]]-Table842[[#This Row],[Credit.]]),Table842[[#This Row],[Debit\]]-Table842[[#This Row],[Credit.]],""),"")</f>
        <v/>
      </c>
      <c r="AH95" s="34" t="str">
        <f>IFERROR(IF(AND(OR(Table842[[#This Row],[Classification]]="Liabilities",Table842[[#This Row],[Classification]]="Owner´s Equity"),Table842[[#This Row],[Credit.]]&gt;Table842[[#This Row],[Debit\]]),Table842[[#This Row],[Credit.]]-Table842[[#This Row],[Debit\]],""),"")</f>
        <v/>
      </c>
    </row>
    <row r="96" spans="2:34" hidden="1" x14ac:dyDescent="0.25">
      <c r="B96" s="34"/>
      <c r="C96" s="45"/>
      <c r="D96" s="34"/>
      <c r="E96" s="34"/>
      <c r="G96" s="39"/>
      <c r="H96" s="40"/>
      <c r="I96" s="41"/>
      <c r="J96" s="41"/>
      <c r="L96" s="34">
        <v>89</v>
      </c>
      <c r="M96" s="35"/>
      <c r="N96" s="35"/>
      <c r="O96" s="34">
        <f>IFERROR(SUMIF(Table439[,],Table641[[#This Row],[Accounts Name]],Table439[,3]),"")</f>
        <v>0</v>
      </c>
      <c r="P96" s="34">
        <f>IFERROR(SUMIF(Table439[,],Table641[[#This Row],[Accounts Name]],Table439[,2]),"")</f>
        <v>0</v>
      </c>
      <c r="S96" s="36">
        <f t="shared" si="1"/>
        <v>89</v>
      </c>
      <c r="T96" s="34"/>
      <c r="U96" s="37"/>
      <c r="V96" s="34">
        <f>IFERROR(SUMIF(Table641[Sub-Accounts],Table842[[#This Row],[Update your chart of accounts here]],Table641[Debit]),"")</f>
        <v>0</v>
      </c>
      <c r="W96" s="34">
        <f>IFERROR(SUMIF(Table641[Sub-Accounts],Table842[[#This Row],[Update your chart of accounts here]],Table641[Credit]),"")</f>
        <v>0</v>
      </c>
      <c r="X96" s="34"/>
      <c r="Y96" s="34"/>
      <c r="Z96" s="34"/>
      <c r="AA96" s="34"/>
      <c r="AB96" s="34">
        <f>MAX(Table842[[#This Row],[Debit]]+Table842[[#This Row],[Debit -]]-Table842[[#This Row],[Credit]]-Table842[[#This Row],[Credit +]],0)</f>
        <v>0</v>
      </c>
      <c r="AC96" s="34">
        <f>MAX(Table842[[#This Row],[Credit]]-Table842[[#This Row],[Debit]]+Table842[[#This Row],[Credit +]]-Table842[[#This Row],[Debit -]],0)</f>
        <v>0</v>
      </c>
      <c r="AD96" s="34" t="str">
        <f>IFERROR(IF(AND(OR(Table842[[#This Row],[Classification]]="Expense",Table842[[#This Row],[Classification]]="Cost of Goods Sold"),Table842[[#This Row],[Debit\]]&gt;Table842[[#This Row],[Credit.]]),Table842[[#This Row],[Debit\]]-Table842[[#This Row],[Credit.]],""),"")</f>
        <v/>
      </c>
      <c r="AE96" s="34" t="str">
        <f>IFERROR(IF(AND(OR(Table842[[#This Row],[Classification]]="Income",Table842[[#This Row],[Classification]]="Cost of Goods Sold"),Table842[[#This Row],[Credit.]]&gt;Table842[[#This Row],[Debit\]]),Table842[[#This Row],[Credit.]]-Table842[[#This Row],[Debit\]],""),"")</f>
        <v/>
      </c>
      <c r="AF96" s="34"/>
      <c r="AG96" s="34" t="str">
        <f>IFERROR(IF(AND(Table842[[#This Row],[Classification]]="Assets",Table842[[#This Row],[Debit\]]-Table842[[#This Row],[Credit.]]),Table842[[#This Row],[Debit\]]-Table842[[#This Row],[Credit.]],""),"")</f>
        <v/>
      </c>
      <c r="AH96" s="34" t="str">
        <f>IFERROR(IF(AND(OR(Table842[[#This Row],[Classification]]="Liabilities",Table842[[#This Row],[Classification]]="Owner´s Equity"),Table842[[#This Row],[Credit.]]&gt;Table842[[#This Row],[Debit\]]),Table842[[#This Row],[Credit.]]-Table842[[#This Row],[Debit\]],""),"")</f>
        <v/>
      </c>
    </row>
    <row r="97" spans="2:34" hidden="1" x14ac:dyDescent="0.25">
      <c r="B97" s="34"/>
      <c r="C97" s="45"/>
      <c r="D97" s="34"/>
      <c r="E97" s="34"/>
      <c r="G97" s="39"/>
      <c r="H97" s="40"/>
      <c r="I97" s="41"/>
      <c r="J97" s="41"/>
      <c r="L97" s="34">
        <v>90</v>
      </c>
      <c r="M97" s="35"/>
      <c r="N97" s="35"/>
      <c r="O97" s="34">
        <f>IFERROR(SUMIF(Table439[,],Table641[[#This Row],[Accounts Name]],Table439[,3]),"")</f>
        <v>0</v>
      </c>
      <c r="P97" s="34">
        <f>IFERROR(SUMIF(Table439[,],Table641[[#This Row],[Accounts Name]],Table439[,2]),"")</f>
        <v>0</v>
      </c>
      <c r="S97" s="36">
        <f t="shared" si="1"/>
        <v>90</v>
      </c>
      <c r="T97" s="34"/>
      <c r="U97" s="37"/>
      <c r="V97" s="34">
        <f>IFERROR(SUMIF(Table641[Sub-Accounts],Table842[[#This Row],[Update your chart of accounts here]],Table641[Debit]),"")</f>
        <v>0</v>
      </c>
      <c r="W97" s="34">
        <f>IFERROR(SUMIF(Table641[Sub-Accounts],Table842[[#This Row],[Update your chart of accounts here]],Table641[Credit]),"")</f>
        <v>0</v>
      </c>
      <c r="X97" s="34"/>
      <c r="Y97" s="34"/>
      <c r="Z97" s="34"/>
      <c r="AA97" s="34"/>
      <c r="AB97" s="34">
        <f>MAX(Table842[[#This Row],[Debit]]+Table842[[#This Row],[Debit -]]-Table842[[#This Row],[Credit]]-Table842[[#This Row],[Credit +]],0)</f>
        <v>0</v>
      </c>
      <c r="AC97" s="34">
        <f>MAX(Table842[[#This Row],[Credit]]-Table842[[#This Row],[Debit]]+Table842[[#This Row],[Credit +]]-Table842[[#This Row],[Debit -]],0)</f>
        <v>0</v>
      </c>
      <c r="AD97" s="34" t="str">
        <f>IFERROR(IF(AND(OR(Table842[[#This Row],[Classification]]="Expense",Table842[[#This Row],[Classification]]="Cost of Goods Sold"),Table842[[#This Row],[Debit\]]&gt;Table842[[#This Row],[Credit.]]),Table842[[#This Row],[Debit\]]-Table842[[#This Row],[Credit.]],""),"")</f>
        <v/>
      </c>
      <c r="AE97" s="34" t="str">
        <f>IFERROR(IF(AND(OR(Table842[[#This Row],[Classification]]="Income",Table842[[#This Row],[Classification]]="Cost of Goods Sold"),Table842[[#This Row],[Credit.]]&gt;Table842[[#This Row],[Debit\]]),Table842[[#This Row],[Credit.]]-Table842[[#This Row],[Debit\]],""),"")</f>
        <v/>
      </c>
      <c r="AF97" s="34"/>
      <c r="AG97" s="34" t="str">
        <f>IFERROR(IF(AND(Table842[[#This Row],[Classification]]="Assets",Table842[[#This Row],[Debit\]]-Table842[[#This Row],[Credit.]]),Table842[[#This Row],[Debit\]]-Table842[[#This Row],[Credit.]],""),"")</f>
        <v/>
      </c>
      <c r="AH97" s="34" t="str">
        <f>IFERROR(IF(AND(OR(Table842[[#This Row],[Classification]]="Liabilities",Table842[[#This Row],[Classification]]="Owner´s Equity"),Table842[[#This Row],[Credit.]]&gt;Table842[[#This Row],[Debit\]]),Table842[[#This Row],[Credit.]]-Table842[[#This Row],[Debit\]],""),"")</f>
        <v/>
      </c>
    </row>
    <row r="98" spans="2:34" hidden="1" x14ac:dyDescent="0.25">
      <c r="B98" s="34"/>
      <c r="C98" s="45"/>
      <c r="D98" s="34"/>
      <c r="E98" s="34"/>
      <c r="G98" s="39"/>
      <c r="H98" s="43"/>
      <c r="I98" s="41"/>
      <c r="J98" s="41"/>
      <c r="L98" s="34">
        <v>91</v>
      </c>
      <c r="M98" s="35"/>
      <c r="N98" s="35"/>
      <c r="O98" s="34">
        <f>IFERROR(SUMIF(Table439[,],Table641[[#This Row],[Accounts Name]],Table439[,3]),"")</f>
        <v>0</v>
      </c>
      <c r="P98" s="34">
        <f>IFERROR(SUMIF(Table439[,],Table641[[#This Row],[Accounts Name]],Table439[,2]),"")</f>
        <v>0</v>
      </c>
      <c r="S98" s="36">
        <f t="shared" si="1"/>
        <v>91</v>
      </c>
      <c r="T98" s="34"/>
      <c r="U98" s="37"/>
      <c r="V98" s="34">
        <f>IFERROR(SUMIF(Table641[Sub-Accounts],Table842[[#This Row],[Update your chart of accounts here]],Table641[Debit]),"")</f>
        <v>0</v>
      </c>
      <c r="W98" s="34">
        <f>IFERROR(SUMIF(Table641[Sub-Accounts],Table842[[#This Row],[Update your chart of accounts here]],Table641[Credit]),"")</f>
        <v>0</v>
      </c>
      <c r="X98" s="34"/>
      <c r="Y98" s="34"/>
      <c r="Z98" s="34"/>
      <c r="AA98" s="34"/>
      <c r="AB98" s="34">
        <f>MAX(Table842[[#This Row],[Debit]]+Table842[[#This Row],[Debit -]]-Table842[[#This Row],[Credit]]-Table842[[#This Row],[Credit +]],0)</f>
        <v>0</v>
      </c>
      <c r="AC98" s="34">
        <f>MAX(Table842[[#This Row],[Credit]]-Table842[[#This Row],[Debit]]+Table842[[#This Row],[Credit +]]-Table842[[#This Row],[Debit -]],0)</f>
        <v>0</v>
      </c>
      <c r="AD98" s="34" t="str">
        <f>IFERROR(IF(AND(OR(Table842[[#This Row],[Classification]]="Expense",Table842[[#This Row],[Classification]]="Cost of Goods Sold"),Table842[[#This Row],[Debit\]]&gt;Table842[[#This Row],[Credit.]]),Table842[[#This Row],[Debit\]]-Table842[[#This Row],[Credit.]],""),"")</f>
        <v/>
      </c>
      <c r="AE98" s="34" t="str">
        <f>IFERROR(IF(AND(OR(Table842[[#This Row],[Classification]]="Income",Table842[[#This Row],[Classification]]="Cost of Goods Sold"),Table842[[#This Row],[Credit.]]&gt;Table842[[#This Row],[Debit\]]),Table842[[#This Row],[Credit.]]-Table842[[#This Row],[Debit\]],""),"")</f>
        <v/>
      </c>
      <c r="AF98" s="34"/>
      <c r="AG98" s="34" t="str">
        <f>IFERROR(IF(AND(Table842[[#This Row],[Classification]]="Assets",Table842[[#This Row],[Debit\]]-Table842[[#This Row],[Credit.]]),Table842[[#This Row],[Debit\]]-Table842[[#This Row],[Credit.]],""),"")</f>
        <v/>
      </c>
      <c r="AH98" s="34" t="str">
        <f>IFERROR(IF(AND(OR(Table842[[#This Row],[Classification]]="Liabilities",Table842[[#This Row],[Classification]]="Owner´s Equity"),Table842[[#This Row],[Credit.]]&gt;Table842[[#This Row],[Debit\]]),Table842[[#This Row],[Credit.]]-Table842[[#This Row],[Debit\]],""),"")</f>
        <v/>
      </c>
    </row>
    <row r="99" spans="2:34" hidden="1" x14ac:dyDescent="0.25">
      <c r="B99" s="34"/>
      <c r="C99" s="45"/>
      <c r="D99" s="34"/>
      <c r="E99" s="34"/>
      <c r="G99" s="39"/>
      <c r="H99" s="40"/>
      <c r="I99" s="41"/>
      <c r="J99" s="41"/>
      <c r="L99" s="34">
        <v>92</v>
      </c>
      <c r="M99" s="35"/>
      <c r="N99" s="35"/>
      <c r="O99" s="34">
        <f>IFERROR(SUMIF(Table439[,],Table641[[#This Row],[Accounts Name]],Table439[,3]),"")</f>
        <v>0</v>
      </c>
      <c r="P99" s="34">
        <f>IFERROR(SUMIF(Table439[,],Table641[[#This Row],[Accounts Name]],Table439[,2]),"")</f>
        <v>0</v>
      </c>
      <c r="S99" s="36">
        <f t="shared" si="1"/>
        <v>92</v>
      </c>
      <c r="T99" s="34"/>
      <c r="U99" s="37"/>
      <c r="V99" s="34">
        <f>IFERROR(SUMIF(Table641[Sub-Accounts],Table842[[#This Row],[Update your chart of accounts here]],Table641[Debit]),"")</f>
        <v>0</v>
      </c>
      <c r="W99" s="34">
        <f>IFERROR(SUMIF(Table641[Sub-Accounts],Table842[[#This Row],[Update your chart of accounts here]],Table641[Credit]),"")</f>
        <v>0</v>
      </c>
      <c r="X99" s="34"/>
      <c r="Y99" s="34"/>
      <c r="Z99" s="34"/>
      <c r="AA99" s="34"/>
      <c r="AB99" s="34">
        <f>MAX(Table842[[#This Row],[Debit]]+Table842[[#This Row],[Debit -]]-Table842[[#This Row],[Credit]]-Table842[[#This Row],[Credit +]],0)</f>
        <v>0</v>
      </c>
      <c r="AC99" s="34">
        <f>MAX(Table842[[#This Row],[Credit]]-Table842[[#This Row],[Debit]]+Table842[[#This Row],[Credit +]]-Table842[[#This Row],[Debit -]],0)</f>
        <v>0</v>
      </c>
      <c r="AD99" s="34" t="str">
        <f>IFERROR(IF(AND(OR(Table842[[#This Row],[Classification]]="Expense",Table842[[#This Row],[Classification]]="Cost of Goods Sold"),Table842[[#This Row],[Debit\]]&gt;Table842[[#This Row],[Credit.]]),Table842[[#This Row],[Debit\]]-Table842[[#This Row],[Credit.]],""),"")</f>
        <v/>
      </c>
      <c r="AE99" s="34" t="str">
        <f>IFERROR(IF(AND(OR(Table842[[#This Row],[Classification]]="Income",Table842[[#This Row],[Classification]]="Cost of Goods Sold"),Table842[[#This Row],[Credit.]]&gt;Table842[[#This Row],[Debit\]]),Table842[[#This Row],[Credit.]]-Table842[[#This Row],[Debit\]],""),"")</f>
        <v/>
      </c>
      <c r="AF99" s="34"/>
      <c r="AG99" s="34" t="str">
        <f>IFERROR(IF(AND(Table842[[#This Row],[Classification]]="Assets",Table842[[#This Row],[Debit\]]-Table842[[#This Row],[Credit.]]),Table842[[#This Row],[Debit\]]-Table842[[#This Row],[Credit.]],""),"")</f>
        <v/>
      </c>
      <c r="AH99" s="34" t="str">
        <f>IFERROR(IF(AND(OR(Table842[[#This Row],[Classification]]="Liabilities",Table842[[#This Row],[Classification]]="Owner´s Equity"),Table842[[#This Row],[Credit.]]&gt;Table842[[#This Row],[Debit\]]),Table842[[#This Row],[Credit.]]-Table842[[#This Row],[Debit\]],""),"")</f>
        <v/>
      </c>
    </row>
    <row r="100" spans="2:34" hidden="1" x14ac:dyDescent="0.25">
      <c r="B100" s="34"/>
      <c r="C100" s="45"/>
      <c r="D100" s="34"/>
      <c r="E100" s="34"/>
      <c r="G100" s="39"/>
      <c r="H100" s="40"/>
      <c r="I100" s="41"/>
      <c r="J100" s="41"/>
      <c r="L100" s="34">
        <v>93</v>
      </c>
      <c r="M100" s="35"/>
      <c r="N100" s="35"/>
      <c r="O100" s="34">
        <f>IFERROR(SUMIF(Table439[,],Table641[[#This Row],[Accounts Name]],Table439[,3]),"")</f>
        <v>0</v>
      </c>
      <c r="P100" s="34">
        <f>IFERROR(SUMIF(Table439[,],Table641[[#This Row],[Accounts Name]],Table439[,2]),"")</f>
        <v>0</v>
      </c>
      <c r="S100" s="36">
        <f t="shared" si="1"/>
        <v>93</v>
      </c>
      <c r="T100" s="34"/>
      <c r="U100" s="37"/>
      <c r="V100" s="34">
        <f>IFERROR(SUMIF(Table641[Sub-Accounts],Table842[[#This Row],[Update your chart of accounts here]],Table641[Debit]),"")</f>
        <v>0</v>
      </c>
      <c r="W100" s="34">
        <f>IFERROR(SUMIF(Table641[Sub-Accounts],Table842[[#This Row],[Update your chart of accounts here]],Table641[Credit]),"")</f>
        <v>0</v>
      </c>
      <c r="X100" s="34"/>
      <c r="Y100" s="34"/>
      <c r="Z100" s="34"/>
      <c r="AA100" s="34"/>
      <c r="AB100" s="34">
        <f>MAX(Table842[[#This Row],[Debit]]+Table842[[#This Row],[Debit -]]-Table842[[#This Row],[Credit]]-Table842[[#This Row],[Credit +]],0)</f>
        <v>0</v>
      </c>
      <c r="AC100" s="34">
        <f>MAX(Table842[[#This Row],[Credit]]-Table842[[#This Row],[Debit]]+Table842[[#This Row],[Credit +]]-Table842[[#This Row],[Debit -]],0)</f>
        <v>0</v>
      </c>
      <c r="AD100" s="34" t="str">
        <f>IFERROR(IF(AND(OR(Table842[[#This Row],[Classification]]="Expense",Table842[[#This Row],[Classification]]="Cost of Goods Sold"),Table842[[#This Row],[Debit\]]&gt;Table842[[#This Row],[Credit.]]),Table842[[#This Row],[Debit\]]-Table842[[#This Row],[Credit.]],""),"")</f>
        <v/>
      </c>
      <c r="AE100" s="34" t="str">
        <f>IFERROR(IF(AND(OR(Table842[[#This Row],[Classification]]="Income",Table842[[#This Row],[Classification]]="Cost of Goods Sold"),Table842[[#This Row],[Credit.]]&gt;Table842[[#This Row],[Debit\]]),Table842[[#This Row],[Credit.]]-Table842[[#This Row],[Debit\]],""),"")</f>
        <v/>
      </c>
      <c r="AF100" s="34"/>
      <c r="AG100" s="34" t="str">
        <f>IFERROR(IF(AND(Table842[[#This Row],[Classification]]="Assets",Table842[[#This Row],[Debit\]]-Table842[[#This Row],[Credit.]]),Table842[[#This Row],[Debit\]]-Table842[[#This Row],[Credit.]],""),"")</f>
        <v/>
      </c>
      <c r="AH100" s="34" t="str">
        <f>IFERROR(IF(AND(OR(Table842[[#This Row],[Classification]]="Liabilities",Table842[[#This Row],[Classification]]="Owner´s Equity"),Table842[[#This Row],[Credit.]]&gt;Table842[[#This Row],[Debit\]]),Table842[[#This Row],[Credit.]]-Table842[[#This Row],[Debit\]],""),"")</f>
        <v/>
      </c>
    </row>
    <row r="101" spans="2:34" hidden="1" x14ac:dyDescent="0.25">
      <c r="B101" s="34"/>
      <c r="C101" s="45"/>
      <c r="D101" s="34"/>
      <c r="E101" s="34"/>
      <c r="G101" s="39"/>
      <c r="H101" s="43"/>
      <c r="I101" s="41"/>
      <c r="J101" s="41"/>
      <c r="L101" s="34">
        <v>94</v>
      </c>
      <c r="M101" s="35"/>
      <c r="N101" s="35"/>
      <c r="O101" s="34">
        <f>IFERROR(SUMIF(Table439[,],Table641[[#This Row],[Accounts Name]],Table439[,3]),"")</f>
        <v>0</v>
      </c>
      <c r="P101" s="34">
        <f>IFERROR(SUMIF(Table439[,],Table641[[#This Row],[Accounts Name]],Table439[,2]),"")</f>
        <v>0</v>
      </c>
      <c r="S101" s="36">
        <f t="shared" si="1"/>
        <v>94</v>
      </c>
      <c r="T101" s="34"/>
      <c r="U101" s="37"/>
      <c r="V101" s="34">
        <f>IFERROR(SUMIF(Table641[Sub-Accounts],Table842[[#This Row],[Update your chart of accounts here]],Table641[Debit]),"")</f>
        <v>0</v>
      </c>
      <c r="W101" s="34">
        <f>IFERROR(SUMIF(Table641[Sub-Accounts],Table842[[#This Row],[Update your chart of accounts here]],Table641[Credit]),"")</f>
        <v>0</v>
      </c>
      <c r="X101" s="34"/>
      <c r="Y101" s="34"/>
      <c r="Z101" s="34"/>
      <c r="AA101" s="34"/>
      <c r="AB101" s="34">
        <f>MAX(Table842[[#This Row],[Debit]]+Table842[[#This Row],[Debit -]]-Table842[[#This Row],[Credit]]-Table842[[#This Row],[Credit +]],0)</f>
        <v>0</v>
      </c>
      <c r="AC101" s="34">
        <f>MAX(Table842[[#This Row],[Credit]]-Table842[[#This Row],[Debit]]+Table842[[#This Row],[Credit +]]-Table842[[#This Row],[Debit -]],0)</f>
        <v>0</v>
      </c>
      <c r="AD101" s="34" t="str">
        <f>IFERROR(IF(AND(OR(Table842[[#This Row],[Classification]]="Expense",Table842[[#This Row],[Classification]]="Cost of Goods Sold"),Table842[[#This Row],[Debit\]]&gt;Table842[[#This Row],[Credit.]]),Table842[[#This Row],[Debit\]]-Table842[[#This Row],[Credit.]],""),"")</f>
        <v/>
      </c>
      <c r="AE101" s="34" t="str">
        <f>IFERROR(IF(AND(OR(Table842[[#This Row],[Classification]]="Income",Table842[[#This Row],[Classification]]="Cost of Goods Sold"),Table842[[#This Row],[Credit.]]&gt;Table842[[#This Row],[Debit\]]),Table842[[#This Row],[Credit.]]-Table842[[#This Row],[Debit\]],""),"")</f>
        <v/>
      </c>
      <c r="AF101" s="34"/>
      <c r="AG101" s="34" t="str">
        <f>IFERROR(IF(AND(Table842[[#This Row],[Classification]]="Assets",Table842[[#This Row],[Debit\]]-Table842[[#This Row],[Credit.]]),Table842[[#This Row],[Debit\]]-Table842[[#This Row],[Credit.]],""),"")</f>
        <v/>
      </c>
      <c r="AH101" s="34" t="str">
        <f>IFERROR(IF(AND(OR(Table842[[#This Row],[Classification]]="Liabilities",Table842[[#This Row],[Classification]]="Owner´s Equity"),Table842[[#This Row],[Credit.]]&gt;Table842[[#This Row],[Debit\]]),Table842[[#This Row],[Credit.]]-Table842[[#This Row],[Debit\]],""),"")</f>
        <v/>
      </c>
    </row>
    <row r="102" spans="2:34" hidden="1" x14ac:dyDescent="0.25">
      <c r="B102" s="34"/>
      <c r="C102" s="45"/>
      <c r="D102" s="34"/>
      <c r="E102" s="34"/>
      <c r="G102" s="39"/>
      <c r="H102" s="40"/>
      <c r="I102" s="41"/>
      <c r="J102" s="41"/>
      <c r="L102" s="34">
        <v>95</v>
      </c>
      <c r="M102" s="35"/>
      <c r="N102" s="35"/>
      <c r="O102" s="34">
        <f>IFERROR(SUMIF(Table439[,],Table641[[#This Row],[Accounts Name]],Table439[,3]),"")</f>
        <v>0</v>
      </c>
      <c r="P102" s="34">
        <f>IFERROR(SUMIF(Table439[,],Table641[[#This Row],[Accounts Name]],Table439[,2]),"")</f>
        <v>0</v>
      </c>
      <c r="S102" s="36">
        <f t="shared" si="1"/>
        <v>95</v>
      </c>
      <c r="T102" s="34"/>
      <c r="U102" s="37"/>
      <c r="V102" s="34">
        <f>IFERROR(SUMIF(Table641[Sub-Accounts],Table842[[#This Row],[Update your chart of accounts here]],Table641[Debit]),"")</f>
        <v>0</v>
      </c>
      <c r="W102" s="34">
        <f>IFERROR(SUMIF(Table641[Sub-Accounts],Table842[[#This Row],[Update your chart of accounts here]],Table641[Credit]),"")</f>
        <v>0</v>
      </c>
      <c r="X102" s="34"/>
      <c r="Y102" s="34"/>
      <c r="Z102" s="34"/>
      <c r="AA102" s="34"/>
      <c r="AB102" s="34">
        <f>MAX(Table842[[#This Row],[Debit]]+Table842[[#This Row],[Debit -]]-Table842[[#This Row],[Credit]]-Table842[[#This Row],[Credit +]],0)</f>
        <v>0</v>
      </c>
      <c r="AC102" s="34">
        <f>MAX(Table842[[#This Row],[Credit]]-Table842[[#This Row],[Debit]]+Table842[[#This Row],[Credit +]]-Table842[[#This Row],[Debit -]],0)</f>
        <v>0</v>
      </c>
      <c r="AD102" s="34" t="str">
        <f>IFERROR(IF(AND(OR(Table842[[#This Row],[Classification]]="Expense",Table842[[#This Row],[Classification]]="Cost of Goods Sold"),Table842[[#This Row],[Debit\]]&gt;Table842[[#This Row],[Credit.]]),Table842[[#This Row],[Debit\]]-Table842[[#This Row],[Credit.]],""),"")</f>
        <v/>
      </c>
      <c r="AE102" s="34" t="str">
        <f>IFERROR(IF(AND(OR(Table842[[#This Row],[Classification]]="Income",Table842[[#This Row],[Classification]]="Cost of Goods Sold"),Table842[[#This Row],[Credit.]]&gt;Table842[[#This Row],[Debit\]]),Table842[[#This Row],[Credit.]]-Table842[[#This Row],[Debit\]],""),"")</f>
        <v/>
      </c>
      <c r="AF102" s="34"/>
      <c r="AG102" s="34" t="str">
        <f>IFERROR(IF(AND(Table842[[#This Row],[Classification]]="Assets",Table842[[#This Row],[Debit\]]-Table842[[#This Row],[Credit.]]),Table842[[#This Row],[Debit\]]-Table842[[#This Row],[Credit.]],""),"")</f>
        <v/>
      </c>
      <c r="AH102" s="34" t="str">
        <f>IFERROR(IF(AND(OR(Table842[[#This Row],[Classification]]="Liabilities",Table842[[#This Row],[Classification]]="Owner´s Equity"),Table842[[#This Row],[Credit.]]&gt;Table842[[#This Row],[Debit\]]),Table842[[#This Row],[Credit.]]-Table842[[#This Row],[Debit\]],""),"")</f>
        <v/>
      </c>
    </row>
    <row r="103" spans="2:34" hidden="1" x14ac:dyDescent="0.25">
      <c r="B103" s="34"/>
      <c r="C103" s="45"/>
      <c r="D103" s="34"/>
      <c r="E103" s="34"/>
      <c r="G103" s="39"/>
      <c r="H103" s="40"/>
      <c r="I103" s="41"/>
      <c r="J103" s="41"/>
      <c r="L103" s="34">
        <v>96</v>
      </c>
      <c r="M103" s="35"/>
      <c r="N103" s="35"/>
      <c r="O103" s="34">
        <f>IFERROR(SUMIF(Table439[,],Table641[[#This Row],[Accounts Name]],Table439[,3]),"")</f>
        <v>0</v>
      </c>
      <c r="P103" s="34">
        <f>IFERROR(SUMIF(Table439[,],Table641[[#This Row],[Accounts Name]],Table439[,2]),"")</f>
        <v>0</v>
      </c>
      <c r="S103" s="36">
        <f t="shared" si="1"/>
        <v>96</v>
      </c>
      <c r="T103" s="34"/>
      <c r="U103" s="37"/>
      <c r="V103" s="34">
        <f>IFERROR(SUMIF(Table641[Sub-Accounts],Table842[[#This Row],[Update your chart of accounts here]],Table641[Debit]),"")</f>
        <v>0</v>
      </c>
      <c r="W103" s="34">
        <f>IFERROR(SUMIF(Table641[Sub-Accounts],Table842[[#This Row],[Update your chart of accounts here]],Table641[Credit]),"")</f>
        <v>0</v>
      </c>
      <c r="X103" s="34"/>
      <c r="Y103" s="34"/>
      <c r="Z103" s="34"/>
      <c r="AA103" s="34"/>
      <c r="AB103" s="34">
        <f>MAX(Table842[[#This Row],[Debit]]+Table842[[#This Row],[Debit -]]-Table842[[#This Row],[Credit]]-Table842[[#This Row],[Credit +]],0)</f>
        <v>0</v>
      </c>
      <c r="AC103" s="34">
        <f>MAX(Table842[[#This Row],[Credit]]-Table842[[#This Row],[Debit]]+Table842[[#This Row],[Credit +]]-Table842[[#This Row],[Debit -]],0)</f>
        <v>0</v>
      </c>
      <c r="AD103" s="34" t="str">
        <f>IFERROR(IF(AND(OR(Table842[[#This Row],[Classification]]="Expense",Table842[[#This Row],[Classification]]="Cost of Goods Sold"),Table842[[#This Row],[Debit\]]&gt;Table842[[#This Row],[Credit.]]),Table842[[#This Row],[Debit\]]-Table842[[#This Row],[Credit.]],""),"")</f>
        <v/>
      </c>
      <c r="AE103" s="34" t="str">
        <f>IFERROR(IF(AND(OR(Table842[[#This Row],[Classification]]="Income",Table842[[#This Row],[Classification]]="Cost of Goods Sold"),Table842[[#This Row],[Credit.]]&gt;Table842[[#This Row],[Debit\]]),Table842[[#This Row],[Credit.]]-Table842[[#This Row],[Debit\]],""),"")</f>
        <v/>
      </c>
      <c r="AF103" s="34"/>
      <c r="AG103" s="34" t="str">
        <f>IFERROR(IF(AND(Table842[[#This Row],[Classification]]="Assets",Table842[[#This Row],[Debit\]]-Table842[[#This Row],[Credit.]]),Table842[[#This Row],[Debit\]]-Table842[[#This Row],[Credit.]],""),"")</f>
        <v/>
      </c>
      <c r="AH103" s="34" t="str">
        <f>IFERROR(IF(AND(OR(Table842[[#This Row],[Classification]]="Liabilities",Table842[[#This Row],[Classification]]="Owner´s Equity"),Table842[[#This Row],[Credit.]]&gt;Table842[[#This Row],[Debit\]]),Table842[[#This Row],[Credit.]]-Table842[[#This Row],[Debit\]],""),"")</f>
        <v/>
      </c>
    </row>
    <row r="104" spans="2:34" hidden="1" x14ac:dyDescent="0.25">
      <c r="B104" s="34"/>
      <c r="C104" s="45"/>
      <c r="D104" s="34"/>
      <c r="E104" s="34"/>
      <c r="G104" s="39"/>
      <c r="H104" s="43"/>
      <c r="I104" s="41"/>
      <c r="J104" s="41"/>
      <c r="L104" s="34">
        <v>97</v>
      </c>
      <c r="M104" s="35"/>
      <c r="N104" s="35"/>
      <c r="O104" s="34">
        <f>IFERROR(SUMIF(Table439[,],Table641[[#This Row],[Accounts Name]],Table439[,3]),"")</f>
        <v>0</v>
      </c>
      <c r="P104" s="34">
        <f>IFERROR(SUMIF(Table439[,],Table641[[#This Row],[Accounts Name]],Table439[,2]),"")</f>
        <v>0</v>
      </c>
      <c r="S104" s="36">
        <f t="shared" si="1"/>
        <v>97</v>
      </c>
      <c r="T104" s="34"/>
      <c r="U104" s="37"/>
      <c r="V104" s="34">
        <f>IFERROR(SUMIF(Table641[Sub-Accounts],Table842[[#This Row],[Update your chart of accounts here]],Table641[Debit]),"")</f>
        <v>0</v>
      </c>
      <c r="W104" s="34">
        <f>IFERROR(SUMIF(Table641[Sub-Accounts],Table842[[#This Row],[Update your chart of accounts here]],Table641[Credit]),"")</f>
        <v>0</v>
      </c>
      <c r="X104" s="34"/>
      <c r="Y104" s="34"/>
      <c r="Z104" s="34"/>
      <c r="AA104" s="34"/>
      <c r="AB104" s="34">
        <f>MAX(Table842[[#This Row],[Debit]]+Table842[[#This Row],[Debit -]]-Table842[[#This Row],[Credit]]-Table842[[#This Row],[Credit +]],0)</f>
        <v>0</v>
      </c>
      <c r="AC104" s="34">
        <f>MAX(Table842[[#This Row],[Credit]]-Table842[[#This Row],[Debit]]+Table842[[#This Row],[Credit +]]-Table842[[#This Row],[Debit -]],0)</f>
        <v>0</v>
      </c>
      <c r="AD104" s="34" t="str">
        <f>IFERROR(IF(AND(OR(Table842[[#This Row],[Classification]]="Expense",Table842[[#This Row],[Classification]]="Cost of Goods Sold"),Table842[[#This Row],[Debit\]]&gt;Table842[[#This Row],[Credit.]]),Table842[[#This Row],[Debit\]]-Table842[[#This Row],[Credit.]],""),"")</f>
        <v/>
      </c>
      <c r="AE104" s="34" t="str">
        <f>IFERROR(IF(AND(OR(Table842[[#This Row],[Classification]]="Income",Table842[[#This Row],[Classification]]="Cost of Goods Sold"),Table842[[#This Row],[Credit.]]&gt;Table842[[#This Row],[Debit\]]),Table842[[#This Row],[Credit.]]-Table842[[#This Row],[Debit\]],""),"")</f>
        <v/>
      </c>
      <c r="AF104" s="34"/>
      <c r="AG104" s="34" t="str">
        <f>IFERROR(IF(AND(Table842[[#This Row],[Classification]]="Assets",Table842[[#This Row],[Debit\]]-Table842[[#This Row],[Credit.]]),Table842[[#This Row],[Debit\]]-Table842[[#This Row],[Credit.]],""),"")</f>
        <v/>
      </c>
      <c r="AH104" s="34" t="str">
        <f>IFERROR(IF(AND(OR(Table842[[#This Row],[Classification]]="Liabilities",Table842[[#This Row],[Classification]]="Owner´s Equity"),Table842[[#This Row],[Credit.]]&gt;Table842[[#This Row],[Debit\]]),Table842[[#This Row],[Credit.]]-Table842[[#This Row],[Debit\]],""),"")</f>
        <v/>
      </c>
    </row>
    <row r="105" spans="2:34" hidden="1" x14ac:dyDescent="0.25">
      <c r="B105" s="34"/>
      <c r="C105" s="45"/>
      <c r="D105" s="34"/>
      <c r="E105" s="34"/>
      <c r="G105" s="39"/>
      <c r="H105" s="40"/>
      <c r="I105" s="41"/>
      <c r="J105" s="41"/>
      <c r="L105" s="34">
        <v>98</v>
      </c>
      <c r="M105" s="35"/>
      <c r="N105" s="35"/>
      <c r="O105" s="34">
        <f>IFERROR(SUMIF(Table439[,],Table641[[#This Row],[Accounts Name]],Table439[,3]),"")</f>
        <v>0</v>
      </c>
      <c r="P105" s="34">
        <f>IFERROR(SUMIF(Table439[,],Table641[[#This Row],[Accounts Name]],Table439[,2]),"")</f>
        <v>0</v>
      </c>
      <c r="S105" s="36">
        <f t="shared" si="1"/>
        <v>98</v>
      </c>
      <c r="T105" s="34"/>
      <c r="U105" s="37"/>
      <c r="V105" s="34">
        <f>IFERROR(SUMIF(Table641[Sub-Accounts],Table842[[#This Row],[Update your chart of accounts here]],Table641[Debit]),"")</f>
        <v>0</v>
      </c>
      <c r="W105" s="34">
        <f>IFERROR(SUMIF(Table641[Sub-Accounts],Table842[[#This Row],[Update your chart of accounts here]],Table641[Credit]),"")</f>
        <v>0</v>
      </c>
      <c r="X105" s="34"/>
      <c r="Y105" s="34"/>
      <c r="Z105" s="34"/>
      <c r="AA105" s="34"/>
      <c r="AB105" s="34">
        <f>MAX(Table842[[#This Row],[Debit]]+Table842[[#This Row],[Debit -]]-Table842[[#This Row],[Credit]]-Table842[[#This Row],[Credit +]],0)</f>
        <v>0</v>
      </c>
      <c r="AC105" s="34">
        <f>MAX(Table842[[#This Row],[Credit]]-Table842[[#This Row],[Debit]]+Table842[[#This Row],[Credit +]]-Table842[[#This Row],[Debit -]],0)</f>
        <v>0</v>
      </c>
      <c r="AD105" s="34" t="str">
        <f>IFERROR(IF(AND(OR(Table842[[#This Row],[Classification]]="Expense",Table842[[#This Row],[Classification]]="Cost of Goods Sold"),Table842[[#This Row],[Debit\]]&gt;Table842[[#This Row],[Credit.]]),Table842[[#This Row],[Debit\]]-Table842[[#This Row],[Credit.]],""),"")</f>
        <v/>
      </c>
      <c r="AE105" s="34" t="str">
        <f>IFERROR(IF(AND(OR(Table842[[#This Row],[Classification]]="Income",Table842[[#This Row],[Classification]]="Cost of Goods Sold"),Table842[[#This Row],[Credit.]]&gt;Table842[[#This Row],[Debit\]]),Table842[[#This Row],[Credit.]]-Table842[[#This Row],[Debit\]],""),"")</f>
        <v/>
      </c>
      <c r="AF105" s="34"/>
      <c r="AG105" s="34" t="str">
        <f>IFERROR(IF(AND(Table842[[#This Row],[Classification]]="Assets",Table842[[#This Row],[Debit\]]-Table842[[#This Row],[Credit.]]),Table842[[#This Row],[Debit\]]-Table842[[#This Row],[Credit.]],""),"")</f>
        <v/>
      </c>
      <c r="AH105" s="34" t="str">
        <f>IFERROR(IF(AND(OR(Table842[[#This Row],[Classification]]="Liabilities",Table842[[#This Row],[Classification]]="Owner´s Equity"),Table842[[#This Row],[Credit.]]&gt;Table842[[#This Row],[Debit\]]),Table842[[#This Row],[Credit.]]-Table842[[#This Row],[Debit\]],""),"")</f>
        <v/>
      </c>
    </row>
    <row r="106" spans="2:34" hidden="1" x14ac:dyDescent="0.25">
      <c r="B106" s="34"/>
      <c r="C106" s="45"/>
      <c r="D106" s="34"/>
      <c r="E106" s="34"/>
      <c r="G106" s="39"/>
      <c r="H106" s="40"/>
      <c r="I106" s="41"/>
      <c r="J106" s="41"/>
      <c r="L106" s="34">
        <v>99</v>
      </c>
      <c r="M106" s="35"/>
      <c r="N106" s="35"/>
      <c r="O106" s="34">
        <f>IFERROR(SUMIF(Table439[,],Table641[[#This Row],[Accounts Name]],Table439[,3]),"")</f>
        <v>0</v>
      </c>
      <c r="P106" s="34">
        <f>IFERROR(SUMIF(Table439[,],Table641[[#This Row],[Accounts Name]],Table439[,2]),"")</f>
        <v>0</v>
      </c>
      <c r="S106" s="36">
        <f t="shared" si="1"/>
        <v>99</v>
      </c>
      <c r="T106" s="34"/>
      <c r="U106" s="37"/>
      <c r="V106" s="34">
        <f>IFERROR(SUMIF(Table641[Sub-Accounts],Table842[[#This Row],[Update your chart of accounts here]],Table641[Debit]),"")</f>
        <v>0</v>
      </c>
      <c r="W106" s="34">
        <f>IFERROR(SUMIF(Table641[Sub-Accounts],Table842[[#This Row],[Update your chart of accounts here]],Table641[Credit]),"")</f>
        <v>0</v>
      </c>
      <c r="X106" s="34"/>
      <c r="Y106" s="34"/>
      <c r="Z106" s="34"/>
      <c r="AA106" s="34"/>
      <c r="AB106" s="34">
        <f>MAX(Table842[[#This Row],[Debit]]+Table842[[#This Row],[Debit -]]-Table842[[#This Row],[Credit]]-Table842[[#This Row],[Credit +]],0)</f>
        <v>0</v>
      </c>
      <c r="AC106" s="34">
        <f>MAX(Table842[[#This Row],[Credit]]-Table842[[#This Row],[Debit]]+Table842[[#This Row],[Credit +]]-Table842[[#This Row],[Debit -]],0)</f>
        <v>0</v>
      </c>
      <c r="AD106" s="34" t="str">
        <f>IFERROR(IF(AND(OR(Table842[[#This Row],[Classification]]="Expense",Table842[[#This Row],[Classification]]="Cost of Goods Sold"),Table842[[#This Row],[Debit\]]&gt;Table842[[#This Row],[Credit.]]),Table842[[#This Row],[Debit\]]-Table842[[#This Row],[Credit.]],""),"")</f>
        <v/>
      </c>
      <c r="AE106" s="34" t="str">
        <f>IFERROR(IF(AND(OR(Table842[[#This Row],[Classification]]="Income",Table842[[#This Row],[Classification]]="Cost of Goods Sold"),Table842[[#This Row],[Credit.]]&gt;Table842[[#This Row],[Debit\]]),Table842[[#This Row],[Credit.]]-Table842[[#This Row],[Debit\]],""),"")</f>
        <v/>
      </c>
      <c r="AF106" s="34"/>
      <c r="AG106" s="34" t="str">
        <f>IFERROR(IF(AND(Table842[[#This Row],[Classification]]="Assets",Table842[[#This Row],[Debit\]]-Table842[[#This Row],[Credit.]]),Table842[[#This Row],[Debit\]]-Table842[[#This Row],[Credit.]],""),"")</f>
        <v/>
      </c>
      <c r="AH106" s="34" t="str">
        <f>IFERROR(IF(AND(OR(Table842[[#This Row],[Classification]]="Liabilities",Table842[[#This Row],[Classification]]="Owner´s Equity"),Table842[[#This Row],[Credit.]]&gt;Table842[[#This Row],[Debit\]]),Table842[[#This Row],[Credit.]]-Table842[[#This Row],[Debit\]],""),"")</f>
        <v/>
      </c>
    </row>
    <row r="107" spans="2:34" hidden="1" x14ac:dyDescent="0.25">
      <c r="B107" s="34"/>
      <c r="C107" s="45"/>
      <c r="D107" s="34"/>
      <c r="E107" s="34"/>
      <c r="G107" s="39"/>
      <c r="H107" s="43"/>
      <c r="I107" s="41"/>
      <c r="J107" s="41"/>
      <c r="L107" s="34">
        <v>100</v>
      </c>
      <c r="M107" s="35"/>
      <c r="N107" s="35"/>
      <c r="O107" s="34">
        <f>IFERROR(SUMIF(Table439[,],Table641[[#This Row],[Accounts Name]],Table439[,3]),"")</f>
        <v>0</v>
      </c>
      <c r="P107" s="34">
        <f>IFERROR(SUMIF(Table439[,],Table641[[#This Row],[Accounts Name]],Table439[,2]),"")</f>
        <v>0</v>
      </c>
      <c r="S107" s="36">
        <f t="shared" si="1"/>
        <v>100</v>
      </c>
      <c r="T107" s="34"/>
      <c r="U107" s="37"/>
      <c r="V107" s="34">
        <f>IFERROR(SUMIF(Table641[Sub-Accounts],Table842[[#This Row],[Update your chart of accounts here]],Table641[Debit]),"")</f>
        <v>0</v>
      </c>
      <c r="W107" s="34">
        <f>IFERROR(SUMIF(Table641[Sub-Accounts],Table842[[#This Row],[Update your chart of accounts here]],Table641[Credit]),"")</f>
        <v>0</v>
      </c>
      <c r="X107" s="34"/>
      <c r="Y107" s="34"/>
      <c r="Z107" s="34"/>
      <c r="AA107" s="34"/>
      <c r="AB107" s="34">
        <f>MAX(Table842[[#This Row],[Debit]]+Table842[[#This Row],[Debit -]]-Table842[[#This Row],[Credit]]-Table842[[#This Row],[Credit +]],0)</f>
        <v>0</v>
      </c>
      <c r="AC107" s="34">
        <f>MAX(Table842[[#This Row],[Credit]]-Table842[[#This Row],[Debit]]+Table842[[#This Row],[Credit +]]-Table842[[#This Row],[Debit -]],0)</f>
        <v>0</v>
      </c>
      <c r="AD107" s="34" t="str">
        <f>IFERROR(IF(AND(OR(Table842[[#This Row],[Classification]]="Expense",Table842[[#This Row],[Classification]]="Cost of Goods Sold"),Table842[[#This Row],[Debit\]]&gt;Table842[[#This Row],[Credit.]]),Table842[[#This Row],[Debit\]]-Table842[[#This Row],[Credit.]],""),"")</f>
        <v/>
      </c>
      <c r="AE107" s="34" t="str">
        <f>IFERROR(IF(AND(OR(Table842[[#This Row],[Classification]]="Income",Table842[[#This Row],[Classification]]="Cost of Goods Sold"),Table842[[#This Row],[Credit.]]&gt;Table842[[#This Row],[Debit\]]),Table842[[#This Row],[Credit.]]-Table842[[#This Row],[Debit\]],""),"")</f>
        <v/>
      </c>
      <c r="AF107" s="34"/>
      <c r="AG107" s="34" t="str">
        <f>IFERROR(IF(AND(Table842[[#This Row],[Classification]]="Assets",Table842[[#This Row],[Debit\]]-Table842[[#This Row],[Credit.]]),Table842[[#This Row],[Debit\]]-Table842[[#This Row],[Credit.]],""),"")</f>
        <v/>
      </c>
      <c r="AH107" s="34" t="str">
        <f>IFERROR(IF(AND(OR(Table842[[#This Row],[Classification]]="Liabilities",Table842[[#This Row],[Classification]]="Owner´s Equity"),Table842[[#This Row],[Credit.]]&gt;Table842[[#This Row],[Debit\]]),Table842[[#This Row],[Credit.]]-Table842[[#This Row],[Debit\]],""),"")</f>
        <v/>
      </c>
    </row>
    <row r="108" spans="2:34" hidden="1" x14ac:dyDescent="0.25">
      <c r="B108" s="34"/>
      <c r="C108" s="45"/>
      <c r="D108" s="34"/>
      <c r="E108" s="34"/>
      <c r="G108" s="39"/>
      <c r="H108" s="40"/>
      <c r="I108" s="41"/>
      <c r="J108" s="41"/>
      <c r="L108" s="34">
        <v>101</v>
      </c>
      <c r="M108" s="35"/>
      <c r="N108" s="35"/>
      <c r="O108" s="34">
        <f>IFERROR(SUMIF(Table439[,],Table641[[#This Row],[Accounts Name]],Table439[,3]),"")</f>
        <v>0</v>
      </c>
      <c r="P108" s="34">
        <f>IFERROR(SUMIF(Table439[,],Table641[[#This Row],[Accounts Name]],Table439[,2]),"")</f>
        <v>0</v>
      </c>
      <c r="S108" s="36">
        <f t="shared" si="1"/>
        <v>101</v>
      </c>
      <c r="T108" s="34"/>
      <c r="U108" s="37"/>
      <c r="V108" s="34">
        <f>IFERROR(SUMIF(Table641[Sub-Accounts],Table842[[#This Row],[Update your chart of accounts here]],Table641[Debit]),"")</f>
        <v>0</v>
      </c>
      <c r="W108" s="34">
        <f>IFERROR(SUMIF(Table641[Sub-Accounts],Table842[[#This Row],[Update your chart of accounts here]],Table641[Credit]),"")</f>
        <v>0</v>
      </c>
      <c r="X108" s="34"/>
      <c r="Y108" s="34"/>
      <c r="Z108" s="34"/>
      <c r="AA108" s="34"/>
      <c r="AB108" s="34">
        <f>MAX(Table842[[#This Row],[Debit]]+Table842[[#This Row],[Debit -]]-Table842[[#This Row],[Credit]]-Table842[[#This Row],[Credit +]],0)</f>
        <v>0</v>
      </c>
      <c r="AC108" s="34">
        <f>MAX(Table842[[#This Row],[Credit]]-Table842[[#This Row],[Debit]]+Table842[[#This Row],[Credit +]]-Table842[[#This Row],[Debit -]],0)</f>
        <v>0</v>
      </c>
      <c r="AD108" s="34" t="str">
        <f>IFERROR(IF(AND(OR(Table842[[#This Row],[Classification]]="Expense",Table842[[#This Row],[Classification]]="Cost of Goods Sold"),Table842[[#This Row],[Debit\]]&gt;Table842[[#This Row],[Credit.]]),Table842[[#This Row],[Debit\]]-Table842[[#This Row],[Credit.]],""),"")</f>
        <v/>
      </c>
      <c r="AE108" s="34" t="str">
        <f>IFERROR(IF(AND(OR(Table842[[#This Row],[Classification]]="Income",Table842[[#This Row],[Classification]]="Cost of Goods Sold"),Table842[[#This Row],[Credit.]]&gt;Table842[[#This Row],[Debit\]]),Table842[[#This Row],[Credit.]]-Table842[[#This Row],[Debit\]],""),"")</f>
        <v/>
      </c>
      <c r="AF108" s="34"/>
      <c r="AG108" s="34" t="str">
        <f>IFERROR(IF(AND(Table842[[#This Row],[Classification]]="Assets",Table842[[#This Row],[Debit\]]-Table842[[#This Row],[Credit.]]),Table842[[#This Row],[Debit\]]-Table842[[#This Row],[Credit.]],""),"")</f>
        <v/>
      </c>
      <c r="AH108" s="34" t="str">
        <f>IFERROR(IF(AND(OR(Table842[[#This Row],[Classification]]="Liabilities",Table842[[#This Row],[Classification]]="Owner´s Equity"),Table842[[#This Row],[Credit.]]&gt;Table842[[#This Row],[Debit\]]),Table842[[#This Row],[Credit.]]-Table842[[#This Row],[Debit\]],""),"")</f>
        <v/>
      </c>
    </row>
    <row r="109" spans="2:34" hidden="1" x14ac:dyDescent="0.25">
      <c r="B109" s="34"/>
      <c r="C109" s="45"/>
      <c r="D109" s="34"/>
      <c r="E109" s="34"/>
      <c r="G109" s="39"/>
      <c r="H109" s="40"/>
      <c r="I109" s="41"/>
      <c r="J109" s="41"/>
      <c r="L109" s="34">
        <v>102</v>
      </c>
      <c r="M109" s="35"/>
      <c r="N109" s="35"/>
      <c r="O109" s="34">
        <f>IFERROR(SUMIF(Table439[,],Table641[[#This Row],[Accounts Name]],Table439[,3]),"")</f>
        <v>0</v>
      </c>
      <c r="P109" s="34">
        <f>IFERROR(SUMIF(Table439[,],Table641[[#This Row],[Accounts Name]],Table439[,2]),"")</f>
        <v>0</v>
      </c>
      <c r="S109" s="36">
        <f t="shared" si="1"/>
        <v>102</v>
      </c>
      <c r="T109" s="34"/>
      <c r="U109" s="37"/>
      <c r="V109" s="34">
        <f>IFERROR(SUMIF(Table641[Sub-Accounts],Table842[[#This Row],[Update your chart of accounts here]],Table641[Debit]),"")</f>
        <v>0</v>
      </c>
      <c r="W109" s="34">
        <f>IFERROR(SUMIF(Table641[Sub-Accounts],Table842[[#This Row],[Update your chart of accounts here]],Table641[Credit]),"")</f>
        <v>0</v>
      </c>
      <c r="X109" s="34"/>
      <c r="Y109" s="34"/>
      <c r="Z109" s="34"/>
      <c r="AA109" s="34"/>
      <c r="AB109" s="34">
        <f>MAX(Table842[[#This Row],[Debit]]+Table842[[#This Row],[Debit -]]-Table842[[#This Row],[Credit]]-Table842[[#This Row],[Credit +]],0)</f>
        <v>0</v>
      </c>
      <c r="AC109" s="34">
        <f>MAX(Table842[[#This Row],[Credit]]-Table842[[#This Row],[Debit]]+Table842[[#This Row],[Credit +]]-Table842[[#This Row],[Debit -]],0)</f>
        <v>0</v>
      </c>
      <c r="AD109" s="34" t="str">
        <f>IFERROR(IF(AND(OR(Table842[[#This Row],[Classification]]="Expense",Table842[[#This Row],[Classification]]="Cost of Goods Sold"),Table842[[#This Row],[Debit\]]&gt;Table842[[#This Row],[Credit.]]),Table842[[#This Row],[Debit\]]-Table842[[#This Row],[Credit.]],""),"")</f>
        <v/>
      </c>
      <c r="AE109" s="34" t="str">
        <f>IFERROR(IF(AND(OR(Table842[[#This Row],[Classification]]="Income",Table842[[#This Row],[Classification]]="Cost of Goods Sold"),Table842[[#This Row],[Credit.]]&gt;Table842[[#This Row],[Debit\]]),Table842[[#This Row],[Credit.]]-Table842[[#This Row],[Debit\]],""),"")</f>
        <v/>
      </c>
      <c r="AF109" s="34"/>
      <c r="AG109" s="34" t="str">
        <f>IFERROR(IF(AND(Table842[[#This Row],[Classification]]="Assets",Table842[[#This Row],[Debit\]]-Table842[[#This Row],[Credit.]]),Table842[[#This Row],[Debit\]]-Table842[[#This Row],[Credit.]],""),"")</f>
        <v/>
      </c>
      <c r="AH109" s="34" t="str">
        <f>IFERROR(IF(AND(OR(Table842[[#This Row],[Classification]]="Liabilities",Table842[[#This Row],[Classification]]="Owner´s Equity"),Table842[[#This Row],[Credit.]]&gt;Table842[[#This Row],[Debit\]]),Table842[[#This Row],[Credit.]]-Table842[[#This Row],[Debit\]],""),"")</f>
        <v/>
      </c>
    </row>
    <row r="110" spans="2:34" hidden="1" x14ac:dyDescent="0.25">
      <c r="B110" s="34"/>
      <c r="C110" s="45"/>
      <c r="D110" s="34"/>
      <c r="E110" s="34"/>
      <c r="G110" s="39"/>
      <c r="H110" s="43"/>
      <c r="I110" s="41"/>
      <c r="J110" s="41"/>
      <c r="L110" s="34">
        <v>103</v>
      </c>
      <c r="M110" s="35"/>
      <c r="N110" s="35"/>
      <c r="O110" s="34">
        <f>IFERROR(SUMIF(Table439[,],Table641[[#This Row],[Accounts Name]],Table439[,3]),"")</f>
        <v>0</v>
      </c>
      <c r="P110" s="34">
        <f>IFERROR(SUMIF(Table439[,],Table641[[#This Row],[Accounts Name]],Table439[,2]),"")</f>
        <v>0</v>
      </c>
      <c r="S110" s="36">
        <f t="shared" si="1"/>
        <v>103</v>
      </c>
      <c r="T110" s="34"/>
      <c r="U110" s="37"/>
      <c r="V110" s="34">
        <f>IFERROR(SUMIF(Table641[Sub-Accounts],Table842[[#This Row],[Update your chart of accounts here]],Table641[Debit]),"")</f>
        <v>0</v>
      </c>
      <c r="W110" s="34">
        <f>IFERROR(SUMIF(Table641[Sub-Accounts],Table842[[#This Row],[Update your chart of accounts here]],Table641[Credit]),"")</f>
        <v>0</v>
      </c>
      <c r="X110" s="34"/>
      <c r="Y110" s="34"/>
      <c r="Z110" s="34"/>
      <c r="AA110" s="34"/>
      <c r="AB110" s="34">
        <f>MAX(Table842[[#This Row],[Debit]]+Table842[[#This Row],[Debit -]]-Table842[[#This Row],[Credit]]-Table842[[#This Row],[Credit +]],0)</f>
        <v>0</v>
      </c>
      <c r="AC110" s="34">
        <f>MAX(Table842[[#This Row],[Credit]]-Table842[[#This Row],[Debit]]+Table842[[#This Row],[Credit +]]-Table842[[#This Row],[Debit -]],0)</f>
        <v>0</v>
      </c>
      <c r="AD110" s="34" t="str">
        <f>IFERROR(IF(AND(OR(Table842[[#This Row],[Classification]]="Expense",Table842[[#This Row],[Classification]]="Cost of Goods Sold"),Table842[[#This Row],[Debit\]]&gt;Table842[[#This Row],[Credit.]]),Table842[[#This Row],[Debit\]]-Table842[[#This Row],[Credit.]],""),"")</f>
        <v/>
      </c>
      <c r="AE110" s="34" t="str">
        <f>IFERROR(IF(AND(OR(Table842[[#This Row],[Classification]]="Income",Table842[[#This Row],[Classification]]="Cost of Goods Sold"),Table842[[#This Row],[Credit.]]&gt;Table842[[#This Row],[Debit\]]),Table842[[#This Row],[Credit.]]-Table842[[#This Row],[Debit\]],""),"")</f>
        <v/>
      </c>
      <c r="AF110" s="34"/>
      <c r="AG110" s="34" t="str">
        <f>IFERROR(IF(AND(Table842[[#This Row],[Classification]]="Assets",Table842[[#This Row],[Debit\]]-Table842[[#This Row],[Credit.]]),Table842[[#This Row],[Debit\]]-Table842[[#This Row],[Credit.]],""),"")</f>
        <v/>
      </c>
      <c r="AH110" s="34" t="str">
        <f>IFERROR(IF(AND(OR(Table842[[#This Row],[Classification]]="Liabilities",Table842[[#This Row],[Classification]]="Owner´s Equity"),Table842[[#This Row],[Credit.]]&gt;Table842[[#This Row],[Debit\]]),Table842[[#This Row],[Credit.]]-Table842[[#This Row],[Debit\]],""),"")</f>
        <v/>
      </c>
    </row>
    <row r="111" spans="2:34" hidden="1" x14ac:dyDescent="0.25">
      <c r="B111" s="34"/>
      <c r="C111" s="45"/>
      <c r="D111" s="34"/>
      <c r="E111" s="34"/>
      <c r="G111" s="39"/>
      <c r="H111" s="40"/>
      <c r="I111" s="41"/>
      <c r="J111" s="41"/>
      <c r="L111" s="34">
        <v>104</v>
      </c>
      <c r="M111" s="35"/>
      <c r="N111" s="35"/>
      <c r="O111" s="34">
        <f>IFERROR(SUMIF(Table439[,],Table641[[#This Row],[Accounts Name]],Table439[,3]),"")</f>
        <v>0</v>
      </c>
      <c r="P111" s="34">
        <f>IFERROR(SUMIF(Table439[,],Table641[[#This Row],[Accounts Name]],Table439[,2]),"")</f>
        <v>0</v>
      </c>
      <c r="S111" s="36">
        <f t="shared" si="1"/>
        <v>104</v>
      </c>
      <c r="T111" s="34"/>
      <c r="U111" s="37"/>
      <c r="V111" s="34">
        <f>IFERROR(SUMIF(Table641[Sub-Accounts],Table842[[#This Row],[Update your chart of accounts here]],Table641[Debit]),"")</f>
        <v>0</v>
      </c>
      <c r="W111" s="34">
        <f>IFERROR(SUMIF(Table641[Sub-Accounts],Table842[[#This Row],[Update your chart of accounts here]],Table641[Credit]),"")</f>
        <v>0</v>
      </c>
      <c r="X111" s="34"/>
      <c r="Y111" s="34"/>
      <c r="Z111" s="34"/>
      <c r="AA111" s="34"/>
      <c r="AB111" s="34">
        <f>MAX(Table842[[#This Row],[Debit]]+Table842[[#This Row],[Debit -]]-Table842[[#This Row],[Credit]]-Table842[[#This Row],[Credit +]],0)</f>
        <v>0</v>
      </c>
      <c r="AC111" s="34">
        <f>MAX(Table842[[#This Row],[Credit]]-Table842[[#This Row],[Debit]]+Table842[[#This Row],[Credit +]]-Table842[[#This Row],[Debit -]],0)</f>
        <v>0</v>
      </c>
      <c r="AD111" s="34" t="str">
        <f>IFERROR(IF(AND(OR(Table842[[#This Row],[Classification]]="Expense",Table842[[#This Row],[Classification]]="Cost of Goods Sold"),Table842[[#This Row],[Debit\]]&gt;Table842[[#This Row],[Credit.]]),Table842[[#This Row],[Debit\]]-Table842[[#This Row],[Credit.]],""),"")</f>
        <v/>
      </c>
      <c r="AE111" s="34" t="str">
        <f>IFERROR(IF(AND(OR(Table842[[#This Row],[Classification]]="Income",Table842[[#This Row],[Classification]]="Cost of Goods Sold"),Table842[[#This Row],[Credit.]]&gt;Table842[[#This Row],[Debit\]]),Table842[[#This Row],[Credit.]]-Table842[[#This Row],[Debit\]],""),"")</f>
        <v/>
      </c>
      <c r="AF111" s="34"/>
      <c r="AG111" s="34" t="str">
        <f>IFERROR(IF(AND(Table842[[#This Row],[Classification]]="Assets",Table842[[#This Row],[Debit\]]-Table842[[#This Row],[Credit.]]),Table842[[#This Row],[Debit\]]-Table842[[#This Row],[Credit.]],""),"")</f>
        <v/>
      </c>
      <c r="AH111" s="34" t="str">
        <f>IFERROR(IF(AND(OR(Table842[[#This Row],[Classification]]="Liabilities",Table842[[#This Row],[Classification]]="Owner´s Equity"),Table842[[#This Row],[Credit.]]&gt;Table842[[#This Row],[Debit\]]),Table842[[#This Row],[Credit.]]-Table842[[#This Row],[Debit\]],""),"")</f>
        <v/>
      </c>
    </row>
    <row r="112" spans="2:34" hidden="1" x14ac:dyDescent="0.25">
      <c r="B112" s="34"/>
      <c r="C112" s="45"/>
      <c r="D112" s="34"/>
      <c r="E112" s="34"/>
      <c r="G112" s="39"/>
      <c r="H112" s="40"/>
      <c r="I112" s="41"/>
      <c r="J112" s="41"/>
      <c r="L112" s="34">
        <v>105</v>
      </c>
      <c r="M112" s="35"/>
      <c r="N112" s="35"/>
      <c r="O112" s="34">
        <f>IFERROR(SUMIF(Table439[,],Table641[[#This Row],[Accounts Name]],Table439[,3]),"")</f>
        <v>0</v>
      </c>
      <c r="P112" s="34">
        <f>IFERROR(SUMIF(Table439[,],Table641[[#This Row],[Accounts Name]],Table439[,2]),"")</f>
        <v>0</v>
      </c>
      <c r="S112" s="36">
        <f t="shared" si="1"/>
        <v>105</v>
      </c>
      <c r="T112" s="34"/>
      <c r="U112" s="37"/>
      <c r="V112" s="34">
        <f>IFERROR(SUMIF(Table641[Sub-Accounts],Table842[[#This Row],[Update your chart of accounts here]],Table641[Debit]),"")</f>
        <v>0</v>
      </c>
      <c r="W112" s="34">
        <f>IFERROR(SUMIF(Table641[Sub-Accounts],Table842[[#This Row],[Update your chart of accounts here]],Table641[Credit]),"")</f>
        <v>0</v>
      </c>
      <c r="X112" s="34"/>
      <c r="Y112" s="34"/>
      <c r="Z112" s="34"/>
      <c r="AA112" s="34"/>
      <c r="AB112" s="34">
        <f>MAX(Table842[[#This Row],[Debit]]+Table842[[#This Row],[Debit -]]-Table842[[#This Row],[Credit]]-Table842[[#This Row],[Credit +]],0)</f>
        <v>0</v>
      </c>
      <c r="AC112" s="34">
        <f>MAX(Table842[[#This Row],[Credit]]-Table842[[#This Row],[Debit]]+Table842[[#This Row],[Credit +]]-Table842[[#This Row],[Debit -]],0)</f>
        <v>0</v>
      </c>
      <c r="AD112" s="34" t="str">
        <f>IFERROR(IF(AND(OR(Table842[[#This Row],[Classification]]="Expense",Table842[[#This Row],[Classification]]="Cost of Goods Sold"),Table842[[#This Row],[Debit\]]&gt;Table842[[#This Row],[Credit.]]),Table842[[#This Row],[Debit\]]-Table842[[#This Row],[Credit.]],""),"")</f>
        <v/>
      </c>
      <c r="AE112" s="34" t="str">
        <f>IFERROR(IF(AND(OR(Table842[[#This Row],[Classification]]="Income",Table842[[#This Row],[Classification]]="Cost of Goods Sold"),Table842[[#This Row],[Credit.]]&gt;Table842[[#This Row],[Debit\]]),Table842[[#This Row],[Credit.]]-Table842[[#This Row],[Debit\]],""),"")</f>
        <v/>
      </c>
      <c r="AF112" s="34"/>
      <c r="AG112" s="34" t="str">
        <f>IFERROR(IF(AND(Table842[[#This Row],[Classification]]="Assets",Table842[[#This Row],[Debit\]]-Table842[[#This Row],[Credit.]]),Table842[[#This Row],[Debit\]]-Table842[[#This Row],[Credit.]],""),"")</f>
        <v/>
      </c>
      <c r="AH112" s="34" t="str">
        <f>IFERROR(IF(AND(OR(Table842[[#This Row],[Classification]]="Liabilities",Table842[[#This Row],[Classification]]="Owner´s Equity"),Table842[[#This Row],[Credit.]]&gt;Table842[[#This Row],[Debit\]]),Table842[[#This Row],[Credit.]]-Table842[[#This Row],[Debit\]],""),"")</f>
        <v/>
      </c>
    </row>
    <row r="113" spans="2:34" hidden="1" x14ac:dyDescent="0.25">
      <c r="B113" s="34"/>
      <c r="C113" s="45"/>
      <c r="D113" s="34"/>
      <c r="E113" s="34"/>
      <c r="G113" s="39"/>
      <c r="H113" s="43"/>
      <c r="I113" s="41"/>
      <c r="J113" s="41"/>
      <c r="L113" s="34">
        <v>106</v>
      </c>
      <c r="M113" s="35"/>
      <c r="N113" s="35"/>
      <c r="O113" s="34">
        <f>IFERROR(SUMIF(Table439[,],Table641[[#This Row],[Accounts Name]],Table439[,3]),"")</f>
        <v>0</v>
      </c>
      <c r="P113" s="34">
        <f>IFERROR(SUMIF(Table439[,],Table641[[#This Row],[Accounts Name]],Table439[,2]),"")</f>
        <v>0</v>
      </c>
      <c r="S113" s="36">
        <f t="shared" si="1"/>
        <v>106</v>
      </c>
      <c r="T113" s="34"/>
      <c r="U113" s="37"/>
      <c r="V113" s="34">
        <f>IFERROR(SUMIF(Table641[Sub-Accounts],Table842[[#This Row],[Update your chart of accounts here]],Table641[Debit]),"")</f>
        <v>0</v>
      </c>
      <c r="W113" s="34">
        <f>IFERROR(SUMIF(Table641[Sub-Accounts],Table842[[#This Row],[Update your chart of accounts here]],Table641[Credit]),"")</f>
        <v>0</v>
      </c>
      <c r="X113" s="34"/>
      <c r="Y113" s="34"/>
      <c r="Z113" s="34"/>
      <c r="AA113" s="34"/>
      <c r="AB113" s="34">
        <f>MAX(Table842[[#This Row],[Debit]]+Table842[[#This Row],[Debit -]]-Table842[[#This Row],[Credit]]-Table842[[#This Row],[Credit +]],0)</f>
        <v>0</v>
      </c>
      <c r="AC113" s="34">
        <f>MAX(Table842[[#This Row],[Credit]]-Table842[[#This Row],[Debit]]+Table842[[#This Row],[Credit +]]-Table842[[#This Row],[Debit -]],0)</f>
        <v>0</v>
      </c>
      <c r="AD113" s="34" t="str">
        <f>IFERROR(IF(AND(OR(Table842[[#This Row],[Classification]]="Expense",Table842[[#This Row],[Classification]]="Cost of Goods Sold"),Table842[[#This Row],[Debit\]]&gt;Table842[[#This Row],[Credit.]]),Table842[[#This Row],[Debit\]]-Table842[[#This Row],[Credit.]],""),"")</f>
        <v/>
      </c>
      <c r="AE113" s="34" t="str">
        <f>IFERROR(IF(AND(OR(Table842[[#This Row],[Classification]]="Income",Table842[[#This Row],[Classification]]="Cost of Goods Sold"),Table842[[#This Row],[Credit.]]&gt;Table842[[#This Row],[Debit\]]),Table842[[#This Row],[Credit.]]-Table842[[#This Row],[Debit\]],""),"")</f>
        <v/>
      </c>
      <c r="AF113" s="34"/>
      <c r="AG113" s="34" t="str">
        <f>IFERROR(IF(AND(Table842[[#This Row],[Classification]]="Assets",Table842[[#This Row],[Debit\]]-Table842[[#This Row],[Credit.]]),Table842[[#This Row],[Debit\]]-Table842[[#This Row],[Credit.]],""),"")</f>
        <v/>
      </c>
      <c r="AH113" s="34" t="str">
        <f>IFERROR(IF(AND(OR(Table842[[#This Row],[Classification]]="Liabilities",Table842[[#This Row],[Classification]]="Owner´s Equity"),Table842[[#This Row],[Credit.]]&gt;Table842[[#This Row],[Debit\]]),Table842[[#This Row],[Credit.]]-Table842[[#This Row],[Debit\]],""),"")</f>
        <v/>
      </c>
    </row>
    <row r="114" spans="2:34" hidden="1" x14ac:dyDescent="0.25">
      <c r="B114" s="34"/>
      <c r="C114" s="45"/>
      <c r="D114" s="34"/>
      <c r="E114" s="34"/>
      <c r="G114" s="39"/>
      <c r="H114" s="40"/>
      <c r="I114" s="41"/>
      <c r="J114" s="41"/>
      <c r="L114" s="34">
        <v>107</v>
      </c>
      <c r="M114" s="35"/>
      <c r="N114" s="35"/>
      <c r="O114" s="34">
        <f>IFERROR(SUMIF(Table439[,],Table641[[#This Row],[Accounts Name]],Table439[,3]),"")</f>
        <v>0</v>
      </c>
      <c r="P114" s="34">
        <f>IFERROR(SUMIF(Table439[,],Table641[[#This Row],[Accounts Name]],Table439[,2]),"")</f>
        <v>0</v>
      </c>
      <c r="S114" s="36">
        <f t="shared" si="1"/>
        <v>107</v>
      </c>
      <c r="T114" s="34"/>
      <c r="U114" s="37"/>
      <c r="V114" s="34">
        <f>IFERROR(SUMIF(Table641[Sub-Accounts],Table842[[#This Row],[Update your chart of accounts here]],Table641[Debit]),"")</f>
        <v>0</v>
      </c>
      <c r="W114" s="34">
        <f>IFERROR(SUMIF(Table641[Sub-Accounts],Table842[[#This Row],[Update your chart of accounts here]],Table641[Credit]),"")</f>
        <v>0</v>
      </c>
      <c r="X114" s="34"/>
      <c r="Y114" s="34"/>
      <c r="Z114" s="34"/>
      <c r="AA114" s="34"/>
      <c r="AB114" s="34">
        <f>MAX(Table842[[#This Row],[Debit]]+Table842[[#This Row],[Debit -]]-Table842[[#This Row],[Credit]]-Table842[[#This Row],[Credit +]],0)</f>
        <v>0</v>
      </c>
      <c r="AC114" s="34">
        <f>MAX(Table842[[#This Row],[Credit]]-Table842[[#This Row],[Debit]]+Table842[[#This Row],[Credit +]]-Table842[[#This Row],[Debit -]],0)</f>
        <v>0</v>
      </c>
      <c r="AD114" s="34" t="str">
        <f>IFERROR(IF(AND(OR(Table842[[#This Row],[Classification]]="Expense",Table842[[#This Row],[Classification]]="Cost of Goods Sold"),Table842[[#This Row],[Debit\]]&gt;Table842[[#This Row],[Credit.]]),Table842[[#This Row],[Debit\]]-Table842[[#This Row],[Credit.]],""),"")</f>
        <v/>
      </c>
      <c r="AE114" s="34" t="str">
        <f>IFERROR(IF(AND(OR(Table842[[#This Row],[Classification]]="Income",Table842[[#This Row],[Classification]]="Cost of Goods Sold"),Table842[[#This Row],[Credit.]]&gt;Table842[[#This Row],[Debit\]]),Table842[[#This Row],[Credit.]]-Table842[[#This Row],[Debit\]],""),"")</f>
        <v/>
      </c>
      <c r="AF114" s="34"/>
      <c r="AG114" s="34" t="str">
        <f>IFERROR(IF(AND(Table842[[#This Row],[Classification]]="Assets",Table842[[#This Row],[Debit\]]-Table842[[#This Row],[Credit.]]),Table842[[#This Row],[Debit\]]-Table842[[#This Row],[Credit.]],""),"")</f>
        <v/>
      </c>
      <c r="AH114" s="34" t="str">
        <f>IFERROR(IF(AND(OR(Table842[[#This Row],[Classification]]="Liabilities",Table842[[#This Row],[Classification]]="Owner´s Equity"),Table842[[#This Row],[Credit.]]&gt;Table842[[#This Row],[Debit\]]),Table842[[#This Row],[Credit.]]-Table842[[#This Row],[Debit\]],""),"")</f>
        <v/>
      </c>
    </row>
    <row r="115" spans="2:34" hidden="1" x14ac:dyDescent="0.25">
      <c r="B115" s="34"/>
      <c r="C115" s="45"/>
      <c r="D115" s="34"/>
      <c r="E115" s="34"/>
      <c r="G115" s="39"/>
      <c r="H115" s="40"/>
      <c r="I115" s="41"/>
      <c r="J115" s="41"/>
      <c r="L115" s="34">
        <v>108</v>
      </c>
      <c r="M115" s="35"/>
      <c r="N115" s="35"/>
      <c r="O115" s="34">
        <f>IFERROR(SUMIF(Table439[,],Table641[[#This Row],[Accounts Name]],Table439[,3]),"")</f>
        <v>0</v>
      </c>
      <c r="P115" s="34">
        <f>IFERROR(SUMIF(Table439[,],Table641[[#This Row],[Accounts Name]],Table439[,2]),"")</f>
        <v>0</v>
      </c>
      <c r="S115" s="36">
        <f t="shared" si="1"/>
        <v>108</v>
      </c>
      <c r="T115" s="34"/>
      <c r="U115" s="37"/>
      <c r="V115" s="34">
        <f>IFERROR(SUMIF(Table641[Sub-Accounts],Table842[[#This Row],[Update your chart of accounts here]],Table641[Debit]),"")</f>
        <v>0</v>
      </c>
      <c r="W115" s="34">
        <f>IFERROR(SUMIF(Table641[Sub-Accounts],Table842[[#This Row],[Update your chart of accounts here]],Table641[Credit]),"")</f>
        <v>0</v>
      </c>
      <c r="X115" s="34"/>
      <c r="Y115" s="34"/>
      <c r="Z115" s="34"/>
      <c r="AA115" s="34"/>
      <c r="AB115" s="34">
        <f>MAX(Table842[[#This Row],[Debit]]+Table842[[#This Row],[Debit -]]-Table842[[#This Row],[Credit]]-Table842[[#This Row],[Credit +]],0)</f>
        <v>0</v>
      </c>
      <c r="AC115" s="34">
        <f>MAX(Table842[[#This Row],[Credit]]-Table842[[#This Row],[Debit]]+Table842[[#This Row],[Credit +]]-Table842[[#This Row],[Debit -]],0)</f>
        <v>0</v>
      </c>
      <c r="AD115" s="34" t="str">
        <f>IFERROR(IF(AND(OR(Table842[[#This Row],[Classification]]="Expense",Table842[[#This Row],[Classification]]="Cost of Goods Sold"),Table842[[#This Row],[Debit\]]&gt;Table842[[#This Row],[Credit.]]),Table842[[#This Row],[Debit\]]-Table842[[#This Row],[Credit.]],""),"")</f>
        <v/>
      </c>
      <c r="AE115" s="34" t="str">
        <f>IFERROR(IF(AND(OR(Table842[[#This Row],[Classification]]="Income",Table842[[#This Row],[Classification]]="Cost of Goods Sold"),Table842[[#This Row],[Credit.]]&gt;Table842[[#This Row],[Debit\]]),Table842[[#This Row],[Credit.]]-Table842[[#This Row],[Debit\]],""),"")</f>
        <v/>
      </c>
      <c r="AF115" s="34"/>
      <c r="AG115" s="34" t="str">
        <f>IFERROR(IF(AND(Table842[[#This Row],[Classification]]="Assets",Table842[[#This Row],[Debit\]]-Table842[[#This Row],[Credit.]]),Table842[[#This Row],[Debit\]]-Table842[[#This Row],[Credit.]],""),"")</f>
        <v/>
      </c>
      <c r="AH115" s="34" t="str">
        <f>IFERROR(IF(AND(OR(Table842[[#This Row],[Classification]]="Liabilities",Table842[[#This Row],[Classification]]="Owner´s Equity"),Table842[[#This Row],[Credit.]]&gt;Table842[[#This Row],[Debit\]]),Table842[[#This Row],[Credit.]]-Table842[[#This Row],[Debit\]],""),"")</f>
        <v/>
      </c>
    </row>
    <row r="116" spans="2:34" hidden="1" x14ac:dyDescent="0.25">
      <c r="B116" s="34"/>
      <c r="C116" s="45"/>
      <c r="D116" s="34"/>
      <c r="E116" s="34"/>
      <c r="G116" s="39"/>
      <c r="H116" s="43"/>
      <c r="I116" s="41"/>
      <c r="J116" s="41"/>
      <c r="L116" s="34">
        <v>109</v>
      </c>
      <c r="M116" s="35"/>
      <c r="N116" s="35"/>
      <c r="O116" s="34">
        <f>IFERROR(SUMIF(Table439[,],Table641[[#This Row],[Accounts Name]],Table439[,3]),"")</f>
        <v>0</v>
      </c>
      <c r="P116" s="34">
        <f>IFERROR(SUMIF(Table439[,],Table641[[#This Row],[Accounts Name]],Table439[,2]),"")</f>
        <v>0</v>
      </c>
      <c r="S116" s="36">
        <f t="shared" si="1"/>
        <v>109</v>
      </c>
      <c r="T116" s="34"/>
      <c r="U116" s="37"/>
      <c r="V116" s="34">
        <f>IFERROR(SUMIF(Table641[Sub-Accounts],Table842[[#This Row],[Update your chart of accounts here]],Table641[Debit]),"")</f>
        <v>0</v>
      </c>
      <c r="W116" s="34">
        <f>IFERROR(SUMIF(Table641[Sub-Accounts],Table842[[#This Row],[Update your chart of accounts here]],Table641[Credit]),"")</f>
        <v>0</v>
      </c>
      <c r="X116" s="34"/>
      <c r="Y116" s="34"/>
      <c r="Z116" s="34"/>
      <c r="AA116" s="34"/>
      <c r="AB116" s="34">
        <f>MAX(Table842[[#This Row],[Debit]]+Table842[[#This Row],[Debit -]]-Table842[[#This Row],[Credit]]-Table842[[#This Row],[Credit +]],0)</f>
        <v>0</v>
      </c>
      <c r="AC116" s="34">
        <f>MAX(Table842[[#This Row],[Credit]]-Table842[[#This Row],[Debit]]+Table842[[#This Row],[Credit +]]-Table842[[#This Row],[Debit -]],0)</f>
        <v>0</v>
      </c>
      <c r="AD116" s="34" t="str">
        <f>IFERROR(IF(AND(OR(Table842[[#This Row],[Classification]]="Expense",Table842[[#This Row],[Classification]]="Cost of Goods Sold"),Table842[[#This Row],[Debit\]]&gt;Table842[[#This Row],[Credit.]]),Table842[[#This Row],[Debit\]]-Table842[[#This Row],[Credit.]],""),"")</f>
        <v/>
      </c>
      <c r="AE116" s="34" t="str">
        <f>IFERROR(IF(AND(OR(Table842[[#This Row],[Classification]]="Income",Table842[[#This Row],[Classification]]="Cost of Goods Sold"),Table842[[#This Row],[Credit.]]&gt;Table842[[#This Row],[Debit\]]),Table842[[#This Row],[Credit.]]-Table842[[#This Row],[Debit\]],""),"")</f>
        <v/>
      </c>
      <c r="AF116" s="34"/>
      <c r="AG116" s="34" t="str">
        <f>IFERROR(IF(AND(Table842[[#This Row],[Classification]]="Assets",Table842[[#This Row],[Debit\]]-Table842[[#This Row],[Credit.]]),Table842[[#This Row],[Debit\]]-Table842[[#This Row],[Credit.]],""),"")</f>
        <v/>
      </c>
      <c r="AH116" s="34" t="str">
        <f>IFERROR(IF(AND(OR(Table842[[#This Row],[Classification]]="Liabilities",Table842[[#This Row],[Classification]]="Owner´s Equity"),Table842[[#This Row],[Credit.]]&gt;Table842[[#This Row],[Debit\]]),Table842[[#This Row],[Credit.]]-Table842[[#This Row],[Debit\]],""),"")</f>
        <v/>
      </c>
    </row>
    <row r="117" spans="2:34" hidden="1" x14ac:dyDescent="0.25">
      <c r="B117" s="34"/>
      <c r="C117" s="45"/>
      <c r="D117" s="34"/>
      <c r="E117" s="34"/>
      <c r="G117" s="39"/>
      <c r="H117" s="40"/>
      <c r="I117" s="41"/>
      <c r="J117" s="41"/>
      <c r="L117" s="34">
        <v>110</v>
      </c>
      <c r="M117" s="35"/>
      <c r="N117" s="35"/>
      <c r="O117" s="34">
        <f>IFERROR(SUMIF(Table439[,],Table641[[#This Row],[Accounts Name]],Table439[,3]),"")</f>
        <v>0</v>
      </c>
      <c r="P117" s="34">
        <f>IFERROR(SUMIF(Table439[,],Table641[[#This Row],[Accounts Name]],Table439[,2]),"")</f>
        <v>0</v>
      </c>
      <c r="S117" s="36">
        <f t="shared" si="1"/>
        <v>110</v>
      </c>
      <c r="T117" s="34"/>
      <c r="U117" s="37"/>
      <c r="V117" s="34">
        <f>IFERROR(SUMIF(Table641[Sub-Accounts],Table842[[#This Row],[Update your chart of accounts here]],Table641[Debit]),"")</f>
        <v>0</v>
      </c>
      <c r="W117" s="34">
        <f>IFERROR(SUMIF(Table641[Sub-Accounts],Table842[[#This Row],[Update your chart of accounts here]],Table641[Credit]),"")</f>
        <v>0</v>
      </c>
      <c r="X117" s="34"/>
      <c r="Y117" s="34"/>
      <c r="Z117" s="34"/>
      <c r="AA117" s="34"/>
      <c r="AB117" s="34">
        <f>MAX(Table842[[#This Row],[Debit]]+Table842[[#This Row],[Debit -]]-Table842[[#This Row],[Credit]]-Table842[[#This Row],[Credit +]],0)</f>
        <v>0</v>
      </c>
      <c r="AC117" s="34">
        <f>MAX(Table842[[#This Row],[Credit]]-Table842[[#This Row],[Debit]]+Table842[[#This Row],[Credit +]]-Table842[[#This Row],[Debit -]],0)</f>
        <v>0</v>
      </c>
      <c r="AD117" s="34" t="str">
        <f>IFERROR(IF(AND(OR(Table842[[#This Row],[Classification]]="Expense",Table842[[#This Row],[Classification]]="Cost of Goods Sold"),Table842[[#This Row],[Debit\]]&gt;Table842[[#This Row],[Credit.]]),Table842[[#This Row],[Debit\]]-Table842[[#This Row],[Credit.]],""),"")</f>
        <v/>
      </c>
      <c r="AE117" s="34" t="str">
        <f>IFERROR(IF(AND(OR(Table842[[#This Row],[Classification]]="Income",Table842[[#This Row],[Classification]]="Cost of Goods Sold"),Table842[[#This Row],[Credit.]]&gt;Table842[[#This Row],[Debit\]]),Table842[[#This Row],[Credit.]]-Table842[[#This Row],[Debit\]],""),"")</f>
        <v/>
      </c>
      <c r="AF117" s="34"/>
      <c r="AG117" s="34" t="str">
        <f>IFERROR(IF(AND(Table842[[#This Row],[Classification]]="Assets",Table842[[#This Row],[Debit\]]-Table842[[#This Row],[Credit.]]),Table842[[#This Row],[Debit\]]-Table842[[#This Row],[Credit.]],""),"")</f>
        <v/>
      </c>
      <c r="AH117" s="34" t="str">
        <f>IFERROR(IF(AND(OR(Table842[[#This Row],[Classification]]="Liabilities",Table842[[#This Row],[Classification]]="Owner´s Equity"),Table842[[#This Row],[Credit.]]&gt;Table842[[#This Row],[Debit\]]),Table842[[#This Row],[Credit.]]-Table842[[#This Row],[Debit\]],""),"")</f>
        <v/>
      </c>
    </row>
    <row r="118" spans="2:34" hidden="1" x14ac:dyDescent="0.25">
      <c r="B118" s="34"/>
      <c r="C118" s="45"/>
      <c r="D118" s="34"/>
      <c r="E118" s="34"/>
      <c r="G118" s="39"/>
      <c r="H118" s="40"/>
      <c r="I118" s="41"/>
      <c r="J118" s="41"/>
      <c r="L118" s="34">
        <v>111</v>
      </c>
      <c r="M118" s="35"/>
      <c r="N118" s="35"/>
      <c r="O118" s="34">
        <f>IFERROR(SUMIF(Table439[,],Table641[[#This Row],[Accounts Name]],Table439[,3]),"")</f>
        <v>0</v>
      </c>
      <c r="P118" s="34">
        <f>IFERROR(SUMIF(Table439[,],Table641[[#This Row],[Accounts Name]],Table439[,2]),"")</f>
        <v>0</v>
      </c>
      <c r="S118" s="36">
        <f t="shared" si="1"/>
        <v>111</v>
      </c>
      <c r="T118" s="34"/>
      <c r="U118" s="37"/>
      <c r="V118" s="34">
        <f>IFERROR(SUMIF(Table641[Sub-Accounts],Table842[[#This Row],[Update your chart of accounts here]],Table641[Debit]),"")</f>
        <v>0</v>
      </c>
      <c r="W118" s="34">
        <f>IFERROR(SUMIF(Table641[Sub-Accounts],Table842[[#This Row],[Update your chart of accounts here]],Table641[Credit]),"")</f>
        <v>0</v>
      </c>
      <c r="X118" s="34"/>
      <c r="Y118" s="34"/>
      <c r="Z118" s="34"/>
      <c r="AA118" s="34"/>
      <c r="AB118" s="34">
        <f>MAX(Table842[[#This Row],[Debit]]+Table842[[#This Row],[Debit -]]-Table842[[#This Row],[Credit]]-Table842[[#This Row],[Credit +]],0)</f>
        <v>0</v>
      </c>
      <c r="AC118" s="34">
        <f>MAX(Table842[[#This Row],[Credit]]-Table842[[#This Row],[Debit]]+Table842[[#This Row],[Credit +]]-Table842[[#This Row],[Debit -]],0)</f>
        <v>0</v>
      </c>
      <c r="AD118" s="34" t="str">
        <f>IFERROR(IF(AND(OR(Table842[[#This Row],[Classification]]="Expense",Table842[[#This Row],[Classification]]="Cost of Goods Sold"),Table842[[#This Row],[Debit\]]&gt;Table842[[#This Row],[Credit.]]),Table842[[#This Row],[Debit\]]-Table842[[#This Row],[Credit.]],""),"")</f>
        <v/>
      </c>
      <c r="AE118" s="34" t="str">
        <f>IFERROR(IF(AND(OR(Table842[[#This Row],[Classification]]="Income",Table842[[#This Row],[Classification]]="Cost of Goods Sold"),Table842[[#This Row],[Credit.]]&gt;Table842[[#This Row],[Debit\]]),Table842[[#This Row],[Credit.]]-Table842[[#This Row],[Debit\]],""),"")</f>
        <v/>
      </c>
      <c r="AF118" s="34"/>
      <c r="AG118" s="34" t="str">
        <f>IFERROR(IF(AND(Table842[[#This Row],[Classification]]="Assets",Table842[[#This Row],[Debit\]]-Table842[[#This Row],[Credit.]]),Table842[[#This Row],[Debit\]]-Table842[[#This Row],[Credit.]],""),"")</f>
        <v/>
      </c>
      <c r="AH118" s="34" t="str">
        <f>IFERROR(IF(AND(OR(Table842[[#This Row],[Classification]]="Liabilities",Table842[[#This Row],[Classification]]="Owner´s Equity"),Table842[[#This Row],[Credit.]]&gt;Table842[[#This Row],[Debit\]]),Table842[[#This Row],[Credit.]]-Table842[[#This Row],[Debit\]],""),"")</f>
        <v/>
      </c>
    </row>
    <row r="119" spans="2:34" hidden="1" x14ac:dyDescent="0.25">
      <c r="B119" s="34"/>
      <c r="C119" s="45"/>
      <c r="D119" s="34"/>
      <c r="E119" s="34"/>
      <c r="G119" s="39"/>
      <c r="H119" s="43"/>
      <c r="I119" s="41"/>
      <c r="J119" s="41"/>
      <c r="L119" s="34">
        <v>112</v>
      </c>
      <c r="M119" s="35"/>
      <c r="N119" s="35"/>
      <c r="O119" s="34">
        <f>IFERROR(SUMIF(Table439[,],Table641[[#This Row],[Accounts Name]],Table439[,3]),"")</f>
        <v>0</v>
      </c>
      <c r="P119" s="34">
        <f>IFERROR(SUMIF(Table439[,],Table641[[#This Row],[Accounts Name]],Table439[,2]),"")</f>
        <v>0</v>
      </c>
      <c r="S119" s="36">
        <f t="shared" si="1"/>
        <v>112</v>
      </c>
      <c r="T119" s="34"/>
      <c r="U119" s="37"/>
      <c r="V119" s="34">
        <f>IFERROR(SUMIF(Table641[Sub-Accounts],Table842[[#This Row],[Update your chart of accounts here]],Table641[Debit]),"")</f>
        <v>0</v>
      </c>
      <c r="W119" s="34">
        <f>IFERROR(SUMIF(Table641[Sub-Accounts],Table842[[#This Row],[Update your chart of accounts here]],Table641[Credit]),"")</f>
        <v>0</v>
      </c>
      <c r="X119" s="34"/>
      <c r="Y119" s="34"/>
      <c r="Z119" s="34"/>
      <c r="AA119" s="34"/>
      <c r="AB119" s="34">
        <f>MAX(Table842[[#This Row],[Debit]]+Table842[[#This Row],[Debit -]]-Table842[[#This Row],[Credit]]-Table842[[#This Row],[Credit +]],0)</f>
        <v>0</v>
      </c>
      <c r="AC119" s="34">
        <f>MAX(Table842[[#This Row],[Credit]]-Table842[[#This Row],[Debit]]+Table842[[#This Row],[Credit +]]-Table842[[#This Row],[Debit -]],0)</f>
        <v>0</v>
      </c>
      <c r="AD119" s="34" t="str">
        <f>IFERROR(IF(AND(OR(Table842[[#This Row],[Classification]]="Expense",Table842[[#This Row],[Classification]]="Cost of Goods Sold"),Table842[[#This Row],[Debit\]]&gt;Table842[[#This Row],[Credit.]]),Table842[[#This Row],[Debit\]]-Table842[[#This Row],[Credit.]],""),"")</f>
        <v/>
      </c>
      <c r="AE119" s="34" t="str">
        <f>IFERROR(IF(AND(OR(Table842[[#This Row],[Classification]]="Income",Table842[[#This Row],[Classification]]="Cost of Goods Sold"),Table842[[#This Row],[Credit.]]&gt;Table842[[#This Row],[Debit\]]),Table842[[#This Row],[Credit.]]-Table842[[#This Row],[Debit\]],""),"")</f>
        <v/>
      </c>
      <c r="AF119" s="34"/>
      <c r="AG119" s="34" t="str">
        <f>IFERROR(IF(AND(Table842[[#This Row],[Classification]]="Assets",Table842[[#This Row],[Debit\]]-Table842[[#This Row],[Credit.]]),Table842[[#This Row],[Debit\]]-Table842[[#This Row],[Credit.]],""),"")</f>
        <v/>
      </c>
      <c r="AH119" s="34" t="str">
        <f>IFERROR(IF(AND(OR(Table842[[#This Row],[Classification]]="Liabilities",Table842[[#This Row],[Classification]]="Owner´s Equity"),Table842[[#This Row],[Credit.]]&gt;Table842[[#This Row],[Debit\]]),Table842[[#This Row],[Credit.]]-Table842[[#This Row],[Debit\]],""),"")</f>
        <v/>
      </c>
    </row>
    <row r="120" spans="2:34" hidden="1" x14ac:dyDescent="0.25">
      <c r="B120" s="34"/>
      <c r="C120" s="45"/>
      <c r="D120" s="34"/>
      <c r="E120" s="34"/>
      <c r="G120" s="39"/>
      <c r="H120" s="40"/>
      <c r="I120" s="41"/>
      <c r="J120" s="41"/>
      <c r="L120" s="34">
        <v>113</v>
      </c>
      <c r="M120" s="35"/>
      <c r="N120" s="35"/>
      <c r="O120" s="34">
        <f>IFERROR(SUMIF(Table439[,],Table641[[#This Row],[Accounts Name]],Table439[,3]),"")</f>
        <v>0</v>
      </c>
      <c r="P120" s="34">
        <f>IFERROR(SUMIF(Table439[,],Table641[[#This Row],[Accounts Name]],Table439[,2]),"")</f>
        <v>0</v>
      </c>
      <c r="S120" s="36">
        <f t="shared" si="1"/>
        <v>113</v>
      </c>
      <c r="T120" s="34"/>
      <c r="U120" s="37"/>
      <c r="V120" s="34">
        <f>IFERROR(SUMIF(Table641[Sub-Accounts],Table842[[#This Row],[Update your chart of accounts here]],Table641[Debit]),"")</f>
        <v>0</v>
      </c>
      <c r="W120" s="34">
        <f>IFERROR(SUMIF(Table641[Sub-Accounts],Table842[[#This Row],[Update your chart of accounts here]],Table641[Credit]),"")</f>
        <v>0</v>
      </c>
      <c r="X120" s="34"/>
      <c r="Y120" s="34"/>
      <c r="Z120" s="34"/>
      <c r="AA120" s="34"/>
      <c r="AB120" s="34">
        <f>MAX(Table842[[#This Row],[Debit]]+Table842[[#This Row],[Debit -]]-Table842[[#This Row],[Credit]]-Table842[[#This Row],[Credit +]],0)</f>
        <v>0</v>
      </c>
      <c r="AC120" s="34">
        <f>MAX(Table842[[#This Row],[Credit]]-Table842[[#This Row],[Debit]]+Table842[[#This Row],[Credit +]]-Table842[[#This Row],[Debit -]],0)</f>
        <v>0</v>
      </c>
      <c r="AD120" s="34" t="str">
        <f>IFERROR(IF(AND(OR(Table842[[#This Row],[Classification]]="Expense",Table842[[#This Row],[Classification]]="Cost of Goods Sold"),Table842[[#This Row],[Debit\]]&gt;Table842[[#This Row],[Credit.]]),Table842[[#This Row],[Debit\]]-Table842[[#This Row],[Credit.]],""),"")</f>
        <v/>
      </c>
      <c r="AE120" s="34" t="str">
        <f>IFERROR(IF(AND(OR(Table842[[#This Row],[Classification]]="Income",Table842[[#This Row],[Classification]]="Cost of Goods Sold"),Table842[[#This Row],[Credit.]]&gt;Table842[[#This Row],[Debit\]]),Table842[[#This Row],[Credit.]]-Table842[[#This Row],[Debit\]],""),"")</f>
        <v/>
      </c>
      <c r="AF120" s="34"/>
      <c r="AG120" s="34" t="str">
        <f>IFERROR(IF(AND(Table842[[#This Row],[Classification]]="Assets",Table842[[#This Row],[Debit\]]-Table842[[#This Row],[Credit.]]),Table842[[#This Row],[Debit\]]-Table842[[#This Row],[Credit.]],""),"")</f>
        <v/>
      </c>
      <c r="AH120" s="34" t="str">
        <f>IFERROR(IF(AND(OR(Table842[[#This Row],[Classification]]="Liabilities",Table842[[#This Row],[Classification]]="Owner´s Equity"),Table842[[#This Row],[Credit.]]&gt;Table842[[#This Row],[Debit\]]),Table842[[#This Row],[Credit.]]-Table842[[#This Row],[Debit\]],""),"")</f>
        <v/>
      </c>
    </row>
    <row r="121" spans="2:34" hidden="1" x14ac:dyDescent="0.25">
      <c r="B121" s="34"/>
      <c r="C121" s="45"/>
      <c r="D121" s="34"/>
      <c r="E121" s="34"/>
      <c r="G121" s="39"/>
      <c r="H121" s="40"/>
      <c r="I121" s="41"/>
      <c r="J121" s="41"/>
      <c r="L121" s="34">
        <v>114</v>
      </c>
      <c r="M121" s="35"/>
      <c r="N121" s="35"/>
      <c r="O121" s="34">
        <f>IFERROR(SUMIF(Table439[,],Table641[[#This Row],[Accounts Name]],Table439[,3]),"")</f>
        <v>0</v>
      </c>
      <c r="P121" s="34">
        <f>IFERROR(SUMIF(Table439[,],Table641[[#This Row],[Accounts Name]],Table439[,2]),"")</f>
        <v>0</v>
      </c>
      <c r="S121" s="36">
        <f t="shared" si="1"/>
        <v>114</v>
      </c>
      <c r="T121" s="34"/>
      <c r="U121" s="37"/>
      <c r="V121" s="34">
        <f>IFERROR(SUMIF(Table641[Sub-Accounts],Table842[[#This Row],[Update your chart of accounts here]],Table641[Debit]),"")</f>
        <v>0</v>
      </c>
      <c r="W121" s="34">
        <f>IFERROR(SUMIF(Table641[Sub-Accounts],Table842[[#This Row],[Update your chart of accounts here]],Table641[Credit]),"")</f>
        <v>0</v>
      </c>
      <c r="X121" s="34"/>
      <c r="Y121" s="34"/>
      <c r="Z121" s="34"/>
      <c r="AA121" s="34"/>
      <c r="AB121" s="34">
        <f>MAX(Table842[[#This Row],[Debit]]+Table842[[#This Row],[Debit -]]-Table842[[#This Row],[Credit]]-Table842[[#This Row],[Credit +]],0)</f>
        <v>0</v>
      </c>
      <c r="AC121" s="34">
        <f>MAX(Table842[[#This Row],[Credit]]-Table842[[#This Row],[Debit]]+Table842[[#This Row],[Credit +]]-Table842[[#This Row],[Debit -]],0)</f>
        <v>0</v>
      </c>
      <c r="AD121" s="34" t="str">
        <f>IFERROR(IF(AND(OR(Table842[[#This Row],[Classification]]="Expense",Table842[[#This Row],[Classification]]="Cost of Goods Sold"),Table842[[#This Row],[Debit\]]&gt;Table842[[#This Row],[Credit.]]),Table842[[#This Row],[Debit\]]-Table842[[#This Row],[Credit.]],""),"")</f>
        <v/>
      </c>
      <c r="AE121" s="34" t="str">
        <f>IFERROR(IF(AND(OR(Table842[[#This Row],[Classification]]="Income",Table842[[#This Row],[Classification]]="Cost of Goods Sold"),Table842[[#This Row],[Credit.]]&gt;Table842[[#This Row],[Debit\]]),Table842[[#This Row],[Credit.]]-Table842[[#This Row],[Debit\]],""),"")</f>
        <v/>
      </c>
      <c r="AF121" s="34"/>
      <c r="AG121" s="34" t="str">
        <f>IFERROR(IF(AND(Table842[[#This Row],[Classification]]="Assets",Table842[[#This Row],[Debit\]]-Table842[[#This Row],[Credit.]]),Table842[[#This Row],[Debit\]]-Table842[[#This Row],[Credit.]],""),"")</f>
        <v/>
      </c>
      <c r="AH121" s="34" t="str">
        <f>IFERROR(IF(AND(OR(Table842[[#This Row],[Classification]]="Liabilities",Table842[[#This Row],[Classification]]="Owner´s Equity"),Table842[[#This Row],[Credit.]]&gt;Table842[[#This Row],[Debit\]]),Table842[[#This Row],[Credit.]]-Table842[[#This Row],[Debit\]],""),"")</f>
        <v/>
      </c>
    </row>
    <row r="122" spans="2:34" hidden="1" x14ac:dyDescent="0.25">
      <c r="B122" s="34"/>
      <c r="C122" s="45"/>
      <c r="D122" s="34"/>
      <c r="E122" s="34"/>
      <c r="G122" s="39"/>
      <c r="H122" s="43"/>
      <c r="I122" s="41"/>
      <c r="J122" s="41"/>
      <c r="L122" s="34">
        <v>115</v>
      </c>
      <c r="M122" s="35"/>
      <c r="N122" s="35"/>
      <c r="O122" s="34">
        <f>IFERROR(SUMIF(Table439[,],Table641[[#This Row],[Accounts Name]],Table439[,3]),"")</f>
        <v>0</v>
      </c>
      <c r="P122" s="34">
        <f>IFERROR(SUMIF(Table439[,],Table641[[#This Row],[Accounts Name]],Table439[,2]),"")</f>
        <v>0</v>
      </c>
      <c r="S122" s="36">
        <f t="shared" si="1"/>
        <v>115</v>
      </c>
      <c r="T122" s="34"/>
      <c r="U122" s="37"/>
      <c r="V122" s="34">
        <f>IFERROR(SUMIF(Table641[Sub-Accounts],Table842[[#This Row],[Update your chart of accounts here]],Table641[Debit]),"")</f>
        <v>0</v>
      </c>
      <c r="W122" s="34">
        <f>IFERROR(SUMIF(Table641[Sub-Accounts],Table842[[#This Row],[Update your chart of accounts here]],Table641[Credit]),"")</f>
        <v>0</v>
      </c>
      <c r="X122" s="34"/>
      <c r="Y122" s="34"/>
      <c r="Z122" s="34"/>
      <c r="AA122" s="34"/>
      <c r="AB122" s="34">
        <f>MAX(Table842[[#This Row],[Debit]]+Table842[[#This Row],[Debit -]]-Table842[[#This Row],[Credit]]-Table842[[#This Row],[Credit +]],0)</f>
        <v>0</v>
      </c>
      <c r="AC122" s="34">
        <f>MAX(Table842[[#This Row],[Credit]]-Table842[[#This Row],[Debit]]+Table842[[#This Row],[Credit +]]-Table842[[#This Row],[Debit -]],0)</f>
        <v>0</v>
      </c>
      <c r="AD122" s="34" t="str">
        <f>IFERROR(IF(AND(OR(Table842[[#This Row],[Classification]]="Expense",Table842[[#This Row],[Classification]]="Cost of Goods Sold"),Table842[[#This Row],[Debit\]]&gt;Table842[[#This Row],[Credit.]]),Table842[[#This Row],[Debit\]]-Table842[[#This Row],[Credit.]],""),"")</f>
        <v/>
      </c>
      <c r="AE122" s="34" t="str">
        <f>IFERROR(IF(AND(OR(Table842[[#This Row],[Classification]]="Income",Table842[[#This Row],[Classification]]="Cost of Goods Sold"),Table842[[#This Row],[Credit.]]&gt;Table842[[#This Row],[Debit\]]),Table842[[#This Row],[Credit.]]-Table842[[#This Row],[Debit\]],""),"")</f>
        <v/>
      </c>
      <c r="AF122" s="34"/>
      <c r="AG122" s="34" t="str">
        <f>IFERROR(IF(AND(Table842[[#This Row],[Classification]]="Assets",Table842[[#This Row],[Debit\]]-Table842[[#This Row],[Credit.]]),Table842[[#This Row],[Debit\]]-Table842[[#This Row],[Credit.]],""),"")</f>
        <v/>
      </c>
      <c r="AH122" s="34" t="str">
        <f>IFERROR(IF(AND(OR(Table842[[#This Row],[Classification]]="Liabilities",Table842[[#This Row],[Classification]]="Owner´s Equity"),Table842[[#This Row],[Credit.]]&gt;Table842[[#This Row],[Debit\]]),Table842[[#This Row],[Credit.]]-Table842[[#This Row],[Debit\]],""),"")</f>
        <v/>
      </c>
    </row>
    <row r="123" spans="2:34" hidden="1" x14ac:dyDescent="0.25">
      <c r="B123" s="34"/>
      <c r="C123" s="45"/>
      <c r="D123" s="34"/>
      <c r="E123" s="34"/>
      <c r="G123" s="39"/>
      <c r="H123" s="40"/>
      <c r="I123" s="41"/>
      <c r="J123" s="41"/>
      <c r="L123" s="34">
        <v>116</v>
      </c>
      <c r="M123" s="35"/>
      <c r="N123" s="35"/>
      <c r="O123" s="34">
        <f>IFERROR(SUMIF(Table439[,],Table641[[#This Row],[Accounts Name]],Table439[,3]),"")</f>
        <v>0</v>
      </c>
      <c r="P123" s="34">
        <f>IFERROR(SUMIF(Table439[,],Table641[[#This Row],[Accounts Name]],Table439[,2]),"")</f>
        <v>0</v>
      </c>
      <c r="S123" s="36">
        <f t="shared" si="1"/>
        <v>116</v>
      </c>
      <c r="T123" s="34"/>
      <c r="U123" s="37"/>
      <c r="V123" s="34">
        <f>IFERROR(SUMIF(Table641[Sub-Accounts],Table842[[#This Row],[Update your chart of accounts here]],Table641[Debit]),"")</f>
        <v>0</v>
      </c>
      <c r="W123" s="34">
        <f>IFERROR(SUMIF(Table641[Sub-Accounts],Table842[[#This Row],[Update your chart of accounts here]],Table641[Credit]),"")</f>
        <v>0</v>
      </c>
      <c r="X123" s="34"/>
      <c r="Y123" s="34"/>
      <c r="Z123" s="34"/>
      <c r="AA123" s="34"/>
      <c r="AB123" s="34">
        <f>MAX(Table842[[#This Row],[Debit]]+Table842[[#This Row],[Debit -]]-Table842[[#This Row],[Credit]]-Table842[[#This Row],[Credit +]],0)</f>
        <v>0</v>
      </c>
      <c r="AC123" s="34">
        <f>MAX(Table842[[#This Row],[Credit]]-Table842[[#This Row],[Debit]]+Table842[[#This Row],[Credit +]]-Table842[[#This Row],[Debit -]],0)</f>
        <v>0</v>
      </c>
      <c r="AD123" s="34" t="str">
        <f>IFERROR(IF(AND(OR(Table842[[#This Row],[Classification]]="Expense",Table842[[#This Row],[Classification]]="Cost of Goods Sold"),Table842[[#This Row],[Debit\]]&gt;Table842[[#This Row],[Credit.]]),Table842[[#This Row],[Debit\]]-Table842[[#This Row],[Credit.]],""),"")</f>
        <v/>
      </c>
      <c r="AE123" s="34" t="str">
        <f>IFERROR(IF(AND(OR(Table842[[#This Row],[Classification]]="Income",Table842[[#This Row],[Classification]]="Cost of Goods Sold"),Table842[[#This Row],[Credit.]]&gt;Table842[[#This Row],[Debit\]]),Table842[[#This Row],[Credit.]]-Table842[[#This Row],[Debit\]],""),"")</f>
        <v/>
      </c>
      <c r="AF123" s="34"/>
      <c r="AG123" s="34" t="str">
        <f>IFERROR(IF(AND(Table842[[#This Row],[Classification]]="Assets",Table842[[#This Row],[Debit\]]-Table842[[#This Row],[Credit.]]),Table842[[#This Row],[Debit\]]-Table842[[#This Row],[Credit.]],""),"")</f>
        <v/>
      </c>
      <c r="AH123" s="34" t="str">
        <f>IFERROR(IF(AND(OR(Table842[[#This Row],[Classification]]="Liabilities",Table842[[#This Row],[Classification]]="Owner´s Equity"),Table842[[#This Row],[Credit.]]&gt;Table842[[#This Row],[Debit\]]),Table842[[#This Row],[Credit.]]-Table842[[#This Row],[Debit\]],""),"")</f>
        <v/>
      </c>
    </row>
    <row r="124" spans="2:34" hidden="1" x14ac:dyDescent="0.25">
      <c r="B124" s="34"/>
      <c r="C124" s="45"/>
      <c r="D124" s="34"/>
      <c r="E124" s="34"/>
      <c r="G124" s="39"/>
      <c r="H124" s="40"/>
      <c r="I124" s="41"/>
      <c r="J124" s="41"/>
      <c r="L124" s="34">
        <v>117</v>
      </c>
      <c r="M124" s="35"/>
      <c r="N124" s="35"/>
      <c r="O124" s="34">
        <f>IFERROR(SUMIF(Table439[,],Table641[[#This Row],[Accounts Name]],Table439[,3]),"")</f>
        <v>0</v>
      </c>
      <c r="P124" s="34">
        <f>IFERROR(SUMIF(Table439[,],Table641[[#This Row],[Accounts Name]],Table439[,2]),"")</f>
        <v>0</v>
      </c>
      <c r="S124" s="36">
        <f t="shared" si="1"/>
        <v>117</v>
      </c>
      <c r="T124" s="34"/>
      <c r="U124" s="37"/>
      <c r="V124" s="34">
        <f>IFERROR(SUMIF(Table641[Sub-Accounts],Table842[[#This Row],[Update your chart of accounts here]],Table641[Debit]),"")</f>
        <v>0</v>
      </c>
      <c r="W124" s="34">
        <f>IFERROR(SUMIF(Table641[Sub-Accounts],Table842[[#This Row],[Update your chart of accounts here]],Table641[Credit]),"")</f>
        <v>0</v>
      </c>
      <c r="X124" s="34"/>
      <c r="Y124" s="34"/>
      <c r="Z124" s="34"/>
      <c r="AA124" s="34"/>
      <c r="AB124" s="34">
        <f>MAX(Table842[[#This Row],[Debit]]+Table842[[#This Row],[Debit -]]-Table842[[#This Row],[Credit]]-Table842[[#This Row],[Credit +]],0)</f>
        <v>0</v>
      </c>
      <c r="AC124" s="34">
        <f>MAX(Table842[[#This Row],[Credit]]-Table842[[#This Row],[Debit]]+Table842[[#This Row],[Credit +]]-Table842[[#This Row],[Debit -]],0)</f>
        <v>0</v>
      </c>
      <c r="AD124" s="34" t="str">
        <f>IFERROR(IF(AND(OR(Table842[[#This Row],[Classification]]="Expense",Table842[[#This Row],[Classification]]="Cost of Goods Sold"),Table842[[#This Row],[Debit\]]&gt;Table842[[#This Row],[Credit.]]),Table842[[#This Row],[Debit\]]-Table842[[#This Row],[Credit.]],""),"")</f>
        <v/>
      </c>
      <c r="AE124" s="34" t="str">
        <f>IFERROR(IF(AND(OR(Table842[[#This Row],[Classification]]="Income",Table842[[#This Row],[Classification]]="Cost of Goods Sold"),Table842[[#This Row],[Credit.]]&gt;Table842[[#This Row],[Debit\]]),Table842[[#This Row],[Credit.]]-Table842[[#This Row],[Debit\]],""),"")</f>
        <v/>
      </c>
      <c r="AF124" s="34"/>
      <c r="AG124" s="34" t="str">
        <f>IFERROR(IF(AND(Table842[[#This Row],[Classification]]="Assets",Table842[[#This Row],[Debit\]]-Table842[[#This Row],[Credit.]]),Table842[[#This Row],[Debit\]]-Table842[[#This Row],[Credit.]],""),"")</f>
        <v/>
      </c>
      <c r="AH124" s="34" t="str">
        <f>IFERROR(IF(AND(OR(Table842[[#This Row],[Classification]]="Liabilities",Table842[[#This Row],[Classification]]="Owner´s Equity"),Table842[[#This Row],[Credit.]]&gt;Table842[[#This Row],[Debit\]]),Table842[[#This Row],[Credit.]]-Table842[[#This Row],[Debit\]],""),"")</f>
        <v/>
      </c>
    </row>
    <row r="125" spans="2:34" hidden="1" x14ac:dyDescent="0.25">
      <c r="B125" s="34"/>
      <c r="C125" s="45"/>
      <c r="D125" s="34"/>
      <c r="E125" s="34"/>
      <c r="G125" s="39"/>
      <c r="H125" s="43"/>
      <c r="I125" s="41"/>
      <c r="J125" s="41"/>
      <c r="L125" s="34">
        <v>118</v>
      </c>
      <c r="M125" s="35"/>
      <c r="N125" s="35"/>
      <c r="O125" s="34">
        <f>IFERROR(SUMIF(Table439[,],Table641[[#This Row],[Accounts Name]],Table439[,3]),"")</f>
        <v>0</v>
      </c>
      <c r="P125" s="34">
        <f>IFERROR(SUMIF(Table439[,],Table641[[#This Row],[Accounts Name]],Table439[,2]),"")</f>
        <v>0</v>
      </c>
      <c r="S125" s="36">
        <f t="shared" si="1"/>
        <v>118</v>
      </c>
      <c r="T125" s="34"/>
      <c r="U125" s="37"/>
      <c r="V125" s="34">
        <f>IFERROR(SUMIF(Table641[Sub-Accounts],Table842[[#This Row],[Update your chart of accounts here]],Table641[Debit]),"")</f>
        <v>0</v>
      </c>
      <c r="W125" s="34">
        <f>IFERROR(SUMIF(Table641[Sub-Accounts],Table842[[#This Row],[Update your chart of accounts here]],Table641[Credit]),"")</f>
        <v>0</v>
      </c>
      <c r="X125" s="34"/>
      <c r="Y125" s="34"/>
      <c r="Z125" s="34"/>
      <c r="AA125" s="34"/>
      <c r="AB125" s="34">
        <f>MAX(Table842[[#This Row],[Debit]]+Table842[[#This Row],[Debit -]]-Table842[[#This Row],[Credit]]-Table842[[#This Row],[Credit +]],0)</f>
        <v>0</v>
      </c>
      <c r="AC125" s="34">
        <f>MAX(Table842[[#This Row],[Credit]]-Table842[[#This Row],[Debit]]+Table842[[#This Row],[Credit +]]-Table842[[#This Row],[Debit -]],0)</f>
        <v>0</v>
      </c>
      <c r="AD125" s="34" t="str">
        <f>IFERROR(IF(AND(OR(Table842[[#This Row],[Classification]]="Expense",Table842[[#This Row],[Classification]]="Cost of Goods Sold"),Table842[[#This Row],[Debit\]]&gt;Table842[[#This Row],[Credit.]]),Table842[[#This Row],[Debit\]]-Table842[[#This Row],[Credit.]],""),"")</f>
        <v/>
      </c>
      <c r="AE125" s="34" t="str">
        <f>IFERROR(IF(AND(OR(Table842[[#This Row],[Classification]]="Income",Table842[[#This Row],[Classification]]="Cost of Goods Sold"),Table842[[#This Row],[Credit.]]&gt;Table842[[#This Row],[Debit\]]),Table842[[#This Row],[Credit.]]-Table842[[#This Row],[Debit\]],""),"")</f>
        <v/>
      </c>
      <c r="AF125" s="34"/>
      <c r="AG125" s="34" t="str">
        <f>IFERROR(IF(AND(Table842[[#This Row],[Classification]]="Assets",Table842[[#This Row],[Debit\]]-Table842[[#This Row],[Credit.]]),Table842[[#This Row],[Debit\]]-Table842[[#This Row],[Credit.]],""),"")</f>
        <v/>
      </c>
      <c r="AH125" s="34" t="str">
        <f>IFERROR(IF(AND(OR(Table842[[#This Row],[Classification]]="Liabilities",Table842[[#This Row],[Classification]]="Owner´s Equity"),Table842[[#This Row],[Credit.]]&gt;Table842[[#This Row],[Debit\]]),Table842[[#This Row],[Credit.]]-Table842[[#This Row],[Debit\]],""),"")</f>
        <v/>
      </c>
    </row>
    <row r="126" spans="2:34" hidden="1" x14ac:dyDescent="0.25">
      <c r="B126" s="34"/>
      <c r="C126" s="45"/>
      <c r="D126" s="34"/>
      <c r="E126" s="34"/>
      <c r="G126" s="39"/>
      <c r="H126" s="40"/>
      <c r="I126" s="41"/>
      <c r="J126" s="41"/>
      <c r="L126" s="34">
        <v>119</v>
      </c>
      <c r="M126" s="35"/>
      <c r="N126" s="35"/>
      <c r="O126" s="34">
        <f>IFERROR(SUMIF(Table439[,],Table641[[#This Row],[Accounts Name]],Table439[,3]),"")</f>
        <v>0</v>
      </c>
      <c r="P126" s="34">
        <f>IFERROR(SUMIF(Table439[,],Table641[[#This Row],[Accounts Name]],Table439[,2]),"")</f>
        <v>0</v>
      </c>
      <c r="S126" s="36">
        <f t="shared" si="1"/>
        <v>119</v>
      </c>
      <c r="T126" s="34"/>
      <c r="U126" s="37"/>
      <c r="V126" s="34">
        <f>IFERROR(SUMIF(Table641[Sub-Accounts],Table842[[#This Row],[Update your chart of accounts here]],Table641[Debit]),"")</f>
        <v>0</v>
      </c>
      <c r="W126" s="34">
        <f>IFERROR(SUMIF(Table641[Sub-Accounts],Table842[[#This Row],[Update your chart of accounts here]],Table641[Credit]),"")</f>
        <v>0</v>
      </c>
      <c r="X126" s="34"/>
      <c r="Y126" s="34"/>
      <c r="Z126" s="34"/>
      <c r="AA126" s="34"/>
      <c r="AB126" s="34">
        <f>MAX(Table842[[#This Row],[Debit]]+Table842[[#This Row],[Debit -]]-Table842[[#This Row],[Credit]]-Table842[[#This Row],[Credit +]],0)</f>
        <v>0</v>
      </c>
      <c r="AC126" s="34">
        <f>MAX(Table842[[#This Row],[Credit]]-Table842[[#This Row],[Debit]]+Table842[[#This Row],[Credit +]]-Table842[[#This Row],[Debit -]],0)</f>
        <v>0</v>
      </c>
      <c r="AD126" s="34" t="str">
        <f>IFERROR(IF(AND(OR(Table842[[#This Row],[Classification]]="Expense",Table842[[#This Row],[Classification]]="Cost of Goods Sold"),Table842[[#This Row],[Debit\]]&gt;Table842[[#This Row],[Credit.]]),Table842[[#This Row],[Debit\]]-Table842[[#This Row],[Credit.]],""),"")</f>
        <v/>
      </c>
      <c r="AE126" s="34" t="str">
        <f>IFERROR(IF(AND(OR(Table842[[#This Row],[Classification]]="Income",Table842[[#This Row],[Classification]]="Cost of Goods Sold"),Table842[[#This Row],[Credit.]]&gt;Table842[[#This Row],[Debit\]]),Table842[[#This Row],[Credit.]]-Table842[[#This Row],[Debit\]],""),"")</f>
        <v/>
      </c>
      <c r="AF126" s="34"/>
      <c r="AG126" s="34" t="str">
        <f>IFERROR(IF(AND(Table842[[#This Row],[Classification]]="Assets",Table842[[#This Row],[Debit\]]-Table842[[#This Row],[Credit.]]),Table842[[#This Row],[Debit\]]-Table842[[#This Row],[Credit.]],""),"")</f>
        <v/>
      </c>
      <c r="AH126" s="34" t="str">
        <f>IFERROR(IF(AND(OR(Table842[[#This Row],[Classification]]="Liabilities",Table842[[#This Row],[Classification]]="Owner´s Equity"),Table842[[#This Row],[Credit.]]&gt;Table842[[#This Row],[Debit\]]),Table842[[#This Row],[Credit.]]-Table842[[#This Row],[Debit\]],""),"")</f>
        <v/>
      </c>
    </row>
    <row r="127" spans="2:34" hidden="1" x14ac:dyDescent="0.25">
      <c r="B127" s="34"/>
      <c r="C127" s="45"/>
      <c r="D127" s="34"/>
      <c r="E127" s="34"/>
      <c r="G127" s="39"/>
      <c r="H127" s="40"/>
      <c r="I127" s="41"/>
      <c r="J127" s="41"/>
      <c r="L127" s="34">
        <v>120</v>
      </c>
      <c r="M127" s="35"/>
      <c r="N127" s="35"/>
      <c r="O127" s="34">
        <f>IFERROR(SUMIF(Table439[,],Table641[[#This Row],[Accounts Name]],Table439[,3]),"")</f>
        <v>0</v>
      </c>
      <c r="P127" s="34">
        <f>IFERROR(SUMIF(Table439[,],Table641[[#This Row],[Accounts Name]],Table439[,2]),"")</f>
        <v>0</v>
      </c>
      <c r="S127" s="36">
        <f t="shared" si="1"/>
        <v>120</v>
      </c>
      <c r="T127" s="34"/>
      <c r="U127" s="37"/>
      <c r="V127" s="34">
        <f>IFERROR(SUMIF(Table641[Sub-Accounts],Table842[[#This Row],[Update your chart of accounts here]],Table641[Debit]),"")</f>
        <v>0</v>
      </c>
      <c r="W127" s="34">
        <f>IFERROR(SUMIF(Table641[Sub-Accounts],Table842[[#This Row],[Update your chart of accounts here]],Table641[Credit]),"")</f>
        <v>0</v>
      </c>
      <c r="X127" s="34"/>
      <c r="Y127" s="34"/>
      <c r="Z127" s="34"/>
      <c r="AA127" s="34"/>
      <c r="AB127" s="34">
        <f>MAX(Table842[[#This Row],[Debit]]+Table842[[#This Row],[Debit -]]-Table842[[#This Row],[Credit]]-Table842[[#This Row],[Credit +]],0)</f>
        <v>0</v>
      </c>
      <c r="AC127" s="34">
        <f>MAX(Table842[[#This Row],[Credit]]-Table842[[#This Row],[Debit]]+Table842[[#This Row],[Credit +]]-Table842[[#This Row],[Debit -]],0)</f>
        <v>0</v>
      </c>
      <c r="AD127" s="34" t="str">
        <f>IFERROR(IF(AND(OR(Table842[[#This Row],[Classification]]="Expense",Table842[[#This Row],[Classification]]="Cost of Goods Sold"),Table842[[#This Row],[Debit\]]&gt;Table842[[#This Row],[Credit.]]),Table842[[#This Row],[Debit\]]-Table842[[#This Row],[Credit.]],""),"")</f>
        <v/>
      </c>
      <c r="AE127" s="34" t="str">
        <f>IFERROR(IF(AND(OR(Table842[[#This Row],[Classification]]="Income",Table842[[#This Row],[Classification]]="Cost of Goods Sold"),Table842[[#This Row],[Credit.]]&gt;Table842[[#This Row],[Debit\]]),Table842[[#This Row],[Credit.]]-Table842[[#This Row],[Debit\]],""),"")</f>
        <v/>
      </c>
      <c r="AF127" s="34"/>
      <c r="AG127" s="34" t="str">
        <f>IFERROR(IF(AND(Table842[[#This Row],[Classification]]="Assets",Table842[[#This Row],[Debit\]]-Table842[[#This Row],[Credit.]]),Table842[[#This Row],[Debit\]]-Table842[[#This Row],[Credit.]],""),"")</f>
        <v/>
      </c>
      <c r="AH127" s="34" t="str">
        <f>IFERROR(IF(AND(OR(Table842[[#This Row],[Classification]]="Liabilities",Table842[[#This Row],[Classification]]="Owner´s Equity"),Table842[[#This Row],[Credit.]]&gt;Table842[[#This Row],[Debit\]]),Table842[[#This Row],[Credit.]]-Table842[[#This Row],[Debit\]],""),"")</f>
        <v/>
      </c>
    </row>
    <row r="128" spans="2:34" hidden="1" x14ac:dyDescent="0.25">
      <c r="B128" s="34"/>
      <c r="C128" s="45"/>
      <c r="D128" s="34"/>
      <c r="E128" s="34"/>
      <c r="G128" s="39"/>
      <c r="H128" s="43"/>
      <c r="I128" s="41"/>
      <c r="J128" s="41"/>
      <c r="L128" s="34">
        <v>121</v>
      </c>
      <c r="M128" s="35"/>
      <c r="N128" s="35"/>
      <c r="O128" s="34">
        <f>IFERROR(SUMIF(Table439[,],Table641[[#This Row],[Accounts Name]],Table439[,3]),"")</f>
        <v>0</v>
      </c>
      <c r="P128" s="34">
        <f>IFERROR(SUMIF(Table439[,],Table641[[#This Row],[Accounts Name]],Table439[,2]),"")</f>
        <v>0</v>
      </c>
      <c r="S128" s="36">
        <f t="shared" si="1"/>
        <v>121</v>
      </c>
      <c r="T128" s="34"/>
      <c r="U128" s="37"/>
      <c r="V128" s="34">
        <f>IFERROR(SUMIF(Table641[Sub-Accounts],Table842[[#This Row],[Update your chart of accounts here]],Table641[Debit]),"")</f>
        <v>0</v>
      </c>
      <c r="W128" s="34">
        <f>IFERROR(SUMIF(Table641[Sub-Accounts],Table842[[#This Row],[Update your chart of accounts here]],Table641[Credit]),"")</f>
        <v>0</v>
      </c>
      <c r="X128" s="34"/>
      <c r="Y128" s="34"/>
      <c r="Z128" s="34"/>
      <c r="AA128" s="34"/>
      <c r="AB128" s="34">
        <f>MAX(Table842[[#This Row],[Debit]]+Table842[[#This Row],[Debit -]]-Table842[[#This Row],[Credit]]-Table842[[#This Row],[Credit +]],0)</f>
        <v>0</v>
      </c>
      <c r="AC128" s="34">
        <f>MAX(Table842[[#This Row],[Credit]]-Table842[[#This Row],[Debit]]+Table842[[#This Row],[Credit +]]-Table842[[#This Row],[Debit -]],0)</f>
        <v>0</v>
      </c>
      <c r="AD128" s="34" t="str">
        <f>IFERROR(IF(AND(OR(Table842[[#This Row],[Classification]]="Expense",Table842[[#This Row],[Classification]]="Cost of Goods Sold"),Table842[[#This Row],[Debit\]]&gt;Table842[[#This Row],[Credit.]]),Table842[[#This Row],[Debit\]]-Table842[[#This Row],[Credit.]],""),"")</f>
        <v/>
      </c>
      <c r="AE128" s="34" t="str">
        <f>IFERROR(IF(AND(OR(Table842[[#This Row],[Classification]]="Income",Table842[[#This Row],[Classification]]="Cost of Goods Sold"),Table842[[#This Row],[Credit.]]&gt;Table842[[#This Row],[Debit\]]),Table842[[#This Row],[Credit.]]-Table842[[#This Row],[Debit\]],""),"")</f>
        <v/>
      </c>
      <c r="AF128" s="34"/>
      <c r="AG128" s="34" t="str">
        <f>IFERROR(IF(AND(Table842[[#This Row],[Classification]]="Assets",Table842[[#This Row],[Debit\]]-Table842[[#This Row],[Credit.]]),Table842[[#This Row],[Debit\]]-Table842[[#This Row],[Credit.]],""),"")</f>
        <v/>
      </c>
      <c r="AH128" s="34" t="str">
        <f>IFERROR(IF(AND(OR(Table842[[#This Row],[Classification]]="Liabilities",Table842[[#This Row],[Classification]]="Owner´s Equity"),Table842[[#This Row],[Credit.]]&gt;Table842[[#This Row],[Debit\]]),Table842[[#This Row],[Credit.]]-Table842[[#This Row],[Debit\]],""),"")</f>
        <v/>
      </c>
    </row>
    <row r="129" spans="2:34" hidden="1" x14ac:dyDescent="0.25">
      <c r="B129" s="34"/>
      <c r="C129" s="45"/>
      <c r="D129" s="34"/>
      <c r="E129" s="34"/>
      <c r="G129" s="39"/>
      <c r="H129" s="40"/>
      <c r="I129" s="41"/>
      <c r="J129" s="41"/>
      <c r="L129" s="34">
        <v>122</v>
      </c>
      <c r="M129" s="35"/>
      <c r="N129" s="35"/>
      <c r="O129" s="34">
        <f>IFERROR(SUMIF(Table439[,],Table641[[#This Row],[Accounts Name]],Table439[,3]),"")</f>
        <v>0</v>
      </c>
      <c r="P129" s="34">
        <f>IFERROR(SUMIF(Table439[,],Table641[[#This Row],[Accounts Name]],Table439[,2]),"")</f>
        <v>0</v>
      </c>
      <c r="S129" s="36">
        <f t="shared" si="1"/>
        <v>122</v>
      </c>
      <c r="T129" s="34"/>
      <c r="U129" s="37"/>
      <c r="V129" s="34">
        <f>IFERROR(SUMIF(Table641[Sub-Accounts],Table842[[#This Row],[Update your chart of accounts here]],Table641[Debit]),"")</f>
        <v>0</v>
      </c>
      <c r="W129" s="34">
        <f>IFERROR(SUMIF(Table641[Sub-Accounts],Table842[[#This Row],[Update your chart of accounts here]],Table641[Credit]),"")</f>
        <v>0</v>
      </c>
      <c r="X129" s="34"/>
      <c r="Y129" s="34"/>
      <c r="Z129" s="34"/>
      <c r="AA129" s="34"/>
      <c r="AB129" s="34">
        <f>MAX(Table842[[#This Row],[Debit]]+Table842[[#This Row],[Debit -]]-Table842[[#This Row],[Credit]]-Table842[[#This Row],[Credit +]],0)</f>
        <v>0</v>
      </c>
      <c r="AC129" s="34">
        <f>MAX(Table842[[#This Row],[Credit]]-Table842[[#This Row],[Debit]]+Table842[[#This Row],[Credit +]]-Table842[[#This Row],[Debit -]],0)</f>
        <v>0</v>
      </c>
      <c r="AD129" s="34" t="str">
        <f>IFERROR(IF(AND(OR(Table842[[#This Row],[Classification]]="Expense",Table842[[#This Row],[Classification]]="Cost of Goods Sold"),Table842[[#This Row],[Debit\]]&gt;Table842[[#This Row],[Credit.]]),Table842[[#This Row],[Debit\]]-Table842[[#This Row],[Credit.]],""),"")</f>
        <v/>
      </c>
      <c r="AE129" s="34" t="str">
        <f>IFERROR(IF(AND(OR(Table842[[#This Row],[Classification]]="Income",Table842[[#This Row],[Classification]]="Cost of Goods Sold"),Table842[[#This Row],[Credit.]]&gt;Table842[[#This Row],[Debit\]]),Table842[[#This Row],[Credit.]]-Table842[[#This Row],[Debit\]],""),"")</f>
        <v/>
      </c>
      <c r="AF129" s="34"/>
      <c r="AG129" s="34" t="str">
        <f>IFERROR(IF(AND(Table842[[#This Row],[Classification]]="Assets",Table842[[#This Row],[Debit\]]-Table842[[#This Row],[Credit.]]),Table842[[#This Row],[Debit\]]-Table842[[#This Row],[Credit.]],""),"")</f>
        <v/>
      </c>
      <c r="AH129" s="34" t="str">
        <f>IFERROR(IF(AND(OR(Table842[[#This Row],[Classification]]="Liabilities",Table842[[#This Row],[Classification]]="Owner´s Equity"),Table842[[#This Row],[Credit.]]&gt;Table842[[#This Row],[Debit\]]),Table842[[#This Row],[Credit.]]-Table842[[#This Row],[Debit\]],""),"")</f>
        <v/>
      </c>
    </row>
    <row r="130" spans="2:34" hidden="1" x14ac:dyDescent="0.25">
      <c r="B130" s="34"/>
      <c r="C130" s="45"/>
      <c r="D130" s="34"/>
      <c r="E130" s="34"/>
      <c r="G130" s="39"/>
      <c r="H130" s="40"/>
      <c r="I130" s="41"/>
      <c r="J130" s="41"/>
      <c r="L130" s="34">
        <v>123</v>
      </c>
      <c r="M130" s="35"/>
      <c r="N130" s="35"/>
      <c r="O130" s="34">
        <f>IFERROR(SUMIF(Table439[,],Table641[[#This Row],[Accounts Name]],Table439[,3]),"")</f>
        <v>0</v>
      </c>
      <c r="P130" s="34">
        <f>IFERROR(SUMIF(Table439[,],Table641[[#This Row],[Accounts Name]],Table439[,2]),"")</f>
        <v>0</v>
      </c>
      <c r="S130" s="36">
        <f t="shared" si="1"/>
        <v>123</v>
      </c>
      <c r="T130" s="34"/>
      <c r="U130" s="37"/>
      <c r="V130" s="34">
        <f>IFERROR(SUMIF(Table641[Sub-Accounts],Table842[[#This Row],[Update your chart of accounts here]],Table641[Debit]),"")</f>
        <v>0</v>
      </c>
      <c r="W130" s="34">
        <f>IFERROR(SUMIF(Table641[Sub-Accounts],Table842[[#This Row],[Update your chart of accounts here]],Table641[Credit]),"")</f>
        <v>0</v>
      </c>
      <c r="X130" s="34"/>
      <c r="Y130" s="34"/>
      <c r="Z130" s="34"/>
      <c r="AA130" s="34"/>
      <c r="AB130" s="34">
        <f>MAX(Table842[[#This Row],[Debit]]+Table842[[#This Row],[Debit -]]-Table842[[#This Row],[Credit]]-Table842[[#This Row],[Credit +]],0)</f>
        <v>0</v>
      </c>
      <c r="AC130" s="34">
        <f>MAX(Table842[[#This Row],[Credit]]-Table842[[#This Row],[Debit]]+Table842[[#This Row],[Credit +]]-Table842[[#This Row],[Debit -]],0)</f>
        <v>0</v>
      </c>
      <c r="AD130" s="34" t="str">
        <f>IFERROR(IF(AND(OR(Table842[[#This Row],[Classification]]="Expense",Table842[[#This Row],[Classification]]="Cost of Goods Sold"),Table842[[#This Row],[Debit\]]&gt;Table842[[#This Row],[Credit.]]),Table842[[#This Row],[Debit\]]-Table842[[#This Row],[Credit.]],""),"")</f>
        <v/>
      </c>
      <c r="AE130" s="34" t="str">
        <f>IFERROR(IF(AND(OR(Table842[[#This Row],[Classification]]="Income",Table842[[#This Row],[Classification]]="Cost of Goods Sold"),Table842[[#This Row],[Credit.]]&gt;Table842[[#This Row],[Debit\]]),Table842[[#This Row],[Credit.]]-Table842[[#This Row],[Debit\]],""),"")</f>
        <v/>
      </c>
      <c r="AF130" s="34"/>
      <c r="AG130" s="34" t="str">
        <f>IFERROR(IF(AND(Table842[[#This Row],[Classification]]="Assets",Table842[[#This Row],[Debit\]]-Table842[[#This Row],[Credit.]]),Table842[[#This Row],[Debit\]]-Table842[[#This Row],[Credit.]],""),"")</f>
        <v/>
      </c>
      <c r="AH130" s="34" t="str">
        <f>IFERROR(IF(AND(OR(Table842[[#This Row],[Classification]]="Liabilities",Table842[[#This Row],[Classification]]="Owner´s Equity"),Table842[[#This Row],[Credit.]]&gt;Table842[[#This Row],[Debit\]]),Table842[[#This Row],[Credit.]]-Table842[[#This Row],[Debit\]],""),"")</f>
        <v/>
      </c>
    </row>
    <row r="131" spans="2:34" hidden="1" x14ac:dyDescent="0.25">
      <c r="B131" s="34"/>
      <c r="C131" s="45"/>
      <c r="D131" s="34"/>
      <c r="E131" s="34"/>
      <c r="G131" s="39"/>
      <c r="H131" s="43"/>
      <c r="I131" s="41"/>
      <c r="J131" s="41"/>
      <c r="L131" s="34">
        <v>124</v>
      </c>
      <c r="M131" s="35"/>
      <c r="N131" s="35"/>
      <c r="O131" s="34">
        <f>IFERROR(SUMIF(Table439[,],Table641[[#This Row],[Accounts Name]],Table439[,3]),"")</f>
        <v>0</v>
      </c>
      <c r="P131" s="34">
        <f>IFERROR(SUMIF(Table439[,],Table641[[#This Row],[Accounts Name]],Table439[,2]),"")</f>
        <v>0</v>
      </c>
      <c r="S131" s="36">
        <f t="shared" si="1"/>
        <v>124</v>
      </c>
      <c r="T131" s="34"/>
      <c r="U131" s="37"/>
      <c r="V131" s="34">
        <f>IFERROR(SUMIF(Table641[Sub-Accounts],Table842[[#This Row],[Update your chart of accounts here]],Table641[Debit]),"")</f>
        <v>0</v>
      </c>
      <c r="W131" s="34">
        <f>IFERROR(SUMIF(Table641[Sub-Accounts],Table842[[#This Row],[Update your chart of accounts here]],Table641[Credit]),"")</f>
        <v>0</v>
      </c>
      <c r="X131" s="34"/>
      <c r="Y131" s="34"/>
      <c r="Z131" s="34"/>
      <c r="AA131" s="34"/>
      <c r="AB131" s="34">
        <f>MAX(Table842[[#This Row],[Debit]]+Table842[[#This Row],[Debit -]]-Table842[[#This Row],[Credit]]-Table842[[#This Row],[Credit +]],0)</f>
        <v>0</v>
      </c>
      <c r="AC131" s="34">
        <f>MAX(Table842[[#This Row],[Credit]]-Table842[[#This Row],[Debit]]+Table842[[#This Row],[Credit +]]-Table842[[#This Row],[Debit -]],0)</f>
        <v>0</v>
      </c>
      <c r="AD131" s="34" t="str">
        <f>IFERROR(IF(AND(OR(Table842[[#This Row],[Classification]]="Expense",Table842[[#This Row],[Classification]]="Cost of Goods Sold"),Table842[[#This Row],[Debit\]]&gt;Table842[[#This Row],[Credit.]]),Table842[[#This Row],[Debit\]]-Table842[[#This Row],[Credit.]],""),"")</f>
        <v/>
      </c>
      <c r="AE131" s="34" t="str">
        <f>IFERROR(IF(AND(OR(Table842[[#This Row],[Classification]]="Income",Table842[[#This Row],[Classification]]="Cost of Goods Sold"),Table842[[#This Row],[Credit.]]&gt;Table842[[#This Row],[Debit\]]),Table842[[#This Row],[Credit.]]-Table842[[#This Row],[Debit\]],""),"")</f>
        <v/>
      </c>
      <c r="AF131" s="34"/>
      <c r="AG131" s="34" t="str">
        <f>IFERROR(IF(AND(Table842[[#This Row],[Classification]]="Assets",Table842[[#This Row],[Debit\]]-Table842[[#This Row],[Credit.]]),Table842[[#This Row],[Debit\]]-Table842[[#This Row],[Credit.]],""),"")</f>
        <v/>
      </c>
      <c r="AH131" s="34" t="str">
        <f>IFERROR(IF(AND(OR(Table842[[#This Row],[Classification]]="Liabilities",Table842[[#This Row],[Classification]]="Owner´s Equity"),Table842[[#This Row],[Credit.]]&gt;Table842[[#This Row],[Debit\]]),Table842[[#This Row],[Credit.]]-Table842[[#This Row],[Debit\]],""),"")</f>
        <v/>
      </c>
    </row>
    <row r="132" spans="2:34" hidden="1" x14ac:dyDescent="0.25">
      <c r="B132" s="34"/>
      <c r="C132" s="45"/>
      <c r="D132" s="34"/>
      <c r="E132" s="34"/>
      <c r="G132" s="39"/>
      <c r="H132" s="40"/>
      <c r="I132" s="41"/>
      <c r="J132" s="41"/>
      <c r="L132" s="34">
        <v>125</v>
      </c>
      <c r="M132" s="35"/>
      <c r="N132" s="35"/>
      <c r="O132" s="34">
        <f>IFERROR(SUMIF(Table439[,],Table641[[#This Row],[Accounts Name]],Table439[,3]),"")</f>
        <v>0</v>
      </c>
      <c r="P132" s="34">
        <f>IFERROR(SUMIF(Table439[,],Table641[[#This Row],[Accounts Name]],Table439[,2]),"")</f>
        <v>0</v>
      </c>
      <c r="S132" s="36">
        <f t="shared" si="1"/>
        <v>125</v>
      </c>
      <c r="T132" s="34"/>
      <c r="U132" s="37"/>
      <c r="V132" s="34">
        <f>IFERROR(SUMIF(Table641[Sub-Accounts],Table842[[#This Row],[Update your chart of accounts here]],Table641[Debit]),"")</f>
        <v>0</v>
      </c>
      <c r="W132" s="34">
        <f>IFERROR(SUMIF(Table641[Sub-Accounts],Table842[[#This Row],[Update your chart of accounts here]],Table641[Credit]),"")</f>
        <v>0</v>
      </c>
      <c r="X132" s="34"/>
      <c r="Y132" s="34"/>
      <c r="Z132" s="34"/>
      <c r="AA132" s="34"/>
      <c r="AB132" s="34">
        <f>MAX(Table842[[#This Row],[Debit]]+Table842[[#This Row],[Debit -]]-Table842[[#This Row],[Credit]]-Table842[[#This Row],[Credit +]],0)</f>
        <v>0</v>
      </c>
      <c r="AC132" s="34">
        <f>MAX(Table842[[#This Row],[Credit]]-Table842[[#This Row],[Debit]]+Table842[[#This Row],[Credit +]]-Table842[[#This Row],[Debit -]],0)</f>
        <v>0</v>
      </c>
      <c r="AD132" s="34" t="str">
        <f>IFERROR(IF(AND(OR(Table842[[#This Row],[Classification]]="Expense",Table842[[#This Row],[Classification]]="Cost of Goods Sold"),Table842[[#This Row],[Debit\]]&gt;Table842[[#This Row],[Credit.]]),Table842[[#This Row],[Debit\]]-Table842[[#This Row],[Credit.]],""),"")</f>
        <v/>
      </c>
      <c r="AE132" s="34" t="str">
        <f>IFERROR(IF(AND(OR(Table842[[#This Row],[Classification]]="Income",Table842[[#This Row],[Classification]]="Cost of Goods Sold"),Table842[[#This Row],[Credit.]]&gt;Table842[[#This Row],[Debit\]]),Table842[[#This Row],[Credit.]]-Table842[[#This Row],[Debit\]],""),"")</f>
        <v/>
      </c>
      <c r="AF132" s="34"/>
      <c r="AG132" s="34" t="str">
        <f>IFERROR(IF(AND(Table842[[#This Row],[Classification]]="Assets",Table842[[#This Row],[Debit\]]-Table842[[#This Row],[Credit.]]),Table842[[#This Row],[Debit\]]-Table842[[#This Row],[Credit.]],""),"")</f>
        <v/>
      </c>
      <c r="AH132" s="34" t="str">
        <f>IFERROR(IF(AND(OR(Table842[[#This Row],[Classification]]="Liabilities",Table842[[#This Row],[Classification]]="Owner´s Equity"),Table842[[#This Row],[Credit.]]&gt;Table842[[#This Row],[Debit\]]),Table842[[#This Row],[Credit.]]-Table842[[#This Row],[Debit\]],""),"")</f>
        <v/>
      </c>
    </row>
    <row r="133" spans="2:34" hidden="1" x14ac:dyDescent="0.25">
      <c r="B133" s="34"/>
      <c r="C133" s="45"/>
      <c r="D133" s="34"/>
      <c r="E133" s="34"/>
      <c r="G133" s="39"/>
      <c r="H133" s="40"/>
      <c r="I133" s="41"/>
      <c r="J133" s="41"/>
      <c r="L133" s="34">
        <v>126</v>
      </c>
      <c r="M133" s="35"/>
      <c r="N133" s="35"/>
      <c r="O133" s="34">
        <f>IFERROR(SUMIF(Table439[,],Table641[[#This Row],[Accounts Name]],Table439[,3]),"")</f>
        <v>0</v>
      </c>
      <c r="P133" s="34">
        <f>IFERROR(SUMIF(Table439[,],Table641[[#This Row],[Accounts Name]],Table439[,2]),"")</f>
        <v>0</v>
      </c>
      <c r="S133" s="36">
        <f t="shared" si="1"/>
        <v>126</v>
      </c>
      <c r="T133" s="34"/>
      <c r="U133" s="37"/>
      <c r="V133" s="34">
        <f>IFERROR(SUMIF(Table641[Sub-Accounts],Table842[[#This Row],[Update your chart of accounts here]],Table641[Debit]),"")</f>
        <v>0</v>
      </c>
      <c r="W133" s="34">
        <f>IFERROR(SUMIF(Table641[Sub-Accounts],Table842[[#This Row],[Update your chart of accounts here]],Table641[Credit]),"")</f>
        <v>0</v>
      </c>
      <c r="X133" s="34"/>
      <c r="Y133" s="34"/>
      <c r="Z133" s="34"/>
      <c r="AA133" s="34"/>
      <c r="AB133" s="34">
        <f>MAX(Table842[[#This Row],[Debit]]+Table842[[#This Row],[Debit -]]-Table842[[#This Row],[Credit]]-Table842[[#This Row],[Credit +]],0)</f>
        <v>0</v>
      </c>
      <c r="AC133" s="34">
        <f>MAX(Table842[[#This Row],[Credit]]-Table842[[#This Row],[Debit]]+Table842[[#This Row],[Credit +]]-Table842[[#This Row],[Debit -]],0)</f>
        <v>0</v>
      </c>
      <c r="AD133" s="34" t="str">
        <f>IFERROR(IF(AND(OR(Table842[[#This Row],[Classification]]="Expense",Table842[[#This Row],[Classification]]="Cost of Goods Sold"),Table842[[#This Row],[Debit\]]&gt;Table842[[#This Row],[Credit.]]),Table842[[#This Row],[Debit\]]-Table842[[#This Row],[Credit.]],""),"")</f>
        <v/>
      </c>
      <c r="AE133" s="34" t="str">
        <f>IFERROR(IF(AND(OR(Table842[[#This Row],[Classification]]="Income",Table842[[#This Row],[Classification]]="Cost of Goods Sold"),Table842[[#This Row],[Credit.]]&gt;Table842[[#This Row],[Debit\]]),Table842[[#This Row],[Credit.]]-Table842[[#This Row],[Debit\]],""),"")</f>
        <v/>
      </c>
      <c r="AF133" s="34"/>
      <c r="AG133" s="34" t="str">
        <f>IFERROR(IF(AND(Table842[[#This Row],[Classification]]="Assets",Table842[[#This Row],[Debit\]]-Table842[[#This Row],[Credit.]]),Table842[[#This Row],[Debit\]]-Table842[[#This Row],[Credit.]],""),"")</f>
        <v/>
      </c>
      <c r="AH133" s="34" t="str">
        <f>IFERROR(IF(AND(OR(Table842[[#This Row],[Classification]]="Liabilities",Table842[[#This Row],[Classification]]="Owner´s Equity"),Table842[[#This Row],[Credit.]]&gt;Table842[[#This Row],[Debit\]]),Table842[[#This Row],[Credit.]]-Table842[[#This Row],[Debit\]],""),"")</f>
        <v/>
      </c>
    </row>
    <row r="134" spans="2:34" hidden="1" x14ac:dyDescent="0.25">
      <c r="B134" s="34"/>
      <c r="C134" s="45"/>
      <c r="D134" s="34"/>
      <c r="E134" s="34"/>
      <c r="G134" s="39"/>
      <c r="H134" s="43"/>
      <c r="I134" s="41"/>
      <c r="J134" s="41"/>
      <c r="L134" s="34">
        <v>127</v>
      </c>
      <c r="M134" s="35"/>
      <c r="N134" s="35"/>
      <c r="O134" s="34">
        <f>IFERROR(SUMIF(Table439[,],Table641[[#This Row],[Accounts Name]],Table439[,3]),"")</f>
        <v>0</v>
      </c>
      <c r="P134" s="34">
        <f>IFERROR(SUMIF(Table439[,],Table641[[#This Row],[Accounts Name]],Table439[,2]),"")</f>
        <v>0</v>
      </c>
      <c r="S134" s="36">
        <f t="shared" si="1"/>
        <v>127</v>
      </c>
      <c r="T134" s="34"/>
      <c r="U134" s="37"/>
      <c r="V134" s="34">
        <f>IFERROR(SUMIF(Table641[Sub-Accounts],Table842[[#This Row],[Update your chart of accounts here]],Table641[Debit]),"")</f>
        <v>0</v>
      </c>
      <c r="W134" s="34">
        <f>IFERROR(SUMIF(Table641[Sub-Accounts],Table842[[#This Row],[Update your chart of accounts here]],Table641[Credit]),"")</f>
        <v>0</v>
      </c>
      <c r="X134" s="34"/>
      <c r="Y134" s="34"/>
      <c r="Z134" s="34"/>
      <c r="AA134" s="34"/>
      <c r="AB134" s="34">
        <f>MAX(Table842[[#This Row],[Debit]]+Table842[[#This Row],[Debit -]]-Table842[[#This Row],[Credit]]-Table842[[#This Row],[Credit +]],0)</f>
        <v>0</v>
      </c>
      <c r="AC134" s="34">
        <f>MAX(Table842[[#This Row],[Credit]]-Table842[[#This Row],[Debit]]+Table842[[#This Row],[Credit +]]-Table842[[#This Row],[Debit -]],0)</f>
        <v>0</v>
      </c>
      <c r="AD134" s="34" t="str">
        <f>IFERROR(IF(AND(OR(Table842[[#This Row],[Classification]]="Expense",Table842[[#This Row],[Classification]]="Cost of Goods Sold"),Table842[[#This Row],[Debit\]]&gt;Table842[[#This Row],[Credit.]]),Table842[[#This Row],[Debit\]]-Table842[[#This Row],[Credit.]],""),"")</f>
        <v/>
      </c>
      <c r="AE134" s="34" t="str">
        <f>IFERROR(IF(AND(OR(Table842[[#This Row],[Classification]]="Income",Table842[[#This Row],[Classification]]="Cost of Goods Sold"),Table842[[#This Row],[Credit.]]&gt;Table842[[#This Row],[Debit\]]),Table842[[#This Row],[Credit.]]-Table842[[#This Row],[Debit\]],""),"")</f>
        <v/>
      </c>
      <c r="AF134" s="34"/>
      <c r="AG134" s="34" t="str">
        <f>IFERROR(IF(AND(Table842[[#This Row],[Classification]]="Assets",Table842[[#This Row],[Debit\]]-Table842[[#This Row],[Credit.]]),Table842[[#This Row],[Debit\]]-Table842[[#This Row],[Credit.]],""),"")</f>
        <v/>
      </c>
      <c r="AH134" s="34" t="str">
        <f>IFERROR(IF(AND(OR(Table842[[#This Row],[Classification]]="Liabilities",Table842[[#This Row],[Classification]]="Owner´s Equity"),Table842[[#This Row],[Credit.]]&gt;Table842[[#This Row],[Debit\]]),Table842[[#This Row],[Credit.]]-Table842[[#This Row],[Debit\]],""),"")</f>
        <v/>
      </c>
    </row>
    <row r="135" spans="2:34" hidden="1" x14ac:dyDescent="0.25">
      <c r="B135" s="34"/>
      <c r="C135" s="45"/>
      <c r="D135" s="34"/>
      <c r="E135" s="34"/>
      <c r="G135" s="39"/>
      <c r="H135" s="40"/>
      <c r="I135" s="41"/>
      <c r="J135" s="41"/>
      <c r="L135" s="34">
        <v>128</v>
      </c>
      <c r="M135" s="35"/>
      <c r="N135" s="35"/>
      <c r="O135" s="34">
        <f>IFERROR(SUMIF(Table439[,],Table641[[#This Row],[Accounts Name]],Table439[,3]),"")</f>
        <v>0</v>
      </c>
      <c r="P135" s="34">
        <f>IFERROR(SUMIF(Table439[,],Table641[[#This Row],[Accounts Name]],Table439[,2]),"")</f>
        <v>0</v>
      </c>
      <c r="S135" s="36">
        <f t="shared" si="1"/>
        <v>128</v>
      </c>
      <c r="T135" s="34"/>
      <c r="U135" s="37"/>
      <c r="V135" s="34">
        <f>IFERROR(SUMIF(Table641[Sub-Accounts],Table842[[#This Row],[Update your chart of accounts here]],Table641[Debit]),"")</f>
        <v>0</v>
      </c>
      <c r="W135" s="34">
        <f>IFERROR(SUMIF(Table641[Sub-Accounts],Table842[[#This Row],[Update your chart of accounts here]],Table641[Credit]),"")</f>
        <v>0</v>
      </c>
      <c r="X135" s="34"/>
      <c r="Y135" s="34"/>
      <c r="Z135" s="34"/>
      <c r="AA135" s="34"/>
      <c r="AB135" s="34">
        <f>MAX(Table842[[#This Row],[Debit]]+Table842[[#This Row],[Debit -]]-Table842[[#This Row],[Credit]]-Table842[[#This Row],[Credit +]],0)</f>
        <v>0</v>
      </c>
      <c r="AC135" s="34">
        <f>MAX(Table842[[#This Row],[Credit]]-Table842[[#This Row],[Debit]]+Table842[[#This Row],[Credit +]]-Table842[[#This Row],[Debit -]],0)</f>
        <v>0</v>
      </c>
      <c r="AD135" s="34" t="str">
        <f>IFERROR(IF(AND(OR(Table842[[#This Row],[Classification]]="Expense",Table842[[#This Row],[Classification]]="Cost of Goods Sold"),Table842[[#This Row],[Debit\]]&gt;Table842[[#This Row],[Credit.]]),Table842[[#This Row],[Debit\]]-Table842[[#This Row],[Credit.]],""),"")</f>
        <v/>
      </c>
      <c r="AE135" s="34" t="str">
        <f>IFERROR(IF(AND(OR(Table842[[#This Row],[Classification]]="Income",Table842[[#This Row],[Classification]]="Cost of Goods Sold"),Table842[[#This Row],[Credit.]]&gt;Table842[[#This Row],[Debit\]]),Table842[[#This Row],[Credit.]]-Table842[[#This Row],[Debit\]],""),"")</f>
        <v/>
      </c>
      <c r="AF135" s="34"/>
      <c r="AG135" s="34" t="str">
        <f>IFERROR(IF(AND(Table842[[#This Row],[Classification]]="Assets",Table842[[#This Row],[Debit\]]-Table842[[#This Row],[Credit.]]),Table842[[#This Row],[Debit\]]-Table842[[#This Row],[Credit.]],""),"")</f>
        <v/>
      </c>
      <c r="AH135" s="34" t="str">
        <f>IFERROR(IF(AND(OR(Table842[[#This Row],[Classification]]="Liabilities",Table842[[#This Row],[Classification]]="Owner´s Equity"),Table842[[#This Row],[Credit.]]&gt;Table842[[#This Row],[Debit\]]),Table842[[#This Row],[Credit.]]-Table842[[#This Row],[Debit\]],""),"")</f>
        <v/>
      </c>
    </row>
    <row r="136" spans="2:34" hidden="1" x14ac:dyDescent="0.25">
      <c r="B136" s="34"/>
      <c r="C136" s="45"/>
      <c r="D136" s="34"/>
      <c r="E136" s="34"/>
      <c r="G136" s="39"/>
      <c r="H136" s="40"/>
      <c r="I136" s="41"/>
      <c r="J136" s="41"/>
      <c r="L136" s="34">
        <v>129</v>
      </c>
      <c r="M136" s="35"/>
      <c r="N136" s="35"/>
      <c r="O136" s="34">
        <f>IFERROR(SUMIF(Table439[,],Table641[[#This Row],[Accounts Name]],Table439[,3]),"")</f>
        <v>0</v>
      </c>
      <c r="P136" s="34">
        <f>IFERROR(SUMIF(Table439[,],Table641[[#This Row],[Accounts Name]],Table439[,2]),"")</f>
        <v>0</v>
      </c>
      <c r="S136" s="36">
        <f t="shared" si="1"/>
        <v>129</v>
      </c>
      <c r="T136" s="34"/>
      <c r="U136" s="37"/>
      <c r="V136" s="34">
        <f>IFERROR(SUMIF(Table641[Sub-Accounts],Table842[[#This Row],[Update your chart of accounts here]],Table641[Debit]),"")</f>
        <v>0</v>
      </c>
      <c r="W136" s="34">
        <f>IFERROR(SUMIF(Table641[Sub-Accounts],Table842[[#This Row],[Update your chart of accounts here]],Table641[Credit]),"")</f>
        <v>0</v>
      </c>
      <c r="X136" s="34"/>
      <c r="Y136" s="34"/>
      <c r="Z136" s="34"/>
      <c r="AA136" s="34"/>
      <c r="AB136" s="34">
        <f>MAX(Table842[[#This Row],[Debit]]+Table842[[#This Row],[Debit -]]-Table842[[#This Row],[Credit]]-Table842[[#This Row],[Credit +]],0)</f>
        <v>0</v>
      </c>
      <c r="AC136" s="34">
        <f>MAX(Table842[[#This Row],[Credit]]-Table842[[#This Row],[Debit]]+Table842[[#This Row],[Credit +]]-Table842[[#This Row],[Debit -]],0)</f>
        <v>0</v>
      </c>
      <c r="AD136" s="34" t="str">
        <f>IFERROR(IF(AND(OR(Table842[[#This Row],[Classification]]="Expense",Table842[[#This Row],[Classification]]="Cost of Goods Sold"),Table842[[#This Row],[Debit\]]&gt;Table842[[#This Row],[Credit.]]),Table842[[#This Row],[Debit\]]-Table842[[#This Row],[Credit.]],""),"")</f>
        <v/>
      </c>
      <c r="AE136" s="34" t="str">
        <f>IFERROR(IF(AND(OR(Table842[[#This Row],[Classification]]="Income",Table842[[#This Row],[Classification]]="Cost of Goods Sold"),Table842[[#This Row],[Credit.]]&gt;Table842[[#This Row],[Debit\]]),Table842[[#This Row],[Credit.]]-Table842[[#This Row],[Debit\]],""),"")</f>
        <v/>
      </c>
      <c r="AF136" s="34"/>
      <c r="AG136" s="34" t="str">
        <f>IFERROR(IF(AND(Table842[[#This Row],[Classification]]="Assets",Table842[[#This Row],[Debit\]]-Table842[[#This Row],[Credit.]]),Table842[[#This Row],[Debit\]]-Table842[[#This Row],[Credit.]],""),"")</f>
        <v/>
      </c>
      <c r="AH136" s="34" t="str">
        <f>IFERROR(IF(AND(OR(Table842[[#This Row],[Classification]]="Liabilities",Table842[[#This Row],[Classification]]="Owner´s Equity"),Table842[[#This Row],[Credit.]]&gt;Table842[[#This Row],[Debit\]]),Table842[[#This Row],[Credit.]]-Table842[[#This Row],[Debit\]],""),"")</f>
        <v/>
      </c>
    </row>
    <row r="137" spans="2:34" hidden="1" x14ac:dyDescent="0.25">
      <c r="B137" s="34"/>
      <c r="C137" s="45"/>
      <c r="D137" s="34"/>
      <c r="E137" s="34"/>
      <c r="G137" s="39"/>
      <c r="H137" s="43"/>
      <c r="I137" s="41"/>
      <c r="J137" s="41"/>
      <c r="L137" s="34">
        <v>130</v>
      </c>
      <c r="M137" s="35"/>
      <c r="N137" s="35"/>
      <c r="O137" s="34">
        <f>IFERROR(SUMIF(Table439[,],Table641[[#This Row],[Accounts Name]],Table439[,3]),"")</f>
        <v>0</v>
      </c>
      <c r="P137" s="34">
        <f>IFERROR(SUMIF(Table439[,],Table641[[#This Row],[Accounts Name]],Table439[,2]),"")</f>
        <v>0</v>
      </c>
      <c r="S137" s="36">
        <f t="shared" si="1"/>
        <v>130</v>
      </c>
      <c r="T137" s="34"/>
      <c r="U137" s="37"/>
      <c r="V137" s="34">
        <f>IFERROR(SUMIF(Table641[Sub-Accounts],Table842[[#This Row],[Update your chart of accounts here]],Table641[Debit]),"")</f>
        <v>0</v>
      </c>
      <c r="W137" s="34">
        <f>IFERROR(SUMIF(Table641[Sub-Accounts],Table842[[#This Row],[Update your chart of accounts here]],Table641[Credit]),"")</f>
        <v>0</v>
      </c>
      <c r="X137" s="34"/>
      <c r="Y137" s="34"/>
      <c r="Z137" s="34"/>
      <c r="AA137" s="34"/>
      <c r="AB137" s="34">
        <f>MAX(Table842[[#This Row],[Debit]]+Table842[[#This Row],[Debit -]]-Table842[[#This Row],[Credit]]-Table842[[#This Row],[Credit +]],0)</f>
        <v>0</v>
      </c>
      <c r="AC137" s="34">
        <f>MAX(Table842[[#This Row],[Credit]]-Table842[[#This Row],[Debit]]+Table842[[#This Row],[Credit +]]-Table842[[#This Row],[Debit -]],0)</f>
        <v>0</v>
      </c>
      <c r="AD137" s="34" t="str">
        <f>IFERROR(IF(AND(OR(Table842[[#This Row],[Classification]]="Expense",Table842[[#This Row],[Classification]]="Cost of Goods Sold"),Table842[[#This Row],[Debit\]]&gt;Table842[[#This Row],[Credit.]]),Table842[[#This Row],[Debit\]]-Table842[[#This Row],[Credit.]],""),"")</f>
        <v/>
      </c>
      <c r="AE137" s="34" t="str">
        <f>IFERROR(IF(AND(OR(Table842[[#This Row],[Classification]]="Income",Table842[[#This Row],[Classification]]="Cost of Goods Sold"),Table842[[#This Row],[Credit.]]&gt;Table842[[#This Row],[Debit\]]),Table842[[#This Row],[Credit.]]-Table842[[#This Row],[Debit\]],""),"")</f>
        <v/>
      </c>
      <c r="AF137" s="34"/>
      <c r="AG137" s="34" t="str">
        <f>IFERROR(IF(AND(Table842[[#This Row],[Classification]]="Assets",Table842[[#This Row],[Debit\]]-Table842[[#This Row],[Credit.]]),Table842[[#This Row],[Debit\]]-Table842[[#This Row],[Credit.]],""),"")</f>
        <v/>
      </c>
      <c r="AH137" s="34" t="str">
        <f>IFERROR(IF(AND(OR(Table842[[#This Row],[Classification]]="Liabilities",Table842[[#This Row],[Classification]]="Owner´s Equity"),Table842[[#This Row],[Credit.]]&gt;Table842[[#This Row],[Debit\]]),Table842[[#This Row],[Credit.]]-Table842[[#This Row],[Debit\]],""),"")</f>
        <v/>
      </c>
    </row>
    <row r="138" spans="2:34" hidden="1" x14ac:dyDescent="0.25">
      <c r="B138" s="34"/>
      <c r="C138" s="45"/>
      <c r="D138" s="34"/>
      <c r="E138" s="34"/>
      <c r="G138" s="39"/>
      <c r="H138" s="40"/>
      <c r="I138" s="41"/>
      <c r="J138" s="41"/>
      <c r="L138" s="34">
        <v>131</v>
      </c>
      <c r="M138" s="35"/>
      <c r="N138" s="35"/>
      <c r="O138" s="34">
        <f>IFERROR(SUMIF(Table439[,],Table641[[#This Row],[Accounts Name]],Table439[,3]),"")</f>
        <v>0</v>
      </c>
      <c r="P138" s="34">
        <f>IFERROR(SUMIF(Table439[,],Table641[[#This Row],[Accounts Name]],Table439[,2]),"")</f>
        <v>0</v>
      </c>
      <c r="S138" s="36">
        <f t="shared" ref="S138:S200" si="2">S137+1</f>
        <v>131</v>
      </c>
      <c r="T138" s="34"/>
      <c r="U138" s="37"/>
      <c r="V138" s="34">
        <f>IFERROR(SUMIF(Table641[Sub-Accounts],Table842[[#This Row],[Update your chart of accounts here]],Table641[Debit]),"")</f>
        <v>0</v>
      </c>
      <c r="W138" s="34">
        <f>IFERROR(SUMIF(Table641[Sub-Accounts],Table842[[#This Row],[Update your chart of accounts here]],Table641[Credit]),"")</f>
        <v>0</v>
      </c>
      <c r="X138" s="34"/>
      <c r="Y138" s="34"/>
      <c r="Z138" s="34"/>
      <c r="AA138" s="34"/>
      <c r="AB138" s="34">
        <f>MAX(Table842[[#This Row],[Debit]]+Table842[[#This Row],[Debit -]]-Table842[[#This Row],[Credit]]-Table842[[#This Row],[Credit +]],0)</f>
        <v>0</v>
      </c>
      <c r="AC138" s="34">
        <f>MAX(Table842[[#This Row],[Credit]]-Table842[[#This Row],[Debit]]+Table842[[#This Row],[Credit +]]-Table842[[#This Row],[Debit -]],0)</f>
        <v>0</v>
      </c>
      <c r="AD138" s="34" t="str">
        <f>IFERROR(IF(AND(OR(Table842[[#This Row],[Classification]]="Expense",Table842[[#This Row],[Classification]]="Cost of Goods Sold"),Table842[[#This Row],[Debit\]]&gt;Table842[[#This Row],[Credit.]]),Table842[[#This Row],[Debit\]]-Table842[[#This Row],[Credit.]],""),"")</f>
        <v/>
      </c>
      <c r="AE138" s="34" t="str">
        <f>IFERROR(IF(AND(OR(Table842[[#This Row],[Classification]]="Income",Table842[[#This Row],[Classification]]="Cost of Goods Sold"),Table842[[#This Row],[Credit.]]&gt;Table842[[#This Row],[Debit\]]),Table842[[#This Row],[Credit.]]-Table842[[#This Row],[Debit\]],""),"")</f>
        <v/>
      </c>
      <c r="AF138" s="34"/>
      <c r="AG138" s="34" t="str">
        <f>IFERROR(IF(AND(Table842[[#This Row],[Classification]]="Assets",Table842[[#This Row],[Debit\]]-Table842[[#This Row],[Credit.]]),Table842[[#This Row],[Debit\]]-Table842[[#This Row],[Credit.]],""),"")</f>
        <v/>
      </c>
      <c r="AH138" s="34" t="str">
        <f>IFERROR(IF(AND(OR(Table842[[#This Row],[Classification]]="Liabilities",Table842[[#This Row],[Classification]]="Owner´s Equity"),Table842[[#This Row],[Credit.]]&gt;Table842[[#This Row],[Debit\]]),Table842[[#This Row],[Credit.]]-Table842[[#This Row],[Debit\]],""),"")</f>
        <v/>
      </c>
    </row>
    <row r="139" spans="2:34" hidden="1" x14ac:dyDescent="0.25">
      <c r="B139" s="34"/>
      <c r="C139" s="45"/>
      <c r="D139" s="34"/>
      <c r="E139" s="34"/>
      <c r="G139" s="39"/>
      <c r="H139" s="40"/>
      <c r="I139" s="41"/>
      <c r="J139" s="41"/>
      <c r="L139" s="34">
        <v>132</v>
      </c>
      <c r="M139" s="35"/>
      <c r="N139" s="35"/>
      <c r="O139" s="34">
        <f>IFERROR(SUMIF(Table439[,],Table641[[#This Row],[Accounts Name]],Table439[,3]),"")</f>
        <v>0</v>
      </c>
      <c r="P139" s="34">
        <f>IFERROR(SUMIF(Table439[,],Table641[[#This Row],[Accounts Name]],Table439[,2]),"")</f>
        <v>0</v>
      </c>
      <c r="S139" s="36">
        <f t="shared" si="2"/>
        <v>132</v>
      </c>
      <c r="T139" s="34"/>
      <c r="U139" s="37"/>
      <c r="V139" s="34">
        <f>IFERROR(SUMIF(Table641[Sub-Accounts],Table842[[#This Row],[Update your chart of accounts here]],Table641[Debit]),"")</f>
        <v>0</v>
      </c>
      <c r="W139" s="34">
        <f>IFERROR(SUMIF(Table641[Sub-Accounts],Table842[[#This Row],[Update your chart of accounts here]],Table641[Credit]),"")</f>
        <v>0</v>
      </c>
      <c r="X139" s="34"/>
      <c r="Y139" s="34"/>
      <c r="Z139" s="34"/>
      <c r="AA139" s="34"/>
      <c r="AB139" s="34">
        <f>MAX(Table842[[#This Row],[Debit]]+Table842[[#This Row],[Debit -]]-Table842[[#This Row],[Credit]]-Table842[[#This Row],[Credit +]],0)</f>
        <v>0</v>
      </c>
      <c r="AC139" s="34">
        <f>MAX(Table842[[#This Row],[Credit]]-Table842[[#This Row],[Debit]]+Table842[[#This Row],[Credit +]]-Table842[[#This Row],[Debit -]],0)</f>
        <v>0</v>
      </c>
      <c r="AD139" s="34" t="str">
        <f>IFERROR(IF(AND(OR(Table842[[#This Row],[Classification]]="Expense",Table842[[#This Row],[Classification]]="Cost of Goods Sold"),Table842[[#This Row],[Debit\]]&gt;Table842[[#This Row],[Credit.]]),Table842[[#This Row],[Debit\]]-Table842[[#This Row],[Credit.]],""),"")</f>
        <v/>
      </c>
      <c r="AE139" s="34" t="str">
        <f>IFERROR(IF(AND(OR(Table842[[#This Row],[Classification]]="Income",Table842[[#This Row],[Classification]]="Cost of Goods Sold"),Table842[[#This Row],[Credit.]]&gt;Table842[[#This Row],[Debit\]]),Table842[[#This Row],[Credit.]]-Table842[[#This Row],[Debit\]],""),"")</f>
        <v/>
      </c>
      <c r="AF139" s="34"/>
      <c r="AG139" s="34" t="str">
        <f>IFERROR(IF(AND(Table842[[#This Row],[Classification]]="Assets",Table842[[#This Row],[Debit\]]-Table842[[#This Row],[Credit.]]),Table842[[#This Row],[Debit\]]-Table842[[#This Row],[Credit.]],""),"")</f>
        <v/>
      </c>
      <c r="AH139" s="34" t="str">
        <f>IFERROR(IF(AND(OR(Table842[[#This Row],[Classification]]="Liabilities",Table842[[#This Row],[Classification]]="Owner´s Equity"),Table842[[#This Row],[Credit.]]&gt;Table842[[#This Row],[Debit\]]),Table842[[#This Row],[Credit.]]-Table842[[#This Row],[Debit\]],""),"")</f>
        <v/>
      </c>
    </row>
    <row r="140" spans="2:34" hidden="1" x14ac:dyDescent="0.25">
      <c r="B140" s="34"/>
      <c r="C140" s="45"/>
      <c r="D140" s="34"/>
      <c r="E140" s="34"/>
      <c r="G140" s="39"/>
      <c r="H140" s="43"/>
      <c r="I140" s="41"/>
      <c r="J140" s="41"/>
      <c r="L140" s="34">
        <v>133</v>
      </c>
      <c r="M140" s="35"/>
      <c r="N140" s="35"/>
      <c r="O140" s="34">
        <f>IFERROR(SUMIF(Table439[,],Table641[[#This Row],[Accounts Name]],Table439[,3]),"")</f>
        <v>0</v>
      </c>
      <c r="P140" s="34">
        <f>IFERROR(SUMIF(Table439[,],Table641[[#This Row],[Accounts Name]],Table439[,2]),"")</f>
        <v>0</v>
      </c>
      <c r="S140" s="36">
        <f t="shared" si="2"/>
        <v>133</v>
      </c>
      <c r="T140" s="34"/>
      <c r="U140" s="37"/>
      <c r="V140" s="34">
        <f>IFERROR(SUMIF(Table641[Sub-Accounts],Table842[[#This Row],[Update your chart of accounts here]],Table641[Debit]),"")</f>
        <v>0</v>
      </c>
      <c r="W140" s="34">
        <f>IFERROR(SUMIF(Table641[Sub-Accounts],Table842[[#This Row],[Update your chart of accounts here]],Table641[Credit]),"")</f>
        <v>0</v>
      </c>
      <c r="X140" s="34"/>
      <c r="Y140" s="34"/>
      <c r="Z140" s="34"/>
      <c r="AA140" s="34"/>
      <c r="AB140" s="34">
        <f>MAX(Table842[[#This Row],[Debit]]+Table842[[#This Row],[Debit -]]-Table842[[#This Row],[Credit]]-Table842[[#This Row],[Credit +]],0)</f>
        <v>0</v>
      </c>
      <c r="AC140" s="34">
        <f>MAX(Table842[[#This Row],[Credit]]-Table842[[#This Row],[Debit]]+Table842[[#This Row],[Credit +]]-Table842[[#This Row],[Debit -]],0)</f>
        <v>0</v>
      </c>
      <c r="AD140" s="34" t="str">
        <f>IFERROR(IF(AND(OR(Table842[[#This Row],[Classification]]="Expense",Table842[[#This Row],[Classification]]="Cost of Goods Sold"),Table842[[#This Row],[Debit\]]&gt;Table842[[#This Row],[Credit.]]),Table842[[#This Row],[Debit\]]-Table842[[#This Row],[Credit.]],""),"")</f>
        <v/>
      </c>
      <c r="AE140" s="34" t="str">
        <f>IFERROR(IF(AND(OR(Table842[[#This Row],[Classification]]="Income",Table842[[#This Row],[Classification]]="Cost of Goods Sold"),Table842[[#This Row],[Credit.]]&gt;Table842[[#This Row],[Debit\]]),Table842[[#This Row],[Credit.]]-Table842[[#This Row],[Debit\]],""),"")</f>
        <v/>
      </c>
      <c r="AF140" s="34"/>
      <c r="AG140" s="34" t="str">
        <f>IFERROR(IF(AND(Table842[[#This Row],[Classification]]="Assets",Table842[[#This Row],[Debit\]]-Table842[[#This Row],[Credit.]]),Table842[[#This Row],[Debit\]]-Table842[[#This Row],[Credit.]],""),"")</f>
        <v/>
      </c>
      <c r="AH140" s="34" t="str">
        <f>IFERROR(IF(AND(OR(Table842[[#This Row],[Classification]]="Liabilities",Table842[[#This Row],[Classification]]="Owner´s Equity"),Table842[[#This Row],[Credit.]]&gt;Table842[[#This Row],[Debit\]]),Table842[[#This Row],[Credit.]]-Table842[[#This Row],[Debit\]],""),"")</f>
        <v/>
      </c>
    </row>
    <row r="141" spans="2:34" hidden="1" x14ac:dyDescent="0.25">
      <c r="B141" s="34"/>
      <c r="C141" s="45"/>
      <c r="D141" s="34"/>
      <c r="E141" s="34"/>
      <c r="G141" s="39"/>
      <c r="H141" s="40"/>
      <c r="I141" s="41"/>
      <c r="J141" s="41"/>
      <c r="L141" s="34">
        <v>134</v>
      </c>
      <c r="M141" s="35"/>
      <c r="N141" s="35"/>
      <c r="O141" s="34">
        <f>IFERROR(SUMIF(Table439[,],Table641[[#This Row],[Accounts Name]],Table439[,3]),"")</f>
        <v>0</v>
      </c>
      <c r="P141" s="34">
        <f>IFERROR(SUMIF(Table439[,],Table641[[#This Row],[Accounts Name]],Table439[,2]),"")</f>
        <v>0</v>
      </c>
      <c r="S141" s="36">
        <f t="shared" si="2"/>
        <v>134</v>
      </c>
      <c r="T141" s="34"/>
      <c r="U141" s="37"/>
      <c r="V141" s="34">
        <f>IFERROR(SUMIF(Table641[Sub-Accounts],Table842[[#This Row],[Update your chart of accounts here]],Table641[Debit]),"")</f>
        <v>0</v>
      </c>
      <c r="W141" s="34">
        <f>IFERROR(SUMIF(Table641[Sub-Accounts],Table842[[#This Row],[Update your chart of accounts here]],Table641[Credit]),"")</f>
        <v>0</v>
      </c>
      <c r="X141" s="34"/>
      <c r="Y141" s="34"/>
      <c r="Z141" s="34"/>
      <c r="AA141" s="34"/>
      <c r="AB141" s="34">
        <f>MAX(Table842[[#This Row],[Debit]]+Table842[[#This Row],[Debit -]]-Table842[[#This Row],[Credit]]-Table842[[#This Row],[Credit +]],0)</f>
        <v>0</v>
      </c>
      <c r="AC141" s="34">
        <f>MAX(Table842[[#This Row],[Credit]]-Table842[[#This Row],[Debit]]+Table842[[#This Row],[Credit +]]-Table842[[#This Row],[Debit -]],0)</f>
        <v>0</v>
      </c>
      <c r="AD141" s="34" t="str">
        <f>IFERROR(IF(AND(OR(Table842[[#This Row],[Classification]]="Expense",Table842[[#This Row],[Classification]]="Cost of Goods Sold"),Table842[[#This Row],[Debit\]]&gt;Table842[[#This Row],[Credit.]]),Table842[[#This Row],[Debit\]]-Table842[[#This Row],[Credit.]],""),"")</f>
        <v/>
      </c>
      <c r="AE141" s="34" t="str">
        <f>IFERROR(IF(AND(OR(Table842[[#This Row],[Classification]]="Income",Table842[[#This Row],[Classification]]="Cost of Goods Sold"),Table842[[#This Row],[Credit.]]&gt;Table842[[#This Row],[Debit\]]),Table842[[#This Row],[Credit.]]-Table842[[#This Row],[Debit\]],""),"")</f>
        <v/>
      </c>
      <c r="AF141" s="34"/>
      <c r="AG141" s="34" t="str">
        <f>IFERROR(IF(AND(Table842[[#This Row],[Classification]]="Assets",Table842[[#This Row],[Debit\]]-Table842[[#This Row],[Credit.]]),Table842[[#This Row],[Debit\]]-Table842[[#This Row],[Credit.]],""),"")</f>
        <v/>
      </c>
      <c r="AH141" s="34" t="str">
        <f>IFERROR(IF(AND(OR(Table842[[#This Row],[Classification]]="Liabilities",Table842[[#This Row],[Classification]]="Owner´s Equity"),Table842[[#This Row],[Credit.]]&gt;Table842[[#This Row],[Debit\]]),Table842[[#This Row],[Credit.]]-Table842[[#This Row],[Debit\]],""),"")</f>
        <v/>
      </c>
    </row>
    <row r="142" spans="2:34" hidden="1" x14ac:dyDescent="0.25">
      <c r="B142" s="34"/>
      <c r="C142" s="45"/>
      <c r="D142" s="34"/>
      <c r="E142" s="34"/>
      <c r="G142" s="39"/>
      <c r="H142" s="40"/>
      <c r="I142" s="41"/>
      <c r="J142" s="41"/>
      <c r="L142" s="34">
        <v>135</v>
      </c>
      <c r="M142" s="35"/>
      <c r="N142" s="35"/>
      <c r="O142" s="34">
        <f>IFERROR(SUMIF(Table439[,],Table641[[#This Row],[Accounts Name]],Table439[,3]),"")</f>
        <v>0</v>
      </c>
      <c r="P142" s="34">
        <f>IFERROR(SUMIF(Table439[,],Table641[[#This Row],[Accounts Name]],Table439[,2]),"")</f>
        <v>0</v>
      </c>
      <c r="S142" s="36">
        <f t="shared" si="2"/>
        <v>135</v>
      </c>
      <c r="T142" s="34"/>
      <c r="U142" s="37"/>
      <c r="V142" s="34">
        <f>IFERROR(SUMIF(Table641[Sub-Accounts],Table842[[#This Row],[Update your chart of accounts here]],Table641[Debit]),"")</f>
        <v>0</v>
      </c>
      <c r="W142" s="34">
        <f>IFERROR(SUMIF(Table641[Sub-Accounts],Table842[[#This Row],[Update your chart of accounts here]],Table641[Credit]),"")</f>
        <v>0</v>
      </c>
      <c r="X142" s="34"/>
      <c r="Y142" s="34"/>
      <c r="Z142" s="34"/>
      <c r="AA142" s="34"/>
      <c r="AB142" s="34">
        <f>MAX(Table842[[#This Row],[Debit]]+Table842[[#This Row],[Debit -]]-Table842[[#This Row],[Credit]]-Table842[[#This Row],[Credit +]],0)</f>
        <v>0</v>
      </c>
      <c r="AC142" s="34">
        <f>MAX(Table842[[#This Row],[Credit]]-Table842[[#This Row],[Debit]]+Table842[[#This Row],[Credit +]]-Table842[[#This Row],[Debit -]],0)</f>
        <v>0</v>
      </c>
      <c r="AD142" s="34" t="str">
        <f>IFERROR(IF(AND(OR(Table842[[#This Row],[Classification]]="Expense",Table842[[#This Row],[Classification]]="Cost of Goods Sold"),Table842[[#This Row],[Debit\]]&gt;Table842[[#This Row],[Credit.]]),Table842[[#This Row],[Debit\]]-Table842[[#This Row],[Credit.]],""),"")</f>
        <v/>
      </c>
      <c r="AE142" s="34" t="str">
        <f>IFERROR(IF(AND(OR(Table842[[#This Row],[Classification]]="Income",Table842[[#This Row],[Classification]]="Cost of Goods Sold"),Table842[[#This Row],[Credit.]]&gt;Table842[[#This Row],[Debit\]]),Table842[[#This Row],[Credit.]]-Table842[[#This Row],[Debit\]],""),"")</f>
        <v/>
      </c>
      <c r="AF142" s="34"/>
      <c r="AG142" s="34" t="str">
        <f>IFERROR(IF(AND(Table842[[#This Row],[Classification]]="Assets",Table842[[#This Row],[Debit\]]-Table842[[#This Row],[Credit.]]),Table842[[#This Row],[Debit\]]-Table842[[#This Row],[Credit.]],""),"")</f>
        <v/>
      </c>
      <c r="AH142" s="34" t="str">
        <f>IFERROR(IF(AND(OR(Table842[[#This Row],[Classification]]="Liabilities",Table842[[#This Row],[Classification]]="Owner´s Equity"),Table842[[#This Row],[Credit.]]&gt;Table842[[#This Row],[Debit\]]),Table842[[#This Row],[Credit.]]-Table842[[#This Row],[Debit\]],""),"")</f>
        <v/>
      </c>
    </row>
    <row r="143" spans="2:34" hidden="1" x14ac:dyDescent="0.25">
      <c r="B143" s="34"/>
      <c r="C143" s="45"/>
      <c r="D143" s="34"/>
      <c r="E143" s="34"/>
      <c r="G143" s="39"/>
      <c r="H143" s="43"/>
      <c r="I143" s="41"/>
      <c r="J143" s="41"/>
      <c r="L143" s="34">
        <v>136</v>
      </c>
      <c r="M143" s="35"/>
      <c r="N143" s="35"/>
      <c r="O143" s="34">
        <f>IFERROR(SUMIF(Table439[,],Table641[[#This Row],[Accounts Name]],Table439[,3]),"")</f>
        <v>0</v>
      </c>
      <c r="P143" s="34">
        <f>IFERROR(SUMIF(Table439[,],Table641[[#This Row],[Accounts Name]],Table439[,2]),"")</f>
        <v>0</v>
      </c>
      <c r="S143" s="36">
        <f t="shared" si="2"/>
        <v>136</v>
      </c>
      <c r="T143" s="34"/>
      <c r="U143" s="37"/>
      <c r="V143" s="34">
        <f>IFERROR(SUMIF(Table641[Sub-Accounts],Table842[[#This Row],[Update your chart of accounts here]],Table641[Debit]),"")</f>
        <v>0</v>
      </c>
      <c r="W143" s="34">
        <f>IFERROR(SUMIF(Table641[Sub-Accounts],Table842[[#This Row],[Update your chart of accounts here]],Table641[Credit]),"")</f>
        <v>0</v>
      </c>
      <c r="X143" s="34"/>
      <c r="Y143" s="34"/>
      <c r="Z143" s="34"/>
      <c r="AA143" s="34"/>
      <c r="AB143" s="34">
        <f>MAX(Table842[[#This Row],[Debit]]+Table842[[#This Row],[Debit -]]-Table842[[#This Row],[Credit]]-Table842[[#This Row],[Credit +]],0)</f>
        <v>0</v>
      </c>
      <c r="AC143" s="34">
        <f>MAX(Table842[[#This Row],[Credit]]-Table842[[#This Row],[Debit]]+Table842[[#This Row],[Credit +]]-Table842[[#This Row],[Debit -]],0)</f>
        <v>0</v>
      </c>
      <c r="AD143" s="34" t="str">
        <f>IFERROR(IF(AND(OR(Table842[[#This Row],[Classification]]="Expense",Table842[[#This Row],[Classification]]="Cost of Goods Sold"),Table842[[#This Row],[Debit\]]&gt;Table842[[#This Row],[Credit.]]),Table842[[#This Row],[Debit\]]-Table842[[#This Row],[Credit.]],""),"")</f>
        <v/>
      </c>
      <c r="AE143" s="34" t="str">
        <f>IFERROR(IF(AND(OR(Table842[[#This Row],[Classification]]="Income",Table842[[#This Row],[Classification]]="Cost of Goods Sold"),Table842[[#This Row],[Credit.]]&gt;Table842[[#This Row],[Debit\]]),Table842[[#This Row],[Credit.]]-Table842[[#This Row],[Debit\]],""),"")</f>
        <v/>
      </c>
      <c r="AF143" s="34"/>
      <c r="AG143" s="34" t="str">
        <f>IFERROR(IF(AND(Table842[[#This Row],[Classification]]="Assets",Table842[[#This Row],[Debit\]]-Table842[[#This Row],[Credit.]]),Table842[[#This Row],[Debit\]]-Table842[[#This Row],[Credit.]],""),"")</f>
        <v/>
      </c>
      <c r="AH143" s="34" t="str">
        <f>IFERROR(IF(AND(OR(Table842[[#This Row],[Classification]]="Liabilities",Table842[[#This Row],[Classification]]="Owner´s Equity"),Table842[[#This Row],[Credit.]]&gt;Table842[[#This Row],[Debit\]]),Table842[[#This Row],[Credit.]]-Table842[[#This Row],[Debit\]],""),"")</f>
        <v/>
      </c>
    </row>
    <row r="144" spans="2:34" hidden="1" x14ac:dyDescent="0.25">
      <c r="B144" s="34"/>
      <c r="C144" s="45"/>
      <c r="D144" s="34"/>
      <c r="E144" s="34"/>
      <c r="G144" s="39"/>
      <c r="H144" s="40"/>
      <c r="I144" s="41"/>
      <c r="J144" s="41"/>
      <c r="L144" s="34">
        <v>137</v>
      </c>
      <c r="M144" s="35"/>
      <c r="N144" s="35"/>
      <c r="O144" s="34">
        <f>IFERROR(SUMIF(Table439[,],Table641[[#This Row],[Accounts Name]],Table439[,3]),"")</f>
        <v>0</v>
      </c>
      <c r="P144" s="34">
        <f>IFERROR(SUMIF(Table439[,],Table641[[#This Row],[Accounts Name]],Table439[,2]),"")</f>
        <v>0</v>
      </c>
      <c r="S144" s="36">
        <f t="shared" si="2"/>
        <v>137</v>
      </c>
      <c r="T144" s="34"/>
      <c r="U144" s="37"/>
      <c r="V144" s="34">
        <f>IFERROR(SUMIF(Table641[Sub-Accounts],Table842[[#This Row],[Update your chart of accounts here]],Table641[Debit]),"")</f>
        <v>0</v>
      </c>
      <c r="W144" s="34">
        <f>IFERROR(SUMIF(Table641[Sub-Accounts],Table842[[#This Row],[Update your chart of accounts here]],Table641[Credit]),"")</f>
        <v>0</v>
      </c>
      <c r="X144" s="34"/>
      <c r="Y144" s="34"/>
      <c r="Z144" s="34"/>
      <c r="AA144" s="34"/>
      <c r="AB144" s="34">
        <f>MAX(Table842[[#This Row],[Debit]]+Table842[[#This Row],[Debit -]]-Table842[[#This Row],[Credit]]-Table842[[#This Row],[Credit +]],0)</f>
        <v>0</v>
      </c>
      <c r="AC144" s="34">
        <f>MAX(Table842[[#This Row],[Credit]]-Table842[[#This Row],[Debit]]+Table842[[#This Row],[Credit +]]-Table842[[#This Row],[Debit -]],0)</f>
        <v>0</v>
      </c>
      <c r="AD144" s="34" t="str">
        <f>IFERROR(IF(AND(OR(Table842[[#This Row],[Classification]]="Expense",Table842[[#This Row],[Classification]]="Cost of Goods Sold"),Table842[[#This Row],[Debit\]]&gt;Table842[[#This Row],[Credit.]]),Table842[[#This Row],[Debit\]]-Table842[[#This Row],[Credit.]],""),"")</f>
        <v/>
      </c>
      <c r="AE144" s="34" t="str">
        <f>IFERROR(IF(AND(OR(Table842[[#This Row],[Classification]]="Income",Table842[[#This Row],[Classification]]="Cost of Goods Sold"),Table842[[#This Row],[Credit.]]&gt;Table842[[#This Row],[Debit\]]),Table842[[#This Row],[Credit.]]-Table842[[#This Row],[Debit\]],""),"")</f>
        <v/>
      </c>
      <c r="AF144" s="34"/>
      <c r="AG144" s="34" t="str">
        <f>IFERROR(IF(AND(Table842[[#This Row],[Classification]]="Assets",Table842[[#This Row],[Debit\]]-Table842[[#This Row],[Credit.]]),Table842[[#This Row],[Debit\]]-Table842[[#This Row],[Credit.]],""),"")</f>
        <v/>
      </c>
      <c r="AH144" s="34" t="str">
        <f>IFERROR(IF(AND(OR(Table842[[#This Row],[Classification]]="Liabilities",Table842[[#This Row],[Classification]]="Owner´s Equity"),Table842[[#This Row],[Credit.]]&gt;Table842[[#This Row],[Debit\]]),Table842[[#This Row],[Credit.]]-Table842[[#This Row],[Debit\]],""),"")</f>
        <v/>
      </c>
    </row>
    <row r="145" spans="2:34" hidden="1" x14ac:dyDescent="0.25">
      <c r="B145" s="34"/>
      <c r="C145" s="45"/>
      <c r="D145" s="34"/>
      <c r="E145" s="34"/>
      <c r="G145" s="39"/>
      <c r="H145" s="40"/>
      <c r="I145" s="41"/>
      <c r="J145" s="41"/>
      <c r="L145" s="34">
        <v>138</v>
      </c>
      <c r="M145" s="35"/>
      <c r="N145" s="35"/>
      <c r="O145" s="34">
        <f>IFERROR(SUMIF(Table439[,],Table641[[#This Row],[Accounts Name]],Table439[,3]),"")</f>
        <v>0</v>
      </c>
      <c r="P145" s="34">
        <f>IFERROR(SUMIF(Table439[,],Table641[[#This Row],[Accounts Name]],Table439[,2]),"")</f>
        <v>0</v>
      </c>
      <c r="S145" s="36">
        <f t="shared" si="2"/>
        <v>138</v>
      </c>
      <c r="T145" s="34"/>
      <c r="U145" s="37"/>
      <c r="V145" s="34">
        <f>IFERROR(SUMIF(Table641[Sub-Accounts],Table842[[#This Row],[Update your chart of accounts here]],Table641[Debit]),"")</f>
        <v>0</v>
      </c>
      <c r="W145" s="34">
        <f>IFERROR(SUMIF(Table641[Sub-Accounts],Table842[[#This Row],[Update your chart of accounts here]],Table641[Credit]),"")</f>
        <v>0</v>
      </c>
      <c r="X145" s="34"/>
      <c r="Y145" s="34"/>
      <c r="Z145" s="34"/>
      <c r="AA145" s="34"/>
      <c r="AB145" s="34">
        <f>MAX(Table842[[#This Row],[Debit]]+Table842[[#This Row],[Debit -]]-Table842[[#This Row],[Credit]]-Table842[[#This Row],[Credit +]],0)</f>
        <v>0</v>
      </c>
      <c r="AC145" s="34">
        <f>MAX(Table842[[#This Row],[Credit]]-Table842[[#This Row],[Debit]]+Table842[[#This Row],[Credit +]]-Table842[[#This Row],[Debit -]],0)</f>
        <v>0</v>
      </c>
      <c r="AD145" s="34" t="str">
        <f>IFERROR(IF(AND(OR(Table842[[#This Row],[Classification]]="Expense",Table842[[#This Row],[Classification]]="Cost of Goods Sold"),Table842[[#This Row],[Debit\]]&gt;Table842[[#This Row],[Credit.]]),Table842[[#This Row],[Debit\]]-Table842[[#This Row],[Credit.]],""),"")</f>
        <v/>
      </c>
      <c r="AE145" s="34" t="str">
        <f>IFERROR(IF(AND(OR(Table842[[#This Row],[Classification]]="Income",Table842[[#This Row],[Classification]]="Cost of Goods Sold"),Table842[[#This Row],[Credit.]]&gt;Table842[[#This Row],[Debit\]]),Table842[[#This Row],[Credit.]]-Table842[[#This Row],[Debit\]],""),"")</f>
        <v/>
      </c>
      <c r="AF145" s="34"/>
      <c r="AG145" s="34" t="str">
        <f>IFERROR(IF(AND(Table842[[#This Row],[Classification]]="Assets",Table842[[#This Row],[Debit\]]-Table842[[#This Row],[Credit.]]),Table842[[#This Row],[Debit\]]-Table842[[#This Row],[Credit.]],""),"")</f>
        <v/>
      </c>
      <c r="AH145" s="34" t="str">
        <f>IFERROR(IF(AND(OR(Table842[[#This Row],[Classification]]="Liabilities",Table842[[#This Row],[Classification]]="Owner´s Equity"),Table842[[#This Row],[Credit.]]&gt;Table842[[#This Row],[Debit\]]),Table842[[#This Row],[Credit.]]-Table842[[#This Row],[Debit\]],""),"")</f>
        <v/>
      </c>
    </row>
    <row r="146" spans="2:34" hidden="1" x14ac:dyDescent="0.25">
      <c r="B146" s="34"/>
      <c r="C146" s="45"/>
      <c r="D146" s="34"/>
      <c r="E146" s="34"/>
      <c r="G146" s="39"/>
      <c r="H146" s="43"/>
      <c r="I146" s="41"/>
      <c r="J146" s="41"/>
      <c r="L146" s="34">
        <v>139</v>
      </c>
      <c r="M146" s="35"/>
      <c r="N146" s="35"/>
      <c r="O146" s="34">
        <f>IFERROR(SUMIF(Table439[,],Table641[[#This Row],[Accounts Name]],Table439[,3]),"")</f>
        <v>0</v>
      </c>
      <c r="P146" s="34">
        <f>IFERROR(SUMIF(Table439[,],Table641[[#This Row],[Accounts Name]],Table439[,2]),"")</f>
        <v>0</v>
      </c>
      <c r="S146" s="36">
        <f t="shared" si="2"/>
        <v>139</v>
      </c>
      <c r="T146" s="34"/>
      <c r="U146" s="37"/>
      <c r="V146" s="34">
        <f>IFERROR(SUMIF(Table641[Sub-Accounts],Table842[[#This Row],[Update your chart of accounts here]],Table641[Debit]),"")</f>
        <v>0</v>
      </c>
      <c r="W146" s="34">
        <f>IFERROR(SUMIF(Table641[Sub-Accounts],Table842[[#This Row],[Update your chart of accounts here]],Table641[Credit]),"")</f>
        <v>0</v>
      </c>
      <c r="X146" s="34"/>
      <c r="Y146" s="34"/>
      <c r="Z146" s="34"/>
      <c r="AA146" s="34"/>
      <c r="AB146" s="34">
        <f>MAX(Table842[[#This Row],[Debit]]+Table842[[#This Row],[Debit -]]-Table842[[#This Row],[Credit]]-Table842[[#This Row],[Credit +]],0)</f>
        <v>0</v>
      </c>
      <c r="AC146" s="34">
        <f>MAX(Table842[[#This Row],[Credit]]-Table842[[#This Row],[Debit]]+Table842[[#This Row],[Credit +]]-Table842[[#This Row],[Debit -]],0)</f>
        <v>0</v>
      </c>
      <c r="AD146" s="34" t="str">
        <f>IFERROR(IF(AND(OR(Table842[[#This Row],[Classification]]="Expense",Table842[[#This Row],[Classification]]="Cost of Goods Sold"),Table842[[#This Row],[Debit\]]&gt;Table842[[#This Row],[Credit.]]),Table842[[#This Row],[Debit\]]-Table842[[#This Row],[Credit.]],""),"")</f>
        <v/>
      </c>
      <c r="AE146" s="34" t="str">
        <f>IFERROR(IF(AND(OR(Table842[[#This Row],[Classification]]="Income",Table842[[#This Row],[Classification]]="Cost of Goods Sold"),Table842[[#This Row],[Credit.]]&gt;Table842[[#This Row],[Debit\]]),Table842[[#This Row],[Credit.]]-Table842[[#This Row],[Debit\]],""),"")</f>
        <v/>
      </c>
      <c r="AF146" s="34"/>
      <c r="AG146" s="34" t="str">
        <f>IFERROR(IF(AND(Table842[[#This Row],[Classification]]="Assets",Table842[[#This Row],[Debit\]]-Table842[[#This Row],[Credit.]]),Table842[[#This Row],[Debit\]]-Table842[[#This Row],[Credit.]],""),"")</f>
        <v/>
      </c>
      <c r="AH146" s="34" t="str">
        <f>IFERROR(IF(AND(OR(Table842[[#This Row],[Classification]]="Liabilities",Table842[[#This Row],[Classification]]="Owner´s Equity"),Table842[[#This Row],[Credit.]]&gt;Table842[[#This Row],[Debit\]]),Table842[[#This Row],[Credit.]]-Table842[[#This Row],[Debit\]],""),"")</f>
        <v/>
      </c>
    </row>
    <row r="147" spans="2:34" hidden="1" x14ac:dyDescent="0.25">
      <c r="B147" s="34"/>
      <c r="C147" s="45"/>
      <c r="D147" s="34"/>
      <c r="E147" s="34"/>
      <c r="G147" s="39"/>
      <c r="H147" s="40"/>
      <c r="I147" s="41"/>
      <c r="J147" s="41"/>
      <c r="L147" s="34">
        <v>140</v>
      </c>
      <c r="M147" s="35"/>
      <c r="N147" s="35"/>
      <c r="O147" s="34">
        <f>IFERROR(SUMIF(Table439[,],Table641[[#This Row],[Accounts Name]],Table439[,3]),"")</f>
        <v>0</v>
      </c>
      <c r="P147" s="34">
        <f>IFERROR(SUMIF(Table439[,],Table641[[#This Row],[Accounts Name]],Table439[,2]),"")</f>
        <v>0</v>
      </c>
      <c r="S147" s="36">
        <f t="shared" si="2"/>
        <v>140</v>
      </c>
      <c r="T147" s="34"/>
      <c r="U147" s="37"/>
      <c r="V147" s="34">
        <f>IFERROR(SUMIF(Table641[Sub-Accounts],Table842[[#This Row],[Update your chart of accounts here]],Table641[Debit]),"")</f>
        <v>0</v>
      </c>
      <c r="W147" s="34">
        <f>IFERROR(SUMIF(Table641[Sub-Accounts],Table842[[#This Row],[Update your chart of accounts here]],Table641[Credit]),"")</f>
        <v>0</v>
      </c>
      <c r="X147" s="34"/>
      <c r="Y147" s="34"/>
      <c r="Z147" s="34"/>
      <c r="AA147" s="34"/>
      <c r="AB147" s="34">
        <f>MAX(Table842[[#This Row],[Debit]]+Table842[[#This Row],[Debit -]]-Table842[[#This Row],[Credit]]-Table842[[#This Row],[Credit +]],0)</f>
        <v>0</v>
      </c>
      <c r="AC147" s="34">
        <f>MAX(Table842[[#This Row],[Credit]]-Table842[[#This Row],[Debit]]+Table842[[#This Row],[Credit +]]-Table842[[#This Row],[Debit -]],0)</f>
        <v>0</v>
      </c>
      <c r="AD147" s="34" t="str">
        <f>IFERROR(IF(AND(OR(Table842[[#This Row],[Classification]]="Expense",Table842[[#This Row],[Classification]]="Cost of Goods Sold"),Table842[[#This Row],[Debit\]]&gt;Table842[[#This Row],[Credit.]]),Table842[[#This Row],[Debit\]]-Table842[[#This Row],[Credit.]],""),"")</f>
        <v/>
      </c>
      <c r="AE147" s="34" t="str">
        <f>IFERROR(IF(AND(OR(Table842[[#This Row],[Classification]]="Income",Table842[[#This Row],[Classification]]="Cost of Goods Sold"),Table842[[#This Row],[Credit.]]&gt;Table842[[#This Row],[Debit\]]),Table842[[#This Row],[Credit.]]-Table842[[#This Row],[Debit\]],""),"")</f>
        <v/>
      </c>
      <c r="AF147" s="34"/>
      <c r="AG147" s="34" t="str">
        <f>IFERROR(IF(AND(Table842[[#This Row],[Classification]]="Assets",Table842[[#This Row],[Debit\]]-Table842[[#This Row],[Credit.]]),Table842[[#This Row],[Debit\]]-Table842[[#This Row],[Credit.]],""),"")</f>
        <v/>
      </c>
      <c r="AH147" s="34" t="str">
        <f>IFERROR(IF(AND(OR(Table842[[#This Row],[Classification]]="Liabilities",Table842[[#This Row],[Classification]]="Owner´s Equity"),Table842[[#This Row],[Credit.]]&gt;Table842[[#This Row],[Debit\]]),Table842[[#This Row],[Credit.]]-Table842[[#This Row],[Debit\]],""),"")</f>
        <v/>
      </c>
    </row>
    <row r="148" spans="2:34" hidden="1" x14ac:dyDescent="0.25">
      <c r="B148" s="34"/>
      <c r="C148" s="45"/>
      <c r="D148" s="34"/>
      <c r="E148" s="34"/>
      <c r="G148" s="39"/>
      <c r="H148" s="40"/>
      <c r="I148" s="41"/>
      <c r="J148" s="41"/>
      <c r="L148" s="34">
        <v>141</v>
      </c>
      <c r="M148" s="35"/>
      <c r="N148" s="35"/>
      <c r="O148" s="34">
        <f>IFERROR(SUMIF(Table439[,],Table641[[#This Row],[Accounts Name]],Table439[,3]),"")</f>
        <v>0</v>
      </c>
      <c r="P148" s="34">
        <f>IFERROR(SUMIF(Table439[,],Table641[[#This Row],[Accounts Name]],Table439[,2]),"")</f>
        <v>0</v>
      </c>
      <c r="S148" s="36">
        <f t="shared" si="2"/>
        <v>141</v>
      </c>
      <c r="T148" s="34"/>
      <c r="U148" s="37"/>
      <c r="V148" s="34">
        <f>IFERROR(SUMIF(Table641[Sub-Accounts],Table842[[#This Row],[Update your chart of accounts here]],Table641[Debit]),"")</f>
        <v>0</v>
      </c>
      <c r="W148" s="34">
        <f>IFERROR(SUMIF(Table641[Sub-Accounts],Table842[[#This Row],[Update your chart of accounts here]],Table641[Credit]),"")</f>
        <v>0</v>
      </c>
      <c r="X148" s="34"/>
      <c r="Y148" s="34"/>
      <c r="Z148" s="34"/>
      <c r="AA148" s="34"/>
      <c r="AB148" s="34">
        <f>MAX(Table842[[#This Row],[Debit]]+Table842[[#This Row],[Debit -]]-Table842[[#This Row],[Credit]]-Table842[[#This Row],[Credit +]],0)</f>
        <v>0</v>
      </c>
      <c r="AC148" s="34">
        <f>MAX(Table842[[#This Row],[Credit]]-Table842[[#This Row],[Debit]]+Table842[[#This Row],[Credit +]]-Table842[[#This Row],[Debit -]],0)</f>
        <v>0</v>
      </c>
      <c r="AD148" s="34" t="str">
        <f>IFERROR(IF(AND(OR(Table842[[#This Row],[Classification]]="Expense",Table842[[#This Row],[Classification]]="Cost of Goods Sold"),Table842[[#This Row],[Debit\]]&gt;Table842[[#This Row],[Credit.]]),Table842[[#This Row],[Debit\]]-Table842[[#This Row],[Credit.]],""),"")</f>
        <v/>
      </c>
      <c r="AE148" s="34" t="str">
        <f>IFERROR(IF(AND(OR(Table842[[#This Row],[Classification]]="Income",Table842[[#This Row],[Classification]]="Cost of Goods Sold"),Table842[[#This Row],[Credit.]]&gt;Table842[[#This Row],[Debit\]]),Table842[[#This Row],[Credit.]]-Table842[[#This Row],[Debit\]],""),"")</f>
        <v/>
      </c>
      <c r="AF148" s="34"/>
      <c r="AG148" s="34" t="str">
        <f>IFERROR(IF(AND(Table842[[#This Row],[Classification]]="Assets",Table842[[#This Row],[Debit\]]-Table842[[#This Row],[Credit.]]),Table842[[#This Row],[Debit\]]-Table842[[#This Row],[Credit.]],""),"")</f>
        <v/>
      </c>
      <c r="AH148" s="34" t="str">
        <f>IFERROR(IF(AND(OR(Table842[[#This Row],[Classification]]="Liabilities",Table842[[#This Row],[Classification]]="Owner´s Equity"),Table842[[#This Row],[Credit.]]&gt;Table842[[#This Row],[Debit\]]),Table842[[#This Row],[Credit.]]-Table842[[#This Row],[Debit\]],""),"")</f>
        <v/>
      </c>
    </row>
    <row r="149" spans="2:34" hidden="1" x14ac:dyDescent="0.25">
      <c r="B149" s="34"/>
      <c r="C149" s="45"/>
      <c r="D149" s="34"/>
      <c r="E149" s="34"/>
      <c r="G149" s="39"/>
      <c r="H149" s="43"/>
      <c r="I149" s="41"/>
      <c r="J149" s="41"/>
      <c r="L149" s="34">
        <v>142</v>
      </c>
      <c r="M149" s="35"/>
      <c r="N149" s="35"/>
      <c r="O149" s="34">
        <f>IFERROR(SUMIF(Table439[,],Table641[[#This Row],[Accounts Name]],Table439[,3]),"")</f>
        <v>0</v>
      </c>
      <c r="P149" s="34">
        <f>IFERROR(SUMIF(Table439[,],Table641[[#This Row],[Accounts Name]],Table439[,2]),"")</f>
        <v>0</v>
      </c>
      <c r="S149" s="36">
        <f t="shared" si="2"/>
        <v>142</v>
      </c>
      <c r="T149" s="34"/>
      <c r="U149" s="37"/>
      <c r="V149" s="34">
        <f>IFERROR(SUMIF(Table641[Sub-Accounts],Table842[[#This Row],[Update your chart of accounts here]],Table641[Debit]),"")</f>
        <v>0</v>
      </c>
      <c r="W149" s="34">
        <f>IFERROR(SUMIF(Table641[Sub-Accounts],Table842[[#This Row],[Update your chart of accounts here]],Table641[Credit]),"")</f>
        <v>0</v>
      </c>
      <c r="X149" s="34"/>
      <c r="Y149" s="34"/>
      <c r="Z149" s="34"/>
      <c r="AA149" s="34"/>
      <c r="AB149" s="34">
        <f>MAX(Table842[[#This Row],[Debit]]+Table842[[#This Row],[Debit -]]-Table842[[#This Row],[Credit]]-Table842[[#This Row],[Credit +]],0)</f>
        <v>0</v>
      </c>
      <c r="AC149" s="34">
        <f>MAX(Table842[[#This Row],[Credit]]-Table842[[#This Row],[Debit]]+Table842[[#This Row],[Credit +]]-Table842[[#This Row],[Debit -]],0)</f>
        <v>0</v>
      </c>
      <c r="AD149" s="34" t="str">
        <f>IFERROR(IF(AND(OR(Table842[[#This Row],[Classification]]="Expense",Table842[[#This Row],[Classification]]="Cost of Goods Sold"),Table842[[#This Row],[Debit\]]&gt;Table842[[#This Row],[Credit.]]),Table842[[#This Row],[Debit\]]-Table842[[#This Row],[Credit.]],""),"")</f>
        <v/>
      </c>
      <c r="AE149" s="34" t="str">
        <f>IFERROR(IF(AND(OR(Table842[[#This Row],[Classification]]="Income",Table842[[#This Row],[Classification]]="Cost of Goods Sold"),Table842[[#This Row],[Credit.]]&gt;Table842[[#This Row],[Debit\]]),Table842[[#This Row],[Credit.]]-Table842[[#This Row],[Debit\]],""),"")</f>
        <v/>
      </c>
      <c r="AF149" s="34"/>
      <c r="AG149" s="34" t="str">
        <f>IFERROR(IF(AND(Table842[[#This Row],[Classification]]="Assets",Table842[[#This Row],[Debit\]]-Table842[[#This Row],[Credit.]]),Table842[[#This Row],[Debit\]]-Table842[[#This Row],[Credit.]],""),"")</f>
        <v/>
      </c>
      <c r="AH149" s="34" t="str">
        <f>IFERROR(IF(AND(OR(Table842[[#This Row],[Classification]]="Liabilities",Table842[[#This Row],[Classification]]="Owner´s Equity"),Table842[[#This Row],[Credit.]]&gt;Table842[[#This Row],[Debit\]]),Table842[[#This Row],[Credit.]]-Table842[[#This Row],[Debit\]],""),"")</f>
        <v/>
      </c>
    </row>
    <row r="150" spans="2:34" hidden="1" x14ac:dyDescent="0.25">
      <c r="B150" s="34"/>
      <c r="C150" s="45"/>
      <c r="D150" s="34"/>
      <c r="E150" s="34"/>
      <c r="G150" s="39"/>
      <c r="H150" s="40"/>
      <c r="I150" s="41"/>
      <c r="J150" s="41"/>
      <c r="L150" s="34">
        <v>143</v>
      </c>
      <c r="M150" s="35"/>
      <c r="N150" s="35"/>
      <c r="O150" s="34">
        <f>IFERROR(SUMIF(Table439[,],Table641[[#This Row],[Accounts Name]],Table439[,3]),"")</f>
        <v>0</v>
      </c>
      <c r="P150" s="34">
        <f>IFERROR(SUMIF(Table439[,],Table641[[#This Row],[Accounts Name]],Table439[,2]),"")</f>
        <v>0</v>
      </c>
      <c r="S150" s="36">
        <f t="shared" si="2"/>
        <v>143</v>
      </c>
      <c r="T150" s="34"/>
      <c r="U150" s="37"/>
      <c r="V150" s="34">
        <f>IFERROR(SUMIF(Table641[Sub-Accounts],Table842[[#This Row],[Update your chart of accounts here]],Table641[Debit]),"")</f>
        <v>0</v>
      </c>
      <c r="W150" s="34">
        <f>IFERROR(SUMIF(Table641[Sub-Accounts],Table842[[#This Row],[Update your chart of accounts here]],Table641[Credit]),"")</f>
        <v>0</v>
      </c>
      <c r="X150" s="34"/>
      <c r="Y150" s="34"/>
      <c r="Z150" s="34"/>
      <c r="AA150" s="34"/>
      <c r="AB150" s="34">
        <f>MAX(Table842[[#This Row],[Debit]]+Table842[[#This Row],[Debit -]]-Table842[[#This Row],[Credit]]-Table842[[#This Row],[Credit +]],0)</f>
        <v>0</v>
      </c>
      <c r="AC150" s="34">
        <f>MAX(Table842[[#This Row],[Credit]]-Table842[[#This Row],[Debit]]+Table842[[#This Row],[Credit +]]-Table842[[#This Row],[Debit -]],0)</f>
        <v>0</v>
      </c>
      <c r="AD150" s="34" t="str">
        <f>IFERROR(IF(AND(OR(Table842[[#This Row],[Classification]]="Expense",Table842[[#This Row],[Classification]]="Cost of Goods Sold"),Table842[[#This Row],[Debit\]]&gt;Table842[[#This Row],[Credit.]]),Table842[[#This Row],[Debit\]]-Table842[[#This Row],[Credit.]],""),"")</f>
        <v/>
      </c>
      <c r="AE150" s="34" t="str">
        <f>IFERROR(IF(AND(OR(Table842[[#This Row],[Classification]]="Income",Table842[[#This Row],[Classification]]="Cost of Goods Sold"),Table842[[#This Row],[Credit.]]&gt;Table842[[#This Row],[Debit\]]),Table842[[#This Row],[Credit.]]-Table842[[#This Row],[Debit\]],""),"")</f>
        <v/>
      </c>
      <c r="AF150" s="34"/>
      <c r="AG150" s="34" t="str">
        <f>IFERROR(IF(AND(Table842[[#This Row],[Classification]]="Assets",Table842[[#This Row],[Debit\]]-Table842[[#This Row],[Credit.]]),Table842[[#This Row],[Debit\]]-Table842[[#This Row],[Credit.]],""),"")</f>
        <v/>
      </c>
      <c r="AH150" s="34" t="str">
        <f>IFERROR(IF(AND(OR(Table842[[#This Row],[Classification]]="Liabilities",Table842[[#This Row],[Classification]]="Owner´s Equity"),Table842[[#This Row],[Credit.]]&gt;Table842[[#This Row],[Debit\]]),Table842[[#This Row],[Credit.]]-Table842[[#This Row],[Debit\]],""),"")</f>
        <v/>
      </c>
    </row>
    <row r="151" spans="2:34" hidden="1" x14ac:dyDescent="0.25">
      <c r="B151" s="34"/>
      <c r="C151" s="45"/>
      <c r="D151" s="34"/>
      <c r="E151" s="34"/>
      <c r="G151" s="39"/>
      <c r="H151" s="40"/>
      <c r="I151" s="41"/>
      <c r="J151" s="41"/>
      <c r="L151" s="34">
        <v>144</v>
      </c>
      <c r="M151" s="35"/>
      <c r="N151" s="35"/>
      <c r="O151" s="34">
        <f>IFERROR(SUMIF(Table439[,],Table641[[#This Row],[Accounts Name]],Table439[,3]),"")</f>
        <v>0</v>
      </c>
      <c r="P151" s="34">
        <f>IFERROR(SUMIF(Table439[,],Table641[[#This Row],[Accounts Name]],Table439[,2]),"")</f>
        <v>0</v>
      </c>
      <c r="S151" s="36">
        <f t="shared" si="2"/>
        <v>144</v>
      </c>
      <c r="T151" s="34"/>
      <c r="U151" s="37"/>
      <c r="V151" s="34">
        <f>IFERROR(SUMIF(Table641[Sub-Accounts],Table842[[#This Row],[Update your chart of accounts here]],Table641[Debit]),"")</f>
        <v>0</v>
      </c>
      <c r="W151" s="34">
        <f>IFERROR(SUMIF(Table641[Sub-Accounts],Table842[[#This Row],[Update your chart of accounts here]],Table641[Credit]),"")</f>
        <v>0</v>
      </c>
      <c r="X151" s="34"/>
      <c r="Y151" s="34"/>
      <c r="Z151" s="34"/>
      <c r="AA151" s="34"/>
      <c r="AB151" s="34">
        <f>MAX(Table842[[#This Row],[Debit]]+Table842[[#This Row],[Debit -]]-Table842[[#This Row],[Credit]]-Table842[[#This Row],[Credit +]],0)</f>
        <v>0</v>
      </c>
      <c r="AC151" s="34">
        <f>MAX(Table842[[#This Row],[Credit]]-Table842[[#This Row],[Debit]]+Table842[[#This Row],[Credit +]]-Table842[[#This Row],[Debit -]],0)</f>
        <v>0</v>
      </c>
      <c r="AD151" s="34" t="str">
        <f>IFERROR(IF(AND(OR(Table842[[#This Row],[Classification]]="Expense",Table842[[#This Row],[Classification]]="Cost of Goods Sold"),Table842[[#This Row],[Debit\]]&gt;Table842[[#This Row],[Credit.]]),Table842[[#This Row],[Debit\]]-Table842[[#This Row],[Credit.]],""),"")</f>
        <v/>
      </c>
      <c r="AE151" s="34" t="str">
        <f>IFERROR(IF(AND(OR(Table842[[#This Row],[Classification]]="Income",Table842[[#This Row],[Classification]]="Cost of Goods Sold"),Table842[[#This Row],[Credit.]]&gt;Table842[[#This Row],[Debit\]]),Table842[[#This Row],[Credit.]]-Table842[[#This Row],[Debit\]],""),"")</f>
        <v/>
      </c>
      <c r="AF151" s="34"/>
      <c r="AG151" s="34" t="str">
        <f>IFERROR(IF(AND(Table842[[#This Row],[Classification]]="Assets",Table842[[#This Row],[Debit\]]-Table842[[#This Row],[Credit.]]),Table842[[#This Row],[Debit\]]-Table842[[#This Row],[Credit.]],""),"")</f>
        <v/>
      </c>
      <c r="AH151" s="34" t="str">
        <f>IFERROR(IF(AND(OR(Table842[[#This Row],[Classification]]="Liabilities",Table842[[#This Row],[Classification]]="Owner´s Equity"),Table842[[#This Row],[Credit.]]&gt;Table842[[#This Row],[Debit\]]),Table842[[#This Row],[Credit.]]-Table842[[#This Row],[Debit\]],""),"")</f>
        <v/>
      </c>
    </row>
    <row r="152" spans="2:34" hidden="1" x14ac:dyDescent="0.25">
      <c r="B152" s="34"/>
      <c r="C152" s="45"/>
      <c r="D152" s="34"/>
      <c r="E152" s="34"/>
      <c r="G152" s="39"/>
      <c r="H152" s="43"/>
      <c r="I152" s="41"/>
      <c r="J152" s="41"/>
      <c r="L152" s="34">
        <v>145</v>
      </c>
      <c r="M152" s="35"/>
      <c r="N152" s="35"/>
      <c r="O152" s="34">
        <f>IFERROR(SUMIF(Table439[,],Table641[[#This Row],[Accounts Name]],Table439[,3]),"")</f>
        <v>0</v>
      </c>
      <c r="P152" s="34">
        <f>IFERROR(SUMIF(Table439[,],Table641[[#This Row],[Accounts Name]],Table439[,2]),"")</f>
        <v>0</v>
      </c>
      <c r="S152" s="36">
        <f t="shared" si="2"/>
        <v>145</v>
      </c>
      <c r="T152" s="34"/>
      <c r="U152" s="37"/>
      <c r="V152" s="34">
        <f>IFERROR(SUMIF(Table641[Sub-Accounts],Table842[[#This Row],[Update your chart of accounts here]],Table641[Debit]),"")</f>
        <v>0</v>
      </c>
      <c r="W152" s="34">
        <f>IFERROR(SUMIF(Table641[Sub-Accounts],Table842[[#This Row],[Update your chart of accounts here]],Table641[Credit]),"")</f>
        <v>0</v>
      </c>
      <c r="X152" s="34"/>
      <c r="Y152" s="34"/>
      <c r="Z152" s="34"/>
      <c r="AA152" s="34"/>
      <c r="AB152" s="34">
        <f>MAX(Table842[[#This Row],[Debit]]+Table842[[#This Row],[Debit -]]-Table842[[#This Row],[Credit]]-Table842[[#This Row],[Credit +]],0)</f>
        <v>0</v>
      </c>
      <c r="AC152" s="34">
        <f>MAX(Table842[[#This Row],[Credit]]-Table842[[#This Row],[Debit]]+Table842[[#This Row],[Credit +]]-Table842[[#This Row],[Debit -]],0)</f>
        <v>0</v>
      </c>
      <c r="AD152" s="34" t="str">
        <f>IFERROR(IF(AND(OR(Table842[[#This Row],[Classification]]="Expense",Table842[[#This Row],[Classification]]="Cost of Goods Sold"),Table842[[#This Row],[Debit\]]&gt;Table842[[#This Row],[Credit.]]),Table842[[#This Row],[Debit\]]-Table842[[#This Row],[Credit.]],""),"")</f>
        <v/>
      </c>
      <c r="AE152" s="34" t="str">
        <f>IFERROR(IF(AND(OR(Table842[[#This Row],[Classification]]="Income",Table842[[#This Row],[Classification]]="Cost of Goods Sold"),Table842[[#This Row],[Credit.]]&gt;Table842[[#This Row],[Debit\]]),Table842[[#This Row],[Credit.]]-Table842[[#This Row],[Debit\]],""),"")</f>
        <v/>
      </c>
      <c r="AF152" s="34"/>
      <c r="AG152" s="34" t="str">
        <f>IFERROR(IF(AND(Table842[[#This Row],[Classification]]="Assets",Table842[[#This Row],[Debit\]]-Table842[[#This Row],[Credit.]]),Table842[[#This Row],[Debit\]]-Table842[[#This Row],[Credit.]],""),"")</f>
        <v/>
      </c>
      <c r="AH152" s="34" t="str">
        <f>IFERROR(IF(AND(OR(Table842[[#This Row],[Classification]]="Liabilities",Table842[[#This Row],[Classification]]="Owner´s Equity"),Table842[[#This Row],[Credit.]]&gt;Table842[[#This Row],[Debit\]]),Table842[[#This Row],[Credit.]]-Table842[[#This Row],[Debit\]],""),"")</f>
        <v/>
      </c>
    </row>
    <row r="153" spans="2:34" hidden="1" x14ac:dyDescent="0.25">
      <c r="B153" s="34"/>
      <c r="C153" s="45"/>
      <c r="D153" s="34"/>
      <c r="E153" s="34"/>
      <c r="G153" s="39"/>
      <c r="H153" s="40"/>
      <c r="I153" s="41"/>
      <c r="J153" s="41"/>
      <c r="L153" s="34">
        <v>146</v>
      </c>
      <c r="M153" s="35"/>
      <c r="N153" s="35"/>
      <c r="O153" s="34">
        <f>IFERROR(SUMIF(Table439[,],Table641[[#This Row],[Accounts Name]],Table439[,3]),"")</f>
        <v>0</v>
      </c>
      <c r="P153" s="34">
        <f>IFERROR(SUMIF(Table439[,],Table641[[#This Row],[Accounts Name]],Table439[,2]),"")</f>
        <v>0</v>
      </c>
      <c r="S153" s="36">
        <f t="shared" si="2"/>
        <v>146</v>
      </c>
      <c r="T153" s="34"/>
      <c r="U153" s="37"/>
      <c r="V153" s="34">
        <f>IFERROR(SUMIF(Table641[Sub-Accounts],Table842[[#This Row],[Update your chart of accounts here]],Table641[Debit]),"")</f>
        <v>0</v>
      </c>
      <c r="W153" s="34">
        <f>IFERROR(SUMIF(Table641[Sub-Accounts],Table842[[#This Row],[Update your chart of accounts here]],Table641[Credit]),"")</f>
        <v>0</v>
      </c>
      <c r="X153" s="34"/>
      <c r="Y153" s="34"/>
      <c r="Z153" s="34"/>
      <c r="AA153" s="34"/>
      <c r="AB153" s="34">
        <f>MAX(Table842[[#This Row],[Debit]]+Table842[[#This Row],[Debit -]]-Table842[[#This Row],[Credit]]-Table842[[#This Row],[Credit +]],0)</f>
        <v>0</v>
      </c>
      <c r="AC153" s="34">
        <f>MAX(Table842[[#This Row],[Credit]]-Table842[[#This Row],[Debit]]+Table842[[#This Row],[Credit +]]-Table842[[#This Row],[Debit -]],0)</f>
        <v>0</v>
      </c>
      <c r="AD153" s="34" t="str">
        <f>IFERROR(IF(AND(OR(Table842[[#This Row],[Classification]]="Expense",Table842[[#This Row],[Classification]]="Cost of Goods Sold"),Table842[[#This Row],[Debit\]]&gt;Table842[[#This Row],[Credit.]]),Table842[[#This Row],[Debit\]]-Table842[[#This Row],[Credit.]],""),"")</f>
        <v/>
      </c>
      <c r="AE153" s="34" t="str">
        <f>IFERROR(IF(AND(OR(Table842[[#This Row],[Classification]]="Income",Table842[[#This Row],[Classification]]="Cost of Goods Sold"),Table842[[#This Row],[Credit.]]&gt;Table842[[#This Row],[Debit\]]),Table842[[#This Row],[Credit.]]-Table842[[#This Row],[Debit\]],""),"")</f>
        <v/>
      </c>
      <c r="AF153" s="34"/>
      <c r="AG153" s="34" t="str">
        <f>IFERROR(IF(AND(Table842[[#This Row],[Classification]]="Assets",Table842[[#This Row],[Debit\]]-Table842[[#This Row],[Credit.]]),Table842[[#This Row],[Debit\]]-Table842[[#This Row],[Credit.]],""),"")</f>
        <v/>
      </c>
      <c r="AH153" s="34" t="str">
        <f>IFERROR(IF(AND(OR(Table842[[#This Row],[Classification]]="Liabilities",Table842[[#This Row],[Classification]]="Owner´s Equity"),Table842[[#This Row],[Credit.]]&gt;Table842[[#This Row],[Debit\]]),Table842[[#This Row],[Credit.]]-Table842[[#This Row],[Debit\]],""),"")</f>
        <v/>
      </c>
    </row>
    <row r="154" spans="2:34" hidden="1" x14ac:dyDescent="0.25">
      <c r="B154" s="34"/>
      <c r="C154" s="45"/>
      <c r="D154" s="34"/>
      <c r="E154" s="34"/>
      <c r="G154" s="39"/>
      <c r="H154" s="40"/>
      <c r="I154" s="41"/>
      <c r="J154" s="41"/>
      <c r="L154" s="34">
        <v>147</v>
      </c>
      <c r="M154" s="35"/>
      <c r="N154" s="35"/>
      <c r="O154" s="34">
        <f>IFERROR(SUMIF(Table439[,],Table641[[#This Row],[Accounts Name]],Table439[,3]),"")</f>
        <v>0</v>
      </c>
      <c r="P154" s="34">
        <f>IFERROR(SUMIF(Table439[,],Table641[[#This Row],[Accounts Name]],Table439[,2]),"")</f>
        <v>0</v>
      </c>
      <c r="S154" s="36">
        <f t="shared" si="2"/>
        <v>147</v>
      </c>
      <c r="T154" s="34"/>
      <c r="U154" s="37"/>
      <c r="V154" s="34">
        <f>IFERROR(SUMIF(Table641[Sub-Accounts],Table842[[#This Row],[Update your chart of accounts here]],Table641[Debit]),"")</f>
        <v>0</v>
      </c>
      <c r="W154" s="34">
        <f>IFERROR(SUMIF(Table641[Sub-Accounts],Table842[[#This Row],[Update your chart of accounts here]],Table641[Credit]),"")</f>
        <v>0</v>
      </c>
      <c r="X154" s="34"/>
      <c r="Y154" s="34"/>
      <c r="Z154" s="34"/>
      <c r="AA154" s="34"/>
      <c r="AB154" s="34">
        <f>MAX(Table842[[#This Row],[Debit]]+Table842[[#This Row],[Debit -]]-Table842[[#This Row],[Credit]]-Table842[[#This Row],[Credit +]],0)</f>
        <v>0</v>
      </c>
      <c r="AC154" s="34">
        <f>MAX(Table842[[#This Row],[Credit]]-Table842[[#This Row],[Debit]]+Table842[[#This Row],[Credit +]]-Table842[[#This Row],[Debit -]],0)</f>
        <v>0</v>
      </c>
      <c r="AD154" s="34" t="str">
        <f>IFERROR(IF(AND(OR(Table842[[#This Row],[Classification]]="Expense",Table842[[#This Row],[Classification]]="Cost of Goods Sold"),Table842[[#This Row],[Debit\]]&gt;Table842[[#This Row],[Credit.]]),Table842[[#This Row],[Debit\]]-Table842[[#This Row],[Credit.]],""),"")</f>
        <v/>
      </c>
      <c r="AE154" s="34" t="str">
        <f>IFERROR(IF(AND(OR(Table842[[#This Row],[Classification]]="Income",Table842[[#This Row],[Classification]]="Cost of Goods Sold"),Table842[[#This Row],[Credit.]]&gt;Table842[[#This Row],[Debit\]]),Table842[[#This Row],[Credit.]]-Table842[[#This Row],[Debit\]],""),"")</f>
        <v/>
      </c>
      <c r="AF154" s="34"/>
      <c r="AG154" s="34" t="str">
        <f>IFERROR(IF(AND(Table842[[#This Row],[Classification]]="Assets",Table842[[#This Row],[Debit\]]-Table842[[#This Row],[Credit.]]),Table842[[#This Row],[Debit\]]-Table842[[#This Row],[Credit.]],""),"")</f>
        <v/>
      </c>
      <c r="AH154" s="34" t="str">
        <f>IFERROR(IF(AND(OR(Table842[[#This Row],[Classification]]="Liabilities",Table842[[#This Row],[Classification]]="Owner´s Equity"),Table842[[#This Row],[Credit.]]&gt;Table842[[#This Row],[Debit\]]),Table842[[#This Row],[Credit.]]-Table842[[#This Row],[Debit\]],""),"")</f>
        <v/>
      </c>
    </row>
    <row r="155" spans="2:34" hidden="1" x14ac:dyDescent="0.25">
      <c r="B155" s="34"/>
      <c r="C155" s="45"/>
      <c r="D155" s="34"/>
      <c r="E155" s="34"/>
      <c r="G155" s="39"/>
      <c r="H155" s="43"/>
      <c r="I155" s="41"/>
      <c r="J155" s="41"/>
      <c r="L155" s="34">
        <v>148</v>
      </c>
      <c r="M155" s="35"/>
      <c r="N155" s="35"/>
      <c r="O155" s="34">
        <f>IFERROR(SUMIF(Table439[,],Table641[[#This Row],[Accounts Name]],Table439[,3]),"")</f>
        <v>0</v>
      </c>
      <c r="P155" s="34">
        <f>IFERROR(SUMIF(Table439[,],Table641[[#This Row],[Accounts Name]],Table439[,2]),"")</f>
        <v>0</v>
      </c>
      <c r="S155" s="36">
        <f t="shared" si="2"/>
        <v>148</v>
      </c>
      <c r="T155" s="34"/>
      <c r="U155" s="37"/>
      <c r="V155" s="34">
        <f>IFERROR(SUMIF(Table641[Sub-Accounts],Table842[[#This Row],[Update your chart of accounts here]],Table641[Debit]),"")</f>
        <v>0</v>
      </c>
      <c r="W155" s="34">
        <f>IFERROR(SUMIF(Table641[Sub-Accounts],Table842[[#This Row],[Update your chart of accounts here]],Table641[Credit]),"")</f>
        <v>0</v>
      </c>
      <c r="X155" s="34"/>
      <c r="Y155" s="34"/>
      <c r="Z155" s="34"/>
      <c r="AA155" s="34"/>
      <c r="AB155" s="34">
        <f>MAX(Table842[[#This Row],[Debit]]+Table842[[#This Row],[Debit -]]-Table842[[#This Row],[Credit]]-Table842[[#This Row],[Credit +]],0)</f>
        <v>0</v>
      </c>
      <c r="AC155" s="34">
        <f>MAX(Table842[[#This Row],[Credit]]-Table842[[#This Row],[Debit]]+Table842[[#This Row],[Credit +]]-Table842[[#This Row],[Debit -]],0)</f>
        <v>0</v>
      </c>
      <c r="AD155" s="34" t="str">
        <f>IFERROR(IF(AND(OR(Table842[[#This Row],[Classification]]="Expense",Table842[[#This Row],[Classification]]="Cost of Goods Sold"),Table842[[#This Row],[Debit\]]&gt;Table842[[#This Row],[Credit.]]),Table842[[#This Row],[Debit\]]-Table842[[#This Row],[Credit.]],""),"")</f>
        <v/>
      </c>
      <c r="AE155" s="34" t="str">
        <f>IFERROR(IF(AND(OR(Table842[[#This Row],[Classification]]="Income",Table842[[#This Row],[Classification]]="Cost of Goods Sold"),Table842[[#This Row],[Credit.]]&gt;Table842[[#This Row],[Debit\]]),Table842[[#This Row],[Credit.]]-Table842[[#This Row],[Debit\]],""),"")</f>
        <v/>
      </c>
      <c r="AF155" s="34"/>
      <c r="AG155" s="34" t="str">
        <f>IFERROR(IF(AND(Table842[[#This Row],[Classification]]="Assets",Table842[[#This Row],[Debit\]]-Table842[[#This Row],[Credit.]]),Table842[[#This Row],[Debit\]]-Table842[[#This Row],[Credit.]],""),"")</f>
        <v/>
      </c>
      <c r="AH155" s="34" t="str">
        <f>IFERROR(IF(AND(OR(Table842[[#This Row],[Classification]]="Liabilities",Table842[[#This Row],[Classification]]="Owner´s Equity"),Table842[[#This Row],[Credit.]]&gt;Table842[[#This Row],[Debit\]]),Table842[[#This Row],[Credit.]]-Table842[[#This Row],[Debit\]],""),"")</f>
        <v/>
      </c>
    </row>
    <row r="156" spans="2:34" hidden="1" x14ac:dyDescent="0.25">
      <c r="B156" s="34"/>
      <c r="C156" s="45"/>
      <c r="D156" s="34"/>
      <c r="E156" s="34"/>
      <c r="G156" s="39"/>
      <c r="H156" s="40"/>
      <c r="I156" s="41"/>
      <c r="J156" s="41"/>
      <c r="L156" s="34">
        <v>149</v>
      </c>
      <c r="M156" s="35"/>
      <c r="N156" s="35"/>
      <c r="O156" s="34">
        <f>IFERROR(SUMIF(Table439[,],Table641[[#This Row],[Accounts Name]],Table439[,3]),"")</f>
        <v>0</v>
      </c>
      <c r="P156" s="34">
        <f>IFERROR(SUMIF(Table439[,],Table641[[#This Row],[Accounts Name]],Table439[,2]),"")</f>
        <v>0</v>
      </c>
      <c r="S156" s="36">
        <f t="shared" si="2"/>
        <v>149</v>
      </c>
      <c r="T156" s="34"/>
      <c r="U156" s="37"/>
      <c r="V156" s="34">
        <f>IFERROR(SUMIF(Table641[Sub-Accounts],Table842[[#This Row],[Update your chart of accounts here]],Table641[Debit]),"")</f>
        <v>0</v>
      </c>
      <c r="W156" s="34">
        <f>IFERROR(SUMIF(Table641[Sub-Accounts],Table842[[#This Row],[Update your chart of accounts here]],Table641[Credit]),"")</f>
        <v>0</v>
      </c>
      <c r="X156" s="34"/>
      <c r="Y156" s="34"/>
      <c r="Z156" s="34"/>
      <c r="AA156" s="34"/>
      <c r="AB156" s="34">
        <f>MAX(Table842[[#This Row],[Debit]]+Table842[[#This Row],[Debit -]]-Table842[[#This Row],[Credit]]-Table842[[#This Row],[Credit +]],0)</f>
        <v>0</v>
      </c>
      <c r="AC156" s="34">
        <f>MAX(Table842[[#This Row],[Credit]]-Table842[[#This Row],[Debit]]+Table842[[#This Row],[Credit +]]-Table842[[#This Row],[Debit -]],0)</f>
        <v>0</v>
      </c>
      <c r="AD156" s="34" t="str">
        <f>IFERROR(IF(AND(OR(Table842[[#This Row],[Classification]]="Expense",Table842[[#This Row],[Classification]]="Cost of Goods Sold"),Table842[[#This Row],[Debit\]]&gt;Table842[[#This Row],[Credit.]]),Table842[[#This Row],[Debit\]]-Table842[[#This Row],[Credit.]],""),"")</f>
        <v/>
      </c>
      <c r="AE156" s="34" t="str">
        <f>IFERROR(IF(AND(OR(Table842[[#This Row],[Classification]]="Income",Table842[[#This Row],[Classification]]="Cost of Goods Sold"),Table842[[#This Row],[Credit.]]&gt;Table842[[#This Row],[Debit\]]),Table842[[#This Row],[Credit.]]-Table842[[#This Row],[Debit\]],""),"")</f>
        <v/>
      </c>
      <c r="AF156" s="34"/>
      <c r="AG156" s="34" t="str">
        <f>IFERROR(IF(AND(Table842[[#This Row],[Classification]]="Assets",Table842[[#This Row],[Debit\]]-Table842[[#This Row],[Credit.]]),Table842[[#This Row],[Debit\]]-Table842[[#This Row],[Credit.]],""),"")</f>
        <v/>
      </c>
      <c r="AH156" s="34" t="str">
        <f>IFERROR(IF(AND(OR(Table842[[#This Row],[Classification]]="Liabilities",Table842[[#This Row],[Classification]]="Owner´s Equity"),Table842[[#This Row],[Credit.]]&gt;Table842[[#This Row],[Debit\]]),Table842[[#This Row],[Credit.]]-Table842[[#This Row],[Debit\]],""),"")</f>
        <v/>
      </c>
    </row>
    <row r="157" spans="2:34" hidden="1" x14ac:dyDescent="0.25">
      <c r="B157" s="34"/>
      <c r="C157" s="45"/>
      <c r="D157" s="34"/>
      <c r="E157" s="34"/>
      <c r="G157" s="39"/>
      <c r="H157" s="40"/>
      <c r="I157" s="41"/>
      <c r="J157" s="41"/>
      <c r="L157" s="34">
        <v>150</v>
      </c>
      <c r="M157" s="35"/>
      <c r="N157" s="35"/>
      <c r="O157" s="34">
        <f>IFERROR(SUMIF(Table439[,],Table641[[#This Row],[Accounts Name]],Table439[,3]),"")</f>
        <v>0</v>
      </c>
      <c r="P157" s="34">
        <f>IFERROR(SUMIF(Table439[,],Table641[[#This Row],[Accounts Name]],Table439[,2]),"")</f>
        <v>0</v>
      </c>
      <c r="S157" s="36">
        <f t="shared" si="2"/>
        <v>150</v>
      </c>
      <c r="T157" s="34"/>
      <c r="U157" s="37"/>
      <c r="V157" s="34">
        <f>IFERROR(SUMIF(Table641[Sub-Accounts],Table842[[#This Row],[Update your chart of accounts here]],Table641[Debit]),"")</f>
        <v>0</v>
      </c>
      <c r="W157" s="34">
        <f>IFERROR(SUMIF(Table641[Sub-Accounts],Table842[[#This Row],[Update your chart of accounts here]],Table641[Credit]),"")</f>
        <v>0</v>
      </c>
      <c r="X157" s="34"/>
      <c r="Y157" s="34"/>
      <c r="Z157" s="34"/>
      <c r="AA157" s="34"/>
      <c r="AB157" s="34">
        <f>MAX(Table842[[#This Row],[Debit]]+Table842[[#This Row],[Debit -]]-Table842[[#This Row],[Credit]]-Table842[[#This Row],[Credit +]],0)</f>
        <v>0</v>
      </c>
      <c r="AC157" s="34">
        <f>MAX(Table842[[#This Row],[Credit]]-Table842[[#This Row],[Debit]]+Table842[[#This Row],[Credit +]]-Table842[[#This Row],[Debit -]],0)</f>
        <v>0</v>
      </c>
      <c r="AD157" s="34" t="str">
        <f>IFERROR(IF(AND(OR(Table842[[#This Row],[Classification]]="Expense",Table842[[#This Row],[Classification]]="Cost of Goods Sold"),Table842[[#This Row],[Debit\]]&gt;Table842[[#This Row],[Credit.]]),Table842[[#This Row],[Debit\]]-Table842[[#This Row],[Credit.]],""),"")</f>
        <v/>
      </c>
      <c r="AE157" s="34" t="str">
        <f>IFERROR(IF(AND(OR(Table842[[#This Row],[Classification]]="Income",Table842[[#This Row],[Classification]]="Cost of Goods Sold"),Table842[[#This Row],[Credit.]]&gt;Table842[[#This Row],[Debit\]]),Table842[[#This Row],[Credit.]]-Table842[[#This Row],[Debit\]],""),"")</f>
        <v/>
      </c>
      <c r="AF157" s="34"/>
      <c r="AG157" s="34" t="str">
        <f>IFERROR(IF(AND(Table842[[#This Row],[Classification]]="Assets",Table842[[#This Row],[Debit\]]-Table842[[#This Row],[Credit.]]),Table842[[#This Row],[Debit\]]-Table842[[#This Row],[Credit.]],""),"")</f>
        <v/>
      </c>
      <c r="AH157" s="34" t="str">
        <f>IFERROR(IF(AND(OR(Table842[[#This Row],[Classification]]="Liabilities",Table842[[#This Row],[Classification]]="Owner´s Equity"),Table842[[#This Row],[Credit.]]&gt;Table842[[#This Row],[Debit\]]),Table842[[#This Row],[Credit.]]-Table842[[#This Row],[Debit\]],""),"")</f>
        <v/>
      </c>
    </row>
    <row r="158" spans="2:34" hidden="1" x14ac:dyDescent="0.25">
      <c r="B158" s="34"/>
      <c r="C158" s="45"/>
      <c r="D158" s="34"/>
      <c r="E158" s="34"/>
      <c r="G158" s="39"/>
      <c r="H158" s="43"/>
      <c r="I158" s="41"/>
      <c r="J158" s="41"/>
      <c r="L158" s="34">
        <v>151</v>
      </c>
      <c r="M158" s="35"/>
      <c r="N158" s="35"/>
      <c r="O158" s="34">
        <f>IFERROR(SUMIF(Table439[,],Table641[[#This Row],[Accounts Name]],Table439[,3]),"")</f>
        <v>0</v>
      </c>
      <c r="P158" s="34">
        <f>IFERROR(SUMIF(Table439[,],Table641[[#This Row],[Accounts Name]],Table439[,2]),"")</f>
        <v>0</v>
      </c>
      <c r="S158" s="36">
        <f t="shared" si="2"/>
        <v>151</v>
      </c>
      <c r="T158" s="34"/>
      <c r="U158" s="37"/>
      <c r="V158" s="34">
        <f>IFERROR(SUMIF(Table641[Sub-Accounts],Table842[[#This Row],[Update your chart of accounts here]],Table641[Debit]),"")</f>
        <v>0</v>
      </c>
      <c r="W158" s="34">
        <f>IFERROR(SUMIF(Table641[Sub-Accounts],Table842[[#This Row],[Update your chart of accounts here]],Table641[Credit]),"")</f>
        <v>0</v>
      </c>
      <c r="X158" s="34"/>
      <c r="Y158" s="34"/>
      <c r="Z158" s="34"/>
      <c r="AA158" s="34"/>
      <c r="AB158" s="34">
        <f>MAX(Table842[[#This Row],[Debit]]+Table842[[#This Row],[Debit -]]-Table842[[#This Row],[Credit]]-Table842[[#This Row],[Credit +]],0)</f>
        <v>0</v>
      </c>
      <c r="AC158" s="34">
        <f>MAX(Table842[[#This Row],[Credit]]-Table842[[#This Row],[Debit]]+Table842[[#This Row],[Credit +]]-Table842[[#This Row],[Debit -]],0)</f>
        <v>0</v>
      </c>
      <c r="AD158" s="34" t="str">
        <f>IFERROR(IF(AND(OR(Table842[[#This Row],[Classification]]="Expense",Table842[[#This Row],[Classification]]="Cost of Goods Sold"),Table842[[#This Row],[Debit\]]&gt;Table842[[#This Row],[Credit.]]),Table842[[#This Row],[Debit\]]-Table842[[#This Row],[Credit.]],""),"")</f>
        <v/>
      </c>
      <c r="AE158" s="34" t="str">
        <f>IFERROR(IF(AND(OR(Table842[[#This Row],[Classification]]="Income",Table842[[#This Row],[Classification]]="Cost of Goods Sold"),Table842[[#This Row],[Credit.]]&gt;Table842[[#This Row],[Debit\]]),Table842[[#This Row],[Credit.]]-Table842[[#This Row],[Debit\]],""),"")</f>
        <v/>
      </c>
      <c r="AF158" s="34"/>
      <c r="AG158" s="34" t="str">
        <f>IFERROR(IF(AND(Table842[[#This Row],[Classification]]="Assets",Table842[[#This Row],[Debit\]]-Table842[[#This Row],[Credit.]]),Table842[[#This Row],[Debit\]]-Table842[[#This Row],[Credit.]],""),"")</f>
        <v/>
      </c>
      <c r="AH158" s="34" t="str">
        <f>IFERROR(IF(AND(OR(Table842[[#This Row],[Classification]]="Liabilities",Table842[[#This Row],[Classification]]="Owner´s Equity"),Table842[[#This Row],[Credit.]]&gt;Table842[[#This Row],[Debit\]]),Table842[[#This Row],[Credit.]]-Table842[[#This Row],[Debit\]],""),"")</f>
        <v/>
      </c>
    </row>
    <row r="159" spans="2:34" hidden="1" x14ac:dyDescent="0.25">
      <c r="B159" s="34"/>
      <c r="C159" s="45"/>
      <c r="D159" s="34"/>
      <c r="E159" s="34"/>
      <c r="G159" s="39"/>
      <c r="H159" s="40"/>
      <c r="I159" s="41"/>
      <c r="J159" s="41"/>
      <c r="L159" s="34">
        <v>152</v>
      </c>
      <c r="M159" s="35"/>
      <c r="N159" s="35"/>
      <c r="O159" s="34">
        <f>IFERROR(SUMIF(Table439[,],Table641[[#This Row],[Accounts Name]],Table439[,3]),"")</f>
        <v>0</v>
      </c>
      <c r="P159" s="34">
        <f>IFERROR(SUMIF(Table439[,],Table641[[#This Row],[Accounts Name]],Table439[,2]),"")</f>
        <v>0</v>
      </c>
      <c r="S159" s="36">
        <f t="shared" si="2"/>
        <v>152</v>
      </c>
      <c r="T159" s="34"/>
      <c r="U159" s="37"/>
      <c r="V159" s="34">
        <f>IFERROR(SUMIF(Table641[Sub-Accounts],Table842[[#This Row],[Update your chart of accounts here]],Table641[Debit]),"")</f>
        <v>0</v>
      </c>
      <c r="W159" s="34">
        <f>IFERROR(SUMIF(Table641[Sub-Accounts],Table842[[#This Row],[Update your chart of accounts here]],Table641[Credit]),"")</f>
        <v>0</v>
      </c>
      <c r="X159" s="34"/>
      <c r="Y159" s="34"/>
      <c r="Z159" s="34"/>
      <c r="AA159" s="34"/>
      <c r="AB159" s="34">
        <f>MAX(Table842[[#This Row],[Debit]]+Table842[[#This Row],[Debit -]]-Table842[[#This Row],[Credit]]-Table842[[#This Row],[Credit +]],0)</f>
        <v>0</v>
      </c>
      <c r="AC159" s="34">
        <f>MAX(Table842[[#This Row],[Credit]]-Table842[[#This Row],[Debit]]+Table842[[#This Row],[Credit +]]-Table842[[#This Row],[Debit -]],0)</f>
        <v>0</v>
      </c>
      <c r="AD159" s="34" t="str">
        <f>IFERROR(IF(AND(OR(Table842[[#This Row],[Classification]]="Expense",Table842[[#This Row],[Classification]]="Cost of Goods Sold"),Table842[[#This Row],[Debit\]]&gt;Table842[[#This Row],[Credit.]]),Table842[[#This Row],[Debit\]]-Table842[[#This Row],[Credit.]],""),"")</f>
        <v/>
      </c>
      <c r="AE159" s="34" t="str">
        <f>IFERROR(IF(AND(OR(Table842[[#This Row],[Classification]]="Income",Table842[[#This Row],[Classification]]="Cost of Goods Sold"),Table842[[#This Row],[Credit.]]&gt;Table842[[#This Row],[Debit\]]),Table842[[#This Row],[Credit.]]-Table842[[#This Row],[Debit\]],""),"")</f>
        <v/>
      </c>
      <c r="AF159" s="34"/>
      <c r="AG159" s="34" t="str">
        <f>IFERROR(IF(AND(Table842[[#This Row],[Classification]]="Assets",Table842[[#This Row],[Debit\]]-Table842[[#This Row],[Credit.]]),Table842[[#This Row],[Debit\]]-Table842[[#This Row],[Credit.]],""),"")</f>
        <v/>
      </c>
      <c r="AH159" s="34" t="str">
        <f>IFERROR(IF(AND(OR(Table842[[#This Row],[Classification]]="Liabilities",Table842[[#This Row],[Classification]]="Owner´s Equity"),Table842[[#This Row],[Credit.]]&gt;Table842[[#This Row],[Debit\]]),Table842[[#This Row],[Credit.]]-Table842[[#This Row],[Debit\]],""),"")</f>
        <v/>
      </c>
    </row>
    <row r="160" spans="2:34" hidden="1" x14ac:dyDescent="0.25">
      <c r="B160" s="34"/>
      <c r="C160" s="45"/>
      <c r="D160" s="34"/>
      <c r="E160" s="34"/>
      <c r="G160" s="39"/>
      <c r="H160" s="40"/>
      <c r="I160" s="41"/>
      <c r="J160" s="41"/>
      <c r="L160" s="34">
        <v>153</v>
      </c>
      <c r="M160" s="35"/>
      <c r="N160" s="35"/>
      <c r="O160" s="34">
        <f>IFERROR(SUMIF(Table439[,],Table641[[#This Row],[Accounts Name]],Table439[,3]),"")</f>
        <v>0</v>
      </c>
      <c r="P160" s="34">
        <f>IFERROR(SUMIF(Table439[,],Table641[[#This Row],[Accounts Name]],Table439[,2]),"")</f>
        <v>0</v>
      </c>
      <c r="S160" s="36">
        <f t="shared" si="2"/>
        <v>153</v>
      </c>
      <c r="T160" s="34"/>
      <c r="U160" s="37"/>
      <c r="V160" s="34">
        <f>IFERROR(SUMIF(Table641[Sub-Accounts],Table842[[#This Row],[Update your chart of accounts here]],Table641[Debit]),"")</f>
        <v>0</v>
      </c>
      <c r="W160" s="34">
        <f>IFERROR(SUMIF(Table641[Sub-Accounts],Table842[[#This Row],[Update your chart of accounts here]],Table641[Credit]),"")</f>
        <v>0</v>
      </c>
      <c r="X160" s="34"/>
      <c r="Y160" s="34"/>
      <c r="Z160" s="34"/>
      <c r="AA160" s="34"/>
      <c r="AB160" s="34">
        <f>MAX(Table842[[#This Row],[Debit]]+Table842[[#This Row],[Debit -]]-Table842[[#This Row],[Credit]]-Table842[[#This Row],[Credit +]],0)</f>
        <v>0</v>
      </c>
      <c r="AC160" s="34">
        <f>MAX(Table842[[#This Row],[Credit]]-Table842[[#This Row],[Debit]]+Table842[[#This Row],[Credit +]]-Table842[[#This Row],[Debit -]],0)</f>
        <v>0</v>
      </c>
      <c r="AD160" s="34" t="str">
        <f>IFERROR(IF(AND(OR(Table842[[#This Row],[Classification]]="Expense",Table842[[#This Row],[Classification]]="Cost of Goods Sold"),Table842[[#This Row],[Debit\]]&gt;Table842[[#This Row],[Credit.]]),Table842[[#This Row],[Debit\]]-Table842[[#This Row],[Credit.]],""),"")</f>
        <v/>
      </c>
      <c r="AE160" s="34" t="str">
        <f>IFERROR(IF(AND(OR(Table842[[#This Row],[Classification]]="Income",Table842[[#This Row],[Classification]]="Cost of Goods Sold"),Table842[[#This Row],[Credit.]]&gt;Table842[[#This Row],[Debit\]]),Table842[[#This Row],[Credit.]]-Table842[[#This Row],[Debit\]],""),"")</f>
        <v/>
      </c>
      <c r="AF160" s="34"/>
      <c r="AG160" s="34" t="str">
        <f>IFERROR(IF(AND(Table842[[#This Row],[Classification]]="Assets",Table842[[#This Row],[Debit\]]-Table842[[#This Row],[Credit.]]),Table842[[#This Row],[Debit\]]-Table842[[#This Row],[Credit.]],""),"")</f>
        <v/>
      </c>
      <c r="AH160" s="34" t="str">
        <f>IFERROR(IF(AND(OR(Table842[[#This Row],[Classification]]="Liabilities",Table842[[#This Row],[Classification]]="Owner´s Equity"),Table842[[#This Row],[Credit.]]&gt;Table842[[#This Row],[Debit\]]),Table842[[#This Row],[Credit.]]-Table842[[#This Row],[Debit\]],""),"")</f>
        <v/>
      </c>
    </row>
    <row r="161" spans="2:34" hidden="1" x14ac:dyDescent="0.25">
      <c r="B161" s="34"/>
      <c r="C161" s="45"/>
      <c r="D161" s="34"/>
      <c r="E161" s="34"/>
      <c r="G161" s="39"/>
      <c r="H161" s="43"/>
      <c r="I161" s="41"/>
      <c r="J161" s="41"/>
      <c r="L161" s="34">
        <v>154</v>
      </c>
      <c r="M161" s="35"/>
      <c r="N161" s="35"/>
      <c r="O161" s="34">
        <f>IFERROR(SUMIF(Table439[,],Table641[[#This Row],[Accounts Name]],Table439[,3]),"")</f>
        <v>0</v>
      </c>
      <c r="P161" s="34">
        <f>IFERROR(SUMIF(Table439[,],Table641[[#This Row],[Accounts Name]],Table439[,2]),"")</f>
        <v>0</v>
      </c>
      <c r="S161" s="36">
        <f t="shared" si="2"/>
        <v>154</v>
      </c>
      <c r="T161" s="34"/>
      <c r="U161" s="37"/>
      <c r="V161" s="34">
        <f>IFERROR(SUMIF(Table641[Sub-Accounts],Table842[[#This Row],[Update your chart of accounts here]],Table641[Debit]),"")</f>
        <v>0</v>
      </c>
      <c r="W161" s="34">
        <f>IFERROR(SUMIF(Table641[Sub-Accounts],Table842[[#This Row],[Update your chart of accounts here]],Table641[Credit]),"")</f>
        <v>0</v>
      </c>
      <c r="X161" s="34"/>
      <c r="Y161" s="34"/>
      <c r="Z161" s="34"/>
      <c r="AA161" s="34"/>
      <c r="AB161" s="34">
        <f>MAX(Table842[[#This Row],[Debit]]+Table842[[#This Row],[Debit -]]-Table842[[#This Row],[Credit]]-Table842[[#This Row],[Credit +]],0)</f>
        <v>0</v>
      </c>
      <c r="AC161" s="34">
        <f>MAX(Table842[[#This Row],[Credit]]-Table842[[#This Row],[Debit]]+Table842[[#This Row],[Credit +]]-Table842[[#This Row],[Debit -]],0)</f>
        <v>0</v>
      </c>
      <c r="AD161" s="34" t="str">
        <f>IFERROR(IF(AND(OR(Table842[[#This Row],[Classification]]="Expense",Table842[[#This Row],[Classification]]="Cost of Goods Sold"),Table842[[#This Row],[Debit\]]&gt;Table842[[#This Row],[Credit.]]),Table842[[#This Row],[Debit\]]-Table842[[#This Row],[Credit.]],""),"")</f>
        <v/>
      </c>
      <c r="AE161" s="34" t="str">
        <f>IFERROR(IF(AND(OR(Table842[[#This Row],[Classification]]="Income",Table842[[#This Row],[Classification]]="Cost of Goods Sold"),Table842[[#This Row],[Credit.]]&gt;Table842[[#This Row],[Debit\]]),Table842[[#This Row],[Credit.]]-Table842[[#This Row],[Debit\]],""),"")</f>
        <v/>
      </c>
      <c r="AF161" s="34"/>
      <c r="AG161" s="34" t="str">
        <f>IFERROR(IF(AND(Table842[[#This Row],[Classification]]="Assets",Table842[[#This Row],[Debit\]]-Table842[[#This Row],[Credit.]]),Table842[[#This Row],[Debit\]]-Table842[[#This Row],[Credit.]],""),"")</f>
        <v/>
      </c>
      <c r="AH161" s="34" t="str">
        <f>IFERROR(IF(AND(OR(Table842[[#This Row],[Classification]]="Liabilities",Table842[[#This Row],[Classification]]="Owner´s Equity"),Table842[[#This Row],[Credit.]]&gt;Table842[[#This Row],[Debit\]]),Table842[[#This Row],[Credit.]]-Table842[[#This Row],[Debit\]],""),"")</f>
        <v/>
      </c>
    </row>
    <row r="162" spans="2:34" hidden="1" x14ac:dyDescent="0.25">
      <c r="B162" s="34"/>
      <c r="C162" s="45"/>
      <c r="D162" s="34"/>
      <c r="E162" s="34"/>
      <c r="G162" s="39"/>
      <c r="H162" s="40"/>
      <c r="I162" s="41"/>
      <c r="J162" s="41"/>
      <c r="L162" s="34">
        <v>155</v>
      </c>
      <c r="M162" s="35"/>
      <c r="N162" s="35"/>
      <c r="O162" s="34">
        <f>IFERROR(SUMIF(Table439[,],Table641[[#This Row],[Accounts Name]],Table439[,3]),"")</f>
        <v>0</v>
      </c>
      <c r="P162" s="34">
        <f>IFERROR(SUMIF(Table439[,],Table641[[#This Row],[Accounts Name]],Table439[,2]),"")</f>
        <v>0</v>
      </c>
      <c r="S162" s="36">
        <f t="shared" si="2"/>
        <v>155</v>
      </c>
      <c r="T162" s="34"/>
      <c r="U162" s="37"/>
      <c r="V162" s="34">
        <f>IFERROR(SUMIF(Table641[Sub-Accounts],Table842[[#This Row],[Update your chart of accounts here]],Table641[Debit]),"")</f>
        <v>0</v>
      </c>
      <c r="W162" s="34">
        <f>IFERROR(SUMIF(Table641[Sub-Accounts],Table842[[#This Row],[Update your chart of accounts here]],Table641[Credit]),"")</f>
        <v>0</v>
      </c>
      <c r="X162" s="34"/>
      <c r="Y162" s="34"/>
      <c r="Z162" s="34"/>
      <c r="AA162" s="34"/>
      <c r="AB162" s="34">
        <f>MAX(Table842[[#This Row],[Debit]]+Table842[[#This Row],[Debit -]]-Table842[[#This Row],[Credit]]-Table842[[#This Row],[Credit +]],0)</f>
        <v>0</v>
      </c>
      <c r="AC162" s="34">
        <f>MAX(Table842[[#This Row],[Credit]]-Table842[[#This Row],[Debit]]+Table842[[#This Row],[Credit +]]-Table842[[#This Row],[Debit -]],0)</f>
        <v>0</v>
      </c>
      <c r="AD162" s="34" t="str">
        <f>IFERROR(IF(AND(OR(Table842[[#This Row],[Classification]]="Expense",Table842[[#This Row],[Classification]]="Cost of Goods Sold"),Table842[[#This Row],[Debit\]]&gt;Table842[[#This Row],[Credit.]]),Table842[[#This Row],[Debit\]]-Table842[[#This Row],[Credit.]],""),"")</f>
        <v/>
      </c>
      <c r="AE162" s="34" t="str">
        <f>IFERROR(IF(AND(OR(Table842[[#This Row],[Classification]]="Income",Table842[[#This Row],[Classification]]="Cost of Goods Sold"),Table842[[#This Row],[Credit.]]&gt;Table842[[#This Row],[Debit\]]),Table842[[#This Row],[Credit.]]-Table842[[#This Row],[Debit\]],""),"")</f>
        <v/>
      </c>
      <c r="AF162" s="34"/>
      <c r="AG162" s="34" t="str">
        <f>IFERROR(IF(AND(Table842[[#This Row],[Classification]]="Assets",Table842[[#This Row],[Debit\]]-Table842[[#This Row],[Credit.]]),Table842[[#This Row],[Debit\]]-Table842[[#This Row],[Credit.]],""),"")</f>
        <v/>
      </c>
      <c r="AH162" s="34" t="str">
        <f>IFERROR(IF(AND(OR(Table842[[#This Row],[Classification]]="Liabilities",Table842[[#This Row],[Classification]]="Owner´s Equity"),Table842[[#This Row],[Credit.]]&gt;Table842[[#This Row],[Debit\]]),Table842[[#This Row],[Credit.]]-Table842[[#This Row],[Debit\]],""),"")</f>
        <v/>
      </c>
    </row>
    <row r="163" spans="2:34" hidden="1" x14ac:dyDescent="0.25">
      <c r="B163" s="34"/>
      <c r="C163" s="45"/>
      <c r="D163" s="34"/>
      <c r="E163" s="34"/>
      <c r="G163" s="39"/>
      <c r="H163" s="40"/>
      <c r="I163" s="41"/>
      <c r="J163" s="41"/>
      <c r="L163" s="34">
        <v>156</v>
      </c>
      <c r="M163" s="35"/>
      <c r="N163" s="35"/>
      <c r="O163" s="34">
        <f>IFERROR(SUMIF(Table439[,],Table641[[#This Row],[Accounts Name]],Table439[,3]),"")</f>
        <v>0</v>
      </c>
      <c r="P163" s="34">
        <f>IFERROR(SUMIF(Table439[,],Table641[[#This Row],[Accounts Name]],Table439[,2]),"")</f>
        <v>0</v>
      </c>
      <c r="S163" s="36">
        <f t="shared" si="2"/>
        <v>156</v>
      </c>
      <c r="T163" s="34"/>
      <c r="U163" s="37"/>
      <c r="V163" s="34">
        <f>IFERROR(SUMIF(Table641[Sub-Accounts],Table842[[#This Row],[Update your chart of accounts here]],Table641[Debit]),"")</f>
        <v>0</v>
      </c>
      <c r="W163" s="34">
        <f>IFERROR(SUMIF(Table641[Sub-Accounts],Table842[[#This Row],[Update your chart of accounts here]],Table641[Credit]),"")</f>
        <v>0</v>
      </c>
      <c r="X163" s="34"/>
      <c r="Y163" s="34"/>
      <c r="Z163" s="34"/>
      <c r="AA163" s="34"/>
      <c r="AB163" s="34">
        <f>MAX(Table842[[#This Row],[Debit]]+Table842[[#This Row],[Debit -]]-Table842[[#This Row],[Credit]]-Table842[[#This Row],[Credit +]],0)</f>
        <v>0</v>
      </c>
      <c r="AC163" s="34">
        <f>MAX(Table842[[#This Row],[Credit]]-Table842[[#This Row],[Debit]]+Table842[[#This Row],[Credit +]]-Table842[[#This Row],[Debit -]],0)</f>
        <v>0</v>
      </c>
      <c r="AD163" s="34" t="str">
        <f>IFERROR(IF(AND(OR(Table842[[#This Row],[Classification]]="Expense",Table842[[#This Row],[Classification]]="Cost of Goods Sold"),Table842[[#This Row],[Debit\]]&gt;Table842[[#This Row],[Credit.]]),Table842[[#This Row],[Debit\]]-Table842[[#This Row],[Credit.]],""),"")</f>
        <v/>
      </c>
      <c r="AE163" s="34" t="str">
        <f>IFERROR(IF(AND(OR(Table842[[#This Row],[Classification]]="Income",Table842[[#This Row],[Classification]]="Cost of Goods Sold"),Table842[[#This Row],[Credit.]]&gt;Table842[[#This Row],[Debit\]]),Table842[[#This Row],[Credit.]]-Table842[[#This Row],[Debit\]],""),"")</f>
        <v/>
      </c>
      <c r="AF163" s="34"/>
      <c r="AG163" s="34" t="str">
        <f>IFERROR(IF(AND(Table842[[#This Row],[Classification]]="Assets",Table842[[#This Row],[Debit\]]-Table842[[#This Row],[Credit.]]),Table842[[#This Row],[Debit\]]-Table842[[#This Row],[Credit.]],""),"")</f>
        <v/>
      </c>
      <c r="AH163" s="34" t="str">
        <f>IFERROR(IF(AND(OR(Table842[[#This Row],[Classification]]="Liabilities",Table842[[#This Row],[Classification]]="Owner´s Equity"),Table842[[#This Row],[Credit.]]&gt;Table842[[#This Row],[Debit\]]),Table842[[#This Row],[Credit.]]-Table842[[#This Row],[Debit\]],""),"")</f>
        <v/>
      </c>
    </row>
    <row r="164" spans="2:34" hidden="1" x14ac:dyDescent="0.25">
      <c r="B164" s="34"/>
      <c r="C164" s="45"/>
      <c r="D164" s="34"/>
      <c r="E164" s="34"/>
      <c r="G164" s="39"/>
      <c r="H164" s="43"/>
      <c r="I164" s="41"/>
      <c r="J164" s="41"/>
      <c r="L164" s="34">
        <v>157</v>
      </c>
      <c r="M164" s="35"/>
      <c r="N164" s="35"/>
      <c r="O164" s="34">
        <f>IFERROR(SUMIF(Table439[,],Table641[[#This Row],[Accounts Name]],Table439[,3]),"")</f>
        <v>0</v>
      </c>
      <c r="P164" s="34">
        <f>IFERROR(SUMIF(Table439[,],Table641[[#This Row],[Accounts Name]],Table439[,2]),"")</f>
        <v>0</v>
      </c>
      <c r="S164" s="36">
        <f t="shared" si="2"/>
        <v>157</v>
      </c>
      <c r="T164" s="34"/>
      <c r="U164" s="37"/>
      <c r="V164" s="34">
        <f>IFERROR(SUMIF(Table641[Sub-Accounts],Table842[[#This Row],[Update your chart of accounts here]],Table641[Debit]),"")</f>
        <v>0</v>
      </c>
      <c r="W164" s="34">
        <f>IFERROR(SUMIF(Table641[Sub-Accounts],Table842[[#This Row],[Update your chart of accounts here]],Table641[Credit]),"")</f>
        <v>0</v>
      </c>
      <c r="X164" s="34"/>
      <c r="Y164" s="34"/>
      <c r="Z164" s="34"/>
      <c r="AA164" s="34"/>
      <c r="AB164" s="34">
        <f>MAX(Table842[[#This Row],[Debit]]+Table842[[#This Row],[Debit -]]-Table842[[#This Row],[Credit]]-Table842[[#This Row],[Credit +]],0)</f>
        <v>0</v>
      </c>
      <c r="AC164" s="34">
        <f>MAX(Table842[[#This Row],[Credit]]-Table842[[#This Row],[Debit]]+Table842[[#This Row],[Credit +]]-Table842[[#This Row],[Debit -]],0)</f>
        <v>0</v>
      </c>
      <c r="AD164" s="34" t="str">
        <f>IFERROR(IF(AND(OR(Table842[[#This Row],[Classification]]="Expense",Table842[[#This Row],[Classification]]="Cost of Goods Sold"),Table842[[#This Row],[Debit\]]&gt;Table842[[#This Row],[Credit.]]),Table842[[#This Row],[Debit\]]-Table842[[#This Row],[Credit.]],""),"")</f>
        <v/>
      </c>
      <c r="AE164" s="34" t="str">
        <f>IFERROR(IF(AND(OR(Table842[[#This Row],[Classification]]="Income",Table842[[#This Row],[Classification]]="Cost of Goods Sold"),Table842[[#This Row],[Credit.]]&gt;Table842[[#This Row],[Debit\]]),Table842[[#This Row],[Credit.]]-Table842[[#This Row],[Debit\]],""),"")</f>
        <v/>
      </c>
      <c r="AF164" s="34"/>
      <c r="AG164" s="34" t="str">
        <f>IFERROR(IF(AND(Table842[[#This Row],[Classification]]="Assets",Table842[[#This Row],[Debit\]]-Table842[[#This Row],[Credit.]]),Table842[[#This Row],[Debit\]]-Table842[[#This Row],[Credit.]],""),"")</f>
        <v/>
      </c>
      <c r="AH164" s="34" t="str">
        <f>IFERROR(IF(AND(OR(Table842[[#This Row],[Classification]]="Liabilities",Table842[[#This Row],[Classification]]="Owner´s Equity"),Table842[[#This Row],[Credit.]]&gt;Table842[[#This Row],[Debit\]]),Table842[[#This Row],[Credit.]]-Table842[[#This Row],[Debit\]],""),"")</f>
        <v/>
      </c>
    </row>
    <row r="165" spans="2:34" hidden="1" x14ac:dyDescent="0.25">
      <c r="B165" s="34"/>
      <c r="C165" s="45"/>
      <c r="D165" s="34"/>
      <c r="E165" s="34"/>
      <c r="G165" s="39"/>
      <c r="H165" s="40"/>
      <c r="I165" s="41"/>
      <c r="J165" s="41"/>
      <c r="L165" s="34">
        <v>158</v>
      </c>
      <c r="M165" s="35"/>
      <c r="N165" s="35"/>
      <c r="O165" s="34">
        <f>IFERROR(SUMIF(Table439[,],Table641[[#This Row],[Accounts Name]],Table439[,3]),"")</f>
        <v>0</v>
      </c>
      <c r="P165" s="34">
        <f>IFERROR(SUMIF(Table439[,],Table641[[#This Row],[Accounts Name]],Table439[,2]),"")</f>
        <v>0</v>
      </c>
      <c r="S165" s="36">
        <f t="shared" si="2"/>
        <v>158</v>
      </c>
      <c r="T165" s="34"/>
      <c r="U165" s="37"/>
      <c r="V165" s="34">
        <f>IFERROR(SUMIF(Table641[Sub-Accounts],Table842[[#This Row],[Update your chart of accounts here]],Table641[Debit]),"")</f>
        <v>0</v>
      </c>
      <c r="W165" s="34">
        <f>IFERROR(SUMIF(Table641[Sub-Accounts],Table842[[#This Row],[Update your chart of accounts here]],Table641[Credit]),"")</f>
        <v>0</v>
      </c>
      <c r="X165" s="34"/>
      <c r="Y165" s="34"/>
      <c r="Z165" s="34"/>
      <c r="AA165" s="34"/>
      <c r="AB165" s="34">
        <f>MAX(Table842[[#This Row],[Debit]]+Table842[[#This Row],[Debit -]]-Table842[[#This Row],[Credit]]-Table842[[#This Row],[Credit +]],0)</f>
        <v>0</v>
      </c>
      <c r="AC165" s="34">
        <f>MAX(Table842[[#This Row],[Credit]]-Table842[[#This Row],[Debit]]+Table842[[#This Row],[Credit +]]-Table842[[#This Row],[Debit -]],0)</f>
        <v>0</v>
      </c>
      <c r="AD165" s="34" t="str">
        <f>IFERROR(IF(AND(OR(Table842[[#This Row],[Classification]]="Expense",Table842[[#This Row],[Classification]]="Cost of Goods Sold"),Table842[[#This Row],[Debit\]]&gt;Table842[[#This Row],[Credit.]]),Table842[[#This Row],[Debit\]]-Table842[[#This Row],[Credit.]],""),"")</f>
        <v/>
      </c>
      <c r="AE165" s="34" t="str">
        <f>IFERROR(IF(AND(OR(Table842[[#This Row],[Classification]]="Income",Table842[[#This Row],[Classification]]="Cost of Goods Sold"),Table842[[#This Row],[Credit.]]&gt;Table842[[#This Row],[Debit\]]),Table842[[#This Row],[Credit.]]-Table842[[#This Row],[Debit\]],""),"")</f>
        <v/>
      </c>
      <c r="AF165" s="34"/>
      <c r="AG165" s="34" t="str">
        <f>IFERROR(IF(AND(Table842[[#This Row],[Classification]]="Assets",Table842[[#This Row],[Debit\]]-Table842[[#This Row],[Credit.]]),Table842[[#This Row],[Debit\]]-Table842[[#This Row],[Credit.]],""),"")</f>
        <v/>
      </c>
      <c r="AH165" s="34" t="str">
        <f>IFERROR(IF(AND(OR(Table842[[#This Row],[Classification]]="Liabilities",Table842[[#This Row],[Classification]]="Owner´s Equity"),Table842[[#This Row],[Credit.]]&gt;Table842[[#This Row],[Debit\]]),Table842[[#This Row],[Credit.]]-Table842[[#This Row],[Debit\]],""),"")</f>
        <v/>
      </c>
    </row>
    <row r="166" spans="2:34" hidden="1" x14ac:dyDescent="0.25">
      <c r="B166" s="34"/>
      <c r="C166" s="45"/>
      <c r="D166" s="34"/>
      <c r="E166" s="34"/>
      <c r="G166" s="39"/>
      <c r="H166" s="40"/>
      <c r="I166" s="41"/>
      <c r="J166" s="41"/>
      <c r="L166" s="34">
        <v>159</v>
      </c>
      <c r="M166" s="35"/>
      <c r="N166" s="35"/>
      <c r="O166" s="34">
        <f>IFERROR(SUMIF(Table439[,],Table641[[#This Row],[Accounts Name]],Table439[,3]),"")</f>
        <v>0</v>
      </c>
      <c r="P166" s="34">
        <f>IFERROR(SUMIF(Table439[,],Table641[[#This Row],[Accounts Name]],Table439[,2]),"")</f>
        <v>0</v>
      </c>
      <c r="S166" s="36">
        <f t="shared" si="2"/>
        <v>159</v>
      </c>
      <c r="T166" s="34"/>
      <c r="U166" s="37"/>
      <c r="V166" s="34">
        <f>IFERROR(SUMIF(Table641[Sub-Accounts],Table842[[#This Row],[Update your chart of accounts here]],Table641[Debit]),"")</f>
        <v>0</v>
      </c>
      <c r="W166" s="34">
        <f>IFERROR(SUMIF(Table641[Sub-Accounts],Table842[[#This Row],[Update your chart of accounts here]],Table641[Credit]),"")</f>
        <v>0</v>
      </c>
      <c r="X166" s="34"/>
      <c r="Y166" s="34"/>
      <c r="Z166" s="34"/>
      <c r="AA166" s="34"/>
      <c r="AB166" s="34">
        <f>MAX(Table842[[#This Row],[Debit]]+Table842[[#This Row],[Debit -]]-Table842[[#This Row],[Credit]]-Table842[[#This Row],[Credit +]],0)</f>
        <v>0</v>
      </c>
      <c r="AC166" s="34">
        <f>MAX(Table842[[#This Row],[Credit]]-Table842[[#This Row],[Debit]]+Table842[[#This Row],[Credit +]]-Table842[[#This Row],[Debit -]],0)</f>
        <v>0</v>
      </c>
      <c r="AD166" s="34" t="str">
        <f>IFERROR(IF(AND(OR(Table842[[#This Row],[Classification]]="Expense",Table842[[#This Row],[Classification]]="Cost of Goods Sold"),Table842[[#This Row],[Debit\]]&gt;Table842[[#This Row],[Credit.]]),Table842[[#This Row],[Debit\]]-Table842[[#This Row],[Credit.]],""),"")</f>
        <v/>
      </c>
      <c r="AE166" s="34" t="str">
        <f>IFERROR(IF(AND(OR(Table842[[#This Row],[Classification]]="Income",Table842[[#This Row],[Classification]]="Cost of Goods Sold"),Table842[[#This Row],[Credit.]]&gt;Table842[[#This Row],[Debit\]]),Table842[[#This Row],[Credit.]]-Table842[[#This Row],[Debit\]],""),"")</f>
        <v/>
      </c>
      <c r="AF166" s="34"/>
      <c r="AG166" s="34" t="str">
        <f>IFERROR(IF(AND(Table842[[#This Row],[Classification]]="Assets",Table842[[#This Row],[Debit\]]-Table842[[#This Row],[Credit.]]),Table842[[#This Row],[Debit\]]-Table842[[#This Row],[Credit.]],""),"")</f>
        <v/>
      </c>
      <c r="AH166" s="34" t="str">
        <f>IFERROR(IF(AND(OR(Table842[[#This Row],[Classification]]="Liabilities",Table842[[#This Row],[Classification]]="Owner´s Equity"),Table842[[#This Row],[Credit.]]&gt;Table842[[#This Row],[Debit\]]),Table842[[#This Row],[Credit.]]-Table842[[#This Row],[Debit\]],""),"")</f>
        <v/>
      </c>
    </row>
    <row r="167" spans="2:34" hidden="1" x14ac:dyDescent="0.25">
      <c r="B167" s="34"/>
      <c r="C167" s="45"/>
      <c r="D167" s="34"/>
      <c r="E167" s="34"/>
      <c r="G167" s="39"/>
      <c r="H167" s="43"/>
      <c r="I167" s="41"/>
      <c r="J167" s="41"/>
      <c r="L167" s="34">
        <v>160</v>
      </c>
      <c r="M167" s="35"/>
      <c r="N167" s="35"/>
      <c r="O167" s="34">
        <f>IFERROR(SUMIF(Table439[,],Table641[[#This Row],[Accounts Name]],Table439[,3]),"")</f>
        <v>0</v>
      </c>
      <c r="P167" s="34">
        <f>IFERROR(SUMIF(Table439[,],Table641[[#This Row],[Accounts Name]],Table439[,2]),"")</f>
        <v>0</v>
      </c>
      <c r="S167" s="36">
        <f t="shared" si="2"/>
        <v>160</v>
      </c>
      <c r="T167" s="34"/>
      <c r="U167" s="37"/>
      <c r="V167" s="34">
        <f>IFERROR(SUMIF(Table641[Sub-Accounts],Table842[[#This Row],[Update your chart of accounts here]],Table641[Debit]),"")</f>
        <v>0</v>
      </c>
      <c r="W167" s="34">
        <f>IFERROR(SUMIF(Table641[Sub-Accounts],Table842[[#This Row],[Update your chart of accounts here]],Table641[Credit]),"")</f>
        <v>0</v>
      </c>
      <c r="X167" s="34"/>
      <c r="Y167" s="34"/>
      <c r="Z167" s="34"/>
      <c r="AA167" s="34"/>
      <c r="AB167" s="34">
        <f>MAX(Table842[[#This Row],[Debit]]+Table842[[#This Row],[Debit -]]-Table842[[#This Row],[Credit]]-Table842[[#This Row],[Credit +]],0)</f>
        <v>0</v>
      </c>
      <c r="AC167" s="34">
        <f>MAX(Table842[[#This Row],[Credit]]-Table842[[#This Row],[Debit]]+Table842[[#This Row],[Credit +]]-Table842[[#This Row],[Debit -]],0)</f>
        <v>0</v>
      </c>
      <c r="AD167" s="34" t="str">
        <f>IFERROR(IF(AND(OR(Table842[[#This Row],[Classification]]="Expense",Table842[[#This Row],[Classification]]="Cost of Goods Sold"),Table842[[#This Row],[Debit\]]&gt;Table842[[#This Row],[Credit.]]),Table842[[#This Row],[Debit\]]-Table842[[#This Row],[Credit.]],""),"")</f>
        <v/>
      </c>
      <c r="AE167" s="34" t="str">
        <f>IFERROR(IF(AND(OR(Table842[[#This Row],[Classification]]="Income",Table842[[#This Row],[Classification]]="Cost of Goods Sold"),Table842[[#This Row],[Credit.]]&gt;Table842[[#This Row],[Debit\]]),Table842[[#This Row],[Credit.]]-Table842[[#This Row],[Debit\]],""),"")</f>
        <v/>
      </c>
      <c r="AF167" s="34"/>
      <c r="AG167" s="34" t="str">
        <f>IFERROR(IF(AND(Table842[[#This Row],[Classification]]="Assets",Table842[[#This Row],[Debit\]]-Table842[[#This Row],[Credit.]]),Table842[[#This Row],[Debit\]]-Table842[[#This Row],[Credit.]],""),"")</f>
        <v/>
      </c>
      <c r="AH167" s="34" t="str">
        <f>IFERROR(IF(AND(OR(Table842[[#This Row],[Classification]]="Liabilities",Table842[[#This Row],[Classification]]="Owner´s Equity"),Table842[[#This Row],[Credit.]]&gt;Table842[[#This Row],[Debit\]]),Table842[[#This Row],[Credit.]]-Table842[[#This Row],[Debit\]],""),"")</f>
        <v/>
      </c>
    </row>
    <row r="168" spans="2:34" hidden="1" x14ac:dyDescent="0.25">
      <c r="B168" s="34"/>
      <c r="C168" s="45"/>
      <c r="D168" s="34"/>
      <c r="E168" s="34"/>
      <c r="G168" s="39"/>
      <c r="H168" s="40"/>
      <c r="I168" s="41"/>
      <c r="J168" s="41"/>
      <c r="L168" s="34">
        <v>161</v>
      </c>
      <c r="M168" s="35"/>
      <c r="N168" s="35"/>
      <c r="O168" s="34">
        <f>IFERROR(SUMIF(Table439[,],Table641[[#This Row],[Accounts Name]],Table439[,3]),"")</f>
        <v>0</v>
      </c>
      <c r="P168" s="34">
        <f>IFERROR(SUMIF(Table439[,],Table641[[#This Row],[Accounts Name]],Table439[,2]),"")</f>
        <v>0</v>
      </c>
      <c r="S168" s="36">
        <f t="shared" si="2"/>
        <v>161</v>
      </c>
      <c r="T168" s="34"/>
      <c r="U168" s="37"/>
      <c r="V168" s="34">
        <f>IFERROR(SUMIF(Table641[Sub-Accounts],Table842[[#This Row],[Update your chart of accounts here]],Table641[Debit]),"")</f>
        <v>0</v>
      </c>
      <c r="W168" s="34">
        <f>IFERROR(SUMIF(Table641[Sub-Accounts],Table842[[#This Row],[Update your chart of accounts here]],Table641[Credit]),"")</f>
        <v>0</v>
      </c>
      <c r="X168" s="34"/>
      <c r="Y168" s="34"/>
      <c r="Z168" s="34"/>
      <c r="AA168" s="34"/>
      <c r="AB168" s="34">
        <f>MAX(Table842[[#This Row],[Debit]]+Table842[[#This Row],[Debit -]]-Table842[[#This Row],[Credit]]-Table842[[#This Row],[Credit +]],0)</f>
        <v>0</v>
      </c>
      <c r="AC168" s="34">
        <f>MAX(Table842[[#This Row],[Credit]]-Table842[[#This Row],[Debit]]+Table842[[#This Row],[Credit +]]-Table842[[#This Row],[Debit -]],0)</f>
        <v>0</v>
      </c>
      <c r="AD168" s="34" t="str">
        <f>IFERROR(IF(AND(OR(Table842[[#This Row],[Classification]]="Expense",Table842[[#This Row],[Classification]]="Cost of Goods Sold"),Table842[[#This Row],[Debit\]]&gt;Table842[[#This Row],[Credit.]]),Table842[[#This Row],[Debit\]]-Table842[[#This Row],[Credit.]],""),"")</f>
        <v/>
      </c>
      <c r="AE168" s="34" t="str">
        <f>IFERROR(IF(AND(OR(Table842[[#This Row],[Classification]]="Income",Table842[[#This Row],[Classification]]="Cost of Goods Sold"),Table842[[#This Row],[Credit.]]&gt;Table842[[#This Row],[Debit\]]),Table842[[#This Row],[Credit.]]-Table842[[#This Row],[Debit\]],""),"")</f>
        <v/>
      </c>
      <c r="AF168" s="34"/>
      <c r="AG168" s="34" t="str">
        <f>IFERROR(IF(AND(Table842[[#This Row],[Classification]]="Assets",Table842[[#This Row],[Debit\]]-Table842[[#This Row],[Credit.]]),Table842[[#This Row],[Debit\]]-Table842[[#This Row],[Credit.]],""),"")</f>
        <v/>
      </c>
      <c r="AH168" s="34" t="str">
        <f>IFERROR(IF(AND(OR(Table842[[#This Row],[Classification]]="Liabilities",Table842[[#This Row],[Classification]]="Owner´s Equity"),Table842[[#This Row],[Credit.]]&gt;Table842[[#This Row],[Debit\]]),Table842[[#This Row],[Credit.]]-Table842[[#This Row],[Debit\]],""),"")</f>
        <v/>
      </c>
    </row>
    <row r="169" spans="2:34" hidden="1" x14ac:dyDescent="0.25">
      <c r="B169" s="34"/>
      <c r="C169" s="45"/>
      <c r="D169" s="34"/>
      <c r="E169" s="34"/>
      <c r="G169" s="39"/>
      <c r="H169" s="40"/>
      <c r="I169" s="41"/>
      <c r="J169" s="41"/>
      <c r="L169" s="34">
        <v>162</v>
      </c>
      <c r="M169" s="35"/>
      <c r="N169" s="35"/>
      <c r="O169" s="34">
        <f>IFERROR(SUMIF(Table439[,],Table641[[#This Row],[Accounts Name]],Table439[,3]),"")</f>
        <v>0</v>
      </c>
      <c r="P169" s="34">
        <f>IFERROR(SUMIF(Table439[,],Table641[[#This Row],[Accounts Name]],Table439[,2]),"")</f>
        <v>0</v>
      </c>
      <c r="S169" s="36">
        <f t="shared" si="2"/>
        <v>162</v>
      </c>
      <c r="T169" s="34"/>
      <c r="U169" s="37"/>
      <c r="V169" s="34">
        <f>IFERROR(SUMIF(Table641[Sub-Accounts],Table842[[#This Row],[Update your chart of accounts here]],Table641[Debit]),"")</f>
        <v>0</v>
      </c>
      <c r="W169" s="34">
        <f>IFERROR(SUMIF(Table641[Sub-Accounts],Table842[[#This Row],[Update your chart of accounts here]],Table641[Credit]),"")</f>
        <v>0</v>
      </c>
      <c r="X169" s="34"/>
      <c r="Y169" s="34"/>
      <c r="Z169" s="34"/>
      <c r="AA169" s="34"/>
      <c r="AB169" s="34">
        <f>MAX(Table842[[#This Row],[Debit]]+Table842[[#This Row],[Debit -]]-Table842[[#This Row],[Credit]]-Table842[[#This Row],[Credit +]],0)</f>
        <v>0</v>
      </c>
      <c r="AC169" s="34">
        <f>MAX(Table842[[#This Row],[Credit]]-Table842[[#This Row],[Debit]]+Table842[[#This Row],[Credit +]]-Table842[[#This Row],[Debit -]],0)</f>
        <v>0</v>
      </c>
      <c r="AD169" s="34" t="str">
        <f>IFERROR(IF(AND(OR(Table842[[#This Row],[Classification]]="Expense",Table842[[#This Row],[Classification]]="Cost of Goods Sold"),Table842[[#This Row],[Debit\]]&gt;Table842[[#This Row],[Credit.]]),Table842[[#This Row],[Debit\]]-Table842[[#This Row],[Credit.]],""),"")</f>
        <v/>
      </c>
      <c r="AE169" s="34" t="str">
        <f>IFERROR(IF(AND(OR(Table842[[#This Row],[Classification]]="Income",Table842[[#This Row],[Classification]]="Cost of Goods Sold"),Table842[[#This Row],[Credit.]]&gt;Table842[[#This Row],[Debit\]]),Table842[[#This Row],[Credit.]]-Table842[[#This Row],[Debit\]],""),"")</f>
        <v/>
      </c>
      <c r="AF169" s="34"/>
      <c r="AG169" s="34" t="str">
        <f>IFERROR(IF(AND(Table842[[#This Row],[Classification]]="Assets",Table842[[#This Row],[Debit\]]-Table842[[#This Row],[Credit.]]),Table842[[#This Row],[Debit\]]-Table842[[#This Row],[Credit.]],""),"")</f>
        <v/>
      </c>
      <c r="AH169" s="34" t="str">
        <f>IFERROR(IF(AND(OR(Table842[[#This Row],[Classification]]="Liabilities",Table842[[#This Row],[Classification]]="Owner´s Equity"),Table842[[#This Row],[Credit.]]&gt;Table842[[#This Row],[Debit\]]),Table842[[#This Row],[Credit.]]-Table842[[#This Row],[Debit\]],""),"")</f>
        <v/>
      </c>
    </row>
    <row r="170" spans="2:34" hidden="1" x14ac:dyDescent="0.25">
      <c r="B170" s="34"/>
      <c r="C170" s="45"/>
      <c r="D170" s="34"/>
      <c r="E170" s="34"/>
      <c r="G170" s="39"/>
      <c r="H170" s="43"/>
      <c r="I170" s="41"/>
      <c r="J170" s="41"/>
      <c r="L170" s="34">
        <v>163</v>
      </c>
      <c r="M170" s="35"/>
      <c r="N170" s="35"/>
      <c r="O170" s="34">
        <f>IFERROR(SUMIF(Table439[,],Table641[[#This Row],[Accounts Name]],Table439[,3]),"")</f>
        <v>0</v>
      </c>
      <c r="P170" s="34">
        <f>IFERROR(SUMIF(Table439[,],Table641[[#This Row],[Accounts Name]],Table439[,2]),"")</f>
        <v>0</v>
      </c>
      <c r="S170" s="36">
        <f t="shared" si="2"/>
        <v>163</v>
      </c>
      <c r="T170" s="34"/>
      <c r="U170" s="37"/>
      <c r="V170" s="34">
        <f>IFERROR(SUMIF(Table641[Sub-Accounts],Table842[[#This Row],[Update your chart of accounts here]],Table641[Debit]),"")</f>
        <v>0</v>
      </c>
      <c r="W170" s="34">
        <f>IFERROR(SUMIF(Table641[Sub-Accounts],Table842[[#This Row],[Update your chart of accounts here]],Table641[Credit]),"")</f>
        <v>0</v>
      </c>
      <c r="X170" s="34"/>
      <c r="Y170" s="34"/>
      <c r="Z170" s="34"/>
      <c r="AA170" s="34"/>
      <c r="AB170" s="34">
        <f>MAX(Table842[[#This Row],[Debit]]+Table842[[#This Row],[Debit -]]-Table842[[#This Row],[Credit]]-Table842[[#This Row],[Credit +]],0)</f>
        <v>0</v>
      </c>
      <c r="AC170" s="34">
        <f>MAX(Table842[[#This Row],[Credit]]-Table842[[#This Row],[Debit]]+Table842[[#This Row],[Credit +]]-Table842[[#This Row],[Debit -]],0)</f>
        <v>0</v>
      </c>
      <c r="AD170" s="34" t="str">
        <f>IFERROR(IF(AND(OR(Table842[[#This Row],[Classification]]="Expense",Table842[[#This Row],[Classification]]="Cost of Goods Sold"),Table842[[#This Row],[Debit\]]&gt;Table842[[#This Row],[Credit.]]),Table842[[#This Row],[Debit\]]-Table842[[#This Row],[Credit.]],""),"")</f>
        <v/>
      </c>
      <c r="AE170" s="34" t="str">
        <f>IFERROR(IF(AND(OR(Table842[[#This Row],[Classification]]="Income",Table842[[#This Row],[Classification]]="Cost of Goods Sold"),Table842[[#This Row],[Credit.]]&gt;Table842[[#This Row],[Debit\]]),Table842[[#This Row],[Credit.]]-Table842[[#This Row],[Debit\]],""),"")</f>
        <v/>
      </c>
      <c r="AF170" s="34"/>
      <c r="AG170" s="34" t="str">
        <f>IFERROR(IF(AND(Table842[[#This Row],[Classification]]="Assets",Table842[[#This Row],[Debit\]]-Table842[[#This Row],[Credit.]]),Table842[[#This Row],[Debit\]]-Table842[[#This Row],[Credit.]],""),"")</f>
        <v/>
      </c>
      <c r="AH170" s="34" t="str">
        <f>IFERROR(IF(AND(OR(Table842[[#This Row],[Classification]]="Liabilities",Table842[[#This Row],[Classification]]="Owner´s Equity"),Table842[[#This Row],[Credit.]]&gt;Table842[[#This Row],[Debit\]]),Table842[[#This Row],[Credit.]]-Table842[[#This Row],[Debit\]],""),"")</f>
        <v/>
      </c>
    </row>
    <row r="171" spans="2:34" hidden="1" x14ac:dyDescent="0.25">
      <c r="B171" s="34"/>
      <c r="C171" s="45"/>
      <c r="D171" s="34"/>
      <c r="E171" s="34"/>
      <c r="G171" s="39"/>
      <c r="H171" s="40"/>
      <c r="I171" s="41"/>
      <c r="J171" s="41"/>
      <c r="L171" s="34">
        <v>164</v>
      </c>
      <c r="M171" s="35"/>
      <c r="N171" s="35"/>
      <c r="O171" s="34">
        <f>IFERROR(SUMIF(Table439[,],Table641[[#This Row],[Accounts Name]],Table439[,3]),"")</f>
        <v>0</v>
      </c>
      <c r="P171" s="34">
        <f>IFERROR(SUMIF(Table439[,],Table641[[#This Row],[Accounts Name]],Table439[,2]),"")</f>
        <v>0</v>
      </c>
      <c r="S171" s="36">
        <f t="shared" si="2"/>
        <v>164</v>
      </c>
      <c r="T171" s="34"/>
      <c r="U171" s="37"/>
      <c r="V171" s="34">
        <f>IFERROR(SUMIF(Table641[Sub-Accounts],Table842[[#This Row],[Update your chart of accounts here]],Table641[Debit]),"")</f>
        <v>0</v>
      </c>
      <c r="W171" s="34">
        <f>IFERROR(SUMIF(Table641[Sub-Accounts],Table842[[#This Row],[Update your chart of accounts here]],Table641[Credit]),"")</f>
        <v>0</v>
      </c>
      <c r="X171" s="34"/>
      <c r="Y171" s="34"/>
      <c r="Z171" s="34"/>
      <c r="AA171" s="34"/>
      <c r="AB171" s="34">
        <f>MAX(Table842[[#This Row],[Debit]]+Table842[[#This Row],[Debit -]]-Table842[[#This Row],[Credit]]-Table842[[#This Row],[Credit +]],0)</f>
        <v>0</v>
      </c>
      <c r="AC171" s="34">
        <f>MAX(Table842[[#This Row],[Credit]]-Table842[[#This Row],[Debit]]+Table842[[#This Row],[Credit +]]-Table842[[#This Row],[Debit -]],0)</f>
        <v>0</v>
      </c>
      <c r="AD171" s="34" t="str">
        <f>IFERROR(IF(AND(OR(Table842[[#This Row],[Classification]]="Expense",Table842[[#This Row],[Classification]]="Cost of Goods Sold"),Table842[[#This Row],[Debit\]]&gt;Table842[[#This Row],[Credit.]]),Table842[[#This Row],[Debit\]]-Table842[[#This Row],[Credit.]],""),"")</f>
        <v/>
      </c>
      <c r="AE171" s="34" t="str">
        <f>IFERROR(IF(AND(OR(Table842[[#This Row],[Classification]]="Income",Table842[[#This Row],[Classification]]="Cost of Goods Sold"),Table842[[#This Row],[Credit.]]&gt;Table842[[#This Row],[Debit\]]),Table842[[#This Row],[Credit.]]-Table842[[#This Row],[Debit\]],""),"")</f>
        <v/>
      </c>
      <c r="AF171" s="34"/>
      <c r="AG171" s="34" t="str">
        <f>IFERROR(IF(AND(Table842[[#This Row],[Classification]]="Assets",Table842[[#This Row],[Debit\]]-Table842[[#This Row],[Credit.]]),Table842[[#This Row],[Debit\]]-Table842[[#This Row],[Credit.]],""),"")</f>
        <v/>
      </c>
      <c r="AH171" s="34" t="str">
        <f>IFERROR(IF(AND(OR(Table842[[#This Row],[Classification]]="Liabilities",Table842[[#This Row],[Classification]]="Owner´s Equity"),Table842[[#This Row],[Credit.]]&gt;Table842[[#This Row],[Debit\]]),Table842[[#This Row],[Credit.]]-Table842[[#This Row],[Debit\]],""),"")</f>
        <v/>
      </c>
    </row>
    <row r="172" spans="2:34" hidden="1" x14ac:dyDescent="0.25">
      <c r="B172" s="34"/>
      <c r="C172" s="45"/>
      <c r="D172" s="34"/>
      <c r="E172" s="34"/>
      <c r="G172" s="39"/>
      <c r="H172" s="40"/>
      <c r="I172" s="41"/>
      <c r="J172" s="41"/>
      <c r="L172" s="34">
        <v>165</v>
      </c>
      <c r="M172" s="35"/>
      <c r="N172" s="35"/>
      <c r="O172" s="34">
        <f>IFERROR(SUMIF(Table439[,],Table641[[#This Row],[Accounts Name]],Table439[,3]),"")</f>
        <v>0</v>
      </c>
      <c r="P172" s="34">
        <f>IFERROR(SUMIF(Table439[,],Table641[[#This Row],[Accounts Name]],Table439[,2]),"")</f>
        <v>0</v>
      </c>
      <c r="S172" s="36">
        <f t="shared" si="2"/>
        <v>165</v>
      </c>
      <c r="T172" s="34"/>
      <c r="U172" s="37"/>
      <c r="V172" s="34">
        <f>IFERROR(SUMIF(Table641[Sub-Accounts],Table842[[#This Row],[Update your chart of accounts here]],Table641[Debit]),"")</f>
        <v>0</v>
      </c>
      <c r="W172" s="34">
        <f>IFERROR(SUMIF(Table641[Sub-Accounts],Table842[[#This Row],[Update your chart of accounts here]],Table641[Credit]),"")</f>
        <v>0</v>
      </c>
      <c r="X172" s="34"/>
      <c r="Y172" s="34"/>
      <c r="Z172" s="34"/>
      <c r="AA172" s="34"/>
      <c r="AB172" s="34">
        <f>MAX(Table842[[#This Row],[Debit]]+Table842[[#This Row],[Debit -]]-Table842[[#This Row],[Credit]]-Table842[[#This Row],[Credit +]],0)</f>
        <v>0</v>
      </c>
      <c r="AC172" s="34">
        <f>MAX(Table842[[#This Row],[Credit]]-Table842[[#This Row],[Debit]]+Table842[[#This Row],[Credit +]]-Table842[[#This Row],[Debit -]],0)</f>
        <v>0</v>
      </c>
      <c r="AD172" s="34" t="str">
        <f>IFERROR(IF(AND(OR(Table842[[#This Row],[Classification]]="Expense",Table842[[#This Row],[Classification]]="Cost of Goods Sold"),Table842[[#This Row],[Debit\]]&gt;Table842[[#This Row],[Credit.]]),Table842[[#This Row],[Debit\]]-Table842[[#This Row],[Credit.]],""),"")</f>
        <v/>
      </c>
      <c r="AE172" s="34" t="str">
        <f>IFERROR(IF(AND(OR(Table842[[#This Row],[Classification]]="Income",Table842[[#This Row],[Classification]]="Cost of Goods Sold"),Table842[[#This Row],[Credit.]]&gt;Table842[[#This Row],[Debit\]]),Table842[[#This Row],[Credit.]]-Table842[[#This Row],[Debit\]],""),"")</f>
        <v/>
      </c>
      <c r="AF172" s="34"/>
      <c r="AG172" s="34" t="str">
        <f>IFERROR(IF(AND(Table842[[#This Row],[Classification]]="Assets",Table842[[#This Row],[Debit\]]-Table842[[#This Row],[Credit.]]),Table842[[#This Row],[Debit\]]-Table842[[#This Row],[Credit.]],""),"")</f>
        <v/>
      </c>
      <c r="AH172" s="34" t="str">
        <f>IFERROR(IF(AND(OR(Table842[[#This Row],[Classification]]="Liabilities",Table842[[#This Row],[Classification]]="Owner´s Equity"),Table842[[#This Row],[Credit.]]&gt;Table842[[#This Row],[Debit\]]),Table842[[#This Row],[Credit.]]-Table842[[#This Row],[Debit\]],""),"")</f>
        <v/>
      </c>
    </row>
    <row r="173" spans="2:34" hidden="1" x14ac:dyDescent="0.25">
      <c r="B173" s="34"/>
      <c r="C173" s="45"/>
      <c r="D173" s="34"/>
      <c r="E173" s="34"/>
      <c r="G173" s="39"/>
      <c r="H173" s="43"/>
      <c r="I173" s="41"/>
      <c r="J173" s="41"/>
      <c r="L173" s="34">
        <v>166</v>
      </c>
      <c r="M173" s="35"/>
      <c r="N173" s="35"/>
      <c r="O173" s="34">
        <f>IFERROR(SUMIF(Table439[,],Table641[[#This Row],[Accounts Name]],Table439[,3]),"")</f>
        <v>0</v>
      </c>
      <c r="P173" s="34">
        <f>IFERROR(SUMIF(Table439[,],Table641[[#This Row],[Accounts Name]],Table439[,2]),"")</f>
        <v>0</v>
      </c>
      <c r="S173" s="36">
        <f t="shared" si="2"/>
        <v>166</v>
      </c>
      <c r="T173" s="34"/>
      <c r="U173" s="37"/>
      <c r="V173" s="34">
        <f>IFERROR(SUMIF(Table641[Sub-Accounts],Table842[[#This Row],[Update your chart of accounts here]],Table641[Debit]),"")</f>
        <v>0</v>
      </c>
      <c r="W173" s="34">
        <f>IFERROR(SUMIF(Table641[Sub-Accounts],Table842[[#This Row],[Update your chart of accounts here]],Table641[Credit]),"")</f>
        <v>0</v>
      </c>
      <c r="X173" s="34"/>
      <c r="Y173" s="34"/>
      <c r="Z173" s="34"/>
      <c r="AA173" s="34"/>
      <c r="AB173" s="34">
        <f>MAX(Table842[[#This Row],[Debit]]+Table842[[#This Row],[Debit -]]-Table842[[#This Row],[Credit]]-Table842[[#This Row],[Credit +]],0)</f>
        <v>0</v>
      </c>
      <c r="AC173" s="34">
        <f>MAX(Table842[[#This Row],[Credit]]-Table842[[#This Row],[Debit]]+Table842[[#This Row],[Credit +]]-Table842[[#This Row],[Debit -]],0)</f>
        <v>0</v>
      </c>
      <c r="AD173" s="34" t="str">
        <f>IFERROR(IF(AND(OR(Table842[[#This Row],[Classification]]="Expense",Table842[[#This Row],[Classification]]="Cost of Goods Sold"),Table842[[#This Row],[Debit\]]&gt;Table842[[#This Row],[Credit.]]),Table842[[#This Row],[Debit\]]-Table842[[#This Row],[Credit.]],""),"")</f>
        <v/>
      </c>
      <c r="AE173" s="34" t="str">
        <f>IFERROR(IF(AND(OR(Table842[[#This Row],[Classification]]="Income",Table842[[#This Row],[Classification]]="Cost of Goods Sold"),Table842[[#This Row],[Credit.]]&gt;Table842[[#This Row],[Debit\]]),Table842[[#This Row],[Credit.]]-Table842[[#This Row],[Debit\]],""),"")</f>
        <v/>
      </c>
      <c r="AF173" s="34"/>
      <c r="AG173" s="34" t="str">
        <f>IFERROR(IF(AND(Table842[[#This Row],[Classification]]="Assets",Table842[[#This Row],[Debit\]]-Table842[[#This Row],[Credit.]]),Table842[[#This Row],[Debit\]]-Table842[[#This Row],[Credit.]],""),"")</f>
        <v/>
      </c>
      <c r="AH173" s="34" t="str">
        <f>IFERROR(IF(AND(OR(Table842[[#This Row],[Classification]]="Liabilities",Table842[[#This Row],[Classification]]="Owner´s Equity"),Table842[[#This Row],[Credit.]]&gt;Table842[[#This Row],[Debit\]]),Table842[[#This Row],[Credit.]]-Table842[[#This Row],[Debit\]],""),"")</f>
        <v/>
      </c>
    </row>
    <row r="174" spans="2:34" hidden="1" x14ac:dyDescent="0.25">
      <c r="B174" s="34"/>
      <c r="C174" s="45"/>
      <c r="D174" s="34"/>
      <c r="E174" s="34"/>
      <c r="G174" s="39"/>
      <c r="H174" s="40"/>
      <c r="I174" s="41"/>
      <c r="J174" s="41"/>
      <c r="L174" s="34">
        <v>167</v>
      </c>
      <c r="M174" s="35"/>
      <c r="N174" s="35"/>
      <c r="O174" s="34">
        <f>IFERROR(SUMIF(Table439[,],Table641[[#This Row],[Accounts Name]],Table439[,3]),"")</f>
        <v>0</v>
      </c>
      <c r="P174" s="34">
        <f>IFERROR(SUMIF(Table439[,],Table641[[#This Row],[Accounts Name]],Table439[,2]),"")</f>
        <v>0</v>
      </c>
      <c r="S174" s="36">
        <f t="shared" si="2"/>
        <v>167</v>
      </c>
      <c r="T174" s="34"/>
      <c r="U174" s="37"/>
      <c r="V174" s="34">
        <f>IFERROR(SUMIF(Table641[Sub-Accounts],Table842[[#This Row],[Update your chart of accounts here]],Table641[Debit]),"")</f>
        <v>0</v>
      </c>
      <c r="W174" s="34">
        <f>IFERROR(SUMIF(Table641[Sub-Accounts],Table842[[#This Row],[Update your chart of accounts here]],Table641[Credit]),"")</f>
        <v>0</v>
      </c>
      <c r="X174" s="34"/>
      <c r="Y174" s="34"/>
      <c r="Z174" s="34"/>
      <c r="AA174" s="34"/>
      <c r="AB174" s="34">
        <f>MAX(Table842[[#This Row],[Debit]]+Table842[[#This Row],[Debit -]]-Table842[[#This Row],[Credit]]-Table842[[#This Row],[Credit +]],0)</f>
        <v>0</v>
      </c>
      <c r="AC174" s="34">
        <f>MAX(Table842[[#This Row],[Credit]]-Table842[[#This Row],[Debit]]+Table842[[#This Row],[Credit +]]-Table842[[#This Row],[Debit -]],0)</f>
        <v>0</v>
      </c>
      <c r="AD174" s="34" t="str">
        <f>IFERROR(IF(AND(OR(Table842[[#This Row],[Classification]]="Expense",Table842[[#This Row],[Classification]]="Cost of Goods Sold"),Table842[[#This Row],[Debit\]]&gt;Table842[[#This Row],[Credit.]]),Table842[[#This Row],[Debit\]]-Table842[[#This Row],[Credit.]],""),"")</f>
        <v/>
      </c>
      <c r="AE174" s="34" t="str">
        <f>IFERROR(IF(AND(OR(Table842[[#This Row],[Classification]]="Income",Table842[[#This Row],[Classification]]="Cost of Goods Sold"),Table842[[#This Row],[Credit.]]&gt;Table842[[#This Row],[Debit\]]),Table842[[#This Row],[Credit.]]-Table842[[#This Row],[Debit\]],""),"")</f>
        <v/>
      </c>
      <c r="AF174" s="34"/>
      <c r="AG174" s="34" t="str">
        <f>IFERROR(IF(AND(Table842[[#This Row],[Classification]]="Assets",Table842[[#This Row],[Debit\]]-Table842[[#This Row],[Credit.]]),Table842[[#This Row],[Debit\]]-Table842[[#This Row],[Credit.]],""),"")</f>
        <v/>
      </c>
      <c r="AH174" s="34" t="str">
        <f>IFERROR(IF(AND(OR(Table842[[#This Row],[Classification]]="Liabilities",Table842[[#This Row],[Classification]]="Owner´s Equity"),Table842[[#This Row],[Credit.]]&gt;Table842[[#This Row],[Debit\]]),Table842[[#This Row],[Credit.]]-Table842[[#This Row],[Debit\]],""),"")</f>
        <v/>
      </c>
    </row>
    <row r="175" spans="2:34" hidden="1" x14ac:dyDescent="0.25">
      <c r="B175" s="34"/>
      <c r="C175" s="45"/>
      <c r="D175" s="34"/>
      <c r="E175" s="34"/>
      <c r="G175" s="39"/>
      <c r="H175" s="40"/>
      <c r="I175" s="41"/>
      <c r="J175" s="41"/>
      <c r="L175" s="34">
        <v>168</v>
      </c>
      <c r="M175" s="35"/>
      <c r="N175" s="35"/>
      <c r="O175" s="34">
        <f>IFERROR(SUMIF(Table439[,],Table641[[#This Row],[Accounts Name]],Table439[,3]),"")</f>
        <v>0</v>
      </c>
      <c r="P175" s="34">
        <f>IFERROR(SUMIF(Table439[,],Table641[[#This Row],[Accounts Name]],Table439[,2]),"")</f>
        <v>0</v>
      </c>
      <c r="S175" s="36">
        <f t="shared" si="2"/>
        <v>168</v>
      </c>
      <c r="T175" s="34"/>
      <c r="U175" s="37"/>
      <c r="V175" s="34">
        <f>IFERROR(SUMIF(Table641[Sub-Accounts],Table842[[#This Row],[Update your chart of accounts here]],Table641[Debit]),"")</f>
        <v>0</v>
      </c>
      <c r="W175" s="34">
        <f>IFERROR(SUMIF(Table641[Sub-Accounts],Table842[[#This Row],[Update your chart of accounts here]],Table641[Credit]),"")</f>
        <v>0</v>
      </c>
      <c r="X175" s="34"/>
      <c r="Y175" s="34"/>
      <c r="Z175" s="34"/>
      <c r="AA175" s="34"/>
      <c r="AB175" s="34">
        <f>MAX(Table842[[#This Row],[Debit]]+Table842[[#This Row],[Debit -]]-Table842[[#This Row],[Credit]]-Table842[[#This Row],[Credit +]],0)</f>
        <v>0</v>
      </c>
      <c r="AC175" s="34">
        <f>MAX(Table842[[#This Row],[Credit]]-Table842[[#This Row],[Debit]]+Table842[[#This Row],[Credit +]]-Table842[[#This Row],[Debit -]],0)</f>
        <v>0</v>
      </c>
      <c r="AD175" s="34" t="str">
        <f>IFERROR(IF(AND(OR(Table842[[#This Row],[Classification]]="Expense",Table842[[#This Row],[Classification]]="Cost of Goods Sold"),Table842[[#This Row],[Debit\]]&gt;Table842[[#This Row],[Credit.]]),Table842[[#This Row],[Debit\]]-Table842[[#This Row],[Credit.]],""),"")</f>
        <v/>
      </c>
      <c r="AE175" s="34" t="str">
        <f>IFERROR(IF(AND(OR(Table842[[#This Row],[Classification]]="Income",Table842[[#This Row],[Classification]]="Cost of Goods Sold"),Table842[[#This Row],[Credit.]]&gt;Table842[[#This Row],[Debit\]]),Table842[[#This Row],[Credit.]]-Table842[[#This Row],[Debit\]],""),"")</f>
        <v/>
      </c>
      <c r="AF175" s="34"/>
      <c r="AG175" s="34" t="str">
        <f>IFERROR(IF(AND(Table842[[#This Row],[Classification]]="Assets",Table842[[#This Row],[Debit\]]-Table842[[#This Row],[Credit.]]),Table842[[#This Row],[Debit\]]-Table842[[#This Row],[Credit.]],""),"")</f>
        <v/>
      </c>
      <c r="AH175" s="34" t="str">
        <f>IFERROR(IF(AND(OR(Table842[[#This Row],[Classification]]="Liabilities",Table842[[#This Row],[Classification]]="Owner´s Equity"),Table842[[#This Row],[Credit.]]&gt;Table842[[#This Row],[Debit\]]),Table842[[#This Row],[Credit.]]-Table842[[#This Row],[Debit\]],""),"")</f>
        <v/>
      </c>
    </row>
    <row r="176" spans="2:34" hidden="1" x14ac:dyDescent="0.25">
      <c r="B176" s="34"/>
      <c r="C176" s="45"/>
      <c r="D176" s="34"/>
      <c r="E176" s="34"/>
      <c r="G176" s="39"/>
      <c r="H176" s="43"/>
      <c r="I176" s="41"/>
      <c r="J176" s="41"/>
      <c r="L176" s="34">
        <v>169</v>
      </c>
      <c r="M176" s="35"/>
      <c r="N176" s="35"/>
      <c r="O176" s="34">
        <f>IFERROR(SUMIF(Table439[,],Table641[[#This Row],[Accounts Name]],Table439[,3]),"")</f>
        <v>0</v>
      </c>
      <c r="P176" s="34">
        <f>IFERROR(SUMIF(Table439[,],Table641[[#This Row],[Accounts Name]],Table439[,2]),"")</f>
        <v>0</v>
      </c>
      <c r="S176" s="36">
        <f t="shared" si="2"/>
        <v>169</v>
      </c>
      <c r="T176" s="34"/>
      <c r="U176" s="37"/>
      <c r="V176" s="34">
        <f>IFERROR(SUMIF(Table641[Sub-Accounts],Table842[[#This Row],[Update your chart of accounts here]],Table641[Debit]),"")</f>
        <v>0</v>
      </c>
      <c r="W176" s="34">
        <f>IFERROR(SUMIF(Table641[Sub-Accounts],Table842[[#This Row],[Update your chart of accounts here]],Table641[Credit]),"")</f>
        <v>0</v>
      </c>
      <c r="X176" s="34"/>
      <c r="Y176" s="34"/>
      <c r="Z176" s="34"/>
      <c r="AA176" s="34"/>
      <c r="AB176" s="34">
        <f>MAX(Table842[[#This Row],[Debit]]+Table842[[#This Row],[Debit -]]-Table842[[#This Row],[Credit]]-Table842[[#This Row],[Credit +]],0)</f>
        <v>0</v>
      </c>
      <c r="AC176" s="34">
        <f>MAX(Table842[[#This Row],[Credit]]-Table842[[#This Row],[Debit]]+Table842[[#This Row],[Credit +]]-Table842[[#This Row],[Debit -]],0)</f>
        <v>0</v>
      </c>
      <c r="AD176" s="34" t="str">
        <f>IFERROR(IF(AND(OR(Table842[[#This Row],[Classification]]="Expense",Table842[[#This Row],[Classification]]="Cost of Goods Sold"),Table842[[#This Row],[Debit\]]&gt;Table842[[#This Row],[Credit.]]),Table842[[#This Row],[Debit\]]-Table842[[#This Row],[Credit.]],""),"")</f>
        <v/>
      </c>
      <c r="AE176" s="34" t="str">
        <f>IFERROR(IF(AND(OR(Table842[[#This Row],[Classification]]="Income",Table842[[#This Row],[Classification]]="Cost of Goods Sold"),Table842[[#This Row],[Credit.]]&gt;Table842[[#This Row],[Debit\]]),Table842[[#This Row],[Credit.]]-Table842[[#This Row],[Debit\]],""),"")</f>
        <v/>
      </c>
      <c r="AF176" s="34"/>
      <c r="AG176" s="34" t="str">
        <f>IFERROR(IF(AND(Table842[[#This Row],[Classification]]="Assets",Table842[[#This Row],[Debit\]]-Table842[[#This Row],[Credit.]]),Table842[[#This Row],[Debit\]]-Table842[[#This Row],[Credit.]],""),"")</f>
        <v/>
      </c>
      <c r="AH176" s="34" t="str">
        <f>IFERROR(IF(AND(OR(Table842[[#This Row],[Classification]]="Liabilities",Table842[[#This Row],[Classification]]="Owner´s Equity"),Table842[[#This Row],[Credit.]]&gt;Table842[[#This Row],[Debit\]]),Table842[[#This Row],[Credit.]]-Table842[[#This Row],[Debit\]],""),"")</f>
        <v/>
      </c>
    </row>
    <row r="177" spans="2:34" hidden="1" x14ac:dyDescent="0.25">
      <c r="B177" s="34"/>
      <c r="C177" s="45"/>
      <c r="D177" s="34"/>
      <c r="E177" s="34"/>
      <c r="G177" s="39"/>
      <c r="H177" s="40"/>
      <c r="I177" s="41"/>
      <c r="J177" s="41"/>
      <c r="L177" s="34">
        <v>170</v>
      </c>
      <c r="M177" s="35"/>
      <c r="N177" s="35"/>
      <c r="O177" s="34">
        <f>IFERROR(SUMIF(Table439[,],Table641[[#This Row],[Accounts Name]],Table439[,3]),"")</f>
        <v>0</v>
      </c>
      <c r="P177" s="34">
        <f>IFERROR(SUMIF(Table439[,],Table641[[#This Row],[Accounts Name]],Table439[,2]),"")</f>
        <v>0</v>
      </c>
      <c r="S177" s="36">
        <f t="shared" si="2"/>
        <v>170</v>
      </c>
      <c r="T177" s="34"/>
      <c r="U177" s="37"/>
      <c r="V177" s="34">
        <f>IFERROR(SUMIF(Table641[Sub-Accounts],Table842[[#This Row],[Update your chart of accounts here]],Table641[Debit]),"")</f>
        <v>0</v>
      </c>
      <c r="W177" s="34">
        <f>IFERROR(SUMIF(Table641[Sub-Accounts],Table842[[#This Row],[Update your chart of accounts here]],Table641[Credit]),"")</f>
        <v>0</v>
      </c>
      <c r="X177" s="34"/>
      <c r="Y177" s="34"/>
      <c r="Z177" s="34"/>
      <c r="AA177" s="34"/>
      <c r="AB177" s="34">
        <f>MAX(Table842[[#This Row],[Debit]]+Table842[[#This Row],[Debit -]]-Table842[[#This Row],[Credit]]-Table842[[#This Row],[Credit +]],0)</f>
        <v>0</v>
      </c>
      <c r="AC177" s="34">
        <f>MAX(Table842[[#This Row],[Credit]]-Table842[[#This Row],[Debit]]+Table842[[#This Row],[Credit +]]-Table842[[#This Row],[Debit -]],0)</f>
        <v>0</v>
      </c>
      <c r="AD177" s="34" t="str">
        <f>IFERROR(IF(AND(OR(Table842[[#This Row],[Classification]]="Expense",Table842[[#This Row],[Classification]]="Cost of Goods Sold"),Table842[[#This Row],[Debit\]]&gt;Table842[[#This Row],[Credit.]]),Table842[[#This Row],[Debit\]]-Table842[[#This Row],[Credit.]],""),"")</f>
        <v/>
      </c>
      <c r="AE177" s="34" t="str">
        <f>IFERROR(IF(AND(OR(Table842[[#This Row],[Classification]]="Income",Table842[[#This Row],[Classification]]="Cost of Goods Sold"),Table842[[#This Row],[Credit.]]&gt;Table842[[#This Row],[Debit\]]),Table842[[#This Row],[Credit.]]-Table842[[#This Row],[Debit\]],""),"")</f>
        <v/>
      </c>
      <c r="AF177" s="34"/>
      <c r="AG177" s="34" t="str">
        <f>IFERROR(IF(AND(Table842[[#This Row],[Classification]]="Assets",Table842[[#This Row],[Debit\]]-Table842[[#This Row],[Credit.]]),Table842[[#This Row],[Debit\]]-Table842[[#This Row],[Credit.]],""),"")</f>
        <v/>
      </c>
      <c r="AH177" s="34" t="str">
        <f>IFERROR(IF(AND(OR(Table842[[#This Row],[Classification]]="Liabilities",Table842[[#This Row],[Classification]]="Owner´s Equity"),Table842[[#This Row],[Credit.]]&gt;Table842[[#This Row],[Debit\]]),Table842[[#This Row],[Credit.]]-Table842[[#This Row],[Debit\]],""),"")</f>
        <v/>
      </c>
    </row>
    <row r="178" spans="2:34" hidden="1" x14ac:dyDescent="0.25">
      <c r="B178" s="34"/>
      <c r="C178" s="45"/>
      <c r="D178" s="34"/>
      <c r="E178" s="34"/>
      <c r="G178" s="39"/>
      <c r="H178" s="40"/>
      <c r="I178" s="41"/>
      <c r="J178" s="41"/>
      <c r="L178" s="34">
        <v>171</v>
      </c>
      <c r="M178" s="35"/>
      <c r="N178" s="35"/>
      <c r="O178" s="34">
        <f>IFERROR(SUMIF(Table439[,],Table641[[#This Row],[Accounts Name]],Table439[,3]),"")</f>
        <v>0</v>
      </c>
      <c r="P178" s="34">
        <f>IFERROR(SUMIF(Table439[,],Table641[[#This Row],[Accounts Name]],Table439[,2]),"")</f>
        <v>0</v>
      </c>
      <c r="S178" s="36">
        <f t="shared" si="2"/>
        <v>171</v>
      </c>
      <c r="T178" s="34"/>
      <c r="U178" s="37"/>
      <c r="V178" s="34">
        <f>IFERROR(SUMIF(Table641[Sub-Accounts],Table842[[#This Row],[Update your chart of accounts here]],Table641[Debit]),"")</f>
        <v>0</v>
      </c>
      <c r="W178" s="34">
        <f>IFERROR(SUMIF(Table641[Sub-Accounts],Table842[[#This Row],[Update your chart of accounts here]],Table641[Credit]),"")</f>
        <v>0</v>
      </c>
      <c r="X178" s="34"/>
      <c r="Y178" s="34"/>
      <c r="Z178" s="34"/>
      <c r="AA178" s="34"/>
      <c r="AB178" s="34">
        <f>MAX(Table842[[#This Row],[Debit]]+Table842[[#This Row],[Debit -]]-Table842[[#This Row],[Credit]]-Table842[[#This Row],[Credit +]],0)</f>
        <v>0</v>
      </c>
      <c r="AC178" s="34">
        <f>MAX(Table842[[#This Row],[Credit]]-Table842[[#This Row],[Debit]]+Table842[[#This Row],[Credit +]]-Table842[[#This Row],[Debit -]],0)</f>
        <v>0</v>
      </c>
      <c r="AD178" s="34" t="str">
        <f>IFERROR(IF(AND(OR(Table842[[#This Row],[Classification]]="Expense",Table842[[#This Row],[Classification]]="Cost of Goods Sold"),Table842[[#This Row],[Debit\]]&gt;Table842[[#This Row],[Credit.]]),Table842[[#This Row],[Debit\]]-Table842[[#This Row],[Credit.]],""),"")</f>
        <v/>
      </c>
      <c r="AE178" s="34" t="str">
        <f>IFERROR(IF(AND(OR(Table842[[#This Row],[Classification]]="Income",Table842[[#This Row],[Classification]]="Cost of Goods Sold"),Table842[[#This Row],[Credit.]]&gt;Table842[[#This Row],[Debit\]]),Table842[[#This Row],[Credit.]]-Table842[[#This Row],[Debit\]],""),"")</f>
        <v/>
      </c>
      <c r="AF178" s="34"/>
      <c r="AG178" s="34" t="str">
        <f>IFERROR(IF(AND(Table842[[#This Row],[Classification]]="Assets",Table842[[#This Row],[Debit\]]-Table842[[#This Row],[Credit.]]),Table842[[#This Row],[Debit\]]-Table842[[#This Row],[Credit.]],""),"")</f>
        <v/>
      </c>
      <c r="AH178" s="34" t="str">
        <f>IFERROR(IF(AND(OR(Table842[[#This Row],[Classification]]="Liabilities",Table842[[#This Row],[Classification]]="Owner´s Equity"),Table842[[#This Row],[Credit.]]&gt;Table842[[#This Row],[Debit\]]),Table842[[#This Row],[Credit.]]-Table842[[#This Row],[Debit\]],""),"")</f>
        <v/>
      </c>
    </row>
    <row r="179" spans="2:34" hidden="1" x14ac:dyDescent="0.25">
      <c r="B179" s="34"/>
      <c r="C179" s="45"/>
      <c r="D179" s="34"/>
      <c r="E179" s="34"/>
      <c r="G179" s="39"/>
      <c r="H179" s="43"/>
      <c r="I179" s="41"/>
      <c r="J179" s="41"/>
      <c r="L179" s="34">
        <v>172</v>
      </c>
      <c r="M179" s="35"/>
      <c r="N179" s="35"/>
      <c r="O179" s="34">
        <f>IFERROR(SUMIF(Table439[,],Table641[[#This Row],[Accounts Name]],Table439[,3]),"")</f>
        <v>0</v>
      </c>
      <c r="P179" s="34">
        <f>IFERROR(SUMIF(Table439[,],Table641[[#This Row],[Accounts Name]],Table439[,2]),"")</f>
        <v>0</v>
      </c>
      <c r="S179" s="36">
        <f t="shared" si="2"/>
        <v>172</v>
      </c>
      <c r="T179" s="34"/>
      <c r="U179" s="37"/>
      <c r="V179" s="34">
        <f>IFERROR(SUMIF(Table641[Sub-Accounts],Table842[[#This Row],[Update your chart of accounts here]],Table641[Debit]),"")</f>
        <v>0</v>
      </c>
      <c r="W179" s="34">
        <f>IFERROR(SUMIF(Table641[Sub-Accounts],Table842[[#This Row],[Update your chart of accounts here]],Table641[Credit]),"")</f>
        <v>0</v>
      </c>
      <c r="X179" s="34"/>
      <c r="Y179" s="34"/>
      <c r="Z179" s="34"/>
      <c r="AA179" s="34"/>
      <c r="AB179" s="34">
        <f>MAX(Table842[[#This Row],[Debit]]+Table842[[#This Row],[Debit -]]-Table842[[#This Row],[Credit]]-Table842[[#This Row],[Credit +]],0)</f>
        <v>0</v>
      </c>
      <c r="AC179" s="34">
        <f>MAX(Table842[[#This Row],[Credit]]-Table842[[#This Row],[Debit]]+Table842[[#This Row],[Credit +]]-Table842[[#This Row],[Debit -]],0)</f>
        <v>0</v>
      </c>
      <c r="AD179" s="34" t="str">
        <f>IFERROR(IF(AND(OR(Table842[[#This Row],[Classification]]="Expense",Table842[[#This Row],[Classification]]="Cost of Goods Sold"),Table842[[#This Row],[Debit\]]&gt;Table842[[#This Row],[Credit.]]),Table842[[#This Row],[Debit\]]-Table842[[#This Row],[Credit.]],""),"")</f>
        <v/>
      </c>
      <c r="AE179" s="34" t="str">
        <f>IFERROR(IF(AND(OR(Table842[[#This Row],[Classification]]="Income",Table842[[#This Row],[Classification]]="Cost of Goods Sold"),Table842[[#This Row],[Credit.]]&gt;Table842[[#This Row],[Debit\]]),Table842[[#This Row],[Credit.]]-Table842[[#This Row],[Debit\]],""),"")</f>
        <v/>
      </c>
      <c r="AF179" s="34"/>
      <c r="AG179" s="34" t="str">
        <f>IFERROR(IF(AND(Table842[[#This Row],[Classification]]="Assets",Table842[[#This Row],[Debit\]]-Table842[[#This Row],[Credit.]]),Table842[[#This Row],[Debit\]]-Table842[[#This Row],[Credit.]],""),"")</f>
        <v/>
      </c>
      <c r="AH179" s="34" t="str">
        <f>IFERROR(IF(AND(OR(Table842[[#This Row],[Classification]]="Liabilities",Table842[[#This Row],[Classification]]="Owner´s Equity"),Table842[[#This Row],[Credit.]]&gt;Table842[[#This Row],[Debit\]]),Table842[[#This Row],[Credit.]]-Table842[[#This Row],[Debit\]],""),"")</f>
        <v/>
      </c>
    </row>
    <row r="180" spans="2:34" hidden="1" x14ac:dyDescent="0.25">
      <c r="B180" s="34"/>
      <c r="C180" s="45"/>
      <c r="D180" s="34"/>
      <c r="E180" s="34"/>
      <c r="G180" s="39"/>
      <c r="H180" s="40"/>
      <c r="I180" s="41"/>
      <c r="J180" s="41"/>
      <c r="L180" s="34">
        <v>173</v>
      </c>
      <c r="M180" s="35"/>
      <c r="N180" s="35"/>
      <c r="O180" s="34">
        <f>IFERROR(SUMIF(Table439[,],Table641[[#This Row],[Accounts Name]],Table439[,3]),"")</f>
        <v>0</v>
      </c>
      <c r="P180" s="34">
        <f>IFERROR(SUMIF(Table439[,],Table641[[#This Row],[Accounts Name]],Table439[,2]),"")</f>
        <v>0</v>
      </c>
      <c r="S180" s="36">
        <f t="shared" si="2"/>
        <v>173</v>
      </c>
      <c r="T180" s="34"/>
      <c r="U180" s="37"/>
      <c r="V180" s="34">
        <f>IFERROR(SUMIF(Table641[Sub-Accounts],Table842[[#This Row],[Update your chart of accounts here]],Table641[Debit]),"")</f>
        <v>0</v>
      </c>
      <c r="W180" s="34">
        <f>IFERROR(SUMIF(Table641[Sub-Accounts],Table842[[#This Row],[Update your chart of accounts here]],Table641[Credit]),"")</f>
        <v>0</v>
      </c>
      <c r="X180" s="34"/>
      <c r="Y180" s="34"/>
      <c r="Z180" s="34"/>
      <c r="AA180" s="34"/>
      <c r="AB180" s="34">
        <f>MAX(Table842[[#This Row],[Debit]]+Table842[[#This Row],[Debit -]]-Table842[[#This Row],[Credit]]-Table842[[#This Row],[Credit +]],0)</f>
        <v>0</v>
      </c>
      <c r="AC180" s="34">
        <f>MAX(Table842[[#This Row],[Credit]]-Table842[[#This Row],[Debit]]+Table842[[#This Row],[Credit +]]-Table842[[#This Row],[Debit -]],0)</f>
        <v>0</v>
      </c>
      <c r="AD180" s="34" t="str">
        <f>IFERROR(IF(AND(OR(Table842[[#This Row],[Classification]]="Expense",Table842[[#This Row],[Classification]]="Cost of Goods Sold"),Table842[[#This Row],[Debit\]]&gt;Table842[[#This Row],[Credit.]]),Table842[[#This Row],[Debit\]]-Table842[[#This Row],[Credit.]],""),"")</f>
        <v/>
      </c>
      <c r="AE180" s="34" t="str">
        <f>IFERROR(IF(AND(OR(Table842[[#This Row],[Classification]]="Income",Table842[[#This Row],[Classification]]="Cost of Goods Sold"),Table842[[#This Row],[Credit.]]&gt;Table842[[#This Row],[Debit\]]),Table842[[#This Row],[Credit.]]-Table842[[#This Row],[Debit\]],""),"")</f>
        <v/>
      </c>
      <c r="AF180" s="34"/>
      <c r="AG180" s="34" t="str">
        <f>IFERROR(IF(AND(Table842[[#This Row],[Classification]]="Assets",Table842[[#This Row],[Debit\]]-Table842[[#This Row],[Credit.]]),Table842[[#This Row],[Debit\]]-Table842[[#This Row],[Credit.]],""),"")</f>
        <v/>
      </c>
      <c r="AH180" s="34" t="str">
        <f>IFERROR(IF(AND(OR(Table842[[#This Row],[Classification]]="Liabilities",Table842[[#This Row],[Classification]]="Owner´s Equity"),Table842[[#This Row],[Credit.]]&gt;Table842[[#This Row],[Debit\]]),Table842[[#This Row],[Credit.]]-Table842[[#This Row],[Debit\]],""),"")</f>
        <v/>
      </c>
    </row>
    <row r="181" spans="2:34" hidden="1" x14ac:dyDescent="0.25">
      <c r="B181" s="34"/>
      <c r="C181" s="45"/>
      <c r="D181" s="34"/>
      <c r="E181" s="34"/>
      <c r="G181" s="39"/>
      <c r="H181" s="40"/>
      <c r="I181" s="41"/>
      <c r="J181" s="41"/>
      <c r="L181" s="34">
        <v>174</v>
      </c>
      <c r="M181" s="35"/>
      <c r="N181" s="35"/>
      <c r="O181" s="34">
        <f>IFERROR(SUMIF(Table439[,],Table641[[#This Row],[Accounts Name]],Table439[,3]),"")</f>
        <v>0</v>
      </c>
      <c r="P181" s="34">
        <f>IFERROR(SUMIF(Table439[,],Table641[[#This Row],[Accounts Name]],Table439[,2]),"")</f>
        <v>0</v>
      </c>
      <c r="S181" s="36">
        <f t="shared" si="2"/>
        <v>174</v>
      </c>
      <c r="T181" s="34"/>
      <c r="U181" s="37"/>
      <c r="V181" s="34">
        <f>IFERROR(SUMIF(Table641[Sub-Accounts],Table842[[#This Row],[Update your chart of accounts here]],Table641[Debit]),"")</f>
        <v>0</v>
      </c>
      <c r="W181" s="34">
        <f>IFERROR(SUMIF(Table641[Sub-Accounts],Table842[[#This Row],[Update your chart of accounts here]],Table641[Credit]),"")</f>
        <v>0</v>
      </c>
      <c r="X181" s="34"/>
      <c r="Y181" s="34"/>
      <c r="Z181" s="34"/>
      <c r="AA181" s="34"/>
      <c r="AB181" s="34">
        <f>MAX(Table842[[#This Row],[Debit]]+Table842[[#This Row],[Debit -]]-Table842[[#This Row],[Credit]]-Table842[[#This Row],[Credit +]],0)</f>
        <v>0</v>
      </c>
      <c r="AC181" s="34">
        <f>MAX(Table842[[#This Row],[Credit]]-Table842[[#This Row],[Debit]]+Table842[[#This Row],[Credit +]]-Table842[[#This Row],[Debit -]],0)</f>
        <v>0</v>
      </c>
      <c r="AD181" s="34" t="str">
        <f>IFERROR(IF(AND(OR(Table842[[#This Row],[Classification]]="Expense",Table842[[#This Row],[Classification]]="Cost of Goods Sold"),Table842[[#This Row],[Debit\]]&gt;Table842[[#This Row],[Credit.]]),Table842[[#This Row],[Debit\]]-Table842[[#This Row],[Credit.]],""),"")</f>
        <v/>
      </c>
      <c r="AE181" s="34" t="str">
        <f>IFERROR(IF(AND(OR(Table842[[#This Row],[Classification]]="Income",Table842[[#This Row],[Classification]]="Cost of Goods Sold"),Table842[[#This Row],[Credit.]]&gt;Table842[[#This Row],[Debit\]]),Table842[[#This Row],[Credit.]]-Table842[[#This Row],[Debit\]],""),"")</f>
        <v/>
      </c>
      <c r="AF181" s="34"/>
      <c r="AG181" s="34" t="str">
        <f>IFERROR(IF(AND(Table842[[#This Row],[Classification]]="Assets",Table842[[#This Row],[Debit\]]-Table842[[#This Row],[Credit.]]),Table842[[#This Row],[Debit\]]-Table842[[#This Row],[Credit.]],""),"")</f>
        <v/>
      </c>
      <c r="AH181" s="34" t="str">
        <f>IFERROR(IF(AND(OR(Table842[[#This Row],[Classification]]="Liabilities",Table842[[#This Row],[Classification]]="Owner´s Equity"),Table842[[#This Row],[Credit.]]&gt;Table842[[#This Row],[Debit\]]),Table842[[#This Row],[Credit.]]-Table842[[#This Row],[Debit\]],""),"")</f>
        <v/>
      </c>
    </row>
    <row r="182" spans="2:34" hidden="1" x14ac:dyDescent="0.25">
      <c r="B182" s="34"/>
      <c r="C182" s="45"/>
      <c r="D182" s="34"/>
      <c r="E182" s="34"/>
      <c r="G182" s="39"/>
      <c r="H182" s="43"/>
      <c r="I182" s="41"/>
      <c r="J182" s="41"/>
      <c r="L182" s="34">
        <v>175</v>
      </c>
      <c r="M182" s="35"/>
      <c r="N182" s="35"/>
      <c r="O182" s="34">
        <f>IFERROR(SUMIF(Table439[,],Table641[[#This Row],[Accounts Name]],Table439[,3]),"")</f>
        <v>0</v>
      </c>
      <c r="P182" s="34">
        <f>IFERROR(SUMIF(Table439[,],Table641[[#This Row],[Accounts Name]],Table439[,2]),"")</f>
        <v>0</v>
      </c>
      <c r="S182" s="36">
        <f t="shared" si="2"/>
        <v>175</v>
      </c>
      <c r="T182" s="34"/>
      <c r="U182" s="37"/>
      <c r="V182" s="34">
        <f>IFERROR(SUMIF(Table641[Sub-Accounts],Table842[[#This Row],[Update your chart of accounts here]],Table641[Debit]),"")</f>
        <v>0</v>
      </c>
      <c r="W182" s="34">
        <f>IFERROR(SUMIF(Table641[Sub-Accounts],Table842[[#This Row],[Update your chart of accounts here]],Table641[Credit]),"")</f>
        <v>0</v>
      </c>
      <c r="X182" s="34"/>
      <c r="Y182" s="34"/>
      <c r="Z182" s="34"/>
      <c r="AA182" s="34"/>
      <c r="AB182" s="34">
        <f>MAX(Table842[[#This Row],[Debit]]+Table842[[#This Row],[Debit -]]-Table842[[#This Row],[Credit]]-Table842[[#This Row],[Credit +]],0)</f>
        <v>0</v>
      </c>
      <c r="AC182" s="34">
        <f>MAX(Table842[[#This Row],[Credit]]-Table842[[#This Row],[Debit]]+Table842[[#This Row],[Credit +]]-Table842[[#This Row],[Debit -]],0)</f>
        <v>0</v>
      </c>
      <c r="AD182" s="34" t="str">
        <f>IFERROR(IF(AND(OR(Table842[[#This Row],[Classification]]="Expense",Table842[[#This Row],[Classification]]="Cost of Goods Sold"),Table842[[#This Row],[Debit\]]&gt;Table842[[#This Row],[Credit.]]),Table842[[#This Row],[Debit\]]-Table842[[#This Row],[Credit.]],""),"")</f>
        <v/>
      </c>
      <c r="AE182" s="34" t="str">
        <f>IFERROR(IF(AND(OR(Table842[[#This Row],[Classification]]="Income",Table842[[#This Row],[Classification]]="Cost of Goods Sold"),Table842[[#This Row],[Credit.]]&gt;Table842[[#This Row],[Debit\]]),Table842[[#This Row],[Credit.]]-Table842[[#This Row],[Debit\]],""),"")</f>
        <v/>
      </c>
      <c r="AF182" s="34"/>
      <c r="AG182" s="34" t="str">
        <f>IFERROR(IF(AND(Table842[[#This Row],[Classification]]="Assets",Table842[[#This Row],[Debit\]]-Table842[[#This Row],[Credit.]]),Table842[[#This Row],[Debit\]]-Table842[[#This Row],[Credit.]],""),"")</f>
        <v/>
      </c>
      <c r="AH182" s="34" t="str">
        <f>IFERROR(IF(AND(OR(Table842[[#This Row],[Classification]]="Liabilities",Table842[[#This Row],[Classification]]="Owner´s Equity"),Table842[[#This Row],[Credit.]]&gt;Table842[[#This Row],[Debit\]]),Table842[[#This Row],[Credit.]]-Table842[[#This Row],[Debit\]],""),"")</f>
        <v/>
      </c>
    </row>
    <row r="183" spans="2:34" hidden="1" x14ac:dyDescent="0.25">
      <c r="B183" s="34"/>
      <c r="C183" s="45"/>
      <c r="D183" s="34"/>
      <c r="E183" s="34"/>
      <c r="G183" s="39"/>
      <c r="H183" s="40"/>
      <c r="I183" s="41"/>
      <c r="J183" s="41"/>
      <c r="L183" s="34">
        <v>176</v>
      </c>
      <c r="M183" s="35"/>
      <c r="N183" s="35"/>
      <c r="O183" s="34">
        <f>IFERROR(SUMIF(Table439[,],Table641[[#This Row],[Accounts Name]],Table439[,3]),"")</f>
        <v>0</v>
      </c>
      <c r="P183" s="34">
        <f>IFERROR(SUMIF(Table439[,],Table641[[#This Row],[Accounts Name]],Table439[,2]),"")</f>
        <v>0</v>
      </c>
      <c r="S183" s="36">
        <f t="shared" si="2"/>
        <v>176</v>
      </c>
      <c r="T183" s="34"/>
      <c r="U183" s="37"/>
      <c r="V183" s="34">
        <f>IFERROR(SUMIF(Table641[Sub-Accounts],Table842[[#This Row],[Update your chart of accounts here]],Table641[Debit]),"")</f>
        <v>0</v>
      </c>
      <c r="W183" s="34">
        <f>IFERROR(SUMIF(Table641[Sub-Accounts],Table842[[#This Row],[Update your chart of accounts here]],Table641[Credit]),"")</f>
        <v>0</v>
      </c>
      <c r="X183" s="34"/>
      <c r="Y183" s="34"/>
      <c r="Z183" s="34"/>
      <c r="AA183" s="34"/>
      <c r="AB183" s="34">
        <f>MAX(Table842[[#This Row],[Debit]]+Table842[[#This Row],[Debit -]]-Table842[[#This Row],[Credit]]-Table842[[#This Row],[Credit +]],0)</f>
        <v>0</v>
      </c>
      <c r="AC183" s="34">
        <f>MAX(Table842[[#This Row],[Credit]]-Table842[[#This Row],[Debit]]+Table842[[#This Row],[Credit +]]-Table842[[#This Row],[Debit -]],0)</f>
        <v>0</v>
      </c>
      <c r="AD183" s="34" t="str">
        <f>IFERROR(IF(AND(OR(Table842[[#This Row],[Classification]]="Expense",Table842[[#This Row],[Classification]]="Cost of Goods Sold"),Table842[[#This Row],[Debit\]]&gt;Table842[[#This Row],[Credit.]]),Table842[[#This Row],[Debit\]]-Table842[[#This Row],[Credit.]],""),"")</f>
        <v/>
      </c>
      <c r="AE183" s="34" t="str">
        <f>IFERROR(IF(AND(OR(Table842[[#This Row],[Classification]]="Income",Table842[[#This Row],[Classification]]="Cost of Goods Sold"),Table842[[#This Row],[Credit.]]&gt;Table842[[#This Row],[Debit\]]),Table842[[#This Row],[Credit.]]-Table842[[#This Row],[Debit\]],""),"")</f>
        <v/>
      </c>
      <c r="AF183" s="34"/>
      <c r="AG183" s="34" t="str">
        <f>IFERROR(IF(AND(Table842[[#This Row],[Classification]]="Assets",Table842[[#This Row],[Debit\]]-Table842[[#This Row],[Credit.]]),Table842[[#This Row],[Debit\]]-Table842[[#This Row],[Credit.]],""),"")</f>
        <v/>
      </c>
      <c r="AH183" s="34" t="str">
        <f>IFERROR(IF(AND(OR(Table842[[#This Row],[Classification]]="Liabilities",Table842[[#This Row],[Classification]]="Owner´s Equity"),Table842[[#This Row],[Credit.]]&gt;Table842[[#This Row],[Debit\]]),Table842[[#This Row],[Credit.]]-Table842[[#This Row],[Debit\]],""),"")</f>
        <v/>
      </c>
    </row>
    <row r="184" spans="2:34" hidden="1" x14ac:dyDescent="0.25">
      <c r="B184" s="34"/>
      <c r="C184" s="45"/>
      <c r="D184" s="34"/>
      <c r="E184" s="34"/>
      <c r="G184" s="39"/>
      <c r="H184" s="40"/>
      <c r="I184" s="41"/>
      <c r="J184" s="41"/>
      <c r="L184" s="34">
        <v>177</v>
      </c>
      <c r="M184" s="35"/>
      <c r="N184" s="35"/>
      <c r="O184" s="34">
        <f>IFERROR(SUMIF(Table439[,],Table641[[#This Row],[Accounts Name]],Table439[,3]),"")</f>
        <v>0</v>
      </c>
      <c r="P184" s="34">
        <f>IFERROR(SUMIF(Table439[,],Table641[[#This Row],[Accounts Name]],Table439[,2]),"")</f>
        <v>0</v>
      </c>
      <c r="S184" s="36">
        <f t="shared" si="2"/>
        <v>177</v>
      </c>
      <c r="T184" s="34"/>
      <c r="U184" s="37"/>
      <c r="V184" s="34">
        <f>IFERROR(SUMIF(Table641[Sub-Accounts],Table842[[#This Row],[Update your chart of accounts here]],Table641[Debit]),"")</f>
        <v>0</v>
      </c>
      <c r="W184" s="34">
        <f>IFERROR(SUMIF(Table641[Sub-Accounts],Table842[[#This Row],[Update your chart of accounts here]],Table641[Credit]),"")</f>
        <v>0</v>
      </c>
      <c r="X184" s="34"/>
      <c r="Y184" s="34"/>
      <c r="Z184" s="34"/>
      <c r="AA184" s="34"/>
      <c r="AB184" s="34">
        <f>MAX(Table842[[#This Row],[Debit]]+Table842[[#This Row],[Debit -]]-Table842[[#This Row],[Credit]]-Table842[[#This Row],[Credit +]],0)</f>
        <v>0</v>
      </c>
      <c r="AC184" s="34">
        <f>MAX(Table842[[#This Row],[Credit]]-Table842[[#This Row],[Debit]]+Table842[[#This Row],[Credit +]]-Table842[[#This Row],[Debit -]],0)</f>
        <v>0</v>
      </c>
      <c r="AD184" s="34" t="str">
        <f>IFERROR(IF(AND(OR(Table842[[#This Row],[Classification]]="Expense",Table842[[#This Row],[Classification]]="Cost of Goods Sold"),Table842[[#This Row],[Debit\]]&gt;Table842[[#This Row],[Credit.]]),Table842[[#This Row],[Debit\]]-Table842[[#This Row],[Credit.]],""),"")</f>
        <v/>
      </c>
      <c r="AE184" s="34" t="str">
        <f>IFERROR(IF(AND(OR(Table842[[#This Row],[Classification]]="Income",Table842[[#This Row],[Classification]]="Cost of Goods Sold"),Table842[[#This Row],[Credit.]]&gt;Table842[[#This Row],[Debit\]]),Table842[[#This Row],[Credit.]]-Table842[[#This Row],[Debit\]],""),"")</f>
        <v/>
      </c>
      <c r="AF184" s="34"/>
      <c r="AG184" s="34" t="str">
        <f>IFERROR(IF(AND(Table842[[#This Row],[Classification]]="Assets",Table842[[#This Row],[Debit\]]-Table842[[#This Row],[Credit.]]),Table842[[#This Row],[Debit\]]-Table842[[#This Row],[Credit.]],""),"")</f>
        <v/>
      </c>
      <c r="AH184" s="34" t="str">
        <f>IFERROR(IF(AND(OR(Table842[[#This Row],[Classification]]="Liabilities",Table842[[#This Row],[Classification]]="Owner´s Equity"),Table842[[#This Row],[Credit.]]&gt;Table842[[#This Row],[Debit\]]),Table842[[#This Row],[Credit.]]-Table842[[#This Row],[Debit\]],""),"")</f>
        <v/>
      </c>
    </row>
    <row r="185" spans="2:34" hidden="1" x14ac:dyDescent="0.25">
      <c r="B185" s="34"/>
      <c r="C185" s="45"/>
      <c r="D185" s="34"/>
      <c r="E185" s="34"/>
      <c r="G185" s="39"/>
      <c r="H185" s="43"/>
      <c r="I185" s="41"/>
      <c r="J185" s="41"/>
      <c r="L185" s="34">
        <v>178</v>
      </c>
      <c r="M185" s="35"/>
      <c r="N185" s="35"/>
      <c r="O185" s="34">
        <f>IFERROR(SUMIF(Table439[,],Table641[[#This Row],[Accounts Name]],Table439[,3]),"")</f>
        <v>0</v>
      </c>
      <c r="P185" s="34">
        <f>IFERROR(SUMIF(Table439[,],Table641[[#This Row],[Accounts Name]],Table439[,2]),"")</f>
        <v>0</v>
      </c>
      <c r="S185" s="36">
        <f t="shared" si="2"/>
        <v>178</v>
      </c>
      <c r="T185" s="34"/>
      <c r="U185" s="37"/>
      <c r="V185" s="34">
        <f>IFERROR(SUMIF(Table641[Sub-Accounts],Table842[[#This Row],[Update your chart of accounts here]],Table641[Debit]),"")</f>
        <v>0</v>
      </c>
      <c r="W185" s="34">
        <f>IFERROR(SUMIF(Table641[Sub-Accounts],Table842[[#This Row],[Update your chart of accounts here]],Table641[Credit]),"")</f>
        <v>0</v>
      </c>
      <c r="X185" s="34"/>
      <c r="Y185" s="34"/>
      <c r="Z185" s="34"/>
      <c r="AA185" s="34"/>
      <c r="AB185" s="34">
        <f>MAX(Table842[[#This Row],[Debit]]+Table842[[#This Row],[Debit -]]-Table842[[#This Row],[Credit]]-Table842[[#This Row],[Credit +]],0)</f>
        <v>0</v>
      </c>
      <c r="AC185" s="34">
        <f>MAX(Table842[[#This Row],[Credit]]-Table842[[#This Row],[Debit]]+Table842[[#This Row],[Credit +]]-Table842[[#This Row],[Debit -]],0)</f>
        <v>0</v>
      </c>
      <c r="AD185" s="34" t="str">
        <f>IFERROR(IF(AND(OR(Table842[[#This Row],[Classification]]="Expense",Table842[[#This Row],[Classification]]="Cost of Goods Sold"),Table842[[#This Row],[Debit\]]&gt;Table842[[#This Row],[Credit.]]),Table842[[#This Row],[Debit\]]-Table842[[#This Row],[Credit.]],""),"")</f>
        <v/>
      </c>
      <c r="AE185" s="34" t="str">
        <f>IFERROR(IF(AND(OR(Table842[[#This Row],[Classification]]="Income",Table842[[#This Row],[Classification]]="Cost of Goods Sold"),Table842[[#This Row],[Credit.]]&gt;Table842[[#This Row],[Debit\]]),Table842[[#This Row],[Credit.]]-Table842[[#This Row],[Debit\]],""),"")</f>
        <v/>
      </c>
      <c r="AF185" s="34"/>
      <c r="AG185" s="34" t="str">
        <f>IFERROR(IF(AND(Table842[[#This Row],[Classification]]="Assets",Table842[[#This Row],[Debit\]]-Table842[[#This Row],[Credit.]]),Table842[[#This Row],[Debit\]]-Table842[[#This Row],[Credit.]],""),"")</f>
        <v/>
      </c>
      <c r="AH185" s="34" t="str">
        <f>IFERROR(IF(AND(OR(Table842[[#This Row],[Classification]]="Liabilities",Table842[[#This Row],[Classification]]="Owner´s Equity"),Table842[[#This Row],[Credit.]]&gt;Table842[[#This Row],[Debit\]]),Table842[[#This Row],[Credit.]]-Table842[[#This Row],[Debit\]],""),"")</f>
        <v/>
      </c>
    </row>
    <row r="186" spans="2:34" hidden="1" x14ac:dyDescent="0.25">
      <c r="B186" s="34"/>
      <c r="C186" s="45"/>
      <c r="D186" s="34"/>
      <c r="E186" s="34"/>
      <c r="G186" s="39"/>
      <c r="H186" s="40"/>
      <c r="I186" s="41"/>
      <c r="J186" s="41"/>
      <c r="L186" s="34">
        <v>179</v>
      </c>
      <c r="M186" s="35"/>
      <c r="N186" s="35"/>
      <c r="O186" s="34">
        <f>IFERROR(SUMIF(Table439[,],Table641[[#This Row],[Accounts Name]],Table439[,3]),"")</f>
        <v>0</v>
      </c>
      <c r="P186" s="34">
        <f>IFERROR(SUMIF(Table439[,],Table641[[#This Row],[Accounts Name]],Table439[,2]),"")</f>
        <v>0</v>
      </c>
      <c r="S186" s="36">
        <f t="shared" si="2"/>
        <v>179</v>
      </c>
      <c r="T186" s="34"/>
      <c r="U186" s="37"/>
      <c r="V186" s="34">
        <f>IFERROR(SUMIF(Table641[Sub-Accounts],Table842[[#This Row],[Update your chart of accounts here]],Table641[Debit]),"")</f>
        <v>0</v>
      </c>
      <c r="W186" s="34">
        <f>IFERROR(SUMIF(Table641[Sub-Accounts],Table842[[#This Row],[Update your chart of accounts here]],Table641[Credit]),"")</f>
        <v>0</v>
      </c>
      <c r="X186" s="34"/>
      <c r="Y186" s="34"/>
      <c r="Z186" s="34"/>
      <c r="AA186" s="34"/>
      <c r="AB186" s="34">
        <f>MAX(Table842[[#This Row],[Debit]]+Table842[[#This Row],[Debit -]]-Table842[[#This Row],[Credit]]-Table842[[#This Row],[Credit +]],0)</f>
        <v>0</v>
      </c>
      <c r="AC186" s="34">
        <f>MAX(Table842[[#This Row],[Credit]]-Table842[[#This Row],[Debit]]+Table842[[#This Row],[Credit +]]-Table842[[#This Row],[Debit -]],0)</f>
        <v>0</v>
      </c>
      <c r="AD186" s="34" t="str">
        <f>IFERROR(IF(AND(OR(Table842[[#This Row],[Classification]]="Expense",Table842[[#This Row],[Classification]]="Cost of Goods Sold"),Table842[[#This Row],[Debit\]]&gt;Table842[[#This Row],[Credit.]]),Table842[[#This Row],[Debit\]]-Table842[[#This Row],[Credit.]],""),"")</f>
        <v/>
      </c>
      <c r="AE186" s="34" t="str">
        <f>IFERROR(IF(AND(OR(Table842[[#This Row],[Classification]]="Income",Table842[[#This Row],[Classification]]="Cost of Goods Sold"),Table842[[#This Row],[Credit.]]&gt;Table842[[#This Row],[Debit\]]),Table842[[#This Row],[Credit.]]-Table842[[#This Row],[Debit\]],""),"")</f>
        <v/>
      </c>
      <c r="AF186" s="34"/>
      <c r="AG186" s="34" t="str">
        <f>IFERROR(IF(AND(Table842[[#This Row],[Classification]]="Assets",Table842[[#This Row],[Debit\]]-Table842[[#This Row],[Credit.]]),Table842[[#This Row],[Debit\]]-Table842[[#This Row],[Credit.]],""),"")</f>
        <v/>
      </c>
      <c r="AH186" s="34" t="str">
        <f>IFERROR(IF(AND(OR(Table842[[#This Row],[Classification]]="Liabilities",Table842[[#This Row],[Classification]]="Owner´s Equity"),Table842[[#This Row],[Credit.]]&gt;Table842[[#This Row],[Debit\]]),Table842[[#This Row],[Credit.]]-Table842[[#This Row],[Debit\]],""),"")</f>
        <v/>
      </c>
    </row>
    <row r="187" spans="2:34" hidden="1" x14ac:dyDescent="0.25">
      <c r="B187" s="34"/>
      <c r="C187" s="45"/>
      <c r="D187" s="34"/>
      <c r="E187" s="34"/>
      <c r="G187" s="39"/>
      <c r="H187" s="40"/>
      <c r="I187" s="41"/>
      <c r="J187" s="41"/>
      <c r="L187" s="34">
        <v>180</v>
      </c>
      <c r="M187" s="35"/>
      <c r="N187" s="35"/>
      <c r="O187" s="34">
        <f>IFERROR(SUMIF(Table439[,],Table641[[#This Row],[Accounts Name]],Table439[,3]),"")</f>
        <v>0</v>
      </c>
      <c r="P187" s="34">
        <f>IFERROR(SUMIF(Table439[,],Table641[[#This Row],[Accounts Name]],Table439[,2]),"")</f>
        <v>0</v>
      </c>
      <c r="S187" s="36">
        <f t="shared" si="2"/>
        <v>180</v>
      </c>
      <c r="T187" s="34"/>
      <c r="U187" s="37"/>
      <c r="V187" s="34">
        <f>IFERROR(SUMIF(Table641[Sub-Accounts],Table842[[#This Row],[Update your chart of accounts here]],Table641[Debit]),"")</f>
        <v>0</v>
      </c>
      <c r="W187" s="34">
        <f>IFERROR(SUMIF(Table641[Sub-Accounts],Table842[[#This Row],[Update your chart of accounts here]],Table641[Credit]),"")</f>
        <v>0</v>
      </c>
      <c r="X187" s="34"/>
      <c r="Y187" s="34"/>
      <c r="Z187" s="34"/>
      <c r="AA187" s="34"/>
      <c r="AB187" s="34">
        <f>MAX(Table842[[#This Row],[Debit]]+Table842[[#This Row],[Debit -]]-Table842[[#This Row],[Credit]]-Table842[[#This Row],[Credit +]],0)</f>
        <v>0</v>
      </c>
      <c r="AC187" s="34">
        <f>MAX(Table842[[#This Row],[Credit]]-Table842[[#This Row],[Debit]]+Table842[[#This Row],[Credit +]]-Table842[[#This Row],[Debit -]],0)</f>
        <v>0</v>
      </c>
      <c r="AD187" s="34" t="str">
        <f>IFERROR(IF(AND(OR(Table842[[#This Row],[Classification]]="Expense",Table842[[#This Row],[Classification]]="Cost of Goods Sold"),Table842[[#This Row],[Debit\]]&gt;Table842[[#This Row],[Credit.]]),Table842[[#This Row],[Debit\]]-Table842[[#This Row],[Credit.]],""),"")</f>
        <v/>
      </c>
      <c r="AE187" s="34" t="str">
        <f>IFERROR(IF(AND(OR(Table842[[#This Row],[Classification]]="Income",Table842[[#This Row],[Classification]]="Cost of Goods Sold"),Table842[[#This Row],[Credit.]]&gt;Table842[[#This Row],[Debit\]]),Table842[[#This Row],[Credit.]]-Table842[[#This Row],[Debit\]],""),"")</f>
        <v/>
      </c>
      <c r="AF187" s="34"/>
      <c r="AG187" s="34" t="str">
        <f>IFERROR(IF(AND(Table842[[#This Row],[Classification]]="Assets",Table842[[#This Row],[Debit\]]-Table842[[#This Row],[Credit.]]),Table842[[#This Row],[Debit\]]-Table842[[#This Row],[Credit.]],""),"")</f>
        <v/>
      </c>
      <c r="AH187" s="34" t="str">
        <f>IFERROR(IF(AND(OR(Table842[[#This Row],[Classification]]="Liabilities",Table842[[#This Row],[Classification]]="Owner´s Equity"),Table842[[#This Row],[Credit.]]&gt;Table842[[#This Row],[Debit\]]),Table842[[#This Row],[Credit.]]-Table842[[#This Row],[Debit\]],""),"")</f>
        <v/>
      </c>
    </row>
    <row r="188" spans="2:34" hidden="1" x14ac:dyDescent="0.25">
      <c r="B188" s="34"/>
      <c r="C188" s="45"/>
      <c r="D188" s="34"/>
      <c r="E188" s="34"/>
      <c r="G188" s="39"/>
      <c r="H188" s="43"/>
      <c r="I188" s="41"/>
      <c r="J188" s="41"/>
      <c r="L188" s="34">
        <v>181</v>
      </c>
      <c r="M188" s="35"/>
      <c r="N188" s="35"/>
      <c r="O188" s="34">
        <f>IFERROR(SUMIF(Table439[,],Table641[[#This Row],[Accounts Name]],Table439[,3]),"")</f>
        <v>0</v>
      </c>
      <c r="P188" s="34">
        <f>IFERROR(SUMIF(Table439[,],Table641[[#This Row],[Accounts Name]],Table439[,2]),"")</f>
        <v>0</v>
      </c>
      <c r="S188" s="36">
        <f t="shared" si="2"/>
        <v>181</v>
      </c>
      <c r="T188" s="34"/>
      <c r="U188" s="37"/>
      <c r="V188" s="34">
        <f>IFERROR(SUMIF(Table641[Sub-Accounts],Table842[[#This Row],[Update your chart of accounts here]],Table641[Debit]),"")</f>
        <v>0</v>
      </c>
      <c r="W188" s="34">
        <f>IFERROR(SUMIF(Table641[Sub-Accounts],Table842[[#This Row],[Update your chart of accounts here]],Table641[Credit]),"")</f>
        <v>0</v>
      </c>
      <c r="X188" s="34"/>
      <c r="Y188" s="34"/>
      <c r="Z188" s="34"/>
      <c r="AA188" s="34"/>
      <c r="AB188" s="34">
        <f>MAX(Table842[[#This Row],[Debit]]+Table842[[#This Row],[Debit -]]-Table842[[#This Row],[Credit]]-Table842[[#This Row],[Credit +]],0)</f>
        <v>0</v>
      </c>
      <c r="AC188" s="34">
        <f>MAX(Table842[[#This Row],[Credit]]-Table842[[#This Row],[Debit]]+Table842[[#This Row],[Credit +]]-Table842[[#This Row],[Debit -]],0)</f>
        <v>0</v>
      </c>
      <c r="AD188" s="34" t="str">
        <f>IFERROR(IF(AND(OR(Table842[[#This Row],[Classification]]="Expense",Table842[[#This Row],[Classification]]="Cost of Goods Sold"),Table842[[#This Row],[Debit\]]&gt;Table842[[#This Row],[Credit.]]),Table842[[#This Row],[Debit\]]-Table842[[#This Row],[Credit.]],""),"")</f>
        <v/>
      </c>
      <c r="AE188" s="34" t="str">
        <f>IFERROR(IF(AND(OR(Table842[[#This Row],[Classification]]="Income",Table842[[#This Row],[Classification]]="Cost of Goods Sold"),Table842[[#This Row],[Credit.]]&gt;Table842[[#This Row],[Debit\]]),Table842[[#This Row],[Credit.]]-Table842[[#This Row],[Debit\]],""),"")</f>
        <v/>
      </c>
      <c r="AF188" s="34"/>
      <c r="AG188" s="34" t="str">
        <f>IFERROR(IF(AND(Table842[[#This Row],[Classification]]="Assets",Table842[[#This Row],[Debit\]]-Table842[[#This Row],[Credit.]]),Table842[[#This Row],[Debit\]]-Table842[[#This Row],[Credit.]],""),"")</f>
        <v/>
      </c>
      <c r="AH188" s="34" t="str">
        <f>IFERROR(IF(AND(OR(Table842[[#This Row],[Classification]]="Liabilities",Table842[[#This Row],[Classification]]="Owner´s Equity"),Table842[[#This Row],[Credit.]]&gt;Table842[[#This Row],[Debit\]]),Table842[[#This Row],[Credit.]]-Table842[[#This Row],[Debit\]],""),"")</f>
        <v/>
      </c>
    </row>
    <row r="189" spans="2:34" hidden="1" x14ac:dyDescent="0.25">
      <c r="B189" s="34"/>
      <c r="C189" s="45"/>
      <c r="D189" s="34"/>
      <c r="E189" s="34"/>
      <c r="G189" s="39"/>
      <c r="H189" s="40"/>
      <c r="I189" s="41"/>
      <c r="J189" s="41"/>
      <c r="L189" s="34">
        <v>182</v>
      </c>
      <c r="M189" s="35"/>
      <c r="N189" s="35"/>
      <c r="O189" s="34">
        <f>IFERROR(SUMIF(Table439[,],Table641[[#This Row],[Accounts Name]],Table439[,3]),"")</f>
        <v>0</v>
      </c>
      <c r="P189" s="34">
        <f>IFERROR(SUMIF(Table439[,],Table641[[#This Row],[Accounts Name]],Table439[,2]),"")</f>
        <v>0</v>
      </c>
      <c r="S189" s="36">
        <f t="shared" si="2"/>
        <v>182</v>
      </c>
      <c r="T189" s="34"/>
      <c r="U189" s="37"/>
      <c r="V189" s="34">
        <f>IFERROR(SUMIF(Table641[Sub-Accounts],Table842[[#This Row],[Update your chart of accounts here]],Table641[Debit]),"")</f>
        <v>0</v>
      </c>
      <c r="W189" s="34">
        <f>IFERROR(SUMIF(Table641[Sub-Accounts],Table842[[#This Row],[Update your chart of accounts here]],Table641[Credit]),"")</f>
        <v>0</v>
      </c>
      <c r="X189" s="34"/>
      <c r="Y189" s="34"/>
      <c r="Z189" s="34"/>
      <c r="AA189" s="34"/>
      <c r="AB189" s="34">
        <f>MAX(Table842[[#This Row],[Debit]]+Table842[[#This Row],[Debit -]]-Table842[[#This Row],[Credit]]-Table842[[#This Row],[Credit +]],0)</f>
        <v>0</v>
      </c>
      <c r="AC189" s="34">
        <f>MAX(Table842[[#This Row],[Credit]]-Table842[[#This Row],[Debit]]+Table842[[#This Row],[Credit +]]-Table842[[#This Row],[Debit -]],0)</f>
        <v>0</v>
      </c>
      <c r="AD189" s="34" t="str">
        <f>IFERROR(IF(AND(OR(Table842[[#This Row],[Classification]]="Expense",Table842[[#This Row],[Classification]]="Cost of Goods Sold"),Table842[[#This Row],[Debit\]]&gt;Table842[[#This Row],[Credit.]]),Table842[[#This Row],[Debit\]]-Table842[[#This Row],[Credit.]],""),"")</f>
        <v/>
      </c>
      <c r="AE189" s="34" t="str">
        <f>IFERROR(IF(AND(OR(Table842[[#This Row],[Classification]]="Income",Table842[[#This Row],[Classification]]="Cost of Goods Sold"),Table842[[#This Row],[Credit.]]&gt;Table842[[#This Row],[Debit\]]),Table842[[#This Row],[Credit.]]-Table842[[#This Row],[Debit\]],""),"")</f>
        <v/>
      </c>
      <c r="AF189" s="34"/>
      <c r="AG189" s="34" t="str">
        <f>IFERROR(IF(AND(Table842[[#This Row],[Classification]]="Assets",Table842[[#This Row],[Debit\]]-Table842[[#This Row],[Credit.]]),Table842[[#This Row],[Debit\]]-Table842[[#This Row],[Credit.]],""),"")</f>
        <v/>
      </c>
      <c r="AH189" s="34" t="str">
        <f>IFERROR(IF(AND(OR(Table842[[#This Row],[Classification]]="Liabilities",Table842[[#This Row],[Classification]]="Owner´s Equity"),Table842[[#This Row],[Credit.]]&gt;Table842[[#This Row],[Debit\]]),Table842[[#This Row],[Credit.]]-Table842[[#This Row],[Debit\]],""),"")</f>
        <v/>
      </c>
    </row>
    <row r="190" spans="2:34" hidden="1" x14ac:dyDescent="0.25">
      <c r="B190" s="34"/>
      <c r="C190" s="45"/>
      <c r="D190" s="34"/>
      <c r="E190" s="34"/>
      <c r="G190" s="39"/>
      <c r="H190" s="40"/>
      <c r="I190" s="41"/>
      <c r="J190" s="41"/>
      <c r="L190" s="34">
        <v>183</v>
      </c>
      <c r="M190" s="35"/>
      <c r="N190" s="35"/>
      <c r="O190" s="34">
        <f>IFERROR(SUMIF(Table439[,],Table641[[#This Row],[Accounts Name]],Table439[,3]),"")</f>
        <v>0</v>
      </c>
      <c r="P190" s="34">
        <f>IFERROR(SUMIF(Table439[,],Table641[[#This Row],[Accounts Name]],Table439[,2]),"")</f>
        <v>0</v>
      </c>
      <c r="S190" s="36">
        <f t="shared" si="2"/>
        <v>183</v>
      </c>
      <c r="T190" s="34"/>
      <c r="U190" s="37"/>
      <c r="V190" s="34">
        <f>IFERROR(SUMIF(Table641[Sub-Accounts],Table842[[#This Row],[Update your chart of accounts here]],Table641[Debit]),"")</f>
        <v>0</v>
      </c>
      <c r="W190" s="34">
        <f>IFERROR(SUMIF(Table641[Sub-Accounts],Table842[[#This Row],[Update your chart of accounts here]],Table641[Credit]),"")</f>
        <v>0</v>
      </c>
      <c r="X190" s="34"/>
      <c r="Y190" s="34"/>
      <c r="Z190" s="34"/>
      <c r="AA190" s="34"/>
      <c r="AB190" s="34">
        <f>MAX(Table842[[#This Row],[Debit]]+Table842[[#This Row],[Debit -]]-Table842[[#This Row],[Credit]]-Table842[[#This Row],[Credit +]],0)</f>
        <v>0</v>
      </c>
      <c r="AC190" s="34">
        <f>MAX(Table842[[#This Row],[Credit]]-Table842[[#This Row],[Debit]]+Table842[[#This Row],[Credit +]]-Table842[[#This Row],[Debit -]],0)</f>
        <v>0</v>
      </c>
      <c r="AD190" s="34" t="str">
        <f>IFERROR(IF(AND(OR(Table842[[#This Row],[Classification]]="Expense",Table842[[#This Row],[Classification]]="Cost of Goods Sold"),Table842[[#This Row],[Debit\]]&gt;Table842[[#This Row],[Credit.]]),Table842[[#This Row],[Debit\]]-Table842[[#This Row],[Credit.]],""),"")</f>
        <v/>
      </c>
      <c r="AE190" s="34" t="str">
        <f>IFERROR(IF(AND(OR(Table842[[#This Row],[Classification]]="Income",Table842[[#This Row],[Classification]]="Cost of Goods Sold"),Table842[[#This Row],[Credit.]]&gt;Table842[[#This Row],[Debit\]]),Table842[[#This Row],[Credit.]]-Table842[[#This Row],[Debit\]],""),"")</f>
        <v/>
      </c>
      <c r="AF190" s="34"/>
      <c r="AG190" s="34" t="str">
        <f>IFERROR(IF(AND(Table842[[#This Row],[Classification]]="Assets",Table842[[#This Row],[Debit\]]-Table842[[#This Row],[Credit.]]),Table842[[#This Row],[Debit\]]-Table842[[#This Row],[Credit.]],""),"")</f>
        <v/>
      </c>
      <c r="AH190" s="34" t="str">
        <f>IFERROR(IF(AND(OR(Table842[[#This Row],[Classification]]="Liabilities",Table842[[#This Row],[Classification]]="Owner´s Equity"),Table842[[#This Row],[Credit.]]&gt;Table842[[#This Row],[Debit\]]),Table842[[#This Row],[Credit.]]-Table842[[#This Row],[Debit\]],""),"")</f>
        <v/>
      </c>
    </row>
    <row r="191" spans="2:34" hidden="1" x14ac:dyDescent="0.25">
      <c r="B191" s="34"/>
      <c r="C191" s="45"/>
      <c r="D191" s="34"/>
      <c r="E191" s="34"/>
      <c r="G191" s="39"/>
      <c r="H191" s="43"/>
      <c r="I191" s="41"/>
      <c r="J191" s="41"/>
      <c r="L191" s="34">
        <v>184</v>
      </c>
      <c r="M191" s="35"/>
      <c r="N191" s="35"/>
      <c r="O191" s="34">
        <f>IFERROR(SUMIF(Table439[,],Table641[[#This Row],[Accounts Name]],Table439[,3]),"")</f>
        <v>0</v>
      </c>
      <c r="P191" s="34">
        <f>IFERROR(SUMIF(Table439[,],Table641[[#This Row],[Accounts Name]],Table439[,2]),"")</f>
        <v>0</v>
      </c>
      <c r="S191" s="36">
        <f t="shared" si="2"/>
        <v>184</v>
      </c>
      <c r="T191" s="34"/>
      <c r="U191" s="37"/>
      <c r="V191" s="34">
        <f>IFERROR(SUMIF(Table641[Sub-Accounts],Table842[[#This Row],[Update your chart of accounts here]],Table641[Debit]),"")</f>
        <v>0</v>
      </c>
      <c r="W191" s="34">
        <f>IFERROR(SUMIF(Table641[Sub-Accounts],Table842[[#This Row],[Update your chart of accounts here]],Table641[Credit]),"")</f>
        <v>0</v>
      </c>
      <c r="X191" s="34"/>
      <c r="Y191" s="34"/>
      <c r="Z191" s="34"/>
      <c r="AA191" s="34"/>
      <c r="AB191" s="34">
        <f>MAX(Table842[[#This Row],[Debit]]+Table842[[#This Row],[Debit -]]-Table842[[#This Row],[Credit]]-Table842[[#This Row],[Credit +]],0)</f>
        <v>0</v>
      </c>
      <c r="AC191" s="34">
        <f>MAX(Table842[[#This Row],[Credit]]-Table842[[#This Row],[Debit]]+Table842[[#This Row],[Credit +]]-Table842[[#This Row],[Debit -]],0)</f>
        <v>0</v>
      </c>
      <c r="AD191" s="34" t="str">
        <f>IFERROR(IF(AND(OR(Table842[[#This Row],[Classification]]="Expense",Table842[[#This Row],[Classification]]="Cost of Goods Sold"),Table842[[#This Row],[Debit\]]&gt;Table842[[#This Row],[Credit.]]),Table842[[#This Row],[Debit\]]-Table842[[#This Row],[Credit.]],""),"")</f>
        <v/>
      </c>
      <c r="AE191" s="34" t="str">
        <f>IFERROR(IF(AND(OR(Table842[[#This Row],[Classification]]="Income",Table842[[#This Row],[Classification]]="Cost of Goods Sold"),Table842[[#This Row],[Credit.]]&gt;Table842[[#This Row],[Debit\]]),Table842[[#This Row],[Credit.]]-Table842[[#This Row],[Debit\]],""),"")</f>
        <v/>
      </c>
      <c r="AF191" s="34"/>
      <c r="AG191" s="34" t="str">
        <f>IFERROR(IF(AND(Table842[[#This Row],[Classification]]="Assets",Table842[[#This Row],[Debit\]]-Table842[[#This Row],[Credit.]]),Table842[[#This Row],[Debit\]]-Table842[[#This Row],[Credit.]],""),"")</f>
        <v/>
      </c>
      <c r="AH191" s="34" t="str">
        <f>IFERROR(IF(AND(OR(Table842[[#This Row],[Classification]]="Liabilities",Table842[[#This Row],[Classification]]="Owner´s Equity"),Table842[[#This Row],[Credit.]]&gt;Table842[[#This Row],[Debit\]]),Table842[[#This Row],[Credit.]]-Table842[[#This Row],[Debit\]],""),"")</f>
        <v/>
      </c>
    </row>
    <row r="192" spans="2:34" hidden="1" x14ac:dyDescent="0.25">
      <c r="B192" s="34"/>
      <c r="C192" s="45"/>
      <c r="D192" s="34"/>
      <c r="E192" s="34"/>
      <c r="G192" s="39"/>
      <c r="H192" s="40"/>
      <c r="I192" s="41"/>
      <c r="J192" s="41"/>
      <c r="L192" s="34">
        <v>185</v>
      </c>
      <c r="M192" s="35"/>
      <c r="N192" s="35"/>
      <c r="O192" s="34">
        <f>IFERROR(SUMIF(Table439[,],Table641[[#This Row],[Accounts Name]],Table439[,3]),"")</f>
        <v>0</v>
      </c>
      <c r="P192" s="34">
        <f>IFERROR(SUMIF(Table439[,],Table641[[#This Row],[Accounts Name]],Table439[,2]),"")</f>
        <v>0</v>
      </c>
      <c r="S192" s="36">
        <f t="shared" si="2"/>
        <v>185</v>
      </c>
      <c r="T192" s="34"/>
      <c r="U192" s="37"/>
      <c r="V192" s="34">
        <f>IFERROR(SUMIF(Table641[Sub-Accounts],Table842[[#This Row],[Update your chart of accounts here]],Table641[Debit]),"")</f>
        <v>0</v>
      </c>
      <c r="W192" s="34">
        <f>IFERROR(SUMIF(Table641[Sub-Accounts],Table842[[#This Row],[Update your chart of accounts here]],Table641[Credit]),"")</f>
        <v>0</v>
      </c>
      <c r="X192" s="34"/>
      <c r="Y192" s="34"/>
      <c r="Z192" s="34"/>
      <c r="AA192" s="34"/>
      <c r="AB192" s="34">
        <f>MAX(Table842[[#This Row],[Debit]]+Table842[[#This Row],[Debit -]]-Table842[[#This Row],[Credit]]-Table842[[#This Row],[Credit +]],0)</f>
        <v>0</v>
      </c>
      <c r="AC192" s="34">
        <f>MAX(Table842[[#This Row],[Credit]]-Table842[[#This Row],[Debit]]+Table842[[#This Row],[Credit +]]-Table842[[#This Row],[Debit -]],0)</f>
        <v>0</v>
      </c>
      <c r="AD192" s="34" t="str">
        <f>IFERROR(IF(AND(OR(Table842[[#This Row],[Classification]]="Expense",Table842[[#This Row],[Classification]]="Cost of Goods Sold"),Table842[[#This Row],[Debit\]]&gt;Table842[[#This Row],[Credit.]]),Table842[[#This Row],[Debit\]]-Table842[[#This Row],[Credit.]],""),"")</f>
        <v/>
      </c>
      <c r="AE192" s="34" t="str">
        <f>IFERROR(IF(AND(OR(Table842[[#This Row],[Classification]]="Income",Table842[[#This Row],[Classification]]="Cost of Goods Sold"),Table842[[#This Row],[Credit.]]&gt;Table842[[#This Row],[Debit\]]),Table842[[#This Row],[Credit.]]-Table842[[#This Row],[Debit\]],""),"")</f>
        <v/>
      </c>
      <c r="AF192" s="34"/>
      <c r="AG192" s="34" t="str">
        <f>IFERROR(IF(AND(Table842[[#This Row],[Classification]]="Assets",Table842[[#This Row],[Debit\]]-Table842[[#This Row],[Credit.]]),Table842[[#This Row],[Debit\]]-Table842[[#This Row],[Credit.]],""),"")</f>
        <v/>
      </c>
      <c r="AH192" s="34" t="str">
        <f>IFERROR(IF(AND(OR(Table842[[#This Row],[Classification]]="Liabilities",Table842[[#This Row],[Classification]]="Owner´s Equity"),Table842[[#This Row],[Credit.]]&gt;Table842[[#This Row],[Debit\]]),Table842[[#This Row],[Credit.]]-Table842[[#This Row],[Debit\]],""),"")</f>
        <v/>
      </c>
    </row>
    <row r="193" spans="2:38" hidden="1" x14ac:dyDescent="0.25">
      <c r="B193" s="34"/>
      <c r="C193" s="45"/>
      <c r="D193" s="34"/>
      <c r="E193" s="34"/>
      <c r="G193" s="39"/>
      <c r="H193" s="40"/>
      <c r="I193" s="41"/>
      <c r="J193" s="41"/>
      <c r="L193" s="34">
        <v>186</v>
      </c>
      <c r="M193" s="35"/>
      <c r="N193" s="35"/>
      <c r="O193" s="34">
        <f>IFERROR(SUMIF(Table439[,],Table641[[#This Row],[Accounts Name]],Table439[,3]),"")</f>
        <v>0</v>
      </c>
      <c r="P193" s="34">
        <f>IFERROR(SUMIF(Table439[,],Table641[[#This Row],[Accounts Name]],Table439[,2]),"")</f>
        <v>0</v>
      </c>
      <c r="S193" s="36">
        <f t="shared" si="2"/>
        <v>186</v>
      </c>
      <c r="T193" s="34"/>
      <c r="U193" s="37"/>
      <c r="V193" s="34">
        <f>IFERROR(SUMIF(Table641[Sub-Accounts],Table842[[#This Row],[Update your chart of accounts here]],Table641[Debit]),"")</f>
        <v>0</v>
      </c>
      <c r="W193" s="34">
        <f>IFERROR(SUMIF(Table641[Sub-Accounts],Table842[[#This Row],[Update your chart of accounts here]],Table641[Credit]),"")</f>
        <v>0</v>
      </c>
      <c r="X193" s="34"/>
      <c r="Y193" s="34"/>
      <c r="Z193" s="34"/>
      <c r="AA193" s="34"/>
      <c r="AB193" s="34">
        <f>MAX(Table842[[#This Row],[Debit]]+Table842[[#This Row],[Debit -]]-Table842[[#This Row],[Credit]]-Table842[[#This Row],[Credit +]],0)</f>
        <v>0</v>
      </c>
      <c r="AC193" s="34">
        <f>MAX(Table842[[#This Row],[Credit]]-Table842[[#This Row],[Debit]]+Table842[[#This Row],[Credit +]]-Table842[[#This Row],[Debit -]],0)</f>
        <v>0</v>
      </c>
      <c r="AD193" s="34" t="str">
        <f>IFERROR(IF(AND(OR(Table842[[#This Row],[Classification]]="Expense",Table842[[#This Row],[Classification]]="Cost of Goods Sold"),Table842[[#This Row],[Debit\]]&gt;Table842[[#This Row],[Credit.]]),Table842[[#This Row],[Debit\]]-Table842[[#This Row],[Credit.]],""),"")</f>
        <v/>
      </c>
      <c r="AE193" s="34" t="str">
        <f>IFERROR(IF(AND(OR(Table842[[#This Row],[Classification]]="Income",Table842[[#This Row],[Classification]]="Cost of Goods Sold"),Table842[[#This Row],[Credit.]]&gt;Table842[[#This Row],[Debit\]]),Table842[[#This Row],[Credit.]]-Table842[[#This Row],[Debit\]],""),"")</f>
        <v/>
      </c>
      <c r="AF193" s="34"/>
      <c r="AG193" s="34" t="str">
        <f>IFERROR(IF(AND(Table842[[#This Row],[Classification]]="Assets",Table842[[#This Row],[Debit\]]-Table842[[#This Row],[Credit.]]),Table842[[#This Row],[Debit\]]-Table842[[#This Row],[Credit.]],""),"")</f>
        <v/>
      </c>
      <c r="AH193" s="34" t="str">
        <f>IFERROR(IF(AND(OR(Table842[[#This Row],[Classification]]="Liabilities",Table842[[#This Row],[Classification]]="Owner´s Equity"),Table842[[#This Row],[Credit.]]&gt;Table842[[#This Row],[Debit\]]),Table842[[#This Row],[Credit.]]-Table842[[#This Row],[Debit\]],""),"")</f>
        <v/>
      </c>
    </row>
    <row r="194" spans="2:38" hidden="1" x14ac:dyDescent="0.25">
      <c r="B194" s="34"/>
      <c r="C194" s="45"/>
      <c r="D194" s="34"/>
      <c r="E194" s="34"/>
      <c r="G194" s="39"/>
      <c r="H194" s="43"/>
      <c r="I194" s="41"/>
      <c r="J194" s="41"/>
      <c r="L194" s="34">
        <v>187</v>
      </c>
      <c r="M194" s="35"/>
      <c r="N194" s="35"/>
      <c r="O194" s="34">
        <f>IFERROR(SUMIF(Table439[,],Table641[[#This Row],[Accounts Name]],Table439[,3]),"")</f>
        <v>0</v>
      </c>
      <c r="P194" s="34">
        <f>IFERROR(SUMIF(Table439[,],Table641[[#This Row],[Accounts Name]],Table439[,2]),"")</f>
        <v>0</v>
      </c>
      <c r="S194" s="36">
        <f t="shared" si="2"/>
        <v>187</v>
      </c>
      <c r="T194" s="34"/>
      <c r="U194" s="37"/>
      <c r="V194" s="34">
        <f>IFERROR(SUMIF(Table641[Sub-Accounts],Table842[[#This Row],[Update your chart of accounts here]],Table641[Debit]),"")</f>
        <v>0</v>
      </c>
      <c r="W194" s="34">
        <f>IFERROR(SUMIF(Table641[Sub-Accounts],Table842[[#This Row],[Update your chart of accounts here]],Table641[Credit]),"")</f>
        <v>0</v>
      </c>
      <c r="X194" s="34"/>
      <c r="Y194" s="34"/>
      <c r="Z194" s="34"/>
      <c r="AA194" s="34"/>
      <c r="AB194" s="34">
        <f>MAX(Table842[[#This Row],[Debit]]+Table842[[#This Row],[Debit -]]-Table842[[#This Row],[Credit]]-Table842[[#This Row],[Credit +]],0)</f>
        <v>0</v>
      </c>
      <c r="AC194" s="34">
        <f>MAX(Table842[[#This Row],[Credit]]-Table842[[#This Row],[Debit]]+Table842[[#This Row],[Credit +]]-Table842[[#This Row],[Debit -]],0)</f>
        <v>0</v>
      </c>
      <c r="AD194" s="34" t="str">
        <f>IFERROR(IF(AND(OR(Table842[[#This Row],[Classification]]="Expense",Table842[[#This Row],[Classification]]="Cost of Goods Sold"),Table842[[#This Row],[Debit\]]&gt;Table842[[#This Row],[Credit.]]),Table842[[#This Row],[Debit\]]-Table842[[#This Row],[Credit.]],""),"")</f>
        <v/>
      </c>
      <c r="AE194" s="34" t="str">
        <f>IFERROR(IF(AND(OR(Table842[[#This Row],[Classification]]="Income",Table842[[#This Row],[Classification]]="Cost of Goods Sold"),Table842[[#This Row],[Credit.]]&gt;Table842[[#This Row],[Debit\]]),Table842[[#This Row],[Credit.]]-Table842[[#This Row],[Debit\]],""),"")</f>
        <v/>
      </c>
      <c r="AF194" s="34"/>
      <c r="AG194" s="34" t="str">
        <f>IFERROR(IF(AND(Table842[[#This Row],[Classification]]="Assets",Table842[[#This Row],[Debit\]]-Table842[[#This Row],[Credit.]]),Table842[[#This Row],[Debit\]]-Table842[[#This Row],[Credit.]],""),"")</f>
        <v/>
      </c>
      <c r="AH194" s="34" t="str">
        <f>IFERROR(IF(AND(OR(Table842[[#This Row],[Classification]]="Liabilities",Table842[[#This Row],[Classification]]="Owner´s Equity"),Table842[[#This Row],[Credit.]]&gt;Table842[[#This Row],[Debit\]]),Table842[[#This Row],[Credit.]]-Table842[[#This Row],[Debit\]],""),"")</f>
        <v/>
      </c>
    </row>
    <row r="195" spans="2:38" hidden="1" x14ac:dyDescent="0.25">
      <c r="B195" s="34"/>
      <c r="C195" s="45"/>
      <c r="D195" s="34"/>
      <c r="E195" s="34"/>
      <c r="G195" s="39"/>
      <c r="H195" s="40"/>
      <c r="I195" s="41"/>
      <c r="J195" s="41"/>
      <c r="L195" s="34">
        <v>188</v>
      </c>
      <c r="M195" s="35"/>
      <c r="N195" s="35"/>
      <c r="O195" s="34">
        <f>IFERROR(SUMIF(Table439[,],Table641[[#This Row],[Accounts Name]],Table439[,3]),"")</f>
        <v>0</v>
      </c>
      <c r="P195" s="34">
        <f>IFERROR(SUMIF(Table439[,],Table641[[#This Row],[Accounts Name]],Table439[,2]),"")</f>
        <v>0</v>
      </c>
      <c r="S195" s="36">
        <f t="shared" si="2"/>
        <v>188</v>
      </c>
      <c r="T195" s="34"/>
      <c r="U195" s="37"/>
      <c r="V195" s="34">
        <f>IFERROR(SUMIF(Table641[Sub-Accounts],Table842[[#This Row],[Update your chart of accounts here]],Table641[Debit]),"")</f>
        <v>0</v>
      </c>
      <c r="W195" s="34">
        <f>IFERROR(SUMIF(Table641[Sub-Accounts],Table842[[#This Row],[Update your chart of accounts here]],Table641[Credit]),"")</f>
        <v>0</v>
      </c>
      <c r="X195" s="34"/>
      <c r="Y195" s="34"/>
      <c r="Z195" s="34"/>
      <c r="AA195" s="34"/>
      <c r="AB195" s="34">
        <f>MAX(Table842[[#This Row],[Debit]]+Table842[[#This Row],[Debit -]]-Table842[[#This Row],[Credit]]-Table842[[#This Row],[Credit +]],0)</f>
        <v>0</v>
      </c>
      <c r="AC195" s="34">
        <f>MAX(Table842[[#This Row],[Credit]]-Table842[[#This Row],[Debit]]+Table842[[#This Row],[Credit +]]-Table842[[#This Row],[Debit -]],0)</f>
        <v>0</v>
      </c>
      <c r="AD195" s="34" t="str">
        <f>IFERROR(IF(AND(OR(Table842[[#This Row],[Classification]]="Expense",Table842[[#This Row],[Classification]]="Cost of Goods Sold"),Table842[[#This Row],[Debit\]]&gt;Table842[[#This Row],[Credit.]]),Table842[[#This Row],[Debit\]]-Table842[[#This Row],[Credit.]],""),"")</f>
        <v/>
      </c>
      <c r="AE195" s="34" t="str">
        <f>IFERROR(IF(AND(OR(Table842[[#This Row],[Classification]]="Income",Table842[[#This Row],[Classification]]="Cost of Goods Sold"),Table842[[#This Row],[Credit.]]&gt;Table842[[#This Row],[Debit\]]),Table842[[#This Row],[Credit.]]-Table842[[#This Row],[Debit\]],""),"")</f>
        <v/>
      </c>
      <c r="AF195" s="34"/>
      <c r="AG195" s="34" t="str">
        <f>IFERROR(IF(AND(Table842[[#This Row],[Classification]]="Assets",Table842[[#This Row],[Debit\]]-Table842[[#This Row],[Credit.]]),Table842[[#This Row],[Debit\]]-Table842[[#This Row],[Credit.]],""),"")</f>
        <v/>
      </c>
      <c r="AH195" s="34" t="str">
        <f>IFERROR(IF(AND(OR(Table842[[#This Row],[Classification]]="Liabilities",Table842[[#This Row],[Classification]]="Owner´s Equity"),Table842[[#This Row],[Credit.]]&gt;Table842[[#This Row],[Debit\]]),Table842[[#This Row],[Credit.]]-Table842[[#This Row],[Debit\]],""),"")</f>
        <v/>
      </c>
    </row>
    <row r="196" spans="2:38" hidden="1" x14ac:dyDescent="0.25">
      <c r="B196" s="34"/>
      <c r="C196" s="45"/>
      <c r="D196" s="34"/>
      <c r="E196" s="34"/>
      <c r="G196" s="39"/>
      <c r="H196" s="40"/>
      <c r="I196" s="41"/>
      <c r="J196" s="41"/>
      <c r="L196" s="34">
        <v>189</v>
      </c>
      <c r="M196" s="35"/>
      <c r="N196" s="35"/>
      <c r="O196" s="34">
        <f>IFERROR(SUMIF(Table439[,],Table641[[#This Row],[Accounts Name]],Table439[,3]),"")</f>
        <v>0</v>
      </c>
      <c r="P196" s="34">
        <f>IFERROR(SUMIF(Table439[,],Table641[[#This Row],[Accounts Name]],Table439[,2]),"")</f>
        <v>0</v>
      </c>
      <c r="S196" s="36">
        <f t="shared" si="2"/>
        <v>189</v>
      </c>
      <c r="T196" s="34"/>
      <c r="U196" s="37"/>
      <c r="V196" s="34">
        <f>IFERROR(SUMIF(Table641[Sub-Accounts],Table842[[#This Row],[Update your chart of accounts here]],Table641[Debit]),"")</f>
        <v>0</v>
      </c>
      <c r="W196" s="34">
        <f>IFERROR(SUMIF(Table641[Sub-Accounts],Table842[[#This Row],[Update your chart of accounts here]],Table641[Credit]),"")</f>
        <v>0</v>
      </c>
      <c r="X196" s="34"/>
      <c r="Y196" s="34"/>
      <c r="Z196" s="34"/>
      <c r="AA196" s="34"/>
      <c r="AB196" s="34">
        <f>MAX(Table842[[#This Row],[Debit]]+Table842[[#This Row],[Debit -]]-Table842[[#This Row],[Credit]]-Table842[[#This Row],[Credit +]],0)</f>
        <v>0</v>
      </c>
      <c r="AC196" s="34">
        <f>MAX(Table842[[#This Row],[Credit]]-Table842[[#This Row],[Debit]]+Table842[[#This Row],[Credit +]]-Table842[[#This Row],[Debit -]],0)</f>
        <v>0</v>
      </c>
      <c r="AD196" s="34" t="str">
        <f>IFERROR(IF(AND(OR(Table842[[#This Row],[Classification]]="Expense",Table842[[#This Row],[Classification]]="Cost of Goods Sold"),Table842[[#This Row],[Debit\]]&gt;Table842[[#This Row],[Credit.]]),Table842[[#This Row],[Debit\]]-Table842[[#This Row],[Credit.]],""),"")</f>
        <v/>
      </c>
      <c r="AE196" s="34" t="str">
        <f>IFERROR(IF(AND(OR(Table842[[#This Row],[Classification]]="Income",Table842[[#This Row],[Classification]]="Cost of Goods Sold"),Table842[[#This Row],[Credit.]]&gt;Table842[[#This Row],[Debit\]]),Table842[[#This Row],[Credit.]]-Table842[[#This Row],[Debit\]],""),"")</f>
        <v/>
      </c>
      <c r="AF196" s="34"/>
      <c r="AG196" s="34" t="str">
        <f>IFERROR(IF(AND(Table842[[#This Row],[Classification]]="Assets",Table842[[#This Row],[Debit\]]-Table842[[#This Row],[Credit.]]),Table842[[#This Row],[Debit\]]-Table842[[#This Row],[Credit.]],""),"")</f>
        <v/>
      </c>
      <c r="AH196" s="34" t="str">
        <f>IFERROR(IF(AND(OR(Table842[[#This Row],[Classification]]="Liabilities",Table842[[#This Row],[Classification]]="Owner´s Equity"),Table842[[#This Row],[Credit.]]&gt;Table842[[#This Row],[Debit\]]),Table842[[#This Row],[Credit.]]-Table842[[#This Row],[Debit\]],""),"")</f>
        <v/>
      </c>
    </row>
    <row r="197" spans="2:38" hidden="1" x14ac:dyDescent="0.25">
      <c r="B197" s="34"/>
      <c r="C197" s="45"/>
      <c r="D197" s="34"/>
      <c r="E197" s="34"/>
      <c r="G197" s="39"/>
      <c r="H197" s="43"/>
      <c r="I197" s="41"/>
      <c r="J197" s="41"/>
      <c r="L197" s="34">
        <v>190</v>
      </c>
      <c r="M197" s="35"/>
      <c r="N197" s="35"/>
      <c r="O197" s="34">
        <f>IFERROR(SUMIF(Table439[,],Table641[[#This Row],[Accounts Name]],Table439[,3]),"")</f>
        <v>0</v>
      </c>
      <c r="P197" s="34">
        <f>IFERROR(SUMIF(Table439[,],Table641[[#This Row],[Accounts Name]],Table439[,2]),"")</f>
        <v>0</v>
      </c>
      <c r="S197" s="36">
        <f t="shared" si="2"/>
        <v>190</v>
      </c>
      <c r="T197" s="34"/>
      <c r="U197" s="37"/>
      <c r="V197" s="34">
        <f>IFERROR(SUMIF(Table641[Sub-Accounts],Table842[[#This Row],[Update your chart of accounts here]],Table641[Debit]),"")</f>
        <v>0</v>
      </c>
      <c r="W197" s="34">
        <f>IFERROR(SUMIF(Table641[Sub-Accounts],Table842[[#This Row],[Update your chart of accounts here]],Table641[Credit]),"")</f>
        <v>0</v>
      </c>
      <c r="X197" s="34"/>
      <c r="Y197" s="34"/>
      <c r="Z197" s="34"/>
      <c r="AA197" s="34"/>
      <c r="AB197" s="34">
        <f>MAX(Table842[[#This Row],[Debit]]+Table842[[#This Row],[Debit -]]-Table842[[#This Row],[Credit]]-Table842[[#This Row],[Credit +]],0)</f>
        <v>0</v>
      </c>
      <c r="AC197" s="34">
        <f>MAX(Table842[[#This Row],[Credit]]-Table842[[#This Row],[Debit]]+Table842[[#This Row],[Credit +]]-Table842[[#This Row],[Debit -]],0)</f>
        <v>0</v>
      </c>
      <c r="AD197" s="34" t="str">
        <f>IFERROR(IF(AND(OR(Table842[[#This Row],[Classification]]="Expense",Table842[[#This Row],[Classification]]="Cost of Goods Sold"),Table842[[#This Row],[Debit\]]&gt;Table842[[#This Row],[Credit.]]),Table842[[#This Row],[Debit\]]-Table842[[#This Row],[Credit.]],""),"")</f>
        <v/>
      </c>
      <c r="AE197" s="34" t="str">
        <f>IFERROR(IF(AND(OR(Table842[[#This Row],[Classification]]="Income",Table842[[#This Row],[Classification]]="Cost of Goods Sold"),Table842[[#This Row],[Credit.]]&gt;Table842[[#This Row],[Debit\]]),Table842[[#This Row],[Credit.]]-Table842[[#This Row],[Debit\]],""),"")</f>
        <v/>
      </c>
      <c r="AF197" s="34"/>
      <c r="AG197" s="34" t="str">
        <f>IFERROR(IF(AND(Table842[[#This Row],[Classification]]="Assets",Table842[[#This Row],[Debit\]]-Table842[[#This Row],[Credit.]]),Table842[[#This Row],[Debit\]]-Table842[[#This Row],[Credit.]],""),"")</f>
        <v/>
      </c>
      <c r="AH197" s="34" t="str">
        <f>IFERROR(IF(AND(OR(Table842[[#This Row],[Classification]]="Liabilities",Table842[[#This Row],[Classification]]="Owner´s Equity"),Table842[[#This Row],[Credit.]]&gt;Table842[[#This Row],[Debit\]]),Table842[[#This Row],[Credit.]]-Table842[[#This Row],[Debit\]],""),"")</f>
        <v/>
      </c>
    </row>
    <row r="198" spans="2:38" hidden="1" x14ac:dyDescent="0.25">
      <c r="B198" s="34"/>
      <c r="C198" s="45"/>
      <c r="D198" s="34"/>
      <c r="E198" s="34"/>
      <c r="G198" s="39"/>
      <c r="H198" s="40"/>
      <c r="I198" s="41"/>
      <c r="J198" s="41"/>
      <c r="L198" s="34">
        <v>191</v>
      </c>
      <c r="M198" s="35"/>
      <c r="N198" s="35"/>
      <c r="O198" s="34">
        <f>IFERROR(SUMIF(Table439[,],Table641[[#This Row],[Accounts Name]],Table439[,3]),"")</f>
        <v>0</v>
      </c>
      <c r="P198" s="34">
        <f>IFERROR(SUMIF(Table439[,],Table641[[#This Row],[Accounts Name]],Table439[,2]),"")</f>
        <v>0</v>
      </c>
      <c r="S198" s="36">
        <f t="shared" si="2"/>
        <v>191</v>
      </c>
      <c r="T198" s="34"/>
      <c r="U198" s="37"/>
      <c r="V198" s="34">
        <f>IFERROR(SUMIF(Table641[Sub-Accounts],Table842[[#This Row],[Update your chart of accounts here]],Table641[Debit]),"")</f>
        <v>0</v>
      </c>
      <c r="W198" s="34">
        <f>IFERROR(SUMIF(Table641[Sub-Accounts],Table842[[#This Row],[Update your chart of accounts here]],Table641[Credit]),"")</f>
        <v>0</v>
      </c>
      <c r="X198" s="34"/>
      <c r="Y198" s="34"/>
      <c r="Z198" s="34"/>
      <c r="AA198" s="34"/>
      <c r="AB198" s="34">
        <f>MAX(Table842[[#This Row],[Debit]]+Table842[[#This Row],[Debit -]]-Table842[[#This Row],[Credit]]-Table842[[#This Row],[Credit +]],0)</f>
        <v>0</v>
      </c>
      <c r="AC198" s="34">
        <f>MAX(Table842[[#This Row],[Credit]]-Table842[[#This Row],[Debit]]+Table842[[#This Row],[Credit +]]-Table842[[#This Row],[Debit -]],0)</f>
        <v>0</v>
      </c>
      <c r="AD198" s="34" t="str">
        <f>IFERROR(IF(AND(OR(Table842[[#This Row],[Classification]]="Expense",Table842[[#This Row],[Classification]]="Cost of Goods Sold"),Table842[[#This Row],[Debit\]]&gt;Table842[[#This Row],[Credit.]]),Table842[[#This Row],[Debit\]]-Table842[[#This Row],[Credit.]],""),"")</f>
        <v/>
      </c>
      <c r="AE198" s="34" t="str">
        <f>IFERROR(IF(AND(OR(Table842[[#This Row],[Classification]]="Income",Table842[[#This Row],[Classification]]="Cost of Goods Sold"),Table842[[#This Row],[Credit.]]&gt;Table842[[#This Row],[Debit\]]),Table842[[#This Row],[Credit.]]-Table842[[#This Row],[Debit\]],""),"")</f>
        <v/>
      </c>
      <c r="AF198" s="34"/>
      <c r="AG198" s="34" t="str">
        <f>IFERROR(IF(AND(Table842[[#This Row],[Classification]]="Assets",Table842[[#This Row],[Debit\]]-Table842[[#This Row],[Credit.]]),Table842[[#This Row],[Debit\]]-Table842[[#This Row],[Credit.]],""),"")</f>
        <v/>
      </c>
      <c r="AH198" s="34" t="str">
        <f>IFERROR(IF(AND(OR(Table842[[#This Row],[Classification]]="Liabilities",Table842[[#This Row],[Classification]]="Owner´s Equity"),Table842[[#This Row],[Credit.]]&gt;Table842[[#This Row],[Debit\]]),Table842[[#This Row],[Credit.]]-Table842[[#This Row],[Debit\]],""),"")</f>
        <v/>
      </c>
    </row>
    <row r="199" spans="2:38" hidden="1" x14ac:dyDescent="0.25">
      <c r="B199" s="34"/>
      <c r="C199" s="45"/>
      <c r="D199" s="34"/>
      <c r="E199" s="34"/>
      <c r="G199" s="39"/>
      <c r="H199" s="40"/>
      <c r="I199" s="41"/>
      <c r="J199" s="41"/>
      <c r="L199" s="34">
        <v>192</v>
      </c>
      <c r="M199" s="35"/>
      <c r="N199" s="35"/>
      <c r="O199" s="34">
        <f>IFERROR(SUMIF(Table439[,],Table641[[#This Row],[Accounts Name]],Table439[,3]),"")</f>
        <v>0</v>
      </c>
      <c r="P199" s="34">
        <f>IFERROR(SUMIF(Table439[,],Table641[[#This Row],[Accounts Name]],Table439[,2]),"")</f>
        <v>0</v>
      </c>
      <c r="S199" s="36">
        <f t="shared" si="2"/>
        <v>192</v>
      </c>
      <c r="T199" s="34"/>
      <c r="U199" s="46"/>
      <c r="V199" s="34">
        <f>IFERROR(SUMIF(Table641[Sub-Accounts],Table842[[#This Row],[Update your chart of accounts here]],Table641[Debit]),"")</f>
        <v>0</v>
      </c>
      <c r="W199" s="34">
        <f>IFERROR(SUMIF(Table641[Sub-Accounts],Table842[[#This Row],[Update your chart of accounts here]],Table641[Credit]),"")</f>
        <v>0</v>
      </c>
      <c r="X199" s="34"/>
      <c r="Y199" s="34"/>
      <c r="Z199" s="34"/>
      <c r="AA199" s="34"/>
      <c r="AB199" s="34">
        <f>MAX(Table842[[#This Row],[Debit]]+Table842[[#This Row],[Debit -]]-Table842[[#This Row],[Credit]]-Table842[[#This Row],[Credit +]],0)</f>
        <v>0</v>
      </c>
      <c r="AC199" s="34">
        <f>MAX(Table842[[#This Row],[Credit]]-Table842[[#This Row],[Debit]]+Table842[[#This Row],[Credit +]]-Table842[[#This Row],[Debit -]],0)</f>
        <v>0</v>
      </c>
      <c r="AD199" s="34" t="str">
        <f>IFERROR(IF(AND(OR(Table842[[#This Row],[Classification]]="Expense",Table842[[#This Row],[Classification]]="Cost of Goods Sold"),Table842[[#This Row],[Debit\]]&gt;Table842[[#This Row],[Credit.]]),Table842[[#This Row],[Debit\]]-Table842[[#This Row],[Credit.]],""),"")</f>
        <v/>
      </c>
      <c r="AE199" s="34" t="str">
        <f>IFERROR(IF(AND(OR(Table842[[#This Row],[Classification]]="Income",Table842[[#This Row],[Classification]]="Cost of Goods Sold"),Table842[[#This Row],[Credit.]]&gt;Table842[[#This Row],[Debit\]]),Table842[[#This Row],[Credit.]]-Table842[[#This Row],[Debit\]],""),"")</f>
        <v/>
      </c>
      <c r="AF199" s="34"/>
      <c r="AG199" s="34" t="str">
        <f>IFERROR(IF(AND(Table842[[#This Row],[Classification]]="Assets",Table842[[#This Row],[Debit\]]-Table842[[#This Row],[Credit.]]),Table842[[#This Row],[Debit\]]-Table842[[#This Row],[Credit.]],""),"")</f>
        <v/>
      </c>
      <c r="AH199" s="34" t="str">
        <f>IFERROR(IF(AND(OR(Table842[[#This Row],[Classification]]="Liabilities",Table842[[#This Row],[Classification]]="Owner´s Equity"),Table842[[#This Row],[Credit.]]&gt;Table842[[#This Row],[Debit\]]),Table842[[#This Row],[Credit.]]-Table842[[#This Row],[Debit\]],""),"")</f>
        <v/>
      </c>
    </row>
    <row r="200" spans="2:38" hidden="1" x14ac:dyDescent="0.25">
      <c r="B200" s="34"/>
      <c r="C200" s="45"/>
      <c r="D200" s="34"/>
      <c r="E200" s="34"/>
      <c r="G200" s="39"/>
      <c r="H200" s="43"/>
      <c r="I200" s="41"/>
      <c r="J200" s="41"/>
      <c r="L200" s="34">
        <v>193</v>
      </c>
      <c r="M200" s="35"/>
      <c r="N200" s="35"/>
      <c r="O200" s="34">
        <f>IFERROR(SUMIF(Table439[,],Table641[[#This Row],[Accounts Name]],Table439[,3]),"")</f>
        <v>0</v>
      </c>
      <c r="P200" s="34">
        <f>IFERROR(SUMIF(Table439[,],Table641[[#This Row],[Accounts Name]],Table439[,2]),"")</f>
        <v>0</v>
      </c>
      <c r="S200" s="36">
        <f t="shared" si="2"/>
        <v>193</v>
      </c>
      <c r="T200" s="34"/>
      <c r="U200" s="47"/>
      <c r="V200" s="34">
        <f>IFERROR(SUMIF(Table641[Sub-Accounts],Table842[[#This Row],[Update your chart of accounts here]],Table641[Debit]),"")</f>
        <v>0</v>
      </c>
      <c r="W200" s="34">
        <f>IFERROR(SUMIF(Table641[Sub-Accounts],Table842[[#This Row],[Update your chart of accounts here]],Table641[Credit]),"")</f>
        <v>0</v>
      </c>
      <c r="X200" s="34"/>
      <c r="Y200" s="34"/>
      <c r="Z200" s="34"/>
      <c r="AA200" s="34"/>
      <c r="AB200" s="34">
        <f>MAX(Table842[[#This Row],[Debit]]+Table842[[#This Row],[Debit -]]-Table842[[#This Row],[Credit]]-Table842[[#This Row],[Credit +]],0)</f>
        <v>0</v>
      </c>
      <c r="AC200" s="34">
        <f>MAX(Table842[[#This Row],[Credit]]-Table842[[#This Row],[Debit]]+Table842[[#This Row],[Credit +]]-Table842[[#This Row],[Debit -]],0)</f>
        <v>0</v>
      </c>
      <c r="AD200" s="34" t="str">
        <f>IFERROR(IF(AND(OR(Table842[[#This Row],[Classification]]="Expense",Table842[[#This Row],[Classification]]="Cost of Goods Sold"),Table842[[#This Row],[Debit\]]&gt;Table842[[#This Row],[Credit.]]),Table842[[#This Row],[Debit\]]-Table842[[#This Row],[Credit.]],""),"")</f>
        <v/>
      </c>
      <c r="AE200" s="34" t="str">
        <f>IFERROR(IF(AND(OR(Table842[[#This Row],[Classification]]="Income",Table842[[#This Row],[Classification]]="Cost of Goods Sold"),Table842[[#This Row],[Credit.]]&gt;Table842[[#This Row],[Debit\]]),Table842[[#This Row],[Credit.]]-Table842[[#This Row],[Debit\]],""),"")</f>
        <v/>
      </c>
      <c r="AF200" s="34"/>
      <c r="AG200" s="34" t="str">
        <f>IFERROR(IF(AND(Table842[[#This Row],[Classification]]="Assets",Table842[[#This Row],[Debit\]]-Table842[[#This Row],[Credit.]]),Table842[[#This Row],[Debit\]]-Table842[[#This Row],[Credit.]],""),"")</f>
        <v/>
      </c>
      <c r="AH200" s="34" t="str">
        <f>IFERROR(IF(AND(OR(Table842[[#This Row],[Classification]]="Liabilities",Table842[[#This Row],[Classification]]="Owner´s Equity"),Table842[[#This Row],[Credit.]]&gt;Table842[[#This Row],[Debit\]]),Table842[[#This Row],[Credit.]]-Table842[[#This Row],[Debit\]],""),"")</f>
        <v/>
      </c>
      <c r="AI200" s="20" t="b">
        <f>Table842[[#Totals],[Debit .]]=Table842[[#Totals],[Credit'']]</f>
        <v>0</v>
      </c>
      <c r="AL200" s="20">
        <f>Table842[[#Totals],[Debit .]]-Table842[[#Totals],[Credit'']]</f>
        <v>0</v>
      </c>
    </row>
    <row r="201" spans="2:38" ht="15.75" thickBot="1" x14ac:dyDescent="0.3">
      <c r="B201" s="20" t="s">
        <v>60</v>
      </c>
      <c r="D201" s="57">
        <f>SUBTOTAL(109,Table439[,3])</f>
        <v>6373139.6100000003</v>
      </c>
      <c r="E201" s="57">
        <f>SUBTOTAL(109,Table439[,2])</f>
        <v>12625152.699999999</v>
      </c>
      <c r="G201" s="39"/>
      <c r="H201" s="40"/>
      <c r="I201" s="41"/>
      <c r="J201" s="41"/>
      <c r="L201" s="49" t="s">
        <v>60</v>
      </c>
      <c r="M201" s="35"/>
      <c r="N201" s="35"/>
      <c r="O201" s="48">
        <f>SUBTOTAL(109,Table641[Debit])</f>
        <v>8568388.6600000001</v>
      </c>
      <c r="P201" s="48">
        <f>SUBTOTAL(109,Table641[Credit])</f>
        <v>4047608.7</v>
      </c>
      <c r="S201" s="62" t="s">
        <v>60</v>
      </c>
      <c r="T201" s="63"/>
      <c r="U201" s="64"/>
      <c r="V201" s="63">
        <f>SUBTOTAL(109,Table842[Debit])</f>
        <v>33634688.240000002</v>
      </c>
      <c r="W201" s="63">
        <f>SUBTOTAL(109,Table842[Credit])</f>
        <v>33587719.600000001</v>
      </c>
      <c r="X201" s="63"/>
      <c r="Y201" s="63"/>
      <c r="Z201" s="63"/>
      <c r="AA201" s="63"/>
      <c r="AB201" s="63">
        <f>SUBTOTAL(109,Table842[Debit\])</f>
        <v>38476056.723225519</v>
      </c>
      <c r="AC201" s="63">
        <f>SUBTOTAL(109,Table842[Credit.])</f>
        <v>38476056.723225571</v>
      </c>
      <c r="AD201" s="63">
        <f>SUBTOTAL(109,Table842[[Debit ]])</f>
        <v>0</v>
      </c>
      <c r="AE201" s="63">
        <f>SUBTOTAL(109,Table842[Credit,])</f>
        <v>0</v>
      </c>
      <c r="AF201" s="63"/>
      <c r="AG201" s="63">
        <f>SUBTOTAL(109,Table842[Debit .])</f>
        <v>38476056.723225519</v>
      </c>
      <c r="AH201" s="63">
        <f>SUBTOTAL(109,Table842[Credit''])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49" priority="8">
      <formula>"Balanced"</formula>
    </cfRule>
  </conditionalFormatting>
  <dataValidations count="3">
    <dataValidation type="list" allowBlank="1" showInputMessage="1" showErrorMessage="1" sqref="T8:T200" xr:uid="{00000000-0002-0000-0E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E00-000001000000}">
      <formula1>P_LSub_Group</formula1>
    </dataValidation>
    <dataValidation type="list" allowBlank="1" showInputMessage="1" showErrorMessage="1" sqref="N8:N200" xr:uid="{00000000-0002-0000-0E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BB2DFC73-DE84-4A74-A18E-1E9DA901A7F0}">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525CEBF7-DE1A-4C79-8A8E-AE42594CADB0}">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B7693537-06AD-4405-982D-C0B9B3312145}">
            <xm:f>NOT(ISERROR(SEARCH($T$407,T8)))</xm:f>
            <xm:f>$T$407</xm:f>
            <x14:dxf>
              <fill>
                <patternFill>
                  <bgColor rgb="FF7030A0"/>
                </patternFill>
              </fill>
            </x14:dxf>
          </x14:cfRule>
          <x14:cfRule type="containsText" priority="2" operator="containsText" id="{EFAEE3EB-B8AA-4F6B-A113-BBA381D3102D}">
            <xm:f>NOT(ISERROR(SEARCH($T$406,T8)))</xm:f>
            <xm:f>$T$406</xm:f>
            <x14:dxf>
              <fill>
                <patternFill>
                  <bgColor rgb="FFFFFF00"/>
                </patternFill>
              </fill>
            </x14:dxf>
          </x14:cfRule>
          <x14:cfRule type="containsText" priority="3" operator="containsText" id="{4E1F9F66-1CF7-48AB-8E35-DBA4ACF8E01E}">
            <xm:f>NOT(ISERROR(SEARCH($T$405,T8)))</xm:f>
            <xm:f>$T$405</xm:f>
            <x14:dxf>
              <fill>
                <patternFill>
                  <bgColor rgb="FF00B050"/>
                </patternFill>
              </fill>
            </x14:dxf>
          </x14:cfRule>
          <x14:cfRule type="containsText" priority="4" operator="containsText" id="{88447AD2-140D-49E4-B1C5-019D88D756A7}">
            <xm:f>NOT(ISERROR(SEARCH($T$404,T8)))</xm:f>
            <xm:f>$T$404</xm:f>
            <x14:dxf>
              <fill>
                <patternFill>
                  <bgColor theme="0"/>
                </patternFill>
              </fill>
            </x14:dxf>
          </x14:cfRule>
          <x14:cfRule type="containsText" priority="5" operator="containsText" id="{183E66D1-7746-4692-B4DD-67B4A197AED1}">
            <xm:f>NOT(ISERROR(SEARCH($T$403,T8)))</xm:f>
            <xm:f>$T$403</xm:f>
            <x14:dxf>
              <fill>
                <patternFill>
                  <bgColor rgb="FFFF0000"/>
                </patternFill>
              </fill>
            </x14:dxf>
          </x14:cfRule>
          <x14:cfRule type="containsText" priority="6" operator="containsText" id="{FFC7C388-8596-432A-8283-5405705F609F}">
            <xm:f>NOT(ISERROR(SEARCH($T$402,T8)))</xm:f>
            <xm:f>$T$402</xm:f>
            <x14:dxf>
              <fill>
                <patternFill>
                  <bgColor theme="8" tint="-0.24994659260841701"/>
                </patternFill>
              </fill>
            </x14:dxf>
          </x14:cfRule>
          <xm:sqref>T8:T200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sheetPr>
  <dimension ref="B1:AN407"/>
  <sheetViews>
    <sheetView showGridLines="0" workbookViewId="0">
      <selection activeCell="U17" sqref="U17"/>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IFERROR(SUMIF(Table443[,],Table645[[#This Row],[Accounts Name]],Table443[,3]),"")</f>
        <v>3977142.74</v>
      </c>
      <c r="P8" s="34">
        <f>IFERROR(SUMIF(Table443[,],Table645[[#This Row],[Accounts Name]],Table443[,2]),"")</f>
        <v>0</v>
      </c>
      <c r="S8" s="36">
        <v>1</v>
      </c>
      <c r="T8" s="34" t="s">
        <v>11</v>
      </c>
      <c r="U8" s="37" t="s">
        <v>138</v>
      </c>
      <c r="V8" s="34">
        <f>IFERROR(SUMIF(Table645[Sub-Accounts],Table846[[#This Row],[Update your chart of accounts here]],Table645[Debit]),"")</f>
        <v>5942202.0100000007</v>
      </c>
      <c r="W8" s="34">
        <f>IFERROR(SUMIF(Table645[Sub-Accounts],Table846[[#This Row],[Update your chart of accounts here]],Table645[Credit]),"")</f>
        <v>0</v>
      </c>
      <c r="X8" s="34"/>
      <c r="Y8" s="34" t="s">
        <v>228</v>
      </c>
      <c r="Z8" s="34"/>
      <c r="AA8" s="34">
        <f>J25</f>
        <v>21</v>
      </c>
      <c r="AB8" s="34">
        <f>MAX(Table846[[#This Row],[Debit]]+Table846[[#This Row],[Debit -]]-Table846[[#This Row],[Credit]]-Table846[[#This Row],[Credit +]],0)</f>
        <v>5942181.0100000007</v>
      </c>
      <c r="AC8" s="34">
        <f>MAX(Table846[[#This Row],[Credit]]-Table846[[#This Row],[Debit]]+Table846[[#This Row],[Credit +]]-Table846[[#This Row],[Debit -]],0)</f>
        <v>0</v>
      </c>
      <c r="AD8" s="34" t="str">
        <f>IFERROR(IF(AND(OR(Table846[[#This Row],[Classification]]="Expense",Table846[[#This Row],[Classification]]="Cost of Goods Sold"),Table846[[#This Row],[Debit\]]&gt;Table846[[#This Row],[Credit.]]),Table846[[#This Row],[Debit\]]-Table846[[#This Row],[Credit.]],""),"")</f>
        <v/>
      </c>
      <c r="AE8" s="34" t="str">
        <f>IFERROR(IF(AND(OR(Table846[[#This Row],[Classification]]="Income",Table846[[#This Row],[Classification]]="Cost of Goods Sold"),Table846[[#This Row],[Credit.]]&gt;Table846[[#This Row],[Debit\]]),Table846[[#This Row],[Credit.]]-Table846[[#This Row],[Debit\]],""),"")</f>
        <v/>
      </c>
      <c r="AF8" s="34"/>
      <c r="AG8" s="34">
        <f>IFERROR(IF(AND(Table846[[#This Row],[Classification]]="Assets",Table846[[#This Row],[Debit\]]-Table846[[#This Row],[Credit.]]),Table846[[#This Row],[Debit\]]-Table846[[#This Row],[Credit.]],""),"")</f>
        <v>5942181.0100000007</v>
      </c>
      <c r="AH8" s="34" t="str">
        <f>IFERROR(IF(AND(OR(Table846[[#This Row],[Classification]]="Liabilities",Table846[[#This Row],[Classification]]="Owner´s Equity"),Table846[[#This Row],[Credit.]]&gt;Table846[[#This Row],[Debit\]]),Table846[[#This Row],[Credit.]]-Table846[[#This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IFERROR(SUMIF(Table443[,],Table645[[#This Row],[Accounts Name]],Table443[,3]),"")</f>
        <v>0</v>
      </c>
      <c r="P9" s="34">
        <f>IFERROR(SUMIF(Table443[,],Table645[[#This Row],[Accounts Name]],Table443[,2]),"")</f>
        <v>1699952.7</v>
      </c>
      <c r="S9" s="36">
        <f>S8+1</f>
        <v>2</v>
      </c>
      <c r="T9" s="34" t="s">
        <v>12</v>
      </c>
      <c r="U9" s="37" t="s">
        <v>139</v>
      </c>
      <c r="V9" s="34">
        <f>IFERROR(SUMIF(Table645[Sub-Accounts],Table846[[#This Row],[Update your chart of accounts here]],Table645[Debit]),"")</f>
        <v>0</v>
      </c>
      <c r="W9" s="34">
        <f>IFERROR(SUMIF(Table645[Sub-Accounts],Table846[[#This Row],[Update your chart of accounts here]],Table645[Credit]),"")</f>
        <v>3699952.7</v>
      </c>
      <c r="X9" s="34"/>
      <c r="Y9" s="34"/>
      <c r="Z9" s="34"/>
      <c r="AA9" s="34"/>
      <c r="AB9" s="34">
        <f>MAX(Table846[[#This Row],[Debit]]+Table846[[#This Row],[Debit -]]-Table846[[#This Row],[Credit]]-Table846[[#This Row],[Credit +]],0)</f>
        <v>0</v>
      </c>
      <c r="AC9" s="34">
        <f>MAX(Table846[[#This Row],[Credit]]-Table846[[#This Row],[Debit]]+Table846[[#This Row],[Credit +]]-Table846[[#This Row],[Debit -]],0)</f>
        <v>3699952.7</v>
      </c>
      <c r="AD9" s="34" t="str">
        <f>IFERROR(IF(AND(OR(Table846[[#This Row],[Classification]]="Expense",Table846[[#This Row],[Classification]]="Cost of Goods Sold"),Table846[[#This Row],[Debit\]]&gt;Table846[[#This Row],[Credit.]]),Table846[[#This Row],[Debit\]]-Table846[[#This Row],[Credit.]],""),"")</f>
        <v/>
      </c>
      <c r="AE9" s="34" t="str">
        <f>IFERROR(IF(AND(OR(Table846[[#This Row],[Classification]]="Income",Table846[[#This Row],[Classification]]="Cost of Goods Sold"),Table846[[#This Row],[Credit.]]&gt;Table846[[#This Row],[Debit\]]),Table846[[#This Row],[Credit.]]-Table846[[#This Row],[Debit\]],""),"")</f>
        <v/>
      </c>
      <c r="AF9" s="34"/>
      <c r="AG9" s="34" t="str">
        <f>IFERROR(IF(AND(Table846[[#This Row],[Classification]]="Assets",Table846[[#This Row],[Debit\]]-Table846[[#This Row],[Credit.]]),Table846[[#This Row],[Debit\]]-Table846[[#This Row],[Credit.]],""),"")</f>
        <v/>
      </c>
      <c r="AH9" s="34">
        <f>IFERROR(IF(AND(OR(Table846[[#This Row],[Classification]]="Liabilities",Table846[[#This Row],[Classification]]="Owner´s Equity"),Table846[[#This Row],[Credit.]]&gt;Table846[[#This Row],[Debit\]]),Table846[[#This Row],[Credit.]]-Table846[[#This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IFERROR(SUMIF(Table443[,],Table645[[#This Row],[Accounts Name]],Table443[,3]),"")</f>
        <v>0</v>
      </c>
      <c r="P10" s="34">
        <f>IFERROR(SUMIF(Table443[,],Table645[[#This Row],[Accounts Name]],Table443[,2]),"")</f>
        <v>2000000</v>
      </c>
      <c r="S10" s="36">
        <f t="shared" ref="S10:S73" si="0">S9+1</f>
        <v>3</v>
      </c>
      <c r="T10" s="34" t="s">
        <v>11</v>
      </c>
      <c r="U10" s="37" t="s">
        <v>172</v>
      </c>
      <c r="V10" s="34">
        <f>IFERROR(SUMIF(Table645[Sub-Accounts],Table846[[#This Row],[Update your chart of accounts here]],Table645[Debit]),"")</f>
        <v>4355552.28</v>
      </c>
      <c r="W10" s="34">
        <f>IFERROR(SUMIF(Table645[Sub-Accounts],Table846[[#This Row],[Update your chart of accounts here]],Table645[Credit]),"")</f>
        <v>2517904</v>
      </c>
      <c r="X10" s="34"/>
      <c r="Y10" s="34" t="s">
        <v>224</v>
      </c>
      <c r="Z10" s="34">
        <f>I12</f>
        <v>251563</v>
      </c>
      <c r="AA10" s="34">
        <f>Table544[[#This Row],[,2]]</f>
        <v>409278.51677448238</v>
      </c>
      <c r="AB10" s="34">
        <f>MAX(Table846[[#This Row],[Debit]]+Table846[[#This Row],[Debit -]]-Table846[[#This Row],[Credit]]-Table846[[#This Row],[Credit +]],0)</f>
        <v>1679932.7632255179</v>
      </c>
      <c r="AC10" s="34">
        <f>MAX(Table846[[#This Row],[Credit]]-Table846[[#This Row],[Debit]]+Table846[[#This Row],[Credit +]]-Table846[[#This Row],[Debit -]],0)</f>
        <v>0</v>
      </c>
      <c r="AD10" s="34" t="str">
        <f>IFERROR(IF(AND(OR(Table846[[#This Row],[Classification]]="Expense",Table846[[#This Row],[Classification]]="Cost of Goods Sold"),Table846[[#This Row],[Debit\]]&gt;Table846[[#This Row],[Credit.]]),Table846[[#This Row],[Debit\]]-Table846[[#This Row],[Credit.]],""),"")</f>
        <v/>
      </c>
      <c r="AE10" s="34" t="str">
        <f>IFERROR(IF(AND(OR(Table846[[#This Row],[Classification]]="Income",Table846[[#This Row],[Classification]]="Cost of Goods Sold"),Table846[[#This Row],[Credit.]]&gt;Table846[[#This Row],[Debit\]]),Table846[[#This Row],[Credit.]]-Table846[[#This Row],[Debit\]],""),"")</f>
        <v/>
      </c>
      <c r="AF10" s="34"/>
      <c r="AG10" s="34">
        <f>IFERROR(IF(AND(Table846[[#This Row],[Classification]]="Assets",Table846[[#This Row],[Debit\]]-Table846[[#This Row],[Credit.]]),Table846[[#This Row],[Debit\]]-Table846[[#This Row],[Credit.]],""),"")</f>
        <v>1679932.7632255179</v>
      </c>
      <c r="AH10" s="34" t="str">
        <f>IFERROR(IF(AND(OR(Table846[[#This Row],[Classification]]="Liabilities",Table846[[#This Row],[Classification]]="Owner´s Equity"),Table846[[#This Row],[Credit.]]&gt;Table846[[#This Row],[Debit\]]),Table846[[#This Row],[Credit.]]-Table846[[#This Row],[Debit\]],""),"")</f>
        <v/>
      </c>
    </row>
    <row r="11" spans="2:40" x14ac:dyDescent="0.25">
      <c r="B11" s="34"/>
      <c r="C11" s="42" t="s">
        <v>65</v>
      </c>
      <c r="D11" s="34"/>
      <c r="E11" s="34">
        <v>2000000</v>
      </c>
      <c r="G11" s="39"/>
      <c r="H11" s="43" t="s">
        <v>180</v>
      </c>
      <c r="I11" s="41"/>
      <c r="J11" s="41"/>
      <c r="L11" s="34">
        <v>4</v>
      </c>
      <c r="M11" s="35" t="s">
        <v>138</v>
      </c>
      <c r="N11" s="35" t="s">
        <v>66</v>
      </c>
      <c r="O11" s="34">
        <f>IFERROR(SUMIF(Table443[,],Table645[[#This Row],[Accounts Name]],Table443[,3]),"")</f>
        <v>219779.97</v>
      </c>
      <c r="P11" s="34">
        <f>IFERROR(SUMIF(Table443[,],Table645[[#This Row],[Accounts Name]],Table443[,2]),"")</f>
        <v>0</v>
      </c>
      <c r="S11" s="36">
        <f t="shared" si="0"/>
        <v>4</v>
      </c>
      <c r="T11" s="34" t="s">
        <v>11</v>
      </c>
      <c r="U11" s="37" t="s">
        <v>140</v>
      </c>
      <c r="V11" s="34">
        <f>IFERROR(SUMIF(Table645[Sub-Accounts],Table846[[#This Row],[Update your chart of accounts here]],Table645[Debit]),"")</f>
        <v>21108825.949999999</v>
      </c>
      <c r="W11" s="34">
        <f>IFERROR(SUMIF(Table645[Sub-Accounts],Table846[[#This Row],[Update your chart of accounts here]],Table645[Credit]),"")</f>
        <v>0</v>
      </c>
      <c r="X11" s="34"/>
      <c r="Y11" s="34" t="s">
        <v>231</v>
      </c>
      <c r="Z11" s="34"/>
      <c r="AA11" s="34">
        <f>J31</f>
        <v>2551250</v>
      </c>
      <c r="AB11" s="34">
        <f>MAX(Table846[[#This Row],[Debit]]+Table846[[#This Row],[Debit -]]-Table846[[#This Row],[Credit]]-Table846[[#This Row],[Credit +]],0)</f>
        <v>18557575.949999999</v>
      </c>
      <c r="AC11" s="34">
        <f>MAX(Table846[[#This Row],[Credit]]-Table846[[#This Row],[Debit]]+Table846[[#This Row],[Credit +]]-Table846[[#This Row],[Debit -]],0)</f>
        <v>0</v>
      </c>
      <c r="AD11" s="34" t="str">
        <f>IFERROR(IF(AND(OR(Table846[[#This Row],[Classification]]="Expense",Table846[[#This Row],[Classification]]="Cost of Goods Sold"),Table846[[#This Row],[Debit\]]&gt;Table846[[#This Row],[Credit.]]),Table846[[#This Row],[Debit\]]-Table846[[#This Row],[Credit.]],""),"")</f>
        <v/>
      </c>
      <c r="AE11" s="34" t="str">
        <f>IFERROR(IF(AND(OR(Table846[[#This Row],[Classification]]="Income",Table846[[#This Row],[Classification]]="Cost of Goods Sold"),Table846[[#This Row],[Credit.]]&gt;Table846[[#This Row],[Debit\]]),Table846[[#This Row],[Credit.]]-Table846[[#This Row],[Debit\]],""),"")</f>
        <v/>
      </c>
      <c r="AF11" s="34"/>
      <c r="AG11" s="34">
        <f>IFERROR(IF(AND(Table846[[#This Row],[Classification]]="Assets",Table846[[#This Row],[Debit\]]-Table846[[#This Row],[Credit.]]),Table846[[#This Row],[Debit\]]-Table846[[#This Row],[Credit.]],""),"")</f>
        <v>18557575.949999999</v>
      </c>
      <c r="AH11" s="34" t="str">
        <f>IFERROR(IF(AND(OR(Table846[[#This Row],[Classification]]="Liabilities",Table846[[#This Row],[Classification]]="Owner´s Equity"),Table846[[#This Row],[Credit.]]&gt;Table846[[#This Row],[Debit\]]),Table846[[#This Row],[Credit.]]-Table846[[#This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IFERROR(SUMIF(Table443[,],Table645[[#This Row],[Accounts Name]],Table443[,3]),"")</f>
        <v>1054457.3500000001</v>
      </c>
      <c r="P12" s="34">
        <f>IFERROR(SUMIF(Table443[,],Table645[[#This Row],[Accounts Name]],Table443[,2]),"")</f>
        <v>0</v>
      </c>
      <c r="S12" s="36">
        <f t="shared" si="0"/>
        <v>5</v>
      </c>
      <c r="T12" s="34" t="s">
        <v>61</v>
      </c>
      <c r="U12" s="37" t="s">
        <v>207</v>
      </c>
      <c r="V12" s="34">
        <f>IFERROR(SUMIF(Table645[Sub-Accounts],Table846[[#This Row],[Update your chart of accounts here]],Table645[Debit]),"")</f>
        <v>0</v>
      </c>
      <c r="W12" s="34">
        <f>IFERROR(SUMIF(Table645[Sub-Accounts],Table846[[#This Row],[Update your chart of accounts here]],Table645[Credit]),"")</f>
        <v>0</v>
      </c>
      <c r="X12" s="34"/>
      <c r="Y12" s="34"/>
      <c r="Z12" s="34">
        <f>AN7</f>
        <v>8341041.1232255697</v>
      </c>
      <c r="AA12" s="34">
        <f>AU6</f>
        <v>0</v>
      </c>
      <c r="AB12" s="34">
        <f>MAX(Table846[[#This Row],[Debit]]+Table846[[#This Row],[Debit -]]-Table846[[#This Row],[Credit]]-Table846[[#This Row],[Credit +]],0)</f>
        <v>8341041.1232255697</v>
      </c>
      <c r="AC12" s="34">
        <f>MAX(Table846[[#This Row],[Credit]]-Table846[[#This Row],[Debit]]+Table846[[#This Row],[Credit +]]-Table846[[#This Row],[Debit -]],0)</f>
        <v>0</v>
      </c>
      <c r="AD12" s="34">
        <f>IFERROR(IF(AND(OR(Table846[[#This Row],[Classification]]="Expense",Table846[[#This Row],[Classification]]="Cost of Goods Sold"),Table846[[#This Row],[Debit\]]&gt;Table846[[#This Row],[Credit.]]),Table846[[#This Row],[Debit\]]-Table846[[#This Row],[Credit.]],""),"")</f>
        <v>8341041.1232255697</v>
      </c>
      <c r="AE12" s="34" t="str">
        <f>IFERROR(IF(AND(OR(Table846[[#This Row],[Classification]]="Income",Table846[[#This Row],[Classification]]="Cost of Goods Sold"),Table846[[#This Row],[Credit.]]&gt;Table846[[#This Row],[Debit\]]),Table846[[#This Row],[Credit.]]-Table846[[#This Row],[Debit\]],""),"")</f>
        <v/>
      </c>
      <c r="AF12" s="34"/>
      <c r="AG12" s="34" t="str">
        <f>IFERROR(IF(AND(Table846[[#This Row],[Classification]]="Assets",Table846[[#This Row],[Debit\]]-Table846[[#This Row],[Credit.]]),Table846[[#This Row],[Debit\]]-Table846[[#This Row],[Credit.]],""),"")</f>
        <v/>
      </c>
      <c r="AH12" s="34" t="str">
        <f>IFERROR(IF(AND(OR(Table846[[#This Row],[Classification]]="Liabilities",Table846[[#This Row],[Classification]]="Owner´s Equity"),Table846[[#This Row],[Credit.]]&gt;Table846[[#This Row],[Debit\]]),Table846[[#This Row],[Credit.]]-Table846[[#This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IFERROR(SUMIF(Table443[,],Table645[[#This Row],[Accounts Name]],Table443[,3]),"")</f>
        <v>230653</v>
      </c>
      <c r="P13" s="34">
        <f>IFERROR(SUMIF(Table443[,],Table645[[#This Row],[Accounts Name]],Table443[,2]),"")</f>
        <v>0</v>
      </c>
      <c r="S13" s="36">
        <f t="shared" si="0"/>
        <v>6</v>
      </c>
      <c r="T13" s="34" t="s">
        <v>6</v>
      </c>
      <c r="U13" s="37" t="s">
        <v>142</v>
      </c>
      <c r="V13" s="34">
        <f>IFERROR(SUMIF(Table645[Sub-Accounts],Table846[[#This Row],[Update your chart of accounts here]],Table645[Debit]),"")</f>
        <v>3296400</v>
      </c>
      <c r="W13" s="34">
        <f>IFERROR(SUMIF(Table645[Sub-Accounts],Table846[[#This Row],[Update your chart of accounts here]],Table645[Credit]),"")</f>
        <v>0</v>
      </c>
      <c r="X13" s="34"/>
      <c r="Y13" s="34" t="s">
        <v>227</v>
      </c>
      <c r="Z13" s="65"/>
      <c r="AA13" s="34"/>
      <c r="AB13" s="34">
        <f>MAX(Table846[[#This Row],[Debit]]+Table846[[#This Row],[Debit -]]-Table846[[#This Row],[Credit]]-Table846[[#This Row],[Credit +]],0)</f>
        <v>3296400</v>
      </c>
      <c r="AC13" s="34">
        <f>MAX(Table846[[#This Row],[Credit]]-Table846[[#This Row],[Debit]]+Table846[[#This Row],[Credit +]]-Table846[[#This Row],[Debit -]],0)</f>
        <v>0</v>
      </c>
      <c r="AD13" s="34">
        <f>IFERROR(IF(AND(OR(Table846[[#This Row],[Classification]]="Expense",Table846[[#This Row],[Classification]]="Cost of Goods Sold"),Table846[[#This Row],[Debit\]]&gt;Table846[[#This Row],[Credit.]]),Table846[[#This Row],[Debit\]]-Table846[[#This Row],[Credit.]],""),"")</f>
        <v>3296400</v>
      </c>
      <c r="AE13" s="34" t="str">
        <f>IFERROR(IF(AND(OR(Table846[[#This Row],[Classification]]="Income",Table846[[#This Row],[Classification]]="Cost of Goods Sold"),Table846[[#This Row],[Credit.]]&gt;Table846[[#This Row],[Debit\]]),Table846[[#This Row],[Credit.]]-Table846[[#This Row],[Debit\]],""),"")</f>
        <v/>
      </c>
      <c r="AF13" s="34"/>
      <c r="AG13" s="34" t="str">
        <f>IFERROR(IF(AND(Table846[[#This Row],[Classification]]="Assets",Table846[[#This Row],[Debit\]]-Table846[[#This Row],[Credit.]]),Table846[[#This Row],[Debit\]]-Table846[[#This Row],[Credit.]],""),"")</f>
        <v/>
      </c>
      <c r="AH13" s="34" t="str">
        <f>IFERROR(IF(AND(OR(Table846[[#This Row],[Classification]]="Liabilities",Table846[[#This Row],[Classification]]="Owner´s Equity"),Table846[[#This Row],[Credit.]]&gt;Table846[[#This Row],[Debit\]]),Table846[[#This Row],[Credit.]]-Table846[[#This Row],[Debit\]],""),"")</f>
        <v/>
      </c>
    </row>
    <row r="14" spans="2:40" x14ac:dyDescent="0.25">
      <c r="B14" s="34"/>
      <c r="C14" s="38" t="s">
        <v>68</v>
      </c>
      <c r="D14" s="34">
        <v>230653</v>
      </c>
      <c r="E14" s="34"/>
      <c r="G14" s="39"/>
      <c r="H14" s="43" t="s">
        <v>184</v>
      </c>
      <c r="I14" s="41"/>
      <c r="J14" s="41"/>
      <c r="L14" s="34">
        <v>7</v>
      </c>
      <c r="M14" s="35" t="s">
        <v>138</v>
      </c>
      <c r="N14" s="35" t="s">
        <v>69</v>
      </c>
      <c r="O14" s="34">
        <f>IFERROR(SUMIF(Table443[,],Table645[[#This Row],[Accounts Name]],Table443[,3]),"")</f>
        <v>460168.95</v>
      </c>
      <c r="P14" s="34">
        <f>IFERROR(SUMIF(Table443[,],Table645[[#This Row],[Accounts Name]],Table443[,2]),"")</f>
        <v>0</v>
      </c>
      <c r="S14" s="36">
        <f t="shared" si="0"/>
        <v>7</v>
      </c>
      <c r="T14" s="34" t="s">
        <v>12</v>
      </c>
      <c r="U14" s="37" t="s">
        <v>141</v>
      </c>
      <c r="V14" s="34">
        <f>IFERROR(SUMIF(Table645[Sub-Accounts],Table846[[#This Row],[Update your chart of accounts here]],Table645[Debit]),"")</f>
        <v>0</v>
      </c>
      <c r="W14" s="34">
        <f>IFERROR(SUMIF(Table645[Sub-Accounts],Table846[[#This Row],[Update your chart of accounts here]],Table645[Credit]),"")</f>
        <v>15517383.640000001</v>
      </c>
      <c r="X14" s="34"/>
      <c r="Y14" s="34" t="s">
        <v>233</v>
      </c>
      <c r="Z14" s="34">
        <f>I18</f>
        <v>50000</v>
      </c>
      <c r="AA14" s="34">
        <f>J22</f>
        <v>115200</v>
      </c>
      <c r="AB14" s="34">
        <f>MAX(Table846[[#This Row],[Debit]]+Table846[[#This Row],[Debit -]]-Table846[[#This Row],[Credit]]-Table846[[#This Row],[Credit +]],0)</f>
        <v>0</v>
      </c>
      <c r="AC14" s="34">
        <f>MAX(Table846[[#This Row],[Credit]]-Table846[[#This Row],[Debit]]+Table846[[#This Row],[Credit +]]-Table846[[#This Row],[Debit -]],0)</f>
        <v>15582583.640000001</v>
      </c>
      <c r="AD14" s="34" t="str">
        <f>IFERROR(IF(AND(OR(Table846[[#This Row],[Classification]]="Expense",Table846[[#This Row],[Classification]]="Cost of Goods Sold"),Table846[[#This Row],[Debit\]]&gt;Table846[[#This Row],[Credit.]]),Table846[[#This Row],[Debit\]]-Table846[[#This Row],[Credit.]],""),"")</f>
        <v/>
      </c>
      <c r="AE14" s="34" t="str">
        <f>IFERROR(IF(AND(OR(Table846[[#This Row],[Classification]]="Income",Table846[[#This Row],[Classification]]="Cost of Goods Sold"),Table846[[#This Row],[Credit.]]&gt;Table846[[#This Row],[Debit\]]),Table846[[#This Row],[Credit.]]-Table846[[#This Row],[Debit\]],""),"")</f>
        <v/>
      </c>
      <c r="AF14" s="34"/>
      <c r="AG14" s="34" t="str">
        <f>IFERROR(IF(AND(Table846[[#This Row],[Classification]]="Assets",Table846[[#This Row],[Debit\]]-Table846[[#This Row],[Credit.]]),Table846[[#This Row],[Debit\]]-Table846[[#This Row],[Credit.]],""),"")</f>
        <v/>
      </c>
      <c r="AH14" s="34">
        <f>IFERROR(IF(AND(OR(Table846[[#This Row],[Classification]]="Liabilities",Table846[[#This Row],[Classification]]="Owner´s Equity"),Table846[[#This Row],[Credit.]]&gt;Table846[[#This Row],[Debit\]]),Table846[[#This Row],[Credit.]]-Table846[[#This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IFERROR(SUMIF(Table443[,],Table645[[#This Row],[Accounts Name]],Table443[,3]),"")</f>
        <v>17870623.949999999</v>
      </c>
      <c r="P15" s="34">
        <f>IFERROR(SUMIF(Table443[,],Table645[[#This Row],[Accounts Name]],Table443[,2]),"")</f>
        <v>0</v>
      </c>
      <c r="S15" s="36">
        <f t="shared" si="0"/>
        <v>8</v>
      </c>
      <c r="T15" s="34"/>
      <c r="U15" s="37" t="s">
        <v>208</v>
      </c>
      <c r="V15" s="34">
        <f>IFERROR(SUMIF(Table645[Sub-Accounts],Table846[[#This Row],[Update your chart of accounts here]],Table645[Debit]),"")</f>
        <v>0</v>
      </c>
      <c r="W15" s="34">
        <f>IFERROR(SUMIF(Table645[Sub-Accounts],Table846[[#This Row],[Update your chart of accounts here]],Table645[Credit]),"")</f>
        <v>0</v>
      </c>
      <c r="X15" s="34"/>
      <c r="Y15" s="34"/>
      <c r="Z15" s="34"/>
      <c r="AA15" s="34"/>
      <c r="AB15" s="34">
        <f>MAX(Table846[[#This Row],[Debit]]+Table846[[#This Row],[Debit -]]-Table846[[#This Row],[Credit]]-Table846[[#This Row],[Credit +]],0)</f>
        <v>0</v>
      </c>
      <c r="AC15" s="34">
        <f>MAX(Table846[[#This Row],[Credit]]-Table846[[#This Row],[Debit]]+Table846[[#This Row],[Credit +]]-Table846[[#This Row],[Debit -]],0)</f>
        <v>0</v>
      </c>
      <c r="AD15" s="34" t="str">
        <f>IFERROR(IF(AND(OR(Table846[[#This Row],[Classification]]="Expense",Table846[[#This Row],[Classification]]="Cost of Goods Sold"),Table846[[#This Row],[Debit\]]&gt;Table846[[#This Row],[Credit.]]),Table846[[#This Row],[Debit\]]-Table846[[#This Row],[Credit.]],""),"")</f>
        <v/>
      </c>
      <c r="AE15" s="34" t="str">
        <f>IFERROR(IF(AND(OR(Table846[[#This Row],[Classification]]="Income",Table846[[#This Row],[Classification]]="Cost of Goods Sold"),Table846[[#This Row],[Credit.]]&gt;Table846[[#This Row],[Debit\]]),Table846[[#This Row],[Credit.]]-Table846[[#This Row],[Debit\]],""),"")</f>
        <v/>
      </c>
      <c r="AF15" s="34"/>
      <c r="AG15" s="34" t="str">
        <f>IFERROR(IF(AND(Table846[[#This Row],[Classification]]="Assets",Table846[[#This Row],[Debit\]]-Table846[[#This Row],[Credit.]]),Table846[[#This Row],[Debit\]]-Table846[[#This Row],[Credit.]],""),"")</f>
        <v/>
      </c>
      <c r="AH15" s="34" t="str">
        <f>IFERROR(IF(AND(OR(Table846[[#This Row],[Classification]]="Liabilities",Table846[[#This Row],[Classification]]="Owner´s Equity"),Table846[[#This Row],[Credit.]]&gt;Table846[[#This Row],[Debit\]]),Table846[[#This Row],[Credit.]]-Table846[[#This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IFERROR(SUMIF(Table443[,],Table645[[#This Row],[Accounts Name]],Table443[,3]),"")</f>
        <v>0</v>
      </c>
      <c r="P16" s="34">
        <f>IFERROR(SUMIF(Table443[,],Table645[[#This Row],[Accounts Name]],Table443[,2]),"")</f>
        <v>8925200</v>
      </c>
      <c r="S16" s="36">
        <f t="shared" si="0"/>
        <v>9</v>
      </c>
      <c r="T16" s="34"/>
      <c r="U16" s="37" t="s">
        <v>209</v>
      </c>
      <c r="V16" s="34">
        <f>IFERROR(SUMIF(Table645[Sub-Accounts],Table846[[#This Row],[Update your chart of accounts here]],Table645[Debit]),"")</f>
        <v>0</v>
      </c>
      <c r="W16" s="34">
        <f>IFERROR(SUMIF(Table645[Sub-Accounts],Table846[[#This Row],[Update your chart of accounts here]],Table645[Credit]),"")</f>
        <v>0</v>
      </c>
      <c r="X16" s="34"/>
      <c r="Y16" s="34"/>
      <c r="Z16" s="34"/>
      <c r="AA16" s="34"/>
      <c r="AB16" s="34">
        <f>MAX(Table846[[#This Row],[Debit]]+Table846[[#This Row],[Debit -]]-Table846[[#This Row],[Credit]]-Table846[[#This Row],[Credit +]],0)</f>
        <v>0</v>
      </c>
      <c r="AC16" s="34">
        <f>MAX(Table846[[#This Row],[Credit]]-Table846[[#This Row],[Debit]]+Table846[[#This Row],[Credit +]]-Table846[[#This Row],[Debit -]],0)</f>
        <v>0</v>
      </c>
      <c r="AD16" s="34" t="str">
        <f>IFERROR(IF(AND(OR(Table846[[#This Row],[Classification]]="Expense",Table846[[#This Row],[Classification]]="Cost of Goods Sold"),Table846[[#This Row],[Debit\]]&gt;Table846[[#This Row],[Credit.]]),Table846[[#This Row],[Debit\]]-Table846[[#This Row],[Credit.]],""),"")</f>
        <v/>
      </c>
      <c r="AE16" s="34" t="str">
        <f>IFERROR(IF(AND(OR(Table846[[#This Row],[Classification]]="Income",Table846[[#This Row],[Classification]]="Cost of Goods Sold"),Table846[[#This Row],[Credit.]]&gt;Table846[[#This Row],[Debit\]]),Table846[[#This Row],[Credit.]]-Table846[[#This Row],[Debit\]],""),"")</f>
        <v/>
      </c>
      <c r="AF16" s="34"/>
      <c r="AG16" s="34" t="str">
        <f>IFERROR(IF(AND(Table846[[#This Row],[Classification]]="Assets",Table846[[#This Row],[Debit\]]-Table846[[#This Row],[Credit.]]),Table846[[#This Row],[Debit\]]-Table846[[#This Row],[Credit.]],""),"")</f>
        <v/>
      </c>
      <c r="AH16" s="34" t="str">
        <f>IFERROR(IF(AND(OR(Table846[[#This Row],[Classification]]="Liabilities",Table846[[#This Row],[Classification]]="Owner´s Equity"),Table846[[#This Row],[Credit.]]&gt;Table846[[#This Row],[Debit\]]),Table846[[#This Row],[Credit.]]-Table846[[#This Row],[Debit\]],""),"")</f>
        <v/>
      </c>
    </row>
    <row r="17" spans="2:34" x14ac:dyDescent="0.25">
      <c r="B17" s="34"/>
      <c r="C17" s="37" t="s">
        <v>71</v>
      </c>
      <c r="D17" s="34"/>
      <c r="E17" s="34">
        <v>8925200</v>
      </c>
      <c r="G17" s="39"/>
      <c r="H17" s="43" t="s">
        <v>185</v>
      </c>
      <c r="I17" s="41"/>
      <c r="J17" s="41"/>
      <c r="L17" s="34">
        <v>10</v>
      </c>
      <c r="M17" s="35" t="s">
        <v>142</v>
      </c>
      <c r="N17" s="35" t="s">
        <v>72</v>
      </c>
      <c r="O17" s="34">
        <f>IFERROR(SUMIF(Table443[,],Table645[[#This Row],[Accounts Name]],Table443[,3]),"")</f>
        <v>3296400</v>
      </c>
      <c r="P17" s="34">
        <f>IFERROR(SUMIF(Table443[,],Table645[[#This Row],[Accounts Name]],Table443[,2]),"")</f>
        <v>0</v>
      </c>
      <c r="S17" s="36">
        <f t="shared" si="0"/>
        <v>10</v>
      </c>
      <c r="T17" s="34" t="s">
        <v>48</v>
      </c>
      <c r="U17" s="37" t="s">
        <v>146</v>
      </c>
      <c r="V17" s="34">
        <f>IFERROR(SUMIF(Table645[Sub-Accounts],Table846[[#This Row],[Update your chart of accounts here]],Table645[Debit]),"")</f>
        <v>0</v>
      </c>
      <c r="W17" s="34">
        <f>IFERROR(SUMIF(Table645[Sub-Accounts],Table846[[#This Row],[Update your chart of accounts here]],Table645[Credit]),"")</f>
        <v>400</v>
      </c>
      <c r="X17" s="34"/>
      <c r="Y17" s="34"/>
      <c r="Z17" s="34"/>
      <c r="AA17" s="34"/>
      <c r="AB17" s="34">
        <f>MAX(Table846[[#This Row],[Debit]]+Table846[[#This Row],[Debit -]]-Table846[[#This Row],[Credit]]-Table846[[#This Row],[Credit +]],0)</f>
        <v>0</v>
      </c>
      <c r="AC17" s="34">
        <f>MAX(Table846[[#This Row],[Credit]]-Table846[[#This Row],[Debit]]+Table846[[#This Row],[Credit +]]-Table846[[#This Row],[Debit -]],0)</f>
        <v>400</v>
      </c>
      <c r="AD17" s="34" t="str">
        <f>IFERROR(IF(AND(OR(Table846[[#This Row],[Classification]]="Expense",Table846[[#This Row],[Classification]]="Cost of Goods Sold"),Table846[[#This Row],[Debit\]]&gt;Table846[[#This Row],[Credit.]]),Table846[[#This Row],[Debit\]]-Table846[[#This Row],[Credit.]],""),"")</f>
        <v/>
      </c>
      <c r="AE17" s="34" t="str">
        <f>IFERROR(IF(AND(OR(Table846[[#This Row],[Classification]]="Income",Table846[[#This Row],[Classification]]="Cost of Goods Sold"),Table846[[#This Row],[Credit.]]&gt;Table846[[#This Row],[Debit\]]),Table846[[#This Row],[Credit.]]-Table846[[#This Row],[Debit\]],""),"")</f>
        <v/>
      </c>
      <c r="AF17" s="34"/>
      <c r="AG17" s="34" t="str">
        <f>IFERROR(IF(AND(Table846[[#This Row],[Classification]]="Assets",Table846[[#This Row],[Debit\]]-Table846[[#This Row],[Credit.]]),Table846[[#This Row],[Debit\]]-Table846[[#This Row],[Credit.]],""),"")</f>
        <v/>
      </c>
      <c r="AH17" s="34">
        <f>IFERROR(IF(AND(OR(Table846[[#This Row],[Classification]]="Liabilities",Table846[[#This Row],[Classification]]="Owner´s Equity"),Table846[[#This Row],[Credit.]]&gt;Table846[[#This Row],[Debit\]]),Table846[[#This Row],[Credit.]]-Table846[[#This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IFERROR(SUMIF(Table443[,],Table645[[#This Row],[Accounts Name]],Table443[,3]),"")</f>
        <v>165000</v>
      </c>
      <c r="P18" s="34">
        <f>IFERROR(SUMIF(Table443[,],Table645[[#This Row],[Accounts Name]],Table443[,2]),"")</f>
        <v>0</v>
      </c>
      <c r="S18" s="36">
        <f t="shared" si="0"/>
        <v>11</v>
      </c>
      <c r="T18" s="34"/>
      <c r="U18" s="37" t="s">
        <v>210</v>
      </c>
      <c r="V18" s="34">
        <f>IFERROR(SUMIF(Table645[Sub-Accounts],Table846[[#This Row],[Update your chart of accounts here]],Table645[Debit]),"")</f>
        <v>0</v>
      </c>
      <c r="W18" s="34">
        <f>IFERROR(SUMIF(Table645[Sub-Accounts],Table846[[#This Row],[Update your chart of accounts here]],Table645[Credit]),"")</f>
        <v>0</v>
      </c>
      <c r="X18" s="34"/>
      <c r="Y18" s="34"/>
      <c r="Z18" s="34"/>
      <c r="AA18" s="34"/>
      <c r="AB18" s="34">
        <f>MAX(Table846[[#This Row],[Debit]]+Table846[[#This Row],[Debit -]]-Table846[[#This Row],[Credit]]-Table846[[#This Row],[Credit +]],0)</f>
        <v>0</v>
      </c>
      <c r="AC18" s="34">
        <f>MAX(Table846[[#This Row],[Credit]]-Table846[[#This Row],[Debit]]+Table846[[#This Row],[Credit +]]-Table846[[#This Row],[Debit -]],0)</f>
        <v>0</v>
      </c>
      <c r="AD18" s="34" t="str">
        <f>IFERROR(IF(AND(OR(Table846[[#This Row],[Classification]]="Expense",Table846[[#This Row],[Classification]]="Cost of Goods Sold"),Table846[[#This Row],[Debit\]]&gt;Table846[[#This Row],[Credit.]]),Table846[[#This Row],[Debit\]]-Table846[[#This Row],[Credit.]],""),"")</f>
        <v/>
      </c>
      <c r="AE18" s="34" t="str">
        <f>IFERROR(IF(AND(OR(Table846[[#This Row],[Classification]]="Income",Table846[[#This Row],[Classification]]="Cost of Goods Sold"),Table846[[#This Row],[Credit.]]&gt;Table846[[#This Row],[Debit\]]),Table846[[#This Row],[Credit.]]-Table846[[#This Row],[Debit\]],""),"")</f>
        <v/>
      </c>
      <c r="AF18" s="34"/>
      <c r="AG18" s="34" t="str">
        <f>IFERROR(IF(AND(Table846[[#This Row],[Classification]]="Assets",Table846[[#This Row],[Debit\]]-Table846[[#This Row],[Credit.]]),Table846[[#This Row],[Debit\]]-Table846[[#This Row],[Credit.]],""),"")</f>
        <v/>
      </c>
      <c r="AH18" s="34" t="str">
        <f>IFERROR(IF(AND(OR(Table846[[#This Row],[Classification]]="Liabilities",Table846[[#This Row],[Classification]]="Owner´s Equity"),Table846[[#This Row],[Credit.]]&gt;Table846[[#This Row],[Debit\]]),Table846[[#This Row],[Credit.]]-Table846[[#This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IFERROR(SUMIF(Table443[,],Table645[[#This Row],[Accounts Name]],Table443[,3]),"")</f>
        <v>676160</v>
      </c>
      <c r="P19" s="34">
        <f>IFERROR(SUMIF(Table443[,],Table645[[#This Row],[Accounts Name]],Table443[,2]),"")</f>
        <v>0</v>
      </c>
      <c r="S19" s="36">
        <f t="shared" si="0"/>
        <v>12</v>
      </c>
      <c r="T19" s="34"/>
      <c r="U19" s="37" t="s">
        <v>211</v>
      </c>
      <c r="V19" s="34">
        <f>IFERROR(SUMIF(Table645[Sub-Accounts],Table846[[#This Row],[Update your chart of accounts here]],Table645[Debit]),"")</f>
        <v>0</v>
      </c>
      <c r="W19" s="34">
        <f>IFERROR(SUMIF(Table645[Sub-Accounts],Table846[[#This Row],[Update your chart of accounts here]],Table645[Credit]),"")</f>
        <v>0</v>
      </c>
      <c r="X19" s="34"/>
      <c r="Y19" s="34"/>
      <c r="Z19" s="34"/>
      <c r="AA19" s="34"/>
      <c r="AB19" s="34">
        <f>MAX(Table846[[#This Row],[Debit]]+Table846[[#This Row],[Debit -]]-Table846[[#This Row],[Credit]]-Table846[[#This Row],[Credit +]],0)</f>
        <v>0</v>
      </c>
      <c r="AC19" s="34">
        <f>MAX(Table846[[#This Row],[Credit]]-Table846[[#This Row],[Debit]]+Table846[[#This Row],[Credit +]]-Table846[[#This Row],[Debit -]],0)</f>
        <v>0</v>
      </c>
      <c r="AD19" s="34" t="str">
        <f>IFERROR(IF(AND(OR(Table846[[#This Row],[Classification]]="Expense",Table846[[#This Row],[Classification]]="Cost of Goods Sold"),Table846[[#This Row],[Debit\]]&gt;Table846[[#This Row],[Credit.]]),Table846[[#This Row],[Debit\]]-Table846[[#This Row],[Credit.]],""),"")</f>
        <v/>
      </c>
      <c r="AE19" s="34" t="str">
        <f>IFERROR(IF(AND(OR(Table846[[#This Row],[Classification]]="Income",Table846[[#This Row],[Classification]]="Cost of Goods Sold"),Table846[[#This Row],[Credit.]]&gt;Table846[[#This Row],[Debit\]]),Table846[[#This Row],[Credit.]]-Table846[[#This Row],[Debit\]],""),"")</f>
        <v/>
      </c>
      <c r="AF19" s="34"/>
      <c r="AG19" s="34" t="str">
        <f>IFERROR(IF(AND(Table846[[#This Row],[Classification]]="Assets",Table846[[#This Row],[Debit\]]-Table846[[#This Row],[Credit.]]),Table846[[#This Row],[Debit\]]-Table846[[#This Row],[Credit.]],""),"")</f>
        <v/>
      </c>
      <c r="AH19" s="34" t="str">
        <f>IFERROR(IF(AND(OR(Table846[[#This Row],[Classification]]="Liabilities",Table846[[#This Row],[Classification]]="Owner´s Equity"),Table846[[#This Row],[Credit.]]&gt;Table846[[#This Row],[Debit\]]),Table846[[#This Row],[Credit.]]-Table846[[#This Row],[Debit\]],""),"")</f>
        <v/>
      </c>
    </row>
    <row r="20" spans="2:34" hidden="1" x14ac:dyDescent="0.25">
      <c r="B20" s="34"/>
      <c r="C20" s="37" t="s">
        <v>74</v>
      </c>
      <c r="D20" s="34">
        <v>676160</v>
      </c>
      <c r="E20" s="34"/>
      <c r="G20" s="39"/>
      <c r="H20" s="43" t="s">
        <v>187</v>
      </c>
      <c r="I20" s="41"/>
      <c r="J20" s="41"/>
      <c r="L20" s="34">
        <v>13</v>
      </c>
      <c r="M20" s="35" t="s">
        <v>143</v>
      </c>
      <c r="N20" s="35" t="s">
        <v>75</v>
      </c>
      <c r="O20" s="34">
        <f>IFERROR(SUMIF(Table443[,],Table645[[#This Row],[Accounts Name]],Table443[,3]),"")</f>
        <v>0</v>
      </c>
      <c r="P20" s="34">
        <f>IFERROR(SUMIF(Table443[,],Table645[[#This Row],[Accounts Name]],Table443[,2]),"")</f>
        <v>654898</v>
      </c>
      <c r="S20" s="36">
        <f t="shared" si="0"/>
        <v>13</v>
      </c>
      <c r="T20" s="34"/>
      <c r="U20" s="37" t="s">
        <v>212</v>
      </c>
      <c r="V20" s="34">
        <f>IFERROR(SUMIF(Table645[Sub-Accounts],Table846[[#This Row],[Update your chart of accounts here]],Table645[Debit]),"")</f>
        <v>0</v>
      </c>
      <c r="W20" s="34">
        <f>IFERROR(SUMIF(Table645[Sub-Accounts],Table846[[#This Row],[Update your chart of accounts here]],Table645[Credit]),"")</f>
        <v>0</v>
      </c>
      <c r="X20" s="34"/>
      <c r="Y20" s="34"/>
      <c r="Z20" s="34"/>
      <c r="AA20" s="34"/>
      <c r="AB20" s="34">
        <f>MAX(Table846[[#This Row],[Debit]]+Table846[[#This Row],[Debit -]]-Table846[[#This Row],[Credit]]-Table846[[#This Row],[Credit +]],0)</f>
        <v>0</v>
      </c>
      <c r="AC20" s="34">
        <f>MAX(Table846[[#This Row],[Credit]]-Table846[[#This Row],[Debit]]+Table846[[#This Row],[Credit +]]-Table846[[#This Row],[Debit -]],0)</f>
        <v>0</v>
      </c>
      <c r="AD20" s="34" t="str">
        <f>IFERROR(IF(AND(OR(Table846[[#This Row],[Classification]]="Expense",Table846[[#This Row],[Classification]]="Cost of Goods Sold"),Table846[[#This Row],[Debit\]]&gt;Table846[[#This Row],[Credit.]]),Table846[[#This Row],[Debit\]]-Table846[[#This Row],[Credit.]],""),"")</f>
        <v/>
      </c>
      <c r="AE20" s="34" t="str">
        <f>IFERROR(IF(AND(OR(Table846[[#This Row],[Classification]]="Income",Table846[[#This Row],[Classification]]="Cost of Goods Sold"),Table846[[#This Row],[Credit.]]&gt;Table846[[#This Row],[Debit\]]),Table846[[#This Row],[Credit.]]-Table846[[#This Row],[Debit\]],""),"")</f>
        <v/>
      </c>
      <c r="AF20" s="34"/>
      <c r="AG20" s="34" t="str">
        <f>IFERROR(IF(AND(Table846[[#This Row],[Classification]]="Assets",Table846[[#This Row],[Debit\]]-Table846[[#This Row],[Credit.]]),Table846[[#This Row],[Debit\]]-Table846[[#This Row],[Credit.]],""),"")</f>
        <v/>
      </c>
      <c r="AH20" s="34" t="str">
        <f>IFERROR(IF(AND(OR(Table846[[#This Row],[Classification]]="Liabilities",Table846[[#This Row],[Classification]]="Owner´s Equity"),Table846[[#This Row],[Credit.]]&gt;Table846[[#This Row],[Debit\]]),Table846[[#This Row],[Credit.]]-Table846[[#This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IFERROR(SUMIF(Table443[,],Table645[[#This Row],[Accounts Name]],Table443[,3]),"")</f>
        <v>828735.28</v>
      </c>
      <c r="P21" s="34">
        <f>IFERROR(SUMIF(Table443[,],Table645[[#This Row],[Accounts Name]],Table443[,2]),"")</f>
        <v>0</v>
      </c>
      <c r="S21" s="36">
        <f t="shared" si="0"/>
        <v>14</v>
      </c>
      <c r="T21" s="34"/>
      <c r="U21" s="37" t="s">
        <v>213</v>
      </c>
      <c r="V21" s="34">
        <f>IFERROR(SUMIF(Table645[Sub-Accounts],Table846[[#This Row],[Update your chart of accounts here]],Table645[Debit]),"")</f>
        <v>0</v>
      </c>
      <c r="W21" s="34">
        <f>IFERROR(SUMIF(Table645[Sub-Accounts],Table846[[#This Row],[Update your chart of accounts here]],Table645[Credit]),"")</f>
        <v>0</v>
      </c>
      <c r="X21" s="34"/>
      <c r="Y21" s="34"/>
      <c r="Z21" s="34"/>
      <c r="AA21" s="34"/>
      <c r="AB21" s="34">
        <f>MAX(Table846[[#This Row],[Debit]]+Table846[[#This Row],[Debit -]]-Table846[[#This Row],[Credit]]-Table846[[#This Row],[Credit +]],0)</f>
        <v>0</v>
      </c>
      <c r="AC21" s="34">
        <f>MAX(Table846[[#This Row],[Credit]]-Table846[[#This Row],[Debit]]+Table846[[#This Row],[Credit +]]-Table846[[#This Row],[Debit -]],0)</f>
        <v>0</v>
      </c>
      <c r="AD21" s="34" t="str">
        <f>IFERROR(IF(AND(OR(Table846[[#This Row],[Classification]]="Expense",Table846[[#This Row],[Classification]]="Cost of Goods Sold"),Table846[[#This Row],[Debit\]]&gt;Table846[[#This Row],[Credit.]]),Table846[[#This Row],[Debit\]]-Table846[[#This Row],[Credit.]],""),"")</f>
        <v/>
      </c>
      <c r="AE21" s="34" t="str">
        <f>IFERROR(IF(AND(OR(Table846[[#This Row],[Classification]]="Income",Table846[[#This Row],[Classification]]="Cost of Goods Sold"),Table846[[#This Row],[Credit.]]&gt;Table846[[#This Row],[Debit\]]),Table846[[#This Row],[Credit.]]-Table846[[#This Row],[Debit\]],""),"")</f>
        <v/>
      </c>
      <c r="AF21" s="34"/>
      <c r="AG21" s="34" t="str">
        <f>IFERROR(IF(AND(Table846[[#This Row],[Classification]]="Assets",Table846[[#This Row],[Debit\]]-Table846[[#This Row],[Credit.]]),Table846[[#This Row],[Debit\]]-Table846[[#This Row],[Credit.]],""),"")</f>
        <v/>
      </c>
      <c r="AH21" s="34" t="str">
        <f>IFERROR(IF(AND(OR(Table846[[#This Row],[Classification]]="Liabilities",Table846[[#This Row],[Classification]]="Owner´s Equity"),Table846[[#This Row],[Credit.]]&gt;Table846[[#This Row],[Debit\]]),Table846[[#This Row],[Credit.]]-Table846[[#This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IFERROR(SUMIF(Table443[,],Table645[[#This Row],[Accounts Name]],Table443[,3]),"")</f>
        <v>0</v>
      </c>
      <c r="P22" s="34">
        <f>IFERROR(SUMIF(Table443[,],Table645[[#This Row],[Accounts Name]],Table443[,2]),"")</f>
        <v>347656</v>
      </c>
      <c r="S22" s="36">
        <f t="shared" si="0"/>
        <v>15</v>
      </c>
      <c r="T22" s="34" t="s">
        <v>11</v>
      </c>
      <c r="U22" s="37" t="s">
        <v>144</v>
      </c>
      <c r="V22" s="34">
        <f>IFERROR(SUMIF(Table645[Sub-Accounts],Table846[[#This Row],[Update your chart of accounts here]],Table645[Debit]),"")</f>
        <v>2228108</v>
      </c>
      <c r="W22" s="34">
        <f>IFERROR(SUMIF(Table645[Sub-Accounts],Table846[[#This Row],[Update your chart of accounts here]],Table645[Credit]),"")</f>
        <v>0</v>
      </c>
      <c r="X22" s="34"/>
      <c r="Y22" s="34" t="s">
        <v>227</v>
      </c>
      <c r="Z22" s="34"/>
      <c r="AA22" s="34">
        <f>J19</f>
        <v>50000</v>
      </c>
      <c r="AB22" s="34">
        <f>MAX(Table846[[#This Row],[Debit]]+Table846[[#This Row],[Debit -]]-Table846[[#This Row],[Credit]]-Table846[[#This Row],[Credit +]],0)</f>
        <v>2178108</v>
      </c>
      <c r="AC22" s="34">
        <f>MAX(Table846[[#This Row],[Credit]]-Table846[[#This Row],[Debit]]+Table846[[#This Row],[Credit +]]-Table846[[#This Row],[Debit -]],0)</f>
        <v>0</v>
      </c>
      <c r="AD22" s="34" t="str">
        <f>IFERROR(IF(AND(OR(Table846[[#This Row],[Classification]]="Expense",Table846[[#This Row],[Classification]]="Cost of Goods Sold"),Table846[[#This Row],[Debit\]]&gt;Table846[[#This Row],[Credit.]]),Table846[[#This Row],[Debit\]]-Table846[[#This Row],[Credit.]],""),"")</f>
        <v/>
      </c>
      <c r="AE22" s="34" t="str">
        <f>IFERROR(IF(AND(OR(Table846[[#This Row],[Classification]]="Income",Table846[[#This Row],[Classification]]="Cost of Goods Sold"),Table846[[#This Row],[Credit.]]&gt;Table846[[#This Row],[Debit\]]),Table846[[#This Row],[Credit.]]-Table846[[#This Row],[Debit\]],""),"")</f>
        <v/>
      </c>
      <c r="AF22" s="34"/>
      <c r="AG22" s="34">
        <f>IFERROR(IF(AND(Table846[[#This Row],[Classification]]="Assets",Table846[[#This Row],[Debit\]]-Table846[[#This Row],[Credit.]]),Table846[[#This Row],[Debit\]]-Table846[[#This Row],[Credit.]],""),"")</f>
        <v>2178108</v>
      </c>
      <c r="AH22" s="34" t="str">
        <f>IFERROR(IF(AND(OR(Table846[[#This Row],[Classification]]="Liabilities",Table846[[#This Row],[Classification]]="Owner´s Equity"),Table846[[#This Row],[Credit.]]&gt;Table846[[#This Row],[Debit\]]),Table846[[#This Row],[Credit.]]-Table846[[#This Row],[Debit\]],""),"")</f>
        <v/>
      </c>
    </row>
    <row r="23" spans="2:34" hidden="1" x14ac:dyDescent="0.25">
      <c r="B23" s="34"/>
      <c r="C23" s="37" t="s">
        <v>77</v>
      </c>
      <c r="D23" s="34"/>
      <c r="E23" s="34">
        <v>347656</v>
      </c>
      <c r="G23" s="39"/>
      <c r="H23" s="43" t="s">
        <v>188</v>
      </c>
      <c r="I23" s="41"/>
      <c r="J23" s="41"/>
      <c r="L23" s="34">
        <v>16</v>
      </c>
      <c r="M23" s="35" t="s">
        <v>143</v>
      </c>
      <c r="N23" s="35" t="s">
        <v>78</v>
      </c>
      <c r="O23" s="34">
        <f>IFERROR(SUMIF(Table443[,],Table645[[#This Row],[Accounts Name]],Table443[,3]),"")</f>
        <v>1150000</v>
      </c>
      <c r="P23" s="34">
        <f>IFERROR(SUMIF(Table443[,],Table645[[#This Row],[Accounts Name]],Table443[,2]),"")</f>
        <v>0</v>
      </c>
      <c r="S23" s="36">
        <f t="shared" si="0"/>
        <v>16</v>
      </c>
      <c r="T23" s="34"/>
      <c r="U23" s="37" t="s">
        <v>214</v>
      </c>
      <c r="V23" s="34">
        <f>IFERROR(SUMIF(Table645[Sub-Accounts],Table846[[#This Row],[Update your chart of accounts here]],Table645[Debit]),"")</f>
        <v>0</v>
      </c>
      <c r="W23" s="34">
        <f>IFERROR(SUMIF(Table645[Sub-Accounts],Table846[[#This Row],[Update your chart of accounts here]],Table645[Credit]),"")</f>
        <v>0</v>
      </c>
      <c r="X23" s="34"/>
      <c r="Y23" s="34"/>
      <c r="Z23" s="34"/>
      <c r="AA23" s="34"/>
      <c r="AB23" s="34">
        <f>MAX(Table846[[#This Row],[Debit]]+Table846[[#This Row],[Debit -]]-Table846[[#This Row],[Credit]]-Table846[[#This Row],[Credit +]],0)</f>
        <v>0</v>
      </c>
      <c r="AC23" s="34">
        <f>MAX(Table846[[#This Row],[Credit]]-Table846[[#This Row],[Debit]]+Table846[[#This Row],[Credit +]]-Table846[[#This Row],[Debit -]],0)</f>
        <v>0</v>
      </c>
      <c r="AD23" s="34" t="str">
        <f>IFERROR(IF(AND(OR(Table846[[#This Row],[Classification]]="Expense",Table846[[#This Row],[Classification]]="Cost of Goods Sold"),Table846[[#This Row],[Debit\]]&gt;Table846[[#This Row],[Credit.]]),Table846[[#This Row],[Debit\]]-Table846[[#This Row],[Credit.]],""),"")</f>
        <v/>
      </c>
      <c r="AE23" s="34" t="str">
        <f>IFERROR(IF(AND(OR(Table846[[#This Row],[Classification]]="Income",Table846[[#This Row],[Classification]]="Cost of Goods Sold"),Table846[[#This Row],[Credit.]]&gt;Table846[[#This Row],[Debit\]]),Table846[[#This Row],[Credit.]]-Table846[[#This Row],[Debit\]],""),"")</f>
        <v/>
      </c>
      <c r="AF23" s="34"/>
      <c r="AG23" s="34" t="str">
        <f>IFERROR(IF(AND(Table846[[#This Row],[Classification]]="Assets",Table846[[#This Row],[Debit\]]-Table846[[#This Row],[Credit.]]),Table846[[#This Row],[Debit\]]-Table846[[#This Row],[Credit.]],""),"")</f>
        <v/>
      </c>
      <c r="AH23" s="34" t="str">
        <f>IFERROR(IF(AND(OR(Table846[[#This Row],[Classification]]="Liabilities",Table846[[#This Row],[Classification]]="Owner´s Equity"),Table846[[#This Row],[Credit.]]&gt;Table846[[#This Row],[Debit\]]),Table846[[#This Row],[Credit.]]-Table846[[#This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IFERROR(SUMIF(Table443[,],Table645[[#This Row],[Accounts Name]],Table443[,3]),"")</f>
        <v>375657</v>
      </c>
      <c r="P24" s="34">
        <f>IFERROR(SUMIF(Table443[,],Table645[[#This Row],[Accounts Name]],Table443[,2]),"")</f>
        <v>0</v>
      </c>
      <c r="S24" s="36">
        <f t="shared" si="0"/>
        <v>17</v>
      </c>
      <c r="T24" s="34" t="s">
        <v>48</v>
      </c>
      <c r="U24" s="37" t="s">
        <v>145</v>
      </c>
      <c r="V24" s="34">
        <f>IFERROR(SUMIF(Table645[Sub-Accounts],Table846[[#This Row],[Update your chart of accounts here]],Table645[Debit]),"")</f>
        <v>0</v>
      </c>
      <c r="W24" s="34">
        <f>IFERROR(SUMIF(Table645[Sub-Accounts],Table846[[#This Row],[Update your chart of accounts here]],Table645[Credit]),"")</f>
        <v>11852079.26</v>
      </c>
      <c r="X24" s="34"/>
      <c r="Y24" s="34" t="s">
        <v>226</v>
      </c>
      <c r="Z24" s="34">
        <f>I16</f>
        <v>1000000</v>
      </c>
      <c r="AA24" s="34"/>
      <c r="AB24" s="34">
        <f>MAX(Table846[[#This Row],[Debit]]+Table846[[#This Row],[Debit -]]-Table846[[#This Row],[Credit]]-Table846[[#This Row],[Credit +]],0)</f>
        <v>0</v>
      </c>
      <c r="AC24" s="34">
        <f>MAX(Table846[[#This Row],[Credit]]-Table846[[#This Row],[Debit]]+Table846[[#This Row],[Credit +]]-Table846[[#This Row],[Debit -]],0)</f>
        <v>10852079.26</v>
      </c>
      <c r="AD24" s="34" t="str">
        <f>IFERROR(IF(AND(OR(Table846[[#This Row],[Classification]]="Expense",Table846[[#This Row],[Classification]]="Cost of Goods Sold"),Table846[[#This Row],[Debit\]]&gt;Table846[[#This Row],[Credit.]]),Table846[[#This Row],[Debit\]]-Table846[[#This Row],[Credit.]],""),"")</f>
        <v/>
      </c>
      <c r="AE24" s="34" t="str">
        <f>IFERROR(IF(AND(OR(Table846[[#This Row],[Classification]]="Income",Table846[[#This Row],[Classification]]="Cost of Goods Sold"),Table846[[#This Row],[Credit.]]&gt;Table846[[#This Row],[Debit\]]),Table846[[#This Row],[Credit.]]-Table846[[#This Row],[Debit\]],""),"")</f>
        <v/>
      </c>
      <c r="AF24" s="34"/>
      <c r="AG24" s="34" t="str">
        <f>IFERROR(IF(AND(Table846[[#This Row],[Classification]]="Assets",Table846[[#This Row],[Debit\]]-Table846[[#This Row],[Credit.]]),Table846[[#This Row],[Debit\]]-Table846[[#This Row],[Credit.]],""),"")</f>
        <v/>
      </c>
      <c r="AH24" s="34">
        <f>IFERROR(IF(AND(OR(Table846[[#This Row],[Classification]]="Liabilities",Table846[[#This Row],[Classification]]="Owner´s Equity"),Table846[[#This Row],[Credit.]]&gt;Table846[[#This Row],[Debit\]]),Table846[[#This Row],[Credit.]]-Table846[[#This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IFERROR(SUMIF(Table443[,],Table645[[#This Row],[Accounts Name]],Table443[,3]),"")</f>
        <v>0</v>
      </c>
      <c r="P25" s="34">
        <f>IFERROR(SUMIF(Table443[,],Table645[[#This Row],[Accounts Name]],Table443[,2]),"")</f>
        <v>288789</v>
      </c>
      <c r="S25" s="36">
        <f t="shared" si="0"/>
        <v>18</v>
      </c>
      <c r="T25" s="34"/>
      <c r="U25" s="37" t="s">
        <v>215</v>
      </c>
      <c r="V25" s="34">
        <f>IFERROR(SUMIF(Table645[Sub-Accounts],Table846[[#This Row],[Update your chart of accounts here]],Table645[Debit]),"")</f>
        <v>0</v>
      </c>
      <c r="W25" s="34">
        <f>IFERROR(SUMIF(Table645[Sub-Accounts],Table846[[#This Row],[Update your chart of accounts here]],Table645[Credit]),"")</f>
        <v>0</v>
      </c>
      <c r="X25" s="34"/>
      <c r="Y25" s="34"/>
      <c r="Z25" s="34"/>
      <c r="AA25" s="34"/>
      <c r="AB25" s="34">
        <f>MAX(Table846[[#This Row],[Debit]]+Table846[[#This Row],[Debit -]]-Table846[[#This Row],[Credit]]-Table846[[#This Row],[Credit +]],0)</f>
        <v>0</v>
      </c>
      <c r="AC25" s="34">
        <f>MAX(Table846[[#This Row],[Credit]]-Table846[[#This Row],[Debit]]+Table846[[#This Row],[Credit +]]-Table846[[#This Row],[Debit -]],0)</f>
        <v>0</v>
      </c>
      <c r="AD25" s="34" t="str">
        <f>IFERROR(IF(AND(OR(Table846[[#This Row],[Classification]]="Expense",Table846[[#This Row],[Classification]]="Cost of Goods Sold"),Table846[[#This Row],[Debit\]]&gt;Table846[[#This Row],[Credit.]]),Table846[[#This Row],[Debit\]]-Table846[[#This Row],[Credit.]],""),"")</f>
        <v/>
      </c>
      <c r="AE25" s="34" t="str">
        <f>IFERROR(IF(AND(OR(Table846[[#This Row],[Classification]]="Income",Table846[[#This Row],[Classification]]="Cost of Goods Sold"),Table846[[#This Row],[Credit.]]&gt;Table846[[#This Row],[Debit\]]),Table846[[#This Row],[Credit.]]-Table846[[#This Row],[Debit\]],""),"")</f>
        <v/>
      </c>
      <c r="AF25" s="34"/>
      <c r="AG25" s="34" t="str">
        <f>IFERROR(IF(AND(Table846[[#This Row],[Classification]]="Assets",Table846[[#This Row],[Debit\]]-Table846[[#This Row],[Credit.]]),Table846[[#This Row],[Debit\]]-Table846[[#This Row],[Credit.]],""),"")</f>
        <v/>
      </c>
      <c r="AH25" s="34" t="str">
        <f>IFERROR(IF(AND(OR(Table846[[#This Row],[Classification]]="Liabilities",Table846[[#This Row],[Classification]]="Owner´s Equity"),Table846[[#This Row],[Credit.]]&gt;Table846[[#This Row],[Debit\]]),Table846[[#This Row],[Credit.]]-Table846[[#This Row],[Debit\]],""),"")</f>
        <v/>
      </c>
    </row>
    <row r="26" spans="2:34" hidden="1" x14ac:dyDescent="0.25">
      <c r="B26" s="34"/>
      <c r="C26" s="37" t="s">
        <v>80</v>
      </c>
      <c r="D26" s="34"/>
      <c r="E26" s="34">
        <v>288789</v>
      </c>
      <c r="G26" s="39"/>
      <c r="H26" s="43" t="s">
        <v>189</v>
      </c>
      <c r="I26" s="41"/>
      <c r="J26" s="41"/>
      <c r="L26" s="34">
        <v>19</v>
      </c>
      <c r="M26" s="35" t="s">
        <v>143</v>
      </c>
      <c r="N26" s="35" t="s">
        <v>81</v>
      </c>
      <c r="O26" s="34">
        <f>IFERROR(SUMIF(Table443[,],Table645[[#This Row],[Accounts Name]],Table443[,3]),"")</f>
        <v>975000</v>
      </c>
      <c r="P26" s="34">
        <f>IFERROR(SUMIF(Table443[,],Table645[[#This Row],[Accounts Name]],Table443[,2]),"")</f>
        <v>0</v>
      </c>
      <c r="S26" s="36">
        <f t="shared" si="0"/>
        <v>19</v>
      </c>
      <c r="T26" s="34" t="s">
        <v>62</v>
      </c>
      <c r="U26" s="37" t="s">
        <v>62</v>
      </c>
      <c r="V26" s="34">
        <f>IFERROR(SUMIF(Table645[Sub-Accounts],Table846[[#This Row],[Update your chart of accounts here]],Table645[Debit]),"")</f>
        <v>0</v>
      </c>
      <c r="W26" s="34">
        <f>IFERROR(SUMIF(Table645[Sub-Accounts],Table846[[#This Row],[Update your chart of accounts here]],Table645[Credit]),"")</f>
        <v>332888373.44999999</v>
      </c>
      <c r="X26" s="34"/>
      <c r="Y26" s="34" t="s">
        <v>228</v>
      </c>
      <c r="Z26" s="34">
        <f>I24</f>
        <v>21</v>
      </c>
      <c r="AA26" s="34"/>
      <c r="AB26" s="34">
        <f>MAX(Table846[[#This Row],[Debit]]+Table846[[#This Row],[Debit -]]-Table846[[#This Row],[Credit]]-Table846[[#This Row],[Credit +]],0)</f>
        <v>0</v>
      </c>
      <c r="AC26" s="34">
        <f>MAX(Table846[[#This Row],[Credit]]-Table846[[#This Row],[Debit]]+Table846[[#This Row],[Credit +]]-Table846[[#This Row],[Debit -]],0)</f>
        <v>332888352.44999999</v>
      </c>
      <c r="AD26" s="34" t="str">
        <f>IFERROR(IF(AND(OR(Table846[[#This Row],[Classification]]="Expense",Table846[[#This Row],[Classification]]="Cost of Goods Sold"),Table846[[#This Row],[Debit\]]&gt;Table846[[#This Row],[Credit.]]),Table846[[#This Row],[Debit\]]-Table846[[#This Row],[Credit.]],""),"")</f>
        <v/>
      </c>
      <c r="AE26" s="34">
        <f>IFERROR(IF(AND(OR(Table846[[#This Row],[Classification]]="Income",Table846[[#This Row],[Classification]]="Cost of Goods Sold"),Table846[[#This Row],[Credit.]]&gt;Table846[[#This Row],[Debit\]]),Table846[[#This Row],[Credit.]]-Table846[[#This Row],[Debit\]],""),"")</f>
        <v>332888352.44999999</v>
      </c>
      <c r="AF26" s="34"/>
      <c r="AG26" s="34" t="str">
        <f>IFERROR(IF(AND(Table846[[#This Row],[Classification]]="Assets",Table846[[#This Row],[Debit\]]-Table846[[#This Row],[Credit.]]),Table846[[#This Row],[Debit\]]-Table846[[#This Row],[Credit.]],""),"")</f>
        <v/>
      </c>
      <c r="AH26" s="34" t="str">
        <f>IFERROR(IF(AND(OR(Table846[[#This Row],[Classification]]="Liabilities",Table846[[#This Row],[Classification]]="Owner´s Equity"),Table846[[#This Row],[Credit.]]&gt;Table846[[#This Row],[Debit\]]),Table846[[#This Row],[Credit.]]-Table846[[#This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IFERROR(SUMIF(Table443[,],Table645[[#This Row],[Accounts Name]],Table443[,3]),"")</f>
        <v>0</v>
      </c>
      <c r="P27" s="34">
        <f>IFERROR(SUMIF(Table443[,],Table645[[#This Row],[Accounts Name]],Table443[,2]),"")</f>
        <v>426561</v>
      </c>
      <c r="S27" s="36">
        <f t="shared" si="0"/>
        <v>20</v>
      </c>
      <c r="T27" s="34" t="s">
        <v>62</v>
      </c>
      <c r="U27" s="37" t="s">
        <v>216</v>
      </c>
      <c r="V27" s="34">
        <f>IFERROR(SUMIF(Table645[Sub-Accounts],Table846[[#This Row],[Update your chart of accounts here]],Table645[Debit]),"")</f>
        <v>0</v>
      </c>
      <c r="W27" s="34">
        <f>IFERROR(SUMIF(Table645[Sub-Accounts],Table846[[#This Row],[Update your chart of accounts here]],Table645[Credit]),"")</f>
        <v>0</v>
      </c>
      <c r="X27" s="34"/>
      <c r="Y27" s="34" t="s">
        <v>225</v>
      </c>
      <c r="Z27" s="34"/>
      <c r="AA27" s="34">
        <f>J13</f>
        <v>251563</v>
      </c>
      <c r="AB27" s="34">
        <f>MAX(Table846[[#This Row],[Debit]]+Table846[[#This Row],[Debit -]]-Table846[[#This Row],[Credit]]-Table846[[#This Row],[Credit +]],0)</f>
        <v>0</v>
      </c>
      <c r="AC27" s="34">
        <f>MAX(Table846[[#This Row],[Credit]]-Table846[[#This Row],[Debit]]+Table846[[#This Row],[Credit +]]-Table846[[#This Row],[Debit -]],0)</f>
        <v>251563</v>
      </c>
      <c r="AD27" s="34" t="str">
        <f>IFERROR(IF(AND(OR(Table846[[#This Row],[Classification]]="Expense",Table846[[#This Row],[Classification]]="Cost of Goods Sold"),Table846[[#This Row],[Debit\]]&gt;Table846[[#This Row],[Credit.]]),Table846[[#This Row],[Debit\]]-Table846[[#This Row],[Credit.]],""),"")</f>
        <v/>
      </c>
      <c r="AE27" s="34">
        <f>IFERROR(IF(AND(OR(Table846[[#This Row],[Classification]]="Income",Table846[[#This Row],[Classification]]="Cost of Goods Sold"),Table846[[#This Row],[Credit.]]&gt;Table846[[#This Row],[Debit\]]),Table846[[#This Row],[Credit.]]-Table846[[#This Row],[Debit\]],""),"")</f>
        <v>251563</v>
      </c>
      <c r="AF27" s="34"/>
      <c r="AG27" s="34" t="str">
        <f>IFERROR(IF(AND(Table846[[#This Row],[Classification]]="Assets",Table846[[#This Row],[Debit\]]-Table846[[#This Row],[Credit.]]),Table846[[#This Row],[Debit\]]-Table846[[#This Row],[Credit.]],""),"")</f>
        <v/>
      </c>
      <c r="AH27" s="34" t="str">
        <f>IFERROR(IF(AND(OR(Table846[[#This Row],[Classification]]="Liabilities",Table846[[#This Row],[Classification]]="Owner´s Equity"),Table846[[#This Row],[Credit.]]&gt;Table846[[#This Row],[Debit\]]),Table846[[#This Row],[Credit.]]-Table846[[#This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IFERROR(SUMIF(Table443[,],Table645[[#This Row],[Accounts Name]],Table443[,3]),"")</f>
        <v>350000</v>
      </c>
      <c r="P28" s="34">
        <f>IFERROR(SUMIF(Table443[,],Table645[[#This Row],[Accounts Name]],Table443[,2]),"")</f>
        <v>0</v>
      </c>
      <c r="S28" s="36">
        <f t="shared" si="0"/>
        <v>21</v>
      </c>
      <c r="T28" s="34" t="s">
        <v>6</v>
      </c>
      <c r="U28" s="37" t="s">
        <v>147</v>
      </c>
      <c r="V28" s="34">
        <f>IFERROR(SUMIF(Table645[Sub-Accounts],Table846[[#This Row],[Update your chart of accounts here]],Table645[Debit]),"")</f>
        <v>316209838.63</v>
      </c>
      <c r="W28" s="34">
        <f>IFERROR(SUMIF(Table645[Sub-Accounts],Table846[[#This Row],[Update your chart of accounts here]],Table645[Credit]),"")</f>
        <v>0</v>
      </c>
      <c r="X28" s="34"/>
      <c r="Y28" s="34" t="s">
        <v>231</v>
      </c>
      <c r="Z28" s="34">
        <f>I30</f>
        <v>1379881</v>
      </c>
      <c r="AA28" s="34"/>
      <c r="AB28" s="34">
        <f>MAX(Table846[[#This Row],[Debit]]+Table846[[#This Row],[Debit -]]-Table846[[#This Row],[Credit]]-Table846[[#This Row],[Credit +]],0)</f>
        <v>317589719.63</v>
      </c>
      <c r="AC28" s="34">
        <f>MAX(Table846[[#This Row],[Credit]]-Table846[[#This Row],[Debit]]+Table846[[#This Row],[Credit +]]-Table846[[#This Row],[Debit -]],0)</f>
        <v>0</v>
      </c>
      <c r="AD28" s="34">
        <f>IFERROR(IF(AND(OR(Table846[[#This Row],[Classification]]="Expense",Table846[[#This Row],[Classification]]="Cost of Goods Sold"),Table846[[#This Row],[Debit\]]&gt;Table846[[#This Row],[Credit.]]),Table846[[#This Row],[Debit\]]-Table846[[#This Row],[Credit.]],""),"")</f>
        <v>317589719.63</v>
      </c>
      <c r="AE28" s="34" t="str">
        <f>IFERROR(IF(AND(OR(Table846[[#This Row],[Classification]]="Income",Table846[[#This Row],[Classification]]="Cost of Goods Sold"),Table846[[#This Row],[Credit.]]&gt;Table846[[#This Row],[Debit\]]),Table846[[#This Row],[Credit.]]-Table846[[#This Row],[Debit\]],""),"")</f>
        <v/>
      </c>
      <c r="AF28" s="34"/>
      <c r="AG28" s="34" t="str">
        <f>IFERROR(IF(AND(Table846[[#This Row],[Classification]]="Assets",Table846[[#This Row],[Debit\]]-Table846[[#This Row],[Credit.]]),Table846[[#This Row],[Debit\]]-Table846[[#This Row],[Credit.]],""),"")</f>
        <v/>
      </c>
      <c r="AH28" s="34" t="str">
        <f>IFERROR(IF(AND(OR(Table846[[#This Row],[Classification]]="Liabilities",Table846[[#This Row],[Classification]]="Owner´s Equity"),Table846[[#This Row],[Credit.]]&gt;Table846[[#This Row],[Debit\]]),Table846[[#This Row],[Credit.]]-Table846[[#This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IFERROR(SUMIF(Table443[,],Table645[[#This Row],[Accounts Name]],Table443[,3]),"")</f>
        <v>0</v>
      </c>
      <c r="P29" s="34">
        <f>IFERROR(SUMIF(Table443[,],Table645[[#This Row],[Accounts Name]],Table443[,2]),"")</f>
        <v>4840392.6399999997</v>
      </c>
      <c r="S29" s="36">
        <f t="shared" si="0"/>
        <v>22</v>
      </c>
      <c r="T29" s="34" t="s">
        <v>61</v>
      </c>
      <c r="U29" s="37" t="s">
        <v>151</v>
      </c>
      <c r="V29" s="34">
        <f>IFERROR(SUMIF(Table645[Sub-Accounts],Table846[[#This Row],[Update your chart of accounts here]],Table645[Debit]),"")</f>
        <v>3516485</v>
      </c>
      <c r="W29" s="34">
        <f>IFERROR(SUMIF(Table645[Sub-Accounts],Table846[[#This Row],[Update your chart of accounts here]],Table645[Credit]),"")</f>
        <v>0</v>
      </c>
      <c r="X29" s="34"/>
      <c r="Y29" s="34"/>
      <c r="Z29" s="34"/>
      <c r="AA29" s="34"/>
      <c r="AB29" s="34">
        <f>MAX(Table846[[#This Row],[Debit]]+Table846[[#This Row],[Debit -]]-Table846[[#This Row],[Credit]]-Table846[[#This Row],[Credit +]],0)</f>
        <v>3516485</v>
      </c>
      <c r="AC29" s="34">
        <f>MAX(Table846[[#This Row],[Credit]]-Table846[[#This Row],[Debit]]+Table846[[#This Row],[Credit +]]-Table846[[#This Row],[Debit -]],0)</f>
        <v>0</v>
      </c>
      <c r="AD29" s="34">
        <f>IFERROR(IF(AND(OR(Table846[[#This Row],[Classification]]="Expense",Table846[[#This Row],[Classification]]="Cost of Goods Sold"),Table846[[#This Row],[Debit\]]&gt;Table846[[#This Row],[Credit.]]),Table846[[#This Row],[Debit\]]-Table846[[#This Row],[Credit.]],""),"")</f>
        <v>3516485</v>
      </c>
      <c r="AE29" s="34" t="str">
        <f>IFERROR(IF(AND(OR(Table846[[#This Row],[Classification]]="Income",Table846[[#This Row],[Classification]]="Cost of Goods Sold"),Table846[[#This Row],[Credit.]]&gt;Table846[[#This Row],[Debit\]]),Table846[[#This Row],[Credit.]]-Table846[[#This Row],[Debit\]],""),"")</f>
        <v/>
      </c>
      <c r="AF29" s="34"/>
      <c r="AG29" s="34" t="str">
        <f>IFERROR(IF(AND(Table846[[#This Row],[Classification]]="Assets",Table846[[#This Row],[Debit\]]-Table846[[#This Row],[Credit.]]),Table846[[#This Row],[Debit\]]-Table846[[#This Row],[Credit.]],""),"")</f>
        <v/>
      </c>
      <c r="AH29" s="34" t="str">
        <f>IFERROR(IF(AND(OR(Table846[[#This Row],[Classification]]="Liabilities",Table846[[#This Row],[Classification]]="Owner´s Equity"),Table846[[#This Row],[Credit.]]&gt;Table846[[#This Row],[Debit\]]),Table846[[#This Row],[Credit.]]-Table846[[#This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IFERROR(SUMIF(Table443[,],Table645[[#This Row],[Accounts Name]],Table443[,3]),"")</f>
        <v>0</v>
      </c>
      <c r="P30" s="34">
        <f>IFERROR(SUMIF(Table443[,],Table645[[#This Row],[Accounts Name]],Table443[,2]),"")</f>
        <v>175000</v>
      </c>
      <c r="S30" s="36">
        <f t="shared" si="0"/>
        <v>23</v>
      </c>
      <c r="T30" s="34" t="s">
        <v>61</v>
      </c>
      <c r="U30" s="37" t="s">
        <v>167</v>
      </c>
      <c r="V30" s="34">
        <f>IFERROR(SUMIF(Table645[Sub-Accounts],Table846[[#This Row],[Update your chart of accounts here]],Table645[Debit]),"")</f>
        <v>395822.76</v>
      </c>
      <c r="W30" s="34">
        <f>IFERROR(SUMIF(Table645[Sub-Accounts],Table846[[#This Row],[Update your chart of accounts here]],Table645[Credit]),"")</f>
        <v>0</v>
      </c>
      <c r="X30" s="34"/>
      <c r="Y30" s="34" t="s">
        <v>231</v>
      </c>
      <c r="Z30" s="34">
        <f>I29</f>
        <v>325745</v>
      </c>
      <c r="AA30" s="34"/>
      <c r="AB30" s="34">
        <f>MAX(Table846[[#This Row],[Debit]]+Table846[[#This Row],[Debit -]]-Table846[[#This Row],[Credit]]-Table846[[#This Row],[Credit +]],0)</f>
        <v>721567.76</v>
      </c>
      <c r="AC30" s="34">
        <f>MAX(Table846[[#This Row],[Credit]]-Table846[[#This Row],[Debit]]+Table846[[#This Row],[Credit +]]-Table846[[#This Row],[Debit -]],0)</f>
        <v>0</v>
      </c>
      <c r="AD30" s="34">
        <f>IFERROR(IF(AND(OR(Table846[[#This Row],[Classification]]="Expense",Table846[[#This Row],[Classification]]="Cost of Goods Sold"),Table846[[#This Row],[Debit\]]&gt;Table846[[#This Row],[Credit.]]),Table846[[#This Row],[Debit\]]-Table846[[#This Row],[Credit.]],""),"")</f>
        <v>721567.76</v>
      </c>
      <c r="AE30" s="34" t="str">
        <f>IFERROR(IF(AND(OR(Table846[[#This Row],[Classification]]="Income",Table846[[#This Row],[Classification]]="Cost of Goods Sold"),Table846[[#This Row],[Credit.]]&gt;Table846[[#This Row],[Debit\]]),Table846[[#This Row],[Credit.]]-Table846[[#This Row],[Debit\]],""),"")</f>
        <v/>
      </c>
      <c r="AF30" s="34"/>
      <c r="AG30" s="34" t="str">
        <f>IFERROR(IF(AND(Table846[[#This Row],[Classification]]="Assets",Table846[[#This Row],[Debit\]]-Table846[[#This Row],[Credit.]]),Table846[[#This Row],[Debit\]]-Table846[[#This Row],[Credit.]],""),"")</f>
        <v/>
      </c>
      <c r="AH30" s="34" t="str">
        <f>IFERROR(IF(AND(OR(Table846[[#This Row],[Classification]]="Liabilities",Table846[[#This Row],[Classification]]="Owner´s Equity"),Table846[[#This Row],[Credit.]]&gt;Table846[[#This Row],[Debit\]]),Table846[[#This Row],[Credit.]]-Table846[[#This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IFERROR(SUMIF(Table443[,],Table645[[#This Row],[Accounts Name]],Table443[,3]),"")</f>
        <v>0</v>
      </c>
      <c r="P31" s="34">
        <f>IFERROR(SUMIF(Table443[,],Table645[[#This Row],[Accounts Name]],Table443[,2]),"")</f>
        <v>100000</v>
      </c>
      <c r="S31" s="36">
        <f t="shared" si="0"/>
        <v>24</v>
      </c>
      <c r="T31" s="34" t="s">
        <v>61</v>
      </c>
      <c r="U31" s="37" t="s">
        <v>166</v>
      </c>
      <c r="V31" s="34">
        <f>IFERROR(SUMIF(Table645[Sub-Accounts],Table846[[#This Row],[Update your chart of accounts here]],Table645[Debit]),"")</f>
        <v>1409746.56</v>
      </c>
      <c r="W31" s="34">
        <f>IFERROR(SUMIF(Table645[Sub-Accounts],Table846[[#This Row],[Update your chart of accounts here]],Table645[Credit]),"")</f>
        <v>0</v>
      </c>
      <c r="X31" s="34"/>
      <c r="Y31" s="34"/>
      <c r="Z31" s="34"/>
      <c r="AA31" s="34"/>
      <c r="AB31" s="34">
        <f>MAX(Table846[[#This Row],[Debit]]+Table846[[#This Row],[Debit -]]-Table846[[#This Row],[Credit]]-Table846[[#This Row],[Credit +]],0)</f>
        <v>1409746.56</v>
      </c>
      <c r="AC31" s="34">
        <f>MAX(Table846[[#This Row],[Credit]]-Table846[[#This Row],[Debit]]+Table846[[#This Row],[Credit +]]-Table846[[#This Row],[Debit -]],0)</f>
        <v>0</v>
      </c>
      <c r="AD31" s="34">
        <f>IFERROR(IF(AND(OR(Table846[[#This Row],[Classification]]="Expense",Table846[[#This Row],[Classification]]="Cost of Goods Sold"),Table846[[#This Row],[Debit\]]&gt;Table846[[#This Row],[Credit.]]),Table846[[#This Row],[Debit\]]-Table846[[#This Row],[Credit.]],""),"")</f>
        <v>1409746.56</v>
      </c>
      <c r="AE31" s="34" t="str">
        <f>IFERROR(IF(AND(OR(Table846[[#This Row],[Classification]]="Income",Table846[[#This Row],[Classification]]="Cost of Goods Sold"),Table846[[#This Row],[Credit.]]&gt;Table846[[#This Row],[Debit\]]),Table846[[#This Row],[Credit.]]-Table846[[#This Row],[Debit\]],""),"")</f>
        <v/>
      </c>
      <c r="AF31" s="34"/>
      <c r="AG31" s="34" t="str">
        <f>IFERROR(IF(AND(Table846[[#This Row],[Classification]]="Assets",Table846[[#This Row],[Debit\]]-Table846[[#This Row],[Credit.]]),Table846[[#This Row],[Debit\]]-Table846[[#This Row],[Credit.]],""),"")</f>
        <v/>
      </c>
      <c r="AH31" s="34" t="str">
        <f>IFERROR(IF(AND(OR(Table846[[#This Row],[Classification]]="Liabilities",Table846[[#This Row],[Classification]]="Owner´s Equity"),Table846[[#This Row],[Credit.]]&gt;Table846[[#This Row],[Debit\]]),Table846[[#This Row],[Credit.]]-Table846[[#This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IFERROR(SUMIF(Table443[,],Table645[[#This Row],[Accounts Name]],Table443[,3]),"")</f>
        <v>0</v>
      </c>
      <c r="P32" s="34">
        <f>IFERROR(SUMIF(Table443[,],Table645[[#This Row],[Accounts Name]],Table443[,2]),"")</f>
        <v>10050</v>
      </c>
      <c r="S32" s="36">
        <f t="shared" si="0"/>
        <v>25</v>
      </c>
      <c r="T32" s="34" t="s">
        <v>61</v>
      </c>
      <c r="U32" s="37" t="s">
        <v>175</v>
      </c>
      <c r="V32" s="34">
        <f>IFERROR(SUMIF(Table645[Sub-Accounts],Table846[[#This Row],[Update your chart of accounts here]],Table645[Debit]),"")</f>
        <v>0</v>
      </c>
      <c r="W32" s="34">
        <f>IFERROR(SUMIF(Table645[Sub-Accounts],Table846[[#This Row],[Update your chart of accounts here]],Table645[Credit]),"")</f>
        <v>0</v>
      </c>
      <c r="X32" s="34"/>
      <c r="Y32" s="34" t="s">
        <v>231</v>
      </c>
      <c r="Z32" s="34">
        <f>I27</f>
        <v>845624</v>
      </c>
      <c r="AA32" s="34"/>
      <c r="AB32" s="34">
        <f>MAX(Table846[[#This Row],[Debit]]+Table846[[#This Row],[Debit -]]-Table846[[#This Row],[Credit]]-Table846[[#This Row],[Credit +]],0)</f>
        <v>845624</v>
      </c>
      <c r="AC32" s="34">
        <f>MAX(Table846[[#This Row],[Credit]]-Table846[[#This Row],[Debit]]+Table846[[#This Row],[Credit +]]-Table846[[#This Row],[Debit -]],0)</f>
        <v>0</v>
      </c>
      <c r="AD32" s="34">
        <f>IFERROR(IF(AND(OR(Table846[[#This Row],[Classification]]="Expense",Table846[[#This Row],[Classification]]="Cost of Goods Sold"),Table846[[#This Row],[Debit\]]&gt;Table846[[#This Row],[Credit.]]),Table846[[#This Row],[Debit\]]-Table846[[#This Row],[Credit.]],""),"")</f>
        <v>845624</v>
      </c>
      <c r="AE32" s="34" t="str">
        <f>IFERROR(IF(AND(OR(Table846[[#This Row],[Classification]]="Income",Table846[[#This Row],[Classification]]="Cost of Goods Sold"),Table846[[#This Row],[Credit.]]&gt;Table846[[#This Row],[Debit\]]),Table846[[#This Row],[Credit.]]-Table846[[#This Row],[Debit\]],""),"")</f>
        <v/>
      </c>
      <c r="AF32" s="34"/>
      <c r="AG32" s="34" t="str">
        <f>IFERROR(IF(AND(Table846[[#This Row],[Classification]]="Assets",Table846[[#This Row],[Debit\]]-Table846[[#This Row],[Credit.]]),Table846[[#This Row],[Debit\]]-Table846[[#This Row],[Credit.]],""),"")</f>
        <v/>
      </c>
      <c r="AH32" s="34" t="str">
        <f>IFERROR(IF(AND(OR(Table846[[#This Row],[Classification]]="Liabilities",Table846[[#This Row],[Classification]]="Owner´s Equity"),Table846[[#This Row],[Credit.]]&gt;Table846[[#This Row],[Debit\]]),Table846[[#This Row],[Credit.]]-Table846[[#This Row],[Debit\]],""),"")</f>
        <v/>
      </c>
    </row>
    <row r="33" spans="2:34" hidden="1" x14ac:dyDescent="0.25">
      <c r="B33" s="34"/>
      <c r="C33" s="37" t="s">
        <v>87</v>
      </c>
      <c r="D33" s="34"/>
      <c r="E33" s="34">
        <v>10050</v>
      </c>
      <c r="G33" s="39"/>
      <c r="H33" s="40"/>
      <c r="I33" s="41"/>
      <c r="J33" s="41"/>
      <c r="L33" s="34">
        <v>26</v>
      </c>
      <c r="M33" s="35" t="s">
        <v>141</v>
      </c>
      <c r="N33" s="35" t="s">
        <v>88</v>
      </c>
      <c r="O33" s="34">
        <f>IFERROR(SUMIF(Table443[,],Table645[[#This Row],[Accounts Name]],Table443[,3]),"")</f>
        <v>0</v>
      </c>
      <c r="P33" s="34">
        <f>IFERROR(SUMIF(Table443[,],Table645[[#This Row],[Accounts Name]],Table443[,2]),"")</f>
        <v>4800</v>
      </c>
      <c r="S33" s="36">
        <f t="shared" si="0"/>
        <v>26</v>
      </c>
      <c r="T33" s="34" t="s">
        <v>61</v>
      </c>
      <c r="U33" s="37" t="s">
        <v>154</v>
      </c>
      <c r="V33" s="34">
        <f>IFERROR(SUMIF(Table645[Sub-Accounts],Table846[[#This Row],[Update your chart of accounts here]],Table645[Debit]),"")</f>
        <v>2500001</v>
      </c>
      <c r="W33" s="34">
        <f>IFERROR(SUMIF(Table645[Sub-Accounts],Table846[[#This Row],[Update your chart of accounts here]],Table645[Credit]),"")</f>
        <v>0</v>
      </c>
      <c r="X33" s="34"/>
      <c r="Y33" s="34"/>
      <c r="Z33" s="34"/>
      <c r="AA33" s="34"/>
      <c r="AB33" s="34">
        <f>MAX(Table846[[#This Row],[Debit]]+Table846[[#This Row],[Debit -]]-Table846[[#This Row],[Credit]]-Table846[[#This Row],[Credit +]],0)</f>
        <v>2500001</v>
      </c>
      <c r="AC33" s="34">
        <f>MAX(Table846[[#This Row],[Credit]]-Table846[[#This Row],[Debit]]+Table846[[#This Row],[Credit +]]-Table846[[#This Row],[Debit -]],0)</f>
        <v>0</v>
      </c>
      <c r="AD33" s="34">
        <f>IFERROR(IF(AND(OR(Table846[[#This Row],[Classification]]="Expense",Table846[[#This Row],[Classification]]="Cost of Goods Sold"),Table846[[#This Row],[Debit\]]&gt;Table846[[#This Row],[Credit.]]),Table846[[#This Row],[Debit\]]-Table846[[#This Row],[Credit.]],""),"")</f>
        <v>2500001</v>
      </c>
      <c r="AE33" s="34" t="str">
        <f>IFERROR(IF(AND(OR(Table846[[#This Row],[Classification]]="Income",Table846[[#This Row],[Classification]]="Cost of Goods Sold"),Table846[[#This Row],[Credit.]]&gt;Table846[[#This Row],[Debit\]]),Table846[[#This Row],[Credit.]]-Table846[[#This Row],[Debit\]],""),"")</f>
        <v/>
      </c>
      <c r="AF33" s="34"/>
      <c r="AG33" s="34" t="str">
        <f>IFERROR(IF(AND(Table846[[#This Row],[Classification]]="Assets",Table846[[#This Row],[Debit\]]-Table846[[#This Row],[Credit.]]),Table846[[#This Row],[Debit\]]-Table846[[#This Row],[Credit.]],""),"")</f>
        <v/>
      </c>
      <c r="AH33" s="34" t="str">
        <f>IFERROR(IF(AND(OR(Table846[[#This Row],[Classification]]="Liabilities",Table846[[#This Row],[Classification]]="Owner´s Equity"),Table846[[#This Row],[Credit.]]&gt;Table846[[#This Row],[Debit\]]),Table846[[#This Row],[Credit.]]-Table846[[#This Row],[Debit\]],""),"")</f>
        <v/>
      </c>
    </row>
    <row r="34" spans="2:34" hidden="1" x14ac:dyDescent="0.25">
      <c r="B34" s="34"/>
      <c r="C34" s="37" t="s">
        <v>88</v>
      </c>
      <c r="D34" s="34"/>
      <c r="E34" s="34">
        <v>4800</v>
      </c>
      <c r="G34" s="39"/>
      <c r="H34" s="40"/>
      <c r="I34" s="41"/>
      <c r="J34" s="41"/>
      <c r="L34" s="34">
        <v>27</v>
      </c>
      <c r="M34" s="35" t="s">
        <v>141</v>
      </c>
      <c r="N34" s="35" t="s">
        <v>89</v>
      </c>
      <c r="O34" s="34">
        <f>IFERROR(SUMIF(Table443[,],Table645[[#This Row],[Accounts Name]],Table443[,3]),"")</f>
        <v>0</v>
      </c>
      <c r="P34" s="34">
        <f>IFERROR(SUMIF(Table443[,],Table645[[#This Row],[Accounts Name]],Table443[,2]),"")</f>
        <v>110610</v>
      </c>
      <c r="S34" s="36">
        <f t="shared" si="0"/>
        <v>27</v>
      </c>
      <c r="T34" s="34" t="s">
        <v>61</v>
      </c>
      <c r="U34" s="37" t="s">
        <v>161</v>
      </c>
      <c r="V34" s="34">
        <f>IFERROR(SUMIF(Table645[Sub-Accounts],Table846[[#This Row],[Update your chart of accounts here]],Table645[Debit]),"")</f>
        <v>77850</v>
      </c>
      <c r="W34" s="34">
        <f>IFERROR(SUMIF(Table645[Sub-Accounts],Table846[[#This Row],[Update your chart of accounts here]],Table645[Credit]),"")</f>
        <v>0</v>
      </c>
      <c r="X34" s="34"/>
      <c r="Y34" s="34"/>
      <c r="Z34" s="34"/>
      <c r="AA34" s="34"/>
      <c r="AB34" s="34">
        <f>MAX(Table846[[#This Row],[Debit]]+Table846[[#This Row],[Debit -]]-Table846[[#This Row],[Credit]]-Table846[[#This Row],[Credit +]],0)</f>
        <v>77850</v>
      </c>
      <c r="AC34" s="34">
        <f>MAX(Table846[[#This Row],[Credit]]-Table846[[#This Row],[Debit]]+Table846[[#This Row],[Credit +]]-Table846[[#This Row],[Debit -]],0)</f>
        <v>0</v>
      </c>
      <c r="AD34" s="34">
        <f>IFERROR(IF(AND(OR(Table846[[#This Row],[Classification]]="Expense",Table846[[#This Row],[Classification]]="Cost of Goods Sold"),Table846[[#This Row],[Debit\]]&gt;Table846[[#This Row],[Credit.]]),Table846[[#This Row],[Debit\]]-Table846[[#This Row],[Credit.]],""),"")</f>
        <v>77850</v>
      </c>
      <c r="AE34" s="34" t="str">
        <f>IFERROR(IF(AND(OR(Table846[[#This Row],[Classification]]="Income",Table846[[#This Row],[Classification]]="Cost of Goods Sold"),Table846[[#This Row],[Credit.]]&gt;Table846[[#This Row],[Debit\]]),Table846[[#This Row],[Credit.]]-Table846[[#This Row],[Debit\]],""),"")</f>
        <v/>
      </c>
      <c r="AF34" s="34"/>
      <c r="AG34" s="34" t="str">
        <f>IFERROR(IF(AND(Table846[[#This Row],[Classification]]="Assets",Table846[[#This Row],[Debit\]]-Table846[[#This Row],[Credit.]]),Table846[[#This Row],[Debit\]]-Table846[[#This Row],[Credit.]],""),"")</f>
        <v/>
      </c>
      <c r="AH34" s="34" t="str">
        <f>IFERROR(IF(AND(OR(Table846[[#This Row],[Classification]]="Liabilities",Table846[[#This Row],[Classification]]="Owner´s Equity"),Table846[[#This Row],[Credit.]]&gt;Table846[[#This Row],[Debit\]]),Table846[[#This Row],[Credit.]]-Table846[[#This Row],[Debit\]],""),"")</f>
        <v/>
      </c>
    </row>
    <row r="35" spans="2:34" hidden="1" x14ac:dyDescent="0.25">
      <c r="B35" s="34"/>
      <c r="C35" s="37" t="s">
        <v>89</v>
      </c>
      <c r="D35" s="34"/>
      <c r="E35" s="34">
        <v>110610</v>
      </c>
      <c r="G35" s="39"/>
      <c r="H35" s="43"/>
      <c r="I35" s="41"/>
      <c r="J35" s="41"/>
      <c r="L35" s="34">
        <v>28</v>
      </c>
      <c r="M35" s="35" t="s">
        <v>141</v>
      </c>
      <c r="N35" s="35" t="s">
        <v>90</v>
      </c>
      <c r="O35" s="34">
        <f>IFERROR(SUMIF(Table443[,],Table645[[#This Row],[Accounts Name]],Table443[,3]),"")</f>
        <v>0</v>
      </c>
      <c r="P35" s="34">
        <f>IFERROR(SUMIF(Table443[,],Table645[[#This Row],[Accounts Name]],Table443[,2]),"")</f>
        <v>33200</v>
      </c>
      <c r="S35" s="36">
        <f t="shared" si="0"/>
        <v>28</v>
      </c>
      <c r="T35" s="34" t="s">
        <v>61</v>
      </c>
      <c r="U35" s="37" t="s">
        <v>162</v>
      </c>
      <c r="V35" s="34">
        <f>IFERROR(SUMIF(Table645[Sub-Accounts],Table846[[#This Row],[Update your chart of accounts here]],Table645[Debit]),"")</f>
        <v>268183.07</v>
      </c>
      <c r="W35" s="34">
        <f>IFERROR(SUMIF(Table645[Sub-Accounts],Table846[[#This Row],[Update your chart of accounts here]],Table645[Credit]),"")</f>
        <v>0</v>
      </c>
      <c r="X35" s="34"/>
      <c r="Y35" s="34"/>
      <c r="Z35" s="34">
        <f>I28</f>
        <v>0</v>
      </c>
      <c r="AA35" s="34"/>
      <c r="AB35" s="34">
        <f>MAX(Table846[[#This Row],[Debit]]+Table846[[#This Row],[Debit -]]-Table846[[#This Row],[Credit]]-Table846[[#This Row],[Credit +]],0)</f>
        <v>268183.07</v>
      </c>
      <c r="AC35" s="34">
        <f>MAX(Table846[[#This Row],[Credit]]-Table846[[#This Row],[Debit]]+Table846[[#This Row],[Credit +]]-Table846[[#This Row],[Debit -]],0)</f>
        <v>0</v>
      </c>
      <c r="AD35" s="34">
        <f>IFERROR(IF(AND(OR(Table846[[#This Row],[Classification]]="Expense",Table846[[#This Row],[Classification]]="Cost of Goods Sold"),Table846[[#This Row],[Debit\]]&gt;Table846[[#This Row],[Credit.]]),Table846[[#This Row],[Debit\]]-Table846[[#This Row],[Credit.]],""),"")</f>
        <v>268183.07</v>
      </c>
      <c r="AE35" s="34" t="str">
        <f>IFERROR(IF(AND(OR(Table846[[#This Row],[Classification]]="Income",Table846[[#This Row],[Classification]]="Cost of Goods Sold"),Table846[[#This Row],[Credit.]]&gt;Table846[[#This Row],[Debit\]]),Table846[[#This Row],[Credit.]]-Table846[[#This Row],[Debit\]],""),"")</f>
        <v/>
      </c>
      <c r="AF35" s="34"/>
      <c r="AG35" s="34" t="str">
        <f>IFERROR(IF(AND(Table846[[#This Row],[Classification]]="Assets",Table846[[#This Row],[Debit\]]-Table846[[#This Row],[Credit.]]),Table846[[#This Row],[Debit\]]-Table846[[#This Row],[Credit.]],""),"")</f>
        <v/>
      </c>
      <c r="AH35" s="34" t="str">
        <f>IFERROR(IF(AND(OR(Table846[[#This Row],[Classification]]="Liabilities",Table846[[#This Row],[Classification]]="Owner´s Equity"),Table846[[#This Row],[Credit.]]&gt;Table846[[#This Row],[Debit\]]),Table846[[#This Row],[Credit.]]-Table846[[#This Row],[Debit\]],""),"")</f>
        <v/>
      </c>
    </row>
    <row r="36" spans="2:34" hidden="1" x14ac:dyDescent="0.25">
      <c r="B36" s="34"/>
      <c r="C36" s="37" t="s">
        <v>90</v>
      </c>
      <c r="D36" s="34"/>
      <c r="E36" s="34">
        <v>33200</v>
      </c>
      <c r="G36" s="39"/>
      <c r="H36" s="40"/>
      <c r="I36" s="41"/>
      <c r="J36" s="41"/>
      <c r="L36" s="34">
        <v>29</v>
      </c>
      <c r="M36" s="35" t="s">
        <v>140</v>
      </c>
      <c r="N36" s="35" t="s">
        <v>91</v>
      </c>
      <c r="O36" s="34">
        <f>IFERROR(SUMIF(Table443[,],Table645[[#This Row],[Accounts Name]],Table443[,3]),"")</f>
        <v>124460</v>
      </c>
      <c r="P36" s="34">
        <f>IFERROR(SUMIF(Table443[,],Table645[[#This Row],[Accounts Name]],Table443[,2]),"")</f>
        <v>0</v>
      </c>
      <c r="S36" s="36">
        <f t="shared" si="0"/>
        <v>29</v>
      </c>
      <c r="T36" s="34" t="s">
        <v>61</v>
      </c>
      <c r="U36" s="37" t="s">
        <v>165</v>
      </c>
      <c r="V36" s="34">
        <f>IFERROR(SUMIF(Table645[Sub-Accounts],Table846[[#This Row],[Update your chart of accounts here]],Table645[Debit]),"")</f>
        <v>653656.38</v>
      </c>
      <c r="W36" s="34">
        <f>IFERROR(SUMIF(Table645[Sub-Accounts],Table846[[#This Row],[Update your chart of accounts here]],Table645[Credit]),"")</f>
        <v>0</v>
      </c>
      <c r="X36" s="34"/>
      <c r="Y36" s="34"/>
      <c r="Z36" s="34"/>
      <c r="AA36" s="34"/>
      <c r="AB36" s="34">
        <f>MAX(Table846[[#This Row],[Debit]]+Table846[[#This Row],[Debit -]]-Table846[[#This Row],[Credit]]-Table846[[#This Row],[Credit +]],0)</f>
        <v>653656.38</v>
      </c>
      <c r="AC36" s="34">
        <f>MAX(Table846[[#This Row],[Credit]]-Table846[[#This Row],[Debit]]+Table846[[#This Row],[Credit +]]-Table846[[#This Row],[Debit -]],0)</f>
        <v>0</v>
      </c>
      <c r="AD36" s="34">
        <f>IFERROR(IF(AND(OR(Table846[[#This Row],[Classification]]="Expense",Table846[[#This Row],[Classification]]="Cost of Goods Sold"),Table846[[#This Row],[Debit\]]&gt;Table846[[#This Row],[Credit.]]),Table846[[#This Row],[Debit\]]-Table846[[#This Row],[Credit.]],""),"")</f>
        <v>653656.38</v>
      </c>
      <c r="AE36" s="34" t="str">
        <f>IFERROR(IF(AND(OR(Table846[[#This Row],[Classification]]="Income",Table846[[#This Row],[Classification]]="Cost of Goods Sold"),Table846[[#This Row],[Credit.]]&gt;Table846[[#This Row],[Debit\]]),Table846[[#This Row],[Credit.]]-Table846[[#This Row],[Debit\]],""),"")</f>
        <v/>
      </c>
      <c r="AF36" s="34"/>
      <c r="AG36" s="34" t="str">
        <f>IFERROR(IF(AND(Table846[[#This Row],[Classification]]="Assets",Table846[[#This Row],[Debit\]]-Table846[[#This Row],[Credit.]]),Table846[[#This Row],[Debit\]]-Table846[[#This Row],[Credit.]],""),"")</f>
        <v/>
      </c>
      <c r="AH36" s="34" t="str">
        <f>IFERROR(IF(AND(OR(Table846[[#This Row],[Classification]]="Liabilities",Table846[[#This Row],[Classification]]="Owner´s Equity"),Table846[[#This Row],[Credit.]]&gt;Table846[[#This Row],[Debit\]]),Table846[[#This Row],[Credit.]]-Table846[[#This Row],[Debit\]],""),"")</f>
        <v/>
      </c>
    </row>
    <row r="37" spans="2:34" hidden="1" x14ac:dyDescent="0.25">
      <c r="B37" s="34"/>
      <c r="C37" s="37" t="s">
        <v>91</v>
      </c>
      <c r="D37" s="34">
        <v>124460</v>
      </c>
      <c r="E37" s="34"/>
      <c r="G37" s="39"/>
      <c r="H37" s="40"/>
      <c r="I37" s="41"/>
      <c r="J37" s="41"/>
      <c r="L37" s="34">
        <v>30</v>
      </c>
      <c r="M37" s="35" t="s">
        <v>144</v>
      </c>
      <c r="N37" s="35" t="s">
        <v>92</v>
      </c>
      <c r="O37" s="34">
        <f>IFERROR(SUMIF(Table443[,],Table645[[#This Row],[Accounts Name]],Table443[,3]),"")</f>
        <v>2228108</v>
      </c>
      <c r="P37" s="34">
        <f>IFERROR(SUMIF(Table443[,],Table645[[#This Row],[Accounts Name]],Table443[,2]),"")</f>
        <v>0</v>
      </c>
      <c r="S37" s="36">
        <f t="shared" si="0"/>
        <v>30</v>
      </c>
      <c r="T37" s="34" t="s">
        <v>61</v>
      </c>
      <c r="U37" s="37" t="s">
        <v>159</v>
      </c>
      <c r="V37" s="34">
        <f>IFERROR(SUMIF(Table645[Sub-Accounts],Table846[[#This Row],[Update your chart of accounts here]],Table645[Debit]),"")</f>
        <v>208578.65</v>
      </c>
      <c r="W37" s="34">
        <f>IFERROR(SUMIF(Table645[Sub-Accounts],Table846[[#This Row],[Update your chart of accounts here]],Table645[Credit]),"")</f>
        <v>0</v>
      </c>
      <c r="X37" s="34"/>
      <c r="Y37" s="34"/>
      <c r="Z37" s="34"/>
      <c r="AA37" s="34"/>
      <c r="AB37" s="34">
        <f>MAX(Table846[[#This Row],[Debit]]+Table846[[#This Row],[Debit -]]-Table846[[#This Row],[Credit]]-Table846[[#This Row],[Credit +]],0)</f>
        <v>208578.65</v>
      </c>
      <c r="AC37" s="34">
        <f>MAX(Table846[[#This Row],[Credit]]-Table846[[#This Row],[Debit]]+Table846[[#This Row],[Credit +]]-Table846[[#This Row],[Debit -]],0)</f>
        <v>0</v>
      </c>
      <c r="AD37" s="34">
        <f>IFERROR(IF(AND(OR(Table846[[#This Row],[Classification]]="Expense",Table846[[#This Row],[Classification]]="Cost of Goods Sold"),Table846[[#This Row],[Debit\]]&gt;Table846[[#This Row],[Credit.]]),Table846[[#This Row],[Debit\]]-Table846[[#This Row],[Credit.]],""),"")</f>
        <v>208578.65</v>
      </c>
      <c r="AE37" s="34" t="str">
        <f>IFERROR(IF(AND(OR(Table846[[#This Row],[Classification]]="Income",Table846[[#This Row],[Classification]]="Cost of Goods Sold"),Table846[[#This Row],[Credit.]]&gt;Table846[[#This Row],[Debit\]]),Table846[[#This Row],[Credit.]]-Table846[[#This Row],[Debit\]],""),"")</f>
        <v/>
      </c>
      <c r="AF37" s="34"/>
      <c r="AG37" s="34" t="str">
        <f>IFERROR(IF(AND(Table846[[#This Row],[Classification]]="Assets",Table846[[#This Row],[Debit\]]-Table846[[#This Row],[Credit.]]),Table846[[#This Row],[Debit\]]-Table846[[#This Row],[Credit.]],""),"")</f>
        <v/>
      </c>
      <c r="AH37" s="34" t="str">
        <f>IFERROR(IF(AND(OR(Table846[[#This Row],[Classification]]="Liabilities",Table846[[#This Row],[Classification]]="Owner´s Equity"),Table846[[#This Row],[Credit.]]&gt;Table846[[#This Row],[Debit\]]),Table846[[#This Row],[Credit.]]-Table846[[#This Row],[Debit\]],""),"")</f>
        <v/>
      </c>
    </row>
    <row r="38" spans="2:34" hidden="1" x14ac:dyDescent="0.25">
      <c r="B38" s="34"/>
      <c r="C38" s="37" t="s">
        <v>92</v>
      </c>
      <c r="D38" s="34">
        <v>2228108</v>
      </c>
      <c r="E38" s="34"/>
      <c r="G38" s="39"/>
      <c r="H38" s="43"/>
      <c r="I38" s="41"/>
      <c r="J38" s="41"/>
      <c r="L38" s="34">
        <v>31</v>
      </c>
      <c r="M38" s="35" t="s">
        <v>140</v>
      </c>
      <c r="N38" s="35" t="s">
        <v>93</v>
      </c>
      <c r="O38" s="34">
        <f>IFERROR(SUMIF(Table443[,],Table645[[#This Row],[Accounts Name]],Table443[,3]),"")</f>
        <v>510902</v>
      </c>
      <c r="P38" s="34">
        <f>IFERROR(SUMIF(Table443[,],Table645[[#This Row],[Accounts Name]],Table443[,2]),"")</f>
        <v>0</v>
      </c>
      <c r="S38" s="36">
        <f t="shared" si="0"/>
        <v>31</v>
      </c>
      <c r="T38" s="34" t="s">
        <v>61</v>
      </c>
      <c r="U38" s="37" t="s">
        <v>157</v>
      </c>
      <c r="V38" s="34">
        <f>IFERROR(SUMIF(Table645[Sub-Accounts],Table846[[#This Row],[Update your chart of accounts here]],Table645[Debit]),"")</f>
        <v>542263</v>
      </c>
      <c r="W38" s="34">
        <f>IFERROR(SUMIF(Table645[Sub-Accounts],Table846[[#This Row],[Update your chart of accounts here]],Table645[Credit]),"")</f>
        <v>0</v>
      </c>
      <c r="X38" s="34"/>
      <c r="Y38" s="34"/>
      <c r="Z38" s="34"/>
      <c r="AA38" s="34"/>
      <c r="AB38" s="34">
        <f>MAX(Table846[[#This Row],[Debit]]+Table846[[#This Row],[Debit -]]-Table846[[#This Row],[Credit]]-Table846[[#This Row],[Credit +]],0)</f>
        <v>542263</v>
      </c>
      <c r="AC38" s="34">
        <f>MAX(Table846[[#This Row],[Credit]]-Table846[[#This Row],[Debit]]+Table846[[#This Row],[Credit +]]-Table846[[#This Row],[Debit -]],0)</f>
        <v>0</v>
      </c>
      <c r="AD38" s="34">
        <f>IFERROR(IF(AND(OR(Table846[[#This Row],[Classification]]="Expense",Table846[[#This Row],[Classification]]="Cost of Goods Sold"),Table846[[#This Row],[Debit\]]&gt;Table846[[#This Row],[Credit.]]),Table846[[#This Row],[Debit\]]-Table846[[#This Row],[Credit.]],""),"")</f>
        <v>542263</v>
      </c>
      <c r="AE38" s="34" t="str">
        <f>IFERROR(IF(AND(OR(Table846[[#This Row],[Classification]]="Income",Table846[[#This Row],[Classification]]="Cost of Goods Sold"),Table846[[#This Row],[Credit.]]&gt;Table846[[#This Row],[Debit\]]),Table846[[#This Row],[Credit.]]-Table846[[#This Row],[Debit\]],""),"")</f>
        <v/>
      </c>
      <c r="AF38" s="34"/>
      <c r="AG38" s="34" t="str">
        <f>IFERROR(IF(AND(Table846[[#This Row],[Classification]]="Assets",Table846[[#This Row],[Debit\]]-Table846[[#This Row],[Credit.]]),Table846[[#This Row],[Debit\]]-Table846[[#This Row],[Credit.]],""),"")</f>
        <v/>
      </c>
      <c r="AH38" s="34" t="str">
        <f>IFERROR(IF(AND(OR(Table846[[#This Row],[Classification]]="Liabilities",Table846[[#This Row],[Classification]]="Owner´s Equity"),Table846[[#This Row],[Credit.]]&gt;Table846[[#This Row],[Debit\]]),Table846[[#This Row],[Credit.]]-Table846[[#This Row],[Debit\]],""),"")</f>
        <v/>
      </c>
    </row>
    <row r="39" spans="2:34" hidden="1" x14ac:dyDescent="0.25">
      <c r="B39" s="34"/>
      <c r="C39" s="37" t="s">
        <v>93</v>
      </c>
      <c r="D39" s="34">
        <v>510902</v>
      </c>
      <c r="E39" s="34"/>
      <c r="G39" s="39"/>
      <c r="H39" s="40"/>
      <c r="I39" s="41"/>
      <c r="J39" s="41"/>
      <c r="L39" s="34">
        <v>32</v>
      </c>
      <c r="M39" s="35" t="s">
        <v>140</v>
      </c>
      <c r="N39" s="35" t="s">
        <v>94</v>
      </c>
      <c r="O39" s="34">
        <f>IFERROR(SUMIF(Table443[,],Table645[[#This Row],[Accounts Name]],Table443[,3]),"")</f>
        <v>1702569</v>
      </c>
      <c r="P39" s="34">
        <f>IFERROR(SUMIF(Table443[,],Table645[[#This Row],[Accounts Name]],Table443[,2]),"")</f>
        <v>0</v>
      </c>
      <c r="S39" s="36">
        <f t="shared" si="0"/>
        <v>32</v>
      </c>
      <c r="T39" s="34" t="s">
        <v>61</v>
      </c>
      <c r="U39" s="37" t="s">
        <v>168</v>
      </c>
      <c r="V39" s="34">
        <f>IFERROR(SUMIF(Table645[Sub-Accounts],Table846[[#This Row],[Update your chart of accounts here]],Table645[Debit]),"")</f>
        <v>302989.64</v>
      </c>
      <c r="W39" s="34">
        <f>IFERROR(SUMIF(Table645[Sub-Accounts],Table846[[#This Row],[Update your chart of accounts here]],Table645[Credit]),"")</f>
        <v>0</v>
      </c>
      <c r="X39" s="34"/>
      <c r="Y39" s="34"/>
      <c r="Z39" s="34"/>
      <c r="AA39" s="34"/>
      <c r="AB39" s="34">
        <f>MAX(Table846[[#This Row],[Debit]]+Table846[[#This Row],[Debit -]]-Table846[[#This Row],[Credit]]-Table846[[#This Row],[Credit +]],0)</f>
        <v>302989.64</v>
      </c>
      <c r="AC39" s="34">
        <f>MAX(Table846[[#This Row],[Credit]]-Table846[[#This Row],[Debit]]+Table846[[#This Row],[Credit +]]-Table846[[#This Row],[Debit -]],0)</f>
        <v>0</v>
      </c>
      <c r="AD39" s="34">
        <f>IFERROR(IF(AND(OR(Table846[[#This Row],[Classification]]="Expense",Table846[[#This Row],[Classification]]="Cost of Goods Sold"),Table846[[#This Row],[Debit\]]&gt;Table846[[#This Row],[Credit.]]),Table846[[#This Row],[Debit\]]-Table846[[#This Row],[Credit.]],""),"")</f>
        <v>302989.64</v>
      </c>
      <c r="AE39" s="34" t="str">
        <f>IFERROR(IF(AND(OR(Table846[[#This Row],[Classification]]="Income",Table846[[#This Row],[Classification]]="Cost of Goods Sold"),Table846[[#This Row],[Credit.]]&gt;Table846[[#This Row],[Debit\]]),Table846[[#This Row],[Credit.]]-Table846[[#This Row],[Debit\]],""),"")</f>
        <v/>
      </c>
      <c r="AF39" s="34"/>
      <c r="AG39" s="34" t="str">
        <f>IFERROR(IF(AND(Table846[[#This Row],[Classification]]="Assets",Table846[[#This Row],[Debit\]]-Table846[[#This Row],[Credit.]]),Table846[[#This Row],[Debit\]]-Table846[[#This Row],[Credit.]],""),"")</f>
        <v/>
      </c>
      <c r="AH39" s="34" t="str">
        <f>IFERROR(IF(AND(OR(Table846[[#This Row],[Classification]]="Liabilities",Table846[[#This Row],[Classification]]="Owner´s Equity"),Table846[[#This Row],[Credit.]]&gt;Table846[[#This Row],[Debit\]]),Table846[[#This Row],[Credit.]]-Table846[[#This Row],[Debit\]],""),"")</f>
        <v/>
      </c>
    </row>
    <row r="40" spans="2:34" hidden="1" x14ac:dyDescent="0.25">
      <c r="B40" s="34"/>
      <c r="C40" s="37" t="s">
        <v>94</v>
      </c>
      <c r="D40" s="34">
        <v>1702569</v>
      </c>
      <c r="E40" s="34"/>
      <c r="G40" s="39"/>
      <c r="H40" s="40"/>
      <c r="I40" s="41"/>
      <c r="J40" s="41"/>
      <c r="L40" s="34">
        <v>33</v>
      </c>
      <c r="M40" s="35" t="s">
        <v>140</v>
      </c>
      <c r="N40" s="35" t="s">
        <v>95</v>
      </c>
      <c r="O40" s="34">
        <f>IFERROR(SUMIF(Table443[,],Table645[[#This Row],[Accounts Name]],Table443[,3]),"")</f>
        <v>735271</v>
      </c>
      <c r="P40" s="34">
        <f>IFERROR(SUMIF(Table443[,],Table645[[#This Row],[Accounts Name]],Table443[,2]),"")</f>
        <v>0</v>
      </c>
      <c r="S40" s="36">
        <f t="shared" si="0"/>
        <v>33</v>
      </c>
      <c r="T40" s="34" t="s">
        <v>61</v>
      </c>
      <c r="U40" s="37" t="s">
        <v>153</v>
      </c>
      <c r="V40" s="34">
        <f>IFERROR(SUMIF(Table645[Sub-Accounts],Table846[[#This Row],[Update your chart of accounts here]],Table645[Debit]),"")</f>
        <v>233250</v>
      </c>
      <c r="W40" s="34">
        <f>IFERROR(SUMIF(Table645[Sub-Accounts],Table846[[#This Row],[Update your chart of accounts here]],Table645[Credit]),"")</f>
        <v>0</v>
      </c>
      <c r="X40" s="34"/>
      <c r="Y40" s="34"/>
      <c r="Z40" s="34"/>
      <c r="AA40" s="34"/>
      <c r="AB40" s="34">
        <f>MAX(Table846[[#This Row],[Debit]]+Table846[[#This Row],[Debit -]]-Table846[[#This Row],[Credit]]-Table846[[#This Row],[Credit +]],0)</f>
        <v>233250</v>
      </c>
      <c r="AC40" s="34">
        <f>MAX(Table846[[#This Row],[Credit]]-Table846[[#This Row],[Debit]]+Table846[[#This Row],[Credit +]]-Table846[[#This Row],[Debit -]],0)</f>
        <v>0</v>
      </c>
      <c r="AD40" s="34">
        <f>IFERROR(IF(AND(OR(Table846[[#This Row],[Classification]]="Expense",Table846[[#This Row],[Classification]]="Cost of Goods Sold"),Table846[[#This Row],[Debit\]]&gt;Table846[[#This Row],[Credit.]]),Table846[[#This Row],[Debit\]]-Table846[[#This Row],[Credit.]],""),"")</f>
        <v>233250</v>
      </c>
      <c r="AE40" s="34" t="str">
        <f>IFERROR(IF(AND(OR(Table846[[#This Row],[Classification]]="Income",Table846[[#This Row],[Classification]]="Cost of Goods Sold"),Table846[[#This Row],[Credit.]]&gt;Table846[[#This Row],[Debit\]]),Table846[[#This Row],[Credit.]]-Table846[[#This Row],[Debit\]],""),"")</f>
        <v/>
      </c>
      <c r="AF40" s="34"/>
      <c r="AG40" s="34" t="str">
        <f>IFERROR(IF(AND(Table846[[#This Row],[Classification]]="Assets",Table846[[#This Row],[Debit\]]-Table846[[#This Row],[Credit.]]),Table846[[#This Row],[Debit\]]-Table846[[#This Row],[Credit.]],""),"")</f>
        <v/>
      </c>
      <c r="AH40" s="34" t="str">
        <f>IFERROR(IF(AND(OR(Table846[[#This Row],[Classification]]="Liabilities",Table846[[#This Row],[Classification]]="Owner´s Equity"),Table846[[#This Row],[Credit.]]&gt;Table846[[#This Row],[Debit\]]),Table846[[#This Row],[Credit.]]-Table846[[#This Row],[Debit\]],""),"")</f>
        <v/>
      </c>
    </row>
    <row r="41" spans="2:34" hidden="1" x14ac:dyDescent="0.25">
      <c r="B41" s="34"/>
      <c r="C41" s="37" t="s">
        <v>95</v>
      </c>
      <c r="D41" s="34">
        <v>735271</v>
      </c>
      <c r="E41" s="34"/>
      <c r="G41" s="39"/>
      <c r="H41" s="43"/>
      <c r="I41" s="41"/>
      <c r="J41" s="41"/>
      <c r="L41" s="34">
        <v>34</v>
      </c>
      <c r="M41" s="35" t="s">
        <v>141</v>
      </c>
      <c r="N41" s="35" t="s">
        <v>96</v>
      </c>
      <c r="O41" s="34">
        <f>IFERROR(SUMIF(Table443[,],Table645[[#This Row],[Accounts Name]],Table443[,3]),"")</f>
        <v>0</v>
      </c>
      <c r="P41" s="34">
        <f>IFERROR(SUMIF(Table443[,],Table645[[#This Row],[Accounts Name]],Table443[,2]),"")</f>
        <v>1318131</v>
      </c>
      <c r="S41" s="36">
        <f t="shared" si="0"/>
        <v>34</v>
      </c>
      <c r="T41" s="34" t="s">
        <v>61</v>
      </c>
      <c r="U41" s="37" t="s">
        <v>152</v>
      </c>
      <c r="V41" s="34">
        <f>IFERROR(SUMIF(Table645[Sub-Accounts],Table846[[#This Row],[Update your chart of accounts here]],Table645[Debit]),"")</f>
        <v>51948.32</v>
      </c>
      <c r="W41" s="34">
        <f>IFERROR(SUMIF(Table645[Sub-Accounts],Table846[[#This Row],[Update your chart of accounts here]],Table645[Credit]),"")</f>
        <v>0</v>
      </c>
      <c r="X41" s="34"/>
      <c r="Y41" s="34"/>
      <c r="Z41" s="34"/>
      <c r="AA41" s="34"/>
      <c r="AB41" s="34">
        <f>MAX(Table846[[#This Row],[Debit]]+Table846[[#This Row],[Debit -]]-Table846[[#This Row],[Credit]]-Table846[[#This Row],[Credit +]],0)</f>
        <v>51948.32</v>
      </c>
      <c r="AC41" s="34">
        <f>MAX(Table846[[#This Row],[Credit]]-Table846[[#This Row],[Debit]]+Table846[[#This Row],[Credit +]]-Table846[[#This Row],[Debit -]],0)</f>
        <v>0</v>
      </c>
      <c r="AD41" s="34">
        <f>IFERROR(IF(AND(OR(Table846[[#This Row],[Classification]]="Expense",Table846[[#This Row],[Classification]]="Cost of Goods Sold"),Table846[[#This Row],[Debit\]]&gt;Table846[[#This Row],[Credit.]]),Table846[[#This Row],[Debit\]]-Table846[[#This Row],[Credit.]],""),"")</f>
        <v>51948.32</v>
      </c>
      <c r="AE41" s="34" t="str">
        <f>IFERROR(IF(AND(OR(Table846[[#This Row],[Classification]]="Income",Table846[[#This Row],[Classification]]="Cost of Goods Sold"),Table846[[#This Row],[Credit.]]&gt;Table846[[#This Row],[Debit\]]),Table846[[#This Row],[Credit.]]-Table846[[#This Row],[Debit\]],""),"")</f>
        <v/>
      </c>
      <c r="AF41" s="34"/>
      <c r="AG41" s="34" t="str">
        <f>IFERROR(IF(AND(Table846[[#This Row],[Classification]]="Assets",Table846[[#This Row],[Debit\]]-Table846[[#This Row],[Credit.]]),Table846[[#This Row],[Debit\]]-Table846[[#This Row],[Credit.]],""),"")</f>
        <v/>
      </c>
      <c r="AH41" s="34" t="str">
        <f>IFERROR(IF(AND(OR(Table846[[#This Row],[Classification]]="Liabilities",Table846[[#This Row],[Classification]]="Owner´s Equity"),Table846[[#This Row],[Credit.]]&gt;Table846[[#This Row],[Debit\]]),Table846[[#This Row],[Credit.]]-Table846[[#This Row],[Debit\]],""),"")</f>
        <v/>
      </c>
    </row>
    <row r="42" spans="2:34" hidden="1" x14ac:dyDescent="0.25">
      <c r="B42" s="34"/>
      <c r="C42" s="37" t="s">
        <v>96</v>
      </c>
      <c r="D42" s="34"/>
      <c r="E42" s="34">
        <v>1318131</v>
      </c>
      <c r="G42" s="39"/>
      <c r="H42" s="40"/>
      <c r="I42" s="41"/>
      <c r="J42" s="41"/>
      <c r="L42" s="34">
        <v>35</v>
      </c>
      <c r="M42" s="35" t="s">
        <v>145</v>
      </c>
      <c r="N42" s="35" t="s">
        <v>97</v>
      </c>
      <c r="O42" s="34">
        <f>IFERROR(SUMIF(Table443[,],Table645[[#This Row],[Accounts Name]],Table443[,3]),"")</f>
        <v>0</v>
      </c>
      <c r="P42" s="34">
        <f>IFERROR(SUMIF(Table443[,],Table645[[#This Row],[Accounts Name]],Table443[,2]),"")</f>
        <v>11852079.26</v>
      </c>
      <c r="S42" s="36">
        <f t="shared" si="0"/>
        <v>35</v>
      </c>
      <c r="T42" s="34" t="s">
        <v>61</v>
      </c>
      <c r="U42" s="37" t="s">
        <v>156</v>
      </c>
      <c r="V42" s="34">
        <f>IFERROR(SUMIF(Table645[Sub-Accounts],Table846[[#This Row],[Update your chart of accounts here]],Table645[Debit]),"")</f>
        <v>219706</v>
      </c>
      <c r="W42" s="34">
        <f>IFERROR(SUMIF(Table645[Sub-Accounts],Table846[[#This Row],[Update your chart of accounts here]],Table645[Credit]),"")</f>
        <v>0</v>
      </c>
      <c r="X42" s="34"/>
      <c r="Y42" s="34"/>
      <c r="Z42" s="34"/>
      <c r="AA42" s="34"/>
      <c r="AB42" s="34">
        <f>MAX(Table846[[#This Row],[Debit]]+Table846[[#This Row],[Debit -]]-Table846[[#This Row],[Credit]]-Table846[[#This Row],[Credit +]],0)</f>
        <v>219706</v>
      </c>
      <c r="AC42" s="34">
        <f>MAX(Table846[[#This Row],[Credit]]-Table846[[#This Row],[Debit]]+Table846[[#This Row],[Credit +]]-Table846[[#This Row],[Debit -]],0)</f>
        <v>0</v>
      </c>
      <c r="AD42" s="34">
        <f>IFERROR(IF(AND(OR(Table846[[#This Row],[Classification]]="Expense",Table846[[#This Row],[Classification]]="Cost of Goods Sold"),Table846[[#This Row],[Debit\]]&gt;Table846[[#This Row],[Credit.]]),Table846[[#This Row],[Debit\]]-Table846[[#This Row],[Credit.]],""),"")</f>
        <v>219706</v>
      </c>
      <c r="AE42" s="34" t="str">
        <f>IFERROR(IF(AND(OR(Table846[[#This Row],[Classification]]="Income",Table846[[#This Row],[Classification]]="Cost of Goods Sold"),Table846[[#This Row],[Credit.]]&gt;Table846[[#This Row],[Debit\]]),Table846[[#This Row],[Credit.]]-Table846[[#This Row],[Debit\]],""),"")</f>
        <v/>
      </c>
      <c r="AF42" s="34"/>
      <c r="AG42" s="34" t="str">
        <f>IFERROR(IF(AND(Table846[[#This Row],[Classification]]="Assets",Table846[[#This Row],[Debit\]]-Table846[[#This Row],[Credit.]]),Table846[[#This Row],[Debit\]]-Table846[[#This Row],[Credit.]],""),"")</f>
        <v/>
      </c>
      <c r="AH42" s="34" t="str">
        <f>IFERROR(IF(AND(OR(Table846[[#This Row],[Classification]]="Liabilities",Table846[[#This Row],[Classification]]="Owner´s Equity"),Table846[[#This Row],[Credit.]]&gt;Table846[[#This Row],[Debit\]]),Table846[[#This Row],[Credit.]]-Table846[[#This Row],[Debit\]],""),"")</f>
        <v/>
      </c>
    </row>
    <row r="43" spans="2:34" hidden="1" x14ac:dyDescent="0.25">
      <c r="B43" s="34"/>
      <c r="C43" s="37" t="s">
        <v>97</v>
      </c>
      <c r="D43" s="34"/>
      <c r="E43" s="34">
        <v>11852079.26</v>
      </c>
      <c r="G43" s="39"/>
      <c r="H43" s="40"/>
      <c r="I43" s="41"/>
      <c r="J43" s="41"/>
      <c r="L43" s="34">
        <v>36</v>
      </c>
      <c r="M43" s="35" t="s">
        <v>146</v>
      </c>
      <c r="N43" s="35" t="s">
        <v>98</v>
      </c>
      <c r="O43" s="34">
        <f>IFERROR(SUMIF(Table443[,],Table645[[#This Row],[Accounts Name]],Table443[,3]),"")</f>
        <v>0</v>
      </c>
      <c r="P43" s="34">
        <f>IFERROR(SUMIF(Table443[,],Table645[[#This Row],[Accounts Name]],Table443[,2]),"")</f>
        <v>400</v>
      </c>
      <c r="S43" s="36">
        <f t="shared" si="0"/>
        <v>36</v>
      </c>
      <c r="T43" s="34" t="s">
        <v>61</v>
      </c>
      <c r="U43" s="37" t="s">
        <v>217</v>
      </c>
      <c r="V43" s="34">
        <f>IFERROR(SUMIF(Table645[Sub-Accounts],Table846[[#This Row],[Update your chart of accounts here]],Table645[Debit]),"")</f>
        <v>0</v>
      </c>
      <c r="W43" s="34">
        <f>IFERROR(SUMIF(Table645[Sub-Accounts],Table846[[#This Row],[Update your chart of accounts here]],Table645[Credit]),"")</f>
        <v>0</v>
      </c>
      <c r="X43" s="34"/>
      <c r="Y43" s="34"/>
      <c r="Z43" s="34"/>
      <c r="AA43" s="34"/>
      <c r="AB43" s="34">
        <f>MAX(Table846[[#This Row],[Debit]]+Table846[[#This Row],[Debit -]]-Table846[[#This Row],[Credit]]-Table846[[#This Row],[Credit +]],0)</f>
        <v>0</v>
      </c>
      <c r="AC43" s="34">
        <f>MAX(Table846[[#This Row],[Credit]]-Table846[[#This Row],[Debit]]+Table846[[#This Row],[Credit +]]-Table846[[#This Row],[Debit -]],0)</f>
        <v>0</v>
      </c>
      <c r="AD43" s="34" t="str">
        <f>IFERROR(IF(AND(OR(Table846[[#This Row],[Classification]]="Expense",Table846[[#This Row],[Classification]]="Cost of Goods Sold"),Table846[[#This Row],[Debit\]]&gt;Table846[[#This Row],[Credit.]]),Table846[[#This Row],[Debit\]]-Table846[[#This Row],[Credit.]],""),"")</f>
        <v/>
      </c>
      <c r="AE43" s="34" t="str">
        <f>IFERROR(IF(AND(OR(Table846[[#This Row],[Classification]]="Income",Table846[[#This Row],[Classification]]="Cost of Goods Sold"),Table846[[#This Row],[Credit.]]&gt;Table846[[#This Row],[Debit\]]),Table846[[#This Row],[Credit.]]-Table846[[#This Row],[Debit\]],""),"")</f>
        <v/>
      </c>
      <c r="AF43" s="34"/>
      <c r="AG43" s="34" t="str">
        <f>IFERROR(IF(AND(Table846[[#This Row],[Classification]]="Assets",Table846[[#This Row],[Debit\]]-Table846[[#This Row],[Credit.]]),Table846[[#This Row],[Debit\]]-Table846[[#This Row],[Credit.]],""),"")</f>
        <v/>
      </c>
      <c r="AH43" s="34" t="str">
        <f>IFERROR(IF(AND(OR(Table846[[#This Row],[Classification]]="Liabilities",Table846[[#This Row],[Classification]]="Owner´s Equity"),Table846[[#This Row],[Credit.]]&gt;Table846[[#This Row],[Debit\]]),Table846[[#This Row],[Credit.]]-Table846[[#This Row],[Debit\]],""),"")</f>
        <v/>
      </c>
    </row>
    <row r="44" spans="2:34" hidden="1" x14ac:dyDescent="0.25">
      <c r="B44" s="34"/>
      <c r="C44" s="37" t="s">
        <v>98</v>
      </c>
      <c r="D44" s="34"/>
      <c r="E44" s="34">
        <v>400</v>
      </c>
      <c r="G44" s="39"/>
      <c r="H44" s="43"/>
      <c r="I44" s="41"/>
      <c r="J44" s="41"/>
      <c r="L44" s="34">
        <v>37</v>
      </c>
      <c r="M44" s="35" t="s">
        <v>143</v>
      </c>
      <c r="N44" s="35" t="s">
        <v>99</v>
      </c>
      <c r="O44" s="34">
        <f>IFERROR(SUMIF(Table443[,],Table645[[#This Row],[Accounts Name]],Table443[,3]),"")</f>
        <v>0</v>
      </c>
      <c r="P44" s="34">
        <f>IFERROR(SUMIF(Table443[,],Table645[[#This Row],[Accounts Name]],Table443[,2]),"")</f>
        <v>800000</v>
      </c>
      <c r="S44" s="36">
        <f t="shared" si="0"/>
        <v>37</v>
      </c>
      <c r="T44" s="34" t="s">
        <v>61</v>
      </c>
      <c r="U44" s="37" t="s">
        <v>218</v>
      </c>
      <c r="V44" s="34">
        <f>IFERROR(SUMIF(Table645[Sub-Accounts],Table846[[#This Row],[Update your chart of accounts here]],Table645[Debit]),"")</f>
        <v>0</v>
      </c>
      <c r="W44" s="34">
        <f>IFERROR(SUMIF(Table645[Sub-Accounts],Table846[[#This Row],[Update your chart of accounts here]],Table645[Credit]),"")</f>
        <v>0</v>
      </c>
      <c r="X44" s="34"/>
      <c r="Y44" s="34"/>
      <c r="Z44" s="34"/>
      <c r="AA44" s="34"/>
      <c r="AB44" s="34">
        <f>MAX(Table846[[#This Row],[Debit]]+Table846[[#This Row],[Debit -]]-Table846[[#This Row],[Credit]]-Table846[[#This Row],[Credit +]],0)</f>
        <v>0</v>
      </c>
      <c r="AC44" s="34">
        <f>MAX(Table846[[#This Row],[Credit]]-Table846[[#This Row],[Debit]]+Table846[[#This Row],[Credit +]]-Table846[[#This Row],[Debit -]],0)</f>
        <v>0</v>
      </c>
      <c r="AD44" s="34" t="str">
        <f>IFERROR(IF(AND(OR(Table846[[#This Row],[Classification]]="Expense",Table846[[#This Row],[Classification]]="Cost of Goods Sold"),Table846[[#This Row],[Debit\]]&gt;Table846[[#This Row],[Credit.]]),Table846[[#This Row],[Debit\]]-Table846[[#This Row],[Credit.]],""),"")</f>
        <v/>
      </c>
      <c r="AE44" s="34" t="str">
        <f>IFERROR(IF(AND(OR(Table846[[#This Row],[Classification]]="Income",Table846[[#This Row],[Classification]]="Cost of Goods Sold"),Table846[[#This Row],[Credit.]]&gt;Table846[[#This Row],[Debit\]]),Table846[[#This Row],[Credit.]]-Table846[[#This Row],[Debit\]],""),"")</f>
        <v/>
      </c>
      <c r="AF44" s="34"/>
      <c r="AG44" s="34" t="str">
        <f>IFERROR(IF(AND(Table846[[#This Row],[Classification]]="Assets",Table846[[#This Row],[Debit\]]-Table846[[#This Row],[Credit.]]),Table846[[#This Row],[Debit\]]-Table846[[#This Row],[Credit.]],""),"")</f>
        <v/>
      </c>
      <c r="AH44" s="34" t="str">
        <f>IFERROR(IF(AND(OR(Table846[[#This Row],[Classification]]="Liabilities",Table846[[#This Row],[Classification]]="Owner´s Equity"),Table846[[#This Row],[Credit.]]&gt;Table846[[#This Row],[Debit\]]),Table846[[#This Row],[Credit.]]-Table846[[#This Row],[Debit\]],""),"")</f>
        <v/>
      </c>
    </row>
    <row r="45" spans="2:34" hidden="1" x14ac:dyDescent="0.25">
      <c r="B45" s="34"/>
      <c r="C45" s="37" t="s">
        <v>99</v>
      </c>
      <c r="D45" s="34"/>
      <c r="E45" s="34">
        <v>800000</v>
      </c>
      <c r="G45" s="39"/>
      <c r="H45" s="40"/>
      <c r="I45" s="41"/>
      <c r="J45" s="41"/>
      <c r="L45" s="34">
        <v>38</v>
      </c>
      <c r="M45" s="35" t="s">
        <v>62</v>
      </c>
      <c r="N45" s="35" t="s">
        <v>100</v>
      </c>
      <c r="O45" s="34">
        <f>IFERROR(SUMIF(Table443[,],Table645[[#This Row],[Accounts Name]],Table443[,3]),"")</f>
        <v>0</v>
      </c>
      <c r="P45" s="34">
        <f>IFERROR(SUMIF(Table443[,],Table645[[#This Row],[Accounts Name]],Table443[,2]),"")</f>
        <v>332888373.44999999</v>
      </c>
      <c r="S45" s="36">
        <f t="shared" si="0"/>
        <v>38</v>
      </c>
      <c r="T45" s="34" t="s">
        <v>61</v>
      </c>
      <c r="U45" s="37" t="s">
        <v>163</v>
      </c>
      <c r="V45" s="34">
        <f>IFERROR(SUMIF(Table645[Sub-Accounts],Table846[[#This Row],[Update your chart of accounts here]],Table645[Debit]),"")</f>
        <v>300</v>
      </c>
      <c r="W45" s="34">
        <f>IFERROR(SUMIF(Table645[Sub-Accounts],Table846[[#This Row],[Update your chart of accounts here]],Table645[Credit]),"")</f>
        <v>0</v>
      </c>
      <c r="X45" s="34"/>
      <c r="Y45" s="34"/>
      <c r="Z45" s="34"/>
      <c r="AA45" s="34"/>
      <c r="AB45" s="34">
        <f>MAX(Table846[[#This Row],[Debit]]+Table846[[#This Row],[Debit -]]-Table846[[#This Row],[Credit]]-Table846[[#This Row],[Credit +]],0)</f>
        <v>300</v>
      </c>
      <c r="AC45" s="34">
        <f>MAX(Table846[[#This Row],[Credit]]-Table846[[#This Row],[Debit]]+Table846[[#This Row],[Credit +]]-Table846[[#This Row],[Debit -]],0)</f>
        <v>0</v>
      </c>
      <c r="AD45" s="34">
        <f>IFERROR(IF(AND(OR(Table846[[#This Row],[Classification]]="Expense",Table846[[#This Row],[Classification]]="Cost of Goods Sold"),Table846[[#This Row],[Debit\]]&gt;Table846[[#This Row],[Credit.]]),Table846[[#This Row],[Debit\]]-Table846[[#This Row],[Credit.]],""),"")</f>
        <v>300</v>
      </c>
      <c r="AE45" s="34" t="str">
        <f>IFERROR(IF(AND(OR(Table846[[#This Row],[Classification]]="Income",Table846[[#This Row],[Classification]]="Cost of Goods Sold"),Table846[[#This Row],[Credit.]]&gt;Table846[[#This Row],[Debit\]]),Table846[[#This Row],[Credit.]]-Table846[[#This Row],[Debit\]],""),"")</f>
        <v/>
      </c>
      <c r="AF45" s="34"/>
      <c r="AG45" s="34" t="str">
        <f>IFERROR(IF(AND(Table846[[#This Row],[Classification]]="Assets",Table846[[#This Row],[Debit\]]-Table846[[#This Row],[Credit.]]),Table846[[#This Row],[Debit\]]-Table846[[#This Row],[Credit.]],""),"")</f>
        <v/>
      </c>
      <c r="AH45" s="34" t="str">
        <f>IFERROR(IF(AND(OR(Table846[[#This Row],[Classification]]="Liabilities",Table846[[#This Row],[Classification]]="Owner´s Equity"),Table846[[#This Row],[Credit.]]&gt;Table846[[#This Row],[Debit\]]),Table846[[#This Row],[Credit.]]-Table846[[#This Row],[Debit\]],""),"")</f>
        <v/>
      </c>
    </row>
    <row r="46" spans="2:34" hidden="1" x14ac:dyDescent="0.25">
      <c r="B46" s="34"/>
      <c r="C46" s="37" t="s">
        <v>100</v>
      </c>
      <c r="D46" s="34"/>
      <c r="E46" s="34">
        <v>332888373.44999999</v>
      </c>
      <c r="G46" s="39"/>
      <c r="H46" s="40"/>
      <c r="I46" s="41"/>
      <c r="J46" s="41"/>
      <c r="L46" s="34">
        <v>39</v>
      </c>
      <c r="M46" s="35" t="s">
        <v>147</v>
      </c>
      <c r="N46" s="35" t="s">
        <v>101</v>
      </c>
      <c r="O46" s="34">
        <f>IFERROR(SUMIF(Table443[,],Table645[[#This Row],[Accounts Name]],Table443[,3]),"")</f>
        <v>316209838.63</v>
      </c>
      <c r="P46" s="34">
        <f>IFERROR(SUMIF(Table443[,],Table645[[#This Row],[Accounts Name]],Table443[,2]),"")</f>
        <v>0</v>
      </c>
      <c r="S46" s="36">
        <f t="shared" si="0"/>
        <v>39</v>
      </c>
      <c r="T46" s="34" t="s">
        <v>61</v>
      </c>
      <c r="U46" s="37" t="s">
        <v>164</v>
      </c>
      <c r="V46" s="34">
        <f>IFERROR(SUMIF(Table645[Sub-Accounts],Table846[[#This Row],[Update your chart of accounts here]],Table645[Debit]),"")</f>
        <v>436840.42</v>
      </c>
      <c r="W46" s="34">
        <f>IFERROR(SUMIF(Table645[Sub-Accounts],Table846[[#This Row],[Update your chart of accounts here]],Table645[Credit]),"")</f>
        <v>0</v>
      </c>
      <c r="X46" s="34"/>
      <c r="Y46" s="34"/>
      <c r="Z46" s="34"/>
      <c r="AA46" s="34"/>
      <c r="AB46" s="34">
        <f>MAX(Table846[[#This Row],[Debit]]+Table846[[#This Row],[Debit -]]-Table846[[#This Row],[Credit]]-Table846[[#This Row],[Credit +]],0)</f>
        <v>436840.42</v>
      </c>
      <c r="AC46" s="34">
        <f>MAX(Table846[[#This Row],[Credit]]-Table846[[#This Row],[Debit]]+Table846[[#This Row],[Credit +]]-Table846[[#This Row],[Debit -]],0)</f>
        <v>0</v>
      </c>
      <c r="AD46" s="34">
        <f>IFERROR(IF(AND(OR(Table846[[#This Row],[Classification]]="Expense",Table846[[#This Row],[Classification]]="Cost of Goods Sold"),Table846[[#This Row],[Debit\]]&gt;Table846[[#This Row],[Credit.]]),Table846[[#This Row],[Debit\]]-Table846[[#This Row],[Credit.]],""),"")</f>
        <v>436840.42</v>
      </c>
      <c r="AE46" s="34" t="str">
        <f>IFERROR(IF(AND(OR(Table846[[#This Row],[Classification]]="Income",Table846[[#This Row],[Classification]]="Cost of Goods Sold"),Table846[[#This Row],[Credit.]]&gt;Table846[[#This Row],[Debit\]]),Table846[[#This Row],[Credit.]]-Table846[[#This Row],[Debit\]],""),"")</f>
        <v/>
      </c>
      <c r="AF46" s="34"/>
      <c r="AG46" s="34" t="str">
        <f>IFERROR(IF(AND(Table846[[#This Row],[Classification]]="Assets",Table846[[#This Row],[Debit\]]-Table846[[#This Row],[Credit.]]),Table846[[#This Row],[Debit\]]-Table846[[#This Row],[Credit.]],""),"")</f>
        <v/>
      </c>
      <c r="AH46" s="34" t="str">
        <f>IFERROR(IF(AND(OR(Table846[[#This Row],[Classification]]="Liabilities",Table846[[#This Row],[Classification]]="Owner´s Equity"),Table846[[#This Row],[Credit.]]&gt;Table846[[#This Row],[Debit\]]),Table846[[#This Row],[Credit.]]-Table846[[#This Row],[Debit\]],""),"")</f>
        <v/>
      </c>
    </row>
    <row r="47" spans="2:34" hidden="1" x14ac:dyDescent="0.25">
      <c r="B47" s="34"/>
      <c r="C47" s="37" t="s">
        <v>101</v>
      </c>
      <c r="D47" s="34">
        <v>316209838.63</v>
      </c>
      <c r="E47" s="34"/>
      <c r="G47" s="39"/>
      <c r="H47" s="43"/>
      <c r="I47" s="41"/>
      <c r="J47" s="41"/>
      <c r="L47" s="34">
        <v>40</v>
      </c>
      <c r="M47" s="35" t="s">
        <v>148</v>
      </c>
      <c r="N47" s="35" t="s">
        <v>102</v>
      </c>
      <c r="O47" s="34">
        <f>IFERROR(SUMIF(Table443[,],Table645[[#This Row],[Accounts Name]],Table443[,3]),"")</f>
        <v>568965.54</v>
      </c>
      <c r="P47" s="34">
        <f>IFERROR(SUMIF(Table443[,],Table645[[#This Row],[Accounts Name]],Table443[,2]),"")</f>
        <v>0</v>
      </c>
      <c r="S47" s="36">
        <f t="shared" si="0"/>
        <v>40</v>
      </c>
      <c r="T47" s="34" t="s">
        <v>61</v>
      </c>
      <c r="U47" s="37" t="s">
        <v>219</v>
      </c>
      <c r="V47" s="34">
        <f>IFERROR(SUMIF(Table645[Sub-Accounts],Table846[[#This Row],[Update your chart of accounts here]],Table645[Debit]),"")</f>
        <v>0</v>
      </c>
      <c r="W47" s="34">
        <f>IFERROR(SUMIF(Table645[Sub-Accounts],Table846[[#This Row],[Update your chart of accounts here]],Table645[Credit]),"")</f>
        <v>0</v>
      </c>
      <c r="X47" s="34"/>
      <c r="Y47" s="34"/>
      <c r="Z47" s="34"/>
      <c r="AA47" s="34"/>
      <c r="AB47" s="34">
        <f>MAX(Table846[[#This Row],[Debit]]+Table846[[#This Row],[Debit -]]-Table846[[#This Row],[Credit]]-Table846[[#This Row],[Credit +]],0)</f>
        <v>0</v>
      </c>
      <c r="AC47" s="34">
        <f>MAX(Table846[[#This Row],[Credit]]-Table846[[#This Row],[Debit]]+Table846[[#This Row],[Credit +]]-Table846[[#This Row],[Debit -]],0)</f>
        <v>0</v>
      </c>
      <c r="AD47" s="34" t="str">
        <f>IFERROR(IF(AND(OR(Table846[[#This Row],[Classification]]="Expense",Table846[[#This Row],[Classification]]="Cost of Goods Sold"),Table846[[#This Row],[Debit\]]&gt;Table846[[#This Row],[Credit.]]),Table846[[#This Row],[Debit\]]-Table846[[#This Row],[Credit.]],""),"")</f>
        <v/>
      </c>
      <c r="AE47" s="34" t="str">
        <f>IFERROR(IF(AND(OR(Table846[[#This Row],[Classification]]="Income",Table846[[#This Row],[Classification]]="Cost of Goods Sold"),Table846[[#This Row],[Credit.]]&gt;Table846[[#This Row],[Debit\]]),Table846[[#This Row],[Credit.]]-Table846[[#This Row],[Debit\]],""),"")</f>
        <v/>
      </c>
      <c r="AF47" s="34"/>
      <c r="AG47" s="34" t="str">
        <f>IFERROR(IF(AND(Table846[[#This Row],[Classification]]="Assets",Table846[[#This Row],[Debit\]]-Table846[[#This Row],[Credit.]]),Table846[[#This Row],[Debit\]]-Table846[[#This Row],[Credit.]],""),"")</f>
        <v/>
      </c>
      <c r="AH47" s="34" t="str">
        <f>IFERROR(IF(AND(OR(Table846[[#This Row],[Classification]]="Liabilities",Table846[[#This Row],[Classification]]="Owner´s Equity"),Table846[[#This Row],[Credit.]]&gt;Table846[[#This Row],[Debit\]]),Table846[[#This Row],[Credit.]]-Table846[[#This Row],[Debit\]],""),"")</f>
        <v/>
      </c>
    </row>
    <row r="48" spans="2:34" hidden="1" x14ac:dyDescent="0.25">
      <c r="B48" s="34"/>
      <c r="C48" s="37" t="s">
        <v>102</v>
      </c>
      <c r="D48" s="34">
        <v>568965.54</v>
      </c>
      <c r="E48" s="34"/>
      <c r="G48" s="39"/>
      <c r="H48" s="40"/>
      <c r="I48" s="41"/>
      <c r="J48" s="41"/>
      <c r="L48" s="34">
        <v>41</v>
      </c>
      <c r="M48" s="35" t="s">
        <v>149</v>
      </c>
      <c r="N48" s="35" t="s">
        <v>103</v>
      </c>
      <c r="O48" s="34">
        <f>IFERROR(SUMIF(Table443[,],Table645[[#This Row],[Accounts Name]],Table443[,3]),"")</f>
        <v>175000</v>
      </c>
      <c r="P48" s="34">
        <f>IFERROR(SUMIF(Table443[,],Table645[[#This Row],[Accounts Name]],Table443[,2]),"")</f>
        <v>0</v>
      </c>
      <c r="S48" s="36">
        <f t="shared" si="0"/>
        <v>41</v>
      </c>
      <c r="T48" s="34" t="s">
        <v>61</v>
      </c>
      <c r="U48" s="37" t="s">
        <v>169</v>
      </c>
      <c r="V48" s="34">
        <f>IFERROR(SUMIF(Table645[Sub-Accounts],Table846[[#This Row],[Update your chart of accounts here]],Table645[Debit]),"")</f>
        <v>2000</v>
      </c>
      <c r="W48" s="34">
        <f>IFERROR(SUMIF(Table645[Sub-Accounts],Table846[[#This Row],[Update your chart of accounts here]],Table645[Credit]),"")</f>
        <v>0</v>
      </c>
      <c r="X48" s="34"/>
      <c r="Y48" s="34"/>
      <c r="Z48" s="34"/>
      <c r="AA48" s="34"/>
      <c r="AB48" s="34">
        <f>MAX(Table846[[#This Row],[Debit]]+Table846[[#This Row],[Debit -]]-Table846[[#This Row],[Credit]]-Table846[[#This Row],[Credit +]],0)</f>
        <v>2000</v>
      </c>
      <c r="AC48" s="34">
        <f>MAX(Table846[[#This Row],[Credit]]-Table846[[#This Row],[Debit]]+Table846[[#This Row],[Credit +]]-Table846[[#This Row],[Debit -]],0)</f>
        <v>0</v>
      </c>
      <c r="AD48" s="34">
        <f>IFERROR(IF(AND(OR(Table846[[#This Row],[Classification]]="Expense",Table846[[#This Row],[Classification]]="Cost of Goods Sold"),Table846[[#This Row],[Debit\]]&gt;Table846[[#This Row],[Credit.]]),Table846[[#This Row],[Debit\]]-Table846[[#This Row],[Credit.]],""),"")</f>
        <v>2000</v>
      </c>
      <c r="AE48" s="34" t="str">
        <f>IFERROR(IF(AND(OR(Table846[[#This Row],[Classification]]="Income",Table846[[#This Row],[Classification]]="Cost of Goods Sold"),Table846[[#This Row],[Credit.]]&gt;Table846[[#This Row],[Debit\]]),Table846[[#This Row],[Credit.]]-Table846[[#This Row],[Debit\]],""),"")</f>
        <v/>
      </c>
      <c r="AF48" s="34"/>
      <c r="AG48" s="34" t="str">
        <f>IFERROR(IF(AND(Table846[[#This Row],[Classification]]="Assets",Table846[[#This Row],[Debit\]]-Table846[[#This Row],[Credit.]]),Table846[[#This Row],[Debit\]]-Table846[[#This Row],[Credit.]],""),"")</f>
        <v/>
      </c>
      <c r="AH48" s="34" t="str">
        <f>IFERROR(IF(AND(OR(Table846[[#This Row],[Classification]]="Liabilities",Table846[[#This Row],[Classification]]="Owner´s Equity"),Table846[[#This Row],[Credit.]]&gt;Table846[[#This Row],[Debit\]]),Table846[[#This Row],[Credit.]]-Table846[[#This Row],[Debit\]],""),"")</f>
        <v/>
      </c>
    </row>
    <row r="49" spans="2:34" hidden="1" x14ac:dyDescent="0.25">
      <c r="B49" s="34"/>
      <c r="C49" s="37" t="s">
        <v>103</v>
      </c>
      <c r="D49" s="34">
        <v>175000</v>
      </c>
      <c r="E49" s="34"/>
      <c r="G49" s="39"/>
      <c r="H49" s="40"/>
      <c r="I49" s="41"/>
      <c r="J49" s="41"/>
      <c r="L49" s="34">
        <v>42</v>
      </c>
      <c r="M49" s="35" t="s">
        <v>150</v>
      </c>
      <c r="N49" s="35" t="s">
        <v>104</v>
      </c>
      <c r="O49" s="34">
        <f>IFERROR(SUMIF(Table443[,],Table645[[#This Row],[Accounts Name]],Table443[,3]),"")</f>
        <v>176009.84</v>
      </c>
      <c r="P49" s="34">
        <f>IFERROR(SUMIF(Table443[,],Table645[[#This Row],[Accounts Name]],Table443[,2]),"")</f>
        <v>0</v>
      </c>
      <c r="S49" s="36">
        <f t="shared" si="0"/>
        <v>42</v>
      </c>
      <c r="T49" s="34" t="s">
        <v>61</v>
      </c>
      <c r="U49" s="37" t="s">
        <v>170</v>
      </c>
      <c r="V49" s="34">
        <f>IFERROR(SUMIF(Table645[Sub-Accounts],Table846[[#This Row],[Update your chart of accounts here]],Table645[Debit]),"")</f>
        <v>13250</v>
      </c>
      <c r="W49" s="34">
        <f>IFERROR(SUMIF(Table645[Sub-Accounts],Table846[[#This Row],[Update your chart of accounts here]],Table645[Credit]),"")</f>
        <v>0</v>
      </c>
      <c r="X49" s="34"/>
      <c r="Y49" s="34"/>
      <c r="Z49" s="34"/>
      <c r="AA49" s="34"/>
      <c r="AB49" s="34">
        <f>MAX(Table846[[#This Row],[Debit]]+Table846[[#This Row],[Debit -]]-Table846[[#This Row],[Credit]]-Table846[[#This Row],[Credit +]],0)</f>
        <v>13250</v>
      </c>
      <c r="AC49" s="34">
        <f>MAX(Table846[[#This Row],[Credit]]-Table846[[#This Row],[Debit]]+Table846[[#This Row],[Credit +]]-Table846[[#This Row],[Debit -]],0)</f>
        <v>0</v>
      </c>
      <c r="AD49" s="34">
        <f>IFERROR(IF(AND(OR(Table846[[#This Row],[Classification]]="Expense",Table846[[#This Row],[Classification]]="Cost of Goods Sold"),Table846[[#This Row],[Debit\]]&gt;Table846[[#This Row],[Credit.]]),Table846[[#This Row],[Debit\]]-Table846[[#This Row],[Credit.]],""),"")</f>
        <v>13250</v>
      </c>
      <c r="AE49" s="34" t="str">
        <f>IFERROR(IF(AND(OR(Table846[[#This Row],[Classification]]="Income",Table846[[#This Row],[Classification]]="Cost of Goods Sold"),Table846[[#This Row],[Credit.]]&gt;Table846[[#This Row],[Debit\]]),Table846[[#This Row],[Credit.]]-Table846[[#This Row],[Debit\]],""),"")</f>
        <v/>
      </c>
      <c r="AF49" s="34"/>
      <c r="AG49" s="34" t="str">
        <f>IFERROR(IF(AND(Table846[[#This Row],[Classification]]="Assets",Table846[[#This Row],[Debit\]]-Table846[[#This Row],[Credit.]]),Table846[[#This Row],[Debit\]]-Table846[[#This Row],[Credit.]],""),"")</f>
        <v/>
      </c>
      <c r="AH49" s="34" t="str">
        <f>IFERROR(IF(AND(OR(Table846[[#This Row],[Classification]]="Liabilities",Table846[[#This Row],[Classification]]="Owner´s Equity"),Table846[[#This Row],[Credit.]]&gt;Table846[[#This Row],[Debit\]]),Table846[[#This Row],[Credit.]]-Table846[[#This Row],[Debit\]],""),"")</f>
        <v/>
      </c>
    </row>
    <row r="50" spans="2:34" hidden="1" x14ac:dyDescent="0.25">
      <c r="B50" s="34"/>
      <c r="C50" s="37" t="s">
        <v>104</v>
      </c>
      <c r="D50" s="34">
        <v>176009.84</v>
      </c>
      <c r="E50" s="34"/>
      <c r="G50" s="39"/>
      <c r="H50" s="43"/>
      <c r="I50" s="41"/>
      <c r="J50" s="41"/>
      <c r="L50" s="34">
        <v>43</v>
      </c>
      <c r="M50" s="35" t="s">
        <v>151</v>
      </c>
      <c r="N50" s="35" t="s">
        <v>105</v>
      </c>
      <c r="O50" s="34">
        <f>IFERROR(SUMIF(Table443[,],Table645[[#This Row],[Accounts Name]],Table443[,3]),"")</f>
        <v>4000</v>
      </c>
      <c r="P50" s="34">
        <f>IFERROR(SUMIF(Table443[,],Table645[[#This Row],[Accounts Name]],Table443[,2]),"")</f>
        <v>0</v>
      </c>
      <c r="S50" s="36">
        <f t="shared" si="0"/>
        <v>43</v>
      </c>
      <c r="T50" s="34" t="s">
        <v>61</v>
      </c>
      <c r="U50" s="37" t="s">
        <v>220</v>
      </c>
      <c r="V50" s="34">
        <f>IFERROR(SUMIF(Table645[Sub-Accounts],Table846[[#This Row],[Update your chart of accounts here]],Table645[Debit]),"")</f>
        <v>0</v>
      </c>
      <c r="W50" s="34">
        <f>IFERROR(SUMIF(Table645[Sub-Accounts],Table846[[#This Row],[Update your chart of accounts here]],Table645[Credit]),"")</f>
        <v>0</v>
      </c>
      <c r="X50" s="34"/>
      <c r="Y50" s="34"/>
      <c r="Z50" s="34"/>
      <c r="AA50" s="34"/>
      <c r="AB50" s="34">
        <f>MAX(Table846[[#This Row],[Debit]]+Table846[[#This Row],[Debit -]]-Table846[[#This Row],[Credit]]-Table846[[#This Row],[Credit +]],0)</f>
        <v>0</v>
      </c>
      <c r="AC50" s="34">
        <f>MAX(Table846[[#This Row],[Credit]]-Table846[[#This Row],[Debit]]+Table846[[#This Row],[Credit +]]-Table846[[#This Row],[Debit -]],0)</f>
        <v>0</v>
      </c>
      <c r="AD50" s="34" t="str">
        <f>IFERROR(IF(AND(OR(Table846[[#This Row],[Classification]]="Expense",Table846[[#This Row],[Classification]]="Cost of Goods Sold"),Table846[[#This Row],[Debit\]]&gt;Table846[[#This Row],[Credit.]]),Table846[[#This Row],[Debit\]]-Table846[[#This Row],[Credit.]],""),"")</f>
        <v/>
      </c>
      <c r="AE50" s="34" t="str">
        <f>IFERROR(IF(AND(OR(Table846[[#This Row],[Classification]]="Income",Table846[[#This Row],[Classification]]="Cost of Goods Sold"),Table846[[#This Row],[Credit.]]&gt;Table846[[#This Row],[Debit\]]),Table846[[#This Row],[Credit.]]-Table846[[#This Row],[Debit\]],""),"")</f>
        <v/>
      </c>
      <c r="AF50" s="34"/>
      <c r="AG50" s="34" t="str">
        <f>IFERROR(IF(AND(Table846[[#This Row],[Classification]]="Assets",Table846[[#This Row],[Debit\]]-Table846[[#This Row],[Credit.]]),Table846[[#This Row],[Debit\]]-Table846[[#This Row],[Credit.]],""),"")</f>
        <v/>
      </c>
      <c r="AH50" s="34" t="str">
        <f>IFERROR(IF(AND(OR(Table846[[#This Row],[Classification]]="Liabilities",Table846[[#This Row],[Classification]]="Owner´s Equity"),Table846[[#This Row],[Credit.]]&gt;Table846[[#This Row],[Debit\]]),Table846[[#This Row],[Credit.]]-Table846[[#This Row],[Debit\]],""),"")</f>
        <v/>
      </c>
    </row>
    <row r="51" spans="2:34" hidden="1" x14ac:dyDescent="0.25">
      <c r="B51" s="34"/>
      <c r="C51" s="37" t="s">
        <v>105</v>
      </c>
      <c r="D51" s="34">
        <v>4000</v>
      </c>
      <c r="E51" s="34"/>
      <c r="G51" s="39"/>
      <c r="H51" s="40"/>
      <c r="I51" s="41"/>
      <c r="J51" s="41"/>
      <c r="L51" s="34">
        <v>44</v>
      </c>
      <c r="M51" s="35" t="s">
        <v>152</v>
      </c>
      <c r="N51" s="35" t="s">
        <v>106</v>
      </c>
      <c r="O51" s="34">
        <f>IFERROR(SUMIF(Table443[,],Table645[[#This Row],[Accounts Name]],Table443[,3]),"")</f>
        <v>50190.32</v>
      </c>
      <c r="P51" s="34">
        <f>IFERROR(SUMIF(Table443[,],Table645[[#This Row],[Accounts Name]],Table443[,2]),"")</f>
        <v>0</v>
      </c>
      <c r="S51" s="36">
        <f t="shared" si="0"/>
        <v>44</v>
      </c>
      <c r="T51" s="34" t="s">
        <v>61</v>
      </c>
      <c r="U51" s="37" t="s">
        <v>155</v>
      </c>
      <c r="V51" s="34">
        <f>IFERROR(SUMIF(Table645[Sub-Accounts],Table846[[#This Row],[Update your chart of accounts here]],Table645[Debit]),"")</f>
        <v>1000000</v>
      </c>
      <c r="W51" s="34">
        <f>IFERROR(SUMIF(Table645[Sub-Accounts],Table846[[#This Row],[Update your chart of accounts here]],Table645[Credit]),"")</f>
        <v>0</v>
      </c>
      <c r="X51" s="34"/>
      <c r="Y51" s="34" t="s">
        <v>226</v>
      </c>
      <c r="Z51" s="34"/>
      <c r="AA51" s="34">
        <f>J15</f>
        <v>1000000</v>
      </c>
      <c r="AB51" s="34">
        <f>MAX(Table846[[#This Row],[Debit]]+Table846[[#This Row],[Debit -]]-Table846[[#This Row],[Credit]]-Table846[[#This Row],[Credit +]],0)</f>
        <v>0</v>
      </c>
      <c r="AC51" s="34">
        <f>MAX(Table846[[#This Row],[Credit]]-Table846[[#This Row],[Debit]]+Table846[[#This Row],[Credit +]]-Table846[[#This Row],[Debit -]],0)</f>
        <v>0</v>
      </c>
      <c r="AD51" s="34" t="str">
        <f>IFERROR(IF(AND(OR(Table846[[#This Row],[Classification]]="Expense",Table846[[#This Row],[Classification]]="Cost of Goods Sold"),Table846[[#This Row],[Debit\]]&gt;Table846[[#This Row],[Credit.]]),Table846[[#This Row],[Debit\]]-Table846[[#This Row],[Credit.]],""),"")</f>
        <v/>
      </c>
      <c r="AE51" s="34" t="str">
        <f>IFERROR(IF(AND(OR(Table846[[#This Row],[Classification]]="Income",Table846[[#This Row],[Classification]]="Cost of Goods Sold"),Table846[[#This Row],[Credit.]]&gt;Table846[[#This Row],[Debit\]]),Table846[[#This Row],[Credit.]]-Table846[[#This Row],[Debit\]],""),"")</f>
        <v/>
      </c>
      <c r="AF51" s="34"/>
      <c r="AG51" s="34" t="str">
        <f>IFERROR(IF(AND(Table846[[#This Row],[Classification]]="Assets",Table846[[#This Row],[Debit\]]-Table846[[#This Row],[Credit.]]),Table846[[#This Row],[Debit\]]-Table846[[#This Row],[Credit.]],""),"")</f>
        <v/>
      </c>
      <c r="AH51" s="34" t="str">
        <f>IFERROR(IF(AND(OR(Table846[[#This Row],[Classification]]="Liabilities",Table846[[#This Row],[Classification]]="Owner´s Equity"),Table846[[#This Row],[Credit.]]&gt;Table846[[#This Row],[Debit\]]),Table846[[#This Row],[Credit.]]-Table846[[#This Row],[Debit\]],""),"")</f>
        <v/>
      </c>
    </row>
    <row r="52" spans="2:34" hidden="1" x14ac:dyDescent="0.25">
      <c r="B52" s="34"/>
      <c r="C52" s="37" t="s">
        <v>106</v>
      </c>
      <c r="D52" s="34">
        <v>50190.32</v>
      </c>
      <c r="E52" s="34"/>
      <c r="G52" s="39"/>
      <c r="H52" s="40"/>
      <c r="I52" s="41"/>
      <c r="J52" s="41"/>
      <c r="L52" s="34">
        <v>45</v>
      </c>
      <c r="M52" s="35" t="s">
        <v>153</v>
      </c>
      <c r="N52" s="35" t="s">
        <v>107</v>
      </c>
      <c r="O52" s="34">
        <f>IFERROR(SUMIF(Table443[,],Table645[[#This Row],[Accounts Name]],Table443[,3]),"")</f>
        <v>233250</v>
      </c>
      <c r="P52" s="34">
        <f>IFERROR(SUMIF(Table443[,],Table645[[#This Row],[Accounts Name]],Table443[,2]),"")</f>
        <v>0</v>
      </c>
      <c r="S52" s="36">
        <f t="shared" si="0"/>
        <v>45</v>
      </c>
      <c r="T52" s="34" t="s">
        <v>61</v>
      </c>
      <c r="U52" s="37" t="s">
        <v>171</v>
      </c>
      <c r="V52" s="34">
        <f>IFERROR(SUMIF(Table645[Sub-Accounts],Table846[[#This Row],[Update your chart of accounts here]],Table645[Debit]),"")</f>
        <v>0</v>
      </c>
      <c r="W52" s="34">
        <f>IFERROR(SUMIF(Table645[Sub-Accounts],Table846[[#This Row],[Update your chart of accounts here]],Table645[Credit]),"")</f>
        <v>0</v>
      </c>
      <c r="X52" s="34"/>
      <c r="Y52" s="34" t="s">
        <v>224</v>
      </c>
      <c r="Z52" s="34">
        <f>I9</f>
        <v>409278.51677448238</v>
      </c>
      <c r="AA52" s="34"/>
      <c r="AB52" s="34">
        <f>MAX(Table846[[#This Row],[Debit]]+Table846[[#This Row],[Debit -]]-Table846[[#This Row],[Credit]]-Table846[[#This Row],[Credit +]],0)</f>
        <v>409278.51677448238</v>
      </c>
      <c r="AC52" s="34">
        <f>MAX(Table846[[#This Row],[Credit]]-Table846[[#This Row],[Debit]]+Table846[[#This Row],[Credit +]]-Table846[[#This Row],[Debit -]],0)</f>
        <v>0</v>
      </c>
      <c r="AD52" s="34">
        <f>IFERROR(IF(AND(OR(Table846[[#This Row],[Classification]]="Expense",Table846[[#This Row],[Classification]]="Cost of Goods Sold"),Table846[[#This Row],[Debit\]]&gt;Table846[[#This Row],[Credit.]]),Table846[[#This Row],[Debit\]]-Table846[[#This Row],[Credit.]],""),"")</f>
        <v>409278.51677448238</v>
      </c>
      <c r="AE52" s="34" t="str">
        <f>IFERROR(IF(AND(OR(Table846[[#This Row],[Classification]]="Income",Table846[[#This Row],[Classification]]="Cost of Goods Sold"),Table846[[#This Row],[Credit.]]&gt;Table846[[#This Row],[Debit\]]),Table846[[#This Row],[Credit.]]-Table846[[#This Row],[Debit\]],""),"")</f>
        <v/>
      </c>
      <c r="AF52" s="34"/>
      <c r="AG52" s="34" t="str">
        <f>IFERROR(IF(AND(Table846[[#This Row],[Classification]]="Assets",Table846[[#This Row],[Debit\]]-Table846[[#This Row],[Credit.]]),Table846[[#This Row],[Debit\]]-Table846[[#This Row],[Credit.]],""),"")</f>
        <v/>
      </c>
      <c r="AH52" s="34" t="str">
        <f>IFERROR(IF(AND(OR(Table846[[#This Row],[Classification]]="Liabilities",Table846[[#This Row],[Classification]]="Owner´s Equity"),Table846[[#This Row],[Credit.]]&gt;Table846[[#This Row],[Debit\]]),Table846[[#This Row],[Credit.]]-Table846[[#This Row],[Debit\]],""),"")</f>
        <v/>
      </c>
    </row>
    <row r="53" spans="2:34" hidden="1" x14ac:dyDescent="0.25">
      <c r="B53" s="34"/>
      <c r="C53" s="37" t="s">
        <v>107</v>
      </c>
      <c r="D53" s="34">
        <v>233250</v>
      </c>
      <c r="E53" s="34"/>
      <c r="G53" s="39"/>
      <c r="H53" s="43"/>
      <c r="I53" s="41"/>
      <c r="J53" s="41"/>
      <c r="L53" s="34">
        <v>46</v>
      </c>
      <c r="M53" s="35" t="s">
        <v>154</v>
      </c>
      <c r="N53" s="35" t="s">
        <v>108</v>
      </c>
      <c r="O53" s="34">
        <f>IFERROR(SUMIF(Table443[,],Table645[[#This Row],[Accounts Name]],Table443[,3]),"")</f>
        <v>2500001</v>
      </c>
      <c r="P53" s="34">
        <f>IFERROR(SUMIF(Table443[,],Table645[[#This Row],[Accounts Name]],Table443[,2]),"")</f>
        <v>0</v>
      </c>
      <c r="S53" s="36">
        <f t="shared" si="0"/>
        <v>46</v>
      </c>
      <c r="T53" s="34" t="s">
        <v>61</v>
      </c>
      <c r="U53" s="37" t="s">
        <v>148</v>
      </c>
      <c r="V53" s="34">
        <f>IFERROR(SUMIF(Table645[Sub-Accounts],Table846[[#This Row],[Update your chart of accounts here]],Table645[Debit]),"")</f>
        <v>568965.54</v>
      </c>
      <c r="W53" s="34">
        <f>IFERROR(SUMIF(Table645[Sub-Accounts],Table846[[#This Row],[Update your chart of accounts here]],Table645[Credit]),"")</f>
        <v>0</v>
      </c>
      <c r="X53" s="34"/>
      <c r="Y53" s="34"/>
      <c r="Z53" s="34"/>
      <c r="AA53" s="34"/>
      <c r="AB53" s="34">
        <f>MAX(Table846[[#This Row],[Debit]]+Table846[[#This Row],[Debit -]]-Table846[[#This Row],[Credit]]-Table846[[#This Row],[Credit +]],0)</f>
        <v>568965.54</v>
      </c>
      <c r="AC53" s="34">
        <f>MAX(Table846[[#This Row],[Credit]]-Table846[[#This Row],[Debit]]+Table846[[#This Row],[Credit +]]-Table846[[#This Row],[Debit -]],0)</f>
        <v>0</v>
      </c>
      <c r="AD53" s="34">
        <f>IFERROR(IF(AND(OR(Table846[[#This Row],[Classification]]="Expense",Table846[[#This Row],[Classification]]="Cost of Goods Sold"),Table846[[#This Row],[Debit\]]&gt;Table846[[#This Row],[Credit.]]),Table846[[#This Row],[Debit\]]-Table846[[#This Row],[Credit.]],""),"")</f>
        <v>568965.54</v>
      </c>
      <c r="AE53" s="34" t="str">
        <f>IFERROR(IF(AND(OR(Table846[[#This Row],[Classification]]="Income",Table846[[#This Row],[Classification]]="Cost of Goods Sold"),Table846[[#This Row],[Credit.]]&gt;Table846[[#This Row],[Debit\]]),Table846[[#This Row],[Credit.]]-Table846[[#This Row],[Debit\]],""),"")</f>
        <v/>
      </c>
      <c r="AF53" s="34"/>
      <c r="AG53" s="34" t="str">
        <f>IFERROR(IF(AND(Table846[[#This Row],[Classification]]="Assets",Table846[[#This Row],[Debit\]]-Table846[[#This Row],[Credit.]]),Table846[[#This Row],[Debit\]]-Table846[[#This Row],[Credit.]],""),"")</f>
        <v/>
      </c>
      <c r="AH53" s="34" t="str">
        <f>IFERROR(IF(AND(OR(Table846[[#This Row],[Classification]]="Liabilities",Table846[[#This Row],[Classification]]="Owner´s Equity"),Table846[[#This Row],[Credit.]]&gt;Table846[[#This Row],[Debit\]]),Table846[[#This Row],[Credit.]]-Table846[[#This Row],[Debit\]],""),"")</f>
        <v/>
      </c>
    </row>
    <row r="54" spans="2:34" hidden="1" x14ac:dyDescent="0.25">
      <c r="B54" s="34"/>
      <c r="C54" s="37" t="s">
        <v>108</v>
      </c>
      <c r="D54" s="34">
        <v>2500001</v>
      </c>
      <c r="E54" s="34"/>
      <c r="G54" s="39"/>
      <c r="H54" s="40"/>
      <c r="I54" s="41"/>
      <c r="J54" s="41"/>
      <c r="L54" s="34">
        <v>47</v>
      </c>
      <c r="M54" s="35" t="s">
        <v>155</v>
      </c>
      <c r="N54" s="35" t="s">
        <v>109</v>
      </c>
      <c r="O54" s="34">
        <f>IFERROR(SUMIF(Table443[,],Table645[[#This Row],[Accounts Name]],Table443[,3]),"")</f>
        <v>1000000</v>
      </c>
      <c r="P54" s="34">
        <f>IFERROR(SUMIF(Table443[,],Table645[[#This Row],[Accounts Name]],Table443[,2]),"")</f>
        <v>0</v>
      </c>
      <c r="S54" s="36">
        <f t="shared" si="0"/>
        <v>47</v>
      </c>
      <c r="T54" s="34" t="s">
        <v>61</v>
      </c>
      <c r="U54" s="37" t="s">
        <v>158</v>
      </c>
      <c r="V54" s="34">
        <f>IFERROR(SUMIF(Table645[Sub-Accounts],Table846[[#This Row],[Update your chart of accounts here]],Table645[Debit]),"")</f>
        <v>436880</v>
      </c>
      <c r="W54" s="34">
        <f>IFERROR(SUMIF(Table645[Sub-Accounts],Table846[[#This Row],[Update your chart of accounts here]],Table645[Credit]),"")</f>
        <v>0</v>
      </c>
      <c r="X54" s="34"/>
      <c r="Y54" s="34"/>
      <c r="Z54" s="34"/>
      <c r="AA54" s="34"/>
      <c r="AB54" s="34">
        <f>MAX(Table846[[#This Row],[Debit]]+Table846[[#This Row],[Debit -]]-Table846[[#This Row],[Credit]]-Table846[[#This Row],[Credit +]],0)</f>
        <v>436880</v>
      </c>
      <c r="AC54" s="34">
        <f>MAX(Table846[[#This Row],[Credit]]-Table846[[#This Row],[Debit]]+Table846[[#This Row],[Credit +]]-Table846[[#This Row],[Debit -]],0)</f>
        <v>0</v>
      </c>
      <c r="AD54" s="34">
        <f>IFERROR(IF(AND(OR(Table846[[#This Row],[Classification]]="Expense",Table846[[#This Row],[Classification]]="Cost of Goods Sold"),Table846[[#This Row],[Debit\]]&gt;Table846[[#This Row],[Credit.]]),Table846[[#This Row],[Debit\]]-Table846[[#This Row],[Credit.]],""),"")</f>
        <v>436880</v>
      </c>
      <c r="AE54" s="34" t="str">
        <f>IFERROR(IF(AND(OR(Table846[[#This Row],[Classification]]="Income",Table846[[#This Row],[Classification]]="Cost of Goods Sold"),Table846[[#This Row],[Credit.]]&gt;Table846[[#This Row],[Debit\]]),Table846[[#This Row],[Credit.]]-Table846[[#This Row],[Debit\]],""),"")</f>
        <v/>
      </c>
      <c r="AF54" s="34"/>
      <c r="AG54" s="34" t="str">
        <f>IFERROR(IF(AND(Table846[[#This Row],[Classification]]="Assets",Table846[[#This Row],[Debit\]]-Table846[[#This Row],[Credit.]]),Table846[[#This Row],[Debit\]]-Table846[[#This Row],[Credit.]],""),"")</f>
        <v/>
      </c>
      <c r="AH54" s="34" t="str">
        <f>IFERROR(IF(AND(OR(Table846[[#This Row],[Classification]]="Liabilities",Table846[[#This Row],[Classification]]="Owner´s Equity"),Table846[[#This Row],[Credit.]]&gt;Table846[[#This Row],[Debit\]]),Table846[[#This Row],[Credit.]]-Table846[[#This Row],[Debit\]],""),"")</f>
        <v/>
      </c>
    </row>
    <row r="55" spans="2:34" hidden="1" x14ac:dyDescent="0.25">
      <c r="B55" s="34"/>
      <c r="C55" s="37" t="s">
        <v>109</v>
      </c>
      <c r="D55" s="34">
        <v>1000000</v>
      </c>
      <c r="E55" s="34"/>
      <c r="G55" s="39"/>
      <c r="H55" s="40"/>
      <c r="I55" s="41"/>
      <c r="J55" s="41"/>
      <c r="L55" s="34">
        <v>48</v>
      </c>
      <c r="M55" s="35" t="s">
        <v>156</v>
      </c>
      <c r="N55" s="35" t="s">
        <v>110</v>
      </c>
      <c r="O55" s="34">
        <f>IFERROR(SUMIF(Table443[,],Table645[[#This Row],[Accounts Name]],Table443[,3]),"")</f>
        <v>900</v>
      </c>
      <c r="P55" s="34">
        <f>IFERROR(SUMIF(Table443[,],Table645[[#This Row],[Accounts Name]],Table443[,2]),"")</f>
        <v>0</v>
      </c>
      <c r="S55" s="36">
        <f t="shared" si="0"/>
        <v>48</v>
      </c>
      <c r="T55" s="34" t="s">
        <v>61</v>
      </c>
      <c r="U55" s="37" t="s">
        <v>149</v>
      </c>
      <c r="V55" s="34">
        <f>IFERROR(SUMIF(Table645[Sub-Accounts],Table846[[#This Row],[Update your chart of accounts here]],Table645[Debit]),"")</f>
        <v>175000</v>
      </c>
      <c r="W55" s="34">
        <f>IFERROR(SUMIF(Table645[Sub-Accounts],Table846[[#This Row],[Update your chart of accounts here]],Table645[Credit]),"")</f>
        <v>0</v>
      </c>
      <c r="X55" s="34"/>
      <c r="Y55" s="34"/>
      <c r="Z55" s="34"/>
      <c r="AA55" s="34"/>
      <c r="AB55" s="34">
        <f>MAX(Table846[[#This Row],[Debit]]+Table846[[#This Row],[Debit -]]-Table846[[#This Row],[Credit]]-Table846[[#This Row],[Credit +]],0)</f>
        <v>175000</v>
      </c>
      <c r="AC55" s="34">
        <f>MAX(Table846[[#This Row],[Credit]]-Table846[[#This Row],[Debit]]+Table846[[#This Row],[Credit +]]-Table846[[#This Row],[Debit -]],0)</f>
        <v>0</v>
      </c>
      <c r="AD55" s="34">
        <f>IFERROR(IF(AND(OR(Table846[[#This Row],[Classification]]="Expense",Table846[[#This Row],[Classification]]="Cost of Goods Sold"),Table846[[#This Row],[Debit\]]&gt;Table846[[#This Row],[Credit.]]),Table846[[#This Row],[Debit\]]-Table846[[#This Row],[Credit.]],""),"")</f>
        <v>175000</v>
      </c>
      <c r="AE55" s="34" t="str">
        <f>IFERROR(IF(AND(OR(Table846[[#This Row],[Classification]]="Income",Table846[[#This Row],[Classification]]="Cost of Goods Sold"),Table846[[#This Row],[Credit.]]&gt;Table846[[#This Row],[Debit\]]),Table846[[#This Row],[Credit.]]-Table846[[#This Row],[Debit\]],""),"")</f>
        <v/>
      </c>
      <c r="AF55" s="34"/>
      <c r="AG55" s="34" t="str">
        <f>IFERROR(IF(AND(Table846[[#This Row],[Classification]]="Assets",Table846[[#This Row],[Debit\]]-Table846[[#This Row],[Credit.]]),Table846[[#This Row],[Debit\]]-Table846[[#This Row],[Credit.]],""),"")</f>
        <v/>
      </c>
      <c r="AH55" s="34" t="str">
        <f>IFERROR(IF(AND(OR(Table846[[#This Row],[Classification]]="Liabilities",Table846[[#This Row],[Classification]]="Owner´s Equity"),Table846[[#This Row],[Credit.]]&gt;Table846[[#This Row],[Debit\]]),Table846[[#This Row],[Credit.]]-Table846[[#This Row],[Debit\]],""),"")</f>
        <v/>
      </c>
    </row>
    <row r="56" spans="2:34" hidden="1" x14ac:dyDescent="0.25">
      <c r="B56" s="34"/>
      <c r="C56" s="37" t="s">
        <v>110</v>
      </c>
      <c r="D56" s="34">
        <v>900</v>
      </c>
      <c r="E56" s="34"/>
      <c r="G56" s="39"/>
      <c r="H56" s="43"/>
      <c r="I56" s="41"/>
      <c r="J56" s="41"/>
      <c r="L56" s="34">
        <v>49</v>
      </c>
      <c r="M56" s="35" t="s">
        <v>157</v>
      </c>
      <c r="N56" s="35" t="s">
        <v>111</v>
      </c>
      <c r="O56" s="34">
        <f>IFERROR(SUMIF(Table443[,],Table645[[#This Row],[Accounts Name]],Table443[,3]),"")</f>
        <v>542263</v>
      </c>
      <c r="P56" s="34">
        <f>IFERROR(SUMIF(Table443[,],Table645[[#This Row],[Accounts Name]],Table443[,2]),"")</f>
        <v>0</v>
      </c>
      <c r="S56" s="36">
        <f t="shared" si="0"/>
        <v>49</v>
      </c>
      <c r="T56" s="34" t="s">
        <v>61</v>
      </c>
      <c r="U56" s="37" t="s">
        <v>160</v>
      </c>
      <c r="V56" s="34">
        <f>IFERROR(SUMIF(Table645[Sub-Accounts],Table846[[#This Row],[Update your chart of accounts here]],Table645[Debit]),"")</f>
        <v>145440</v>
      </c>
      <c r="W56" s="34">
        <f>IFERROR(SUMIF(Table645[Sub-Accounts],Table846[[#This Row],[Update your chart of accounts here]],Table645[Credit]),"")</f>
        <v>0</v>
      </c>
      <c r="X56" s="34"/>
      <c r="Y56" s="34"/>
      <c r="Z56" s="34"/>
      <c r="AA56" s="34"/>
      <c r="AB56" s="34">
        <f>MAX(Table846[[#This Row],[Debit]]+Table846[[#This Row],[Debit -]]-Table846[[#This Row],[Credit]]-Table846[[#This Row],[Credit +]],0)</f>
        <v>145440</v>
      </c>
      <c r="AC56" s="34">
        <f>MAX(Table846[[#This Row],[Credit]]-Table846[[#This Row],[Debit]]+Table846[[#This Row],[Credit +]]-Table846[[#This Row],[Debit -]],0)</f>
        <v>0</v>
      </c>
      <c r="AD56" s="34">
        <f>IFERROR(IF(AND(OR(Table846[[#This Row],[Classification]]="Expense",Table846[[#This Row],[Classification]]="Cost of Goods Sold"),Table846[[#This Row],[Debit\]]&gt;Table846[[#This Row],[Credit.]]),Table846[[#This Row],[Debit\]]-Table846[[#This Row],[Credit.]],""),"")</f>
        <v>145440</v>
      </c>
      <c r="AE56" s="34" t="str">
        <f>IFERROR(IF(AND(OR(Table846[[#This Row],[Classification]]="Income",Table846[[#This Row],[Classification]]="Cost of Goods Sold"),Table846[[#This Row],[Credit.]]&gt;Table846[[#This Row],[Debit\]]),Table846[[#This Row],[Credit.]]-Table846[[#This Row],[Debit\]],""),"")</f>
        <v/>
      </c>
      <c r="AF56" s="34"/>
      <c r="AG56" s="34" t="str">
        <f>IFERROR(IF(AND(Table846[[#This Row],[Classification]]="Assets",Table846[[#This Row],[Debit\]]-Table846[[#This Row],[Credit.]]),Table846[[#This Row],[Debit\]]-Table846[[#This Row],[Credit.]],""),"")</f>
        <v/>
      </c>
      <c r="AH56" s="34" t="str">
        <f>IFERROR(IF(AND(OR(Table846[[#This Row],[Classification]]="Liabilities",Table846[[#This Row],[Classification]]="Owner´s Equity"),Table846[[#This Row],[Credit.]]&gt;Table846[[#This Row],[Debit\]]),Table846[[#This Row],[Credit.]]-Table846[[#This Row],[Debit\]],""),"")</f>
        <v/>
      </c>
    </row>
    <row r="57" spans="2:34" hidden="1" x14ac:dyDescent="0.25">
      <c r="B57" s="34"/>
      <c r="C57" s="37" t="s">
        <v>111</v>
      </c>
      <c r="D57" s="34">
        <v>542263</v>
      </c>
      <c r="E57" s="34"/>
      <c r="G57" s="39"/>
      <c r="H57" s="40"/>
      <c r="I57" s="41"/>
      <c r="J57" s="41"/>
      <c r="L57" s="34">
        <v>50</v>
      </c>
      <c r="M57" s="35" t="s">
        <v>158</v>
      </c>
      <c r="N57" s="35" t="s">
        <v>112</v>
      </c>
      <c r="O57" s="34">
        <f>IFERROR(SUMIF(Table443[,],Table645[[#This Row],[Accounts Name]],Table443[,3]),"")</f>
        <v>20412.8</v>
      </c>
      <c r="P57" s="34">
        <f>IFERROR(SUMIF(Table443[,],Table645[[#This Row],[Accounts Name]],Table443[,2]),"")</f>
        <v>0</v>
      </c>
      <c r="S57" s="36">
        <f t="shared" si="0"/>
        <v>50</v>
      </c>
      <c r="T57" s="34" t="s">
        <v>61</v>
      </c>
      <c r="U57" s="37" t="s">
        <v>150</v>
      </c>
      <c r="V57" s="34">
        <f>IFERROR(SUMIF(Table645[Sub-Accounts],Table846[[#This Row],[Update your chart of accounts here]],Table645[Debit]),"")</f>
        <v>176009.84</v>
      </c>
      <c r="W57" s="34">
        <f>IFERROR(SUMIF(Table645[Sub-Accounts],Table846[[#This Row],[Update your chart of accounts here]],Table645[Credit]),"")</f>
        <v>0</v>
      </c>
      <c r="X57" s="34"/>
      <c r="Y57" s="34"/>
      <c r="Z57" s="34"/>
      <c r="AA57" s="34"/>
      <c r="AB57" s="34">
        <f>MAX(Table846[[#This Row],[Debit]]+Table846[[#This Row],[Debit -]]-Table846[[#This Row],[Credit]]-Table846[[#This Row],[Credit +]],0)</f>
        <v>176009.84</v>
      </c>
      <c r="AC57" s="34">
        <f>MAX(Table846[[#This Row],[Credit]]-Table846[[#This Row],[Debit]]+Table846[[#This Row],[Credit +]]-Table846[[#This Row],[Debit -]],0)</f>
        <v>0</v>
      </c>
      <c r="AD57" s="34">
        <f>IFERROR(IF(AND(OR(Table846[[#This Row],[Classification]]="Expense",Table846[[#This Row],[Classification]]="Cost of Goods Sold"),Table846[[#This Row],[Debit\]]&gt;Table846[[#This Row],[Credit.]]),Table846[[#This Row],[Debit\]]-Table846[[#This Row],[Credit.]],""),"")</f>
        <v>176009.84</v>
      </c>
      <c r="AE57" s="34" t="str">
        <f>IFERROR(IF(AND(OR(Table846[[#This Row],[Classification]]="Income",Table846[[#This Row],[Classification]]="Cost of Goods Sold"),Table846[[#This Row],[Credit.]]&gt;Table846[[#This Row],[Debit\]]),Table846[[#This Row],[Credit.]]-Table846[[#This Row],[Debit\]],""),"")</f>
        <v/>
      </c>
      <c r="AF57" s="34"/>
      <c r="AG57" s="34" t="str">
        <f>IFERROR(IF(AND(Table846[[#This Row],[Classification]]="Assets",Table846[[#This Row],[Debit\]]-Table846[[#This Row],[Credit.]]),Table846[[#This Row],[Debit\]]-Table846[[#This Row],[Credit.]],""),"")</f>
        <v/>
      </c>
      <c r="AH57" s="34" t="str">
        <f>IFERROR(IF(AND(OR(Table846[[#This Row],[Classification]]="Liabilities",Table846[[#This Row],[Classification]]="Owner´s Equity"),Table846[[#This Row],[Credit.]]&gt;Table846[[#This Row],[Debit\]]),Table846[[#This Row],[Credit.]]-Table846[[#This Row],[Debit\]],""),"")</f>
        <v/>
      </c>
    </row>
    <row r="58" spans="2:34" hidden="1" x14ac:dyDescent="0.25">
      <c r="B58" s="34"/>
      <c r="C58" s="37" t="s">
        <v>112</v>
      </c>
      <c r="D58" s="34">
        <v>20412.8</v>
      </c>
      <c r="E58" s="34"/>
      <c r="G58" s="39"/>
      <c r="H58" s="40"/>
      <c r="I58" s="41"/>
      <c r="J58" s="41"/>
      <c r="L58" s="34">
        <v>51</v>
      </c>
      <c r="M58" s="35" t="s">
        <v>158</v>
      </c>
      <c r="N58" s="35" t="s">
        <v>113</v>
      </c>
      <c r="O58" s="34">
        <f>IFERROR(SUMIF(Table443[,],Table645[[#This Row],[Accounts Name]],Table443[,3]),"")</f>
        <v>416467.20000000001</v>
      </c>
      <c r="P58" s="34">
        <f>IFERROR(SUMIF(Table443[,],Table645[[#This Row],[Accounts Name]],Table443[,2]),"")</f>
        <v>0</v>
      </c>
      <c r="S58" s="36">
        <f t="shared" si="0"/>
        <v>51</v>
      </c>
      <c r="T58" s="34" t="s">
        <v>61</v>
      </c>
      <c r="U58" s="37" t="s">
        <v>221</v>
      </c>
      <c r="V58" s="34">
        <f>IFERROR(SUMIF(Table645[Sub-Accounts],Table846[[#This Row],[Update your chart of accounts here]],Table645[Debit]),"")</f>
        <v>0</v>
      </c>
      <c r="W58" s="34">
        <f>IFERROR(SUMIF(Table645[Sub-Accounts],Table846[[#This Row],[Update your chart of accounts here]],Table645[Credit]),"")</f>
        <v>0</v>
      </c>
      <c r="X58" s="34"/>
      <c r="Y58" s="34"/>
      <c r="Z58" s="34"/>
      <c r="AA58" s="34"/>
      <c r="AB58" s="34">
        <f>MAX(Table846[[#This Row],[Debit]]+Table846[[#This Row],[Debit -]]-Table846[[#This Row],[Credit]]-Table846[[#This Row],[Credit +]],0)</f>
        <v>0</v>
      </c>
      <c r="AC58" s="34">
        <f>MAX(Table846[[#This Row],[Credit]]-Table846[[#This Row],[Debit]]+Table846[[#This Row],[Credit +]]-Table846[[#This Row],[Debit -]],0)</f>
        <v>0</v>
      </c>
      <c r="AD58" s="34" t="str">
        <f>IFERROR(IF(AND(OR(Table846[[#This Row],[Classification]]="Expense",Table846[[#This Row],[Classification]]="Cost of Goods Sold"),Table846[[#This Row],[Debit\]]&gt;Table846[[#This Row],[Credit.]]),Table846[[#This Row],[Debit\]]-Table846[[#This Row],[Credit.]],""),"")</f>
        <v/>
      </c>
      <c r="AE58" s="34" t="str">
        <f>IFERROR(IF(AND(OR(Table846[[#This Row],[Classification]]="Income",Table846[[#This Row],[Classification]]="Cost of Goods Sold"),Table846[[#This Row],[Credit.]]&gt;Table846[[#This Row],[Debit\]]),Table846[[#This Row],[Credit.]]-Table846[[#This Row],[Debit\]],""),"")</f>
        <v/>
      </c>
      <c r="AF58" s="34"/>
      <c r="AG58" s="34" t="str">
        <f>IFERROR(IF(AND(Table846[[#This Row],[Classification]]="Assets",Table846[[#This Row],[Debit\]]-Table846[[#This Row],[Credit.]]),Table846[[#This Row],[Debit\]]-Table846[[#This Row],[Credit.]],""),"")</f>
        <v/>
      </c>
      <c r="AH58" s="34" t="str">
        <f>IFERROR(IF(AND(OR(Table846[[#This Row],[Classification]]="Liabilities",Table846[[#This Row],[Classification]]="Owner´s Equity"),Table846[[#This Row],[Credit.]]&gt;Table846[[#This Row],[Debit\]]),Table846[[#This Row],[Credit.]]-Table846[[#This Row],[Debit\]],""),"")</f>
        <v/>
      </c>
    </row>
    <row r="59" spans="2:34" hidden="1" x14ac:dyDescent="0.25">
      <c r="B59" s="34"/>
      <c r="C59" s="37" t="s">
        <v>113</v>
      </c>
      <c r="D59" s="34">
        <v>416467.20000000001</v>
      </c>
      <c r="E59" s="34"/>
      <c r="G59" s="39"/>
      <c r="H59" s="43"/>
      <c r="I59" s="41"/>
      <c r="J59" s="41"/>
      <c r="L59" s="34">
        <v>52</v>
      </c>
      <c r="M59" s="35" t="s">
        <v>159</v>
      </c>
      <c r="N59" s="35" t="s">
        <v>114</v>
      </c>
      <c r="O59" s="34">
        <f>IFERROR(SUMIF(Table443[,],Table645[[#This Row],[Accounts Name]],Table443[,3]),"")</f>
        <v>27500</v>
      </c>
      <c r="P59" s="34">
        <f>IFERROR(SUMIF(Table443[,],Table645[[#This Row],[Accounts Name]],Table443[,2]),"")</f>
        <v>0</v>
      </c>
      <c r="S59" s="36">
        <f t="shared" si="0"/>
        <v>52</v>
      </c>
      <c r="T59" s="34" t="s">
        <v>61</v>
      </c>
      <c r="U59" s="37" t="s">
        <v>222</v>
      </c>
      <c r="V59" s="34">
        <f>IFERROR(SUMIF(Table645[Sub-Accounts],Table846[[#This Row],[Update your chart of accounts here]],Table645[Debit]),"")</f>
        <v>0</v>
      </c>
      <c r="W59" s="34">
        <f>IFERROR(SUMIF(Table645[Sub-Accounts],Table846[[#This Row],[Update your chart of accounts here]],Table645[Credit]),"")</f>
        <v>0</v>
      </c>
      <c r="X59" s="34"/>
      <c r="Y59" s="34"/>
      <c r="Z59" s="34"/>
      <c r="AA59" s="34"/>
      <c r="AB59" s="34">
        <f>MAX(Table846[[#This Row],[Debit]]+Table846[[#This Row],[Debit -]]-Table846[[#This Row],[Credit]]-Table846[[#This Row],[Credit +]],0)</f>
        <v>0</v>
      </c>
      <c r="AC59" s="34">
        <f>MAX(Table846[[#This Row],[Credit]]-Table846[[#This Row],[Debit]]+Table846[[#This Row],[Credit +]]-Table846[[#This Row],[Debit -]],0)</f>
        <v>0</v>
      </c>
      <c r="AD59" s="34" t="str">
        <f>IFERROR(IF(AND(OR(Table846[[#This Row],[Classification]]="Expense",Table846[[#This Row],[Classification]]="Cost of Goods Sold"),Table846[[#This Row],[Debit\]]&gt;Table846[[#This Row],[Credit.]]),Table846[[#This Row],[Debit\]]-Table846[[#This Row],[Credit.]],""),"")</f>
        <v/>
      </c>
      <c r="AE59" s="34" t="str">
        <f>IFERROR(IF(AND(OR(Table846[[#This Row],[Classification]]="Income",Table846[[#This Row],[Classification]]="Cost of Goods Sold"),Table846[[#This Row],[Credit.]]&gt;Table846[[#This Row],[Debit\]]),Table846[[#This Row],[Credit.]]-Table846[[#This Row],[Debit\]],""),"")</f>
        <v/>
      </c>
      <c r="AF59" s="34"/>
      <c r="AG59" s="34" t="str">
        <f>IFERROR(IF(AND(Table846[[#This Row],[Classification]]="Assets",Table846[[#This Row],[Debit\]]-Table846[[#This Row],[Credit.]]),Table846[[#This Row],[Debit\]]-Table846[[#This Row],[Credit.]],""),"")</f>
        <v/>
      </c>
      <c r="AH59" s="34" t="str">
        <f>IFERROR(IF(AND(OR(Table846[[#This Row],[Classification]]="Liabilities",Table846[[#This Row],[Classification]]="Owner´s Equity"),Table846[[#This Row],[Credit.]]&gt;Table846[[#This Row],[Debit\]]),Table846[[#This Row],[Credit.]]-Table846[[#This Row],[Debit\]],""),"")</f>
        <v/>
      </c>
    </row>
    <row r="60" spans="2:34" x14ac:dyDescent="0.25">
      <c r="B60" s="34"/>
      <c r="C60" s="37" t="s">
        <v>114</v>
      </c>
      <c r="D60" s="34">
        <v>27500</v>
      </c>
      <c r="E60" s="34"/>
      <c r="G60" s="39"/>
      <c r="H60" s="40"/>
      <c r="I60" s="41"/>
      <c r="J60" s="41"/>
      <c r="L60" s="34">
        <v>53</v>
      </c>
      <c r="M60" s="35" t="s">
        <v>160</v>
      </c>
      <c r="N60" s="35" t="s">
        <v>115</v>
      </c>
      <c r="O60" s="34">
        <f>IFERROR(SUMIF(Table443[,],Table645[[#This Row],[Accounts Name]],Table443[,3]),"")</f>
        <v>30000</v>
      </c>
      <c r="P60" s="34">
        <f>IFERROR(SUMIF(Table443[,],Table645[[#This Row],[Accounts Name]],Table443[,2]),"")</f>
        <v>0</v>
      </c>
      <c r="S60" s="36">
        <f t="shared" si="0"/>
        <v>53</v>
      </c>
      <c r="T60" s="34" t="s">
        <v>11</v>
      </c>
      <c r="U60" s="37" t="s">
        <v>229</v>
      </c>
      <c r="V60" s="34">
        <f>IFERROR(SUMIF(Table645[Sub-Accounts],Table846[[#This Row],[Update your chart of accounts here]],Table645[Debit]),"")</f>
        <v>0</v>
      </c>
      <c r="W60" s="34">
        <f>IFERROR(SUMIF(Table645[Sub-Accounts],Table846[[#This Row],[Update your chart of accounts here]],Table645[Credit]),"")</f>
        <v>0</v>
      </c>
      <c r="X60" s="34"/>
      <c r="Y60" s="34"/>
      <c r="Z60" s="34">
        <f>AA62</f>
        <v>10003059</v>
      </c>
      <c r="AA60" s="34"/>
      <c r="AB60" s="34">
        <f>MAX(Table846[[#This Row],[Debit]]+Table846[[#This Row],[Debit -]]-Table846[[#This Row],[Credit]]-Table846[[#This Row],[Credit +]],0)</f>
        <v>10003059</v>
      </c>
      <c r="AC60" s="34">
        <f>MAX(Table846[[#This Row],[Credit]]-Table846[[#This Row],[Debit]]+Table846[[#This Row],[Credit +]]-Table846[[#This Row],[Debit -]],0)</f>
        <v>0</v>
      </c>
      <c r="AD60" s="34" t="str">
        <f>IFERROR(IF(AND(OR(Table846[[#This Row],[Classification]]="Expense",Table846[[#This Row],[Classification]]="Cost of Goods Sold"),Table846[[#This Row],[Debit\]]&gt;Table846[[#This Row],[Credit.]]),Table846[[#This Row],[Debit\]]-Table846[[#This Row],[Credit.]],""),"")</f>
        <v/>
      </c>
      <c r="AE60" s="34" t="str">
        <f>IFERROR(IF(AND(OR(Table846[[#This Row],[Classification]]="Income",Table846[[#This Row],[Classification]]="Cost of Goods Sold"),Table846[[#This Row],[Credit.]]&gt;Table846[[#This Row],[Debit\]]),Table846[[#This Row],[Credit.]]-Table846[[#This Row],[Debit\]],""),"")</f>
        <v/>
      </c>
      <c r="AF60" s="34"/>
      <c r="AG60" s="34">
        <f>IFERROR(IF(AND(Table846[[#This Row],[Classification]]="Assets",Table846[[#This Row],[Debit\]]-Table846[[#This Row],[Credit.]]),Table846[[#This Row],[Debit\]]-Table846[[#This Row],[Credit.]],""),"")</f>
        <v>10003059</v>
      </c>
      <c r="AH60" s="34" t="str">
        <f>IFERROR(IF(AND(OR(Table846[[#This Row],[Classification]]="Liabilities",Table846[[#This Row],[Classification]]="Owner´s Equity"),Table846[[#This Row],[Credit.]]&gt;Table846[[#This Row],[Debit\]]),Table846[[#This Row],[Credit.]]-Table846[[#This Row],[Debit\]],""),"")</f>
        <v/>
      </c>
    </row>
    <row r="61" spans="2:34" x14ac:dyDescent="0.25">
      <c r="B61" s="34"/>
      <c r="C61" s="37" t="s">
        <v>115</v>
      </c>
      <c r="D61" s="34">
        <v>30000</v>
      </c>
      <c r="E61" s="34"/>
      <c r="G61" s="39"/>
      <c r="H61" s="40"/>
      <c r="I61" s="41"/>
      <c r="J61" s="41"/>
      <c r="L61" s="34">
        <v>54</v>
      </c>
      <c r="M61" s="35" t="s">
        <v>161</v>
      </c>
      <c r="N61" s="35" t="s">
        <v>116</v>
      </c>
      <c r="O61" s="34">
        <f>IFERROR(SUMIF(Table443[,],Table645[[#This Row],[Accounts Name]],Table443[,3]),"")</f>
        <v>77850</v>
      </c>
      <c r="P61" s="34">
        <f>IFERROR(SUMIF(Table443[,],Table645[[#This Row],[Accounts Name]],Table443[,2]),"")</f>
        <v>0</v>
      </c>
      <c r="S61" s="36">
        <f t="shared" si="0"/>
        <v>54</v>
      </c>
      <c r="T61" s="34" t="s">
        <v>48</v>
      </c>
      <c r="U61" s="37" t="s">
        <v>207</v>
      </c>
      <c r="V61" s="34">
        <f>IFERROR(SUMIF(Table645[Sub-Accounts],Table846[[#This Row],[Update your chart of accounts here]],Table645[Debit]),"")</f>
        <v>0</v>
      </c>
      <c r="W61" s="34">
        <f>IFERROR(SUMIF(Table645[Sub-Accounts],Table846[[#This Row],[Update your chart of accounts here]],Table645[Credit]),"")</f>
        <v>0</v>
      </c>
      <c r="X61" s="34"/>
      <c r="Y61" s="34"/>
      <c r="Z61" s="34"/>
      <c r="AA61" s="34">
        <f>Z12</f>
        <v>8341041.1232255697</v>
      </c>
      <c r="AB61" s="34">
        <f>MAX(Table846[[#This Row],[Debit]]+Table846[[#This Row],[Debit -]]-Table846[[#This Row],[Credit]]-Table846[[#This Row],[Credit +]],0)</f>
        <v>0</v>
      </c>
      <c r="AC61" s="34">
        <f>MAX(Table846[[#This Row],[Credit]]-Table846[[#This Row],[Debit]]+Table846[[#This Row],[Credit +]]-Table846[[#This Row],[Debit -]],0)</f>
        <v>8341041.1232255697</v>
      </c>
      <c r="AD61" s="34" t="str">
        <f>IFERROR(IF(AND(OR(Table846[[#This Row],[Classification]]="Expense",Table846[[#This Row],[Classification]]="Cost of Goods Sold"),Table846[[#This Row],[Debit\]]&gt;Table846[[#This Row],[Credit.]]),Table846[[#This Row],[Debit\]]-Table846[[#This Row],[Credit.]],""),"")</f>
        <v/>
      </c>
      <c r="AE61" s="34" t="str">
        <f>IFERROR(IF(AND(OR(Table846[[#This Row],[Classification]]="Income",Table846[[#This Row],[Classification]]="Cost of Goods Sold"),Table846[[#This Row],[Credit.]]&gt;Table846[[#This Row],[Debit\]]),Table846[[#This Row],[Credit.]]-Table846[[#This Row],[Debit\]],""),"")</f>
        <v/>
      </c>
      <c r="AF61" s="34"/>
      <c r="AG61" s="34" t="str">
        <f>IFERROR(IF(AND(Table846[[#This Row],[Classification]]="Assets",Table846[[#This Row],[Debit\]]-Table846[[#This Row],[Credit.]]),Table846[[#This Row],[Debit\]]-Table846[[#This Row],[Credit.]],""),"")</f>
        <v/>
      </c>
      <c r="AH61" s="34">
        <f>IFERROR(IF(AND(OR(Table846[[#This Row],[Classification]]="Liabilities",Table846[[#This Row],[Classification]]="Owner´s Equity"),Table846[[#This Row],[Credit.]]&gt;Table846[[#This Row],[Debit\]]),Table846[[#This Row],[Credit.]]-Table846[[#This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IFERROR(SUMIF(Table443[,],Table645[[#This Row],[Accounts Name]],Table443[,3]),"")</f>
        <v>129108.59</v>
      </c>
      <c r="P62" s="34">
        <f>IFERROR(SUMIF(Table443[,],Table645[[#This Row],[Accounts Name]],Table443[,2]),"")</f>
        <v>0</v>
      </c>
      <c r="S62" s="36">
        <f t="shared" si="0"/>
        <v>55</v>
      </c>
      <c r="T62" s="34" t="s">
        <v>62</v>
      </c>
      <c r="U62" s="37" t="s">
        <v>229</v>
      </c>
      <c r="V62" s="34">
        <f>IFERROR(SUMIF(Table645[Sub-Accounts],Table846[[#This Row],[Update your chart of accounts here]],Table645[Debit]),"")</f>
        <v>0</v>
      </c>
      <c r="W62" s="34">
        <f>IFERROR(SUMIF(Table645[Sub-Accounts],Table846[[#This Row],[Update your chart of accounts here]],Table645[Credit]),"")</f>
        <v>0</v>
      </c>
      <c r="X62" s="34"/>
      <c r="Y62" s="34"/>
      <c r="Z62" s="34"/>
      <c r="AA62" s="34">
        <v>10003059</v>
      </c>
      <c r="AB62" s="34">
        <f>MAX(Table846[[#This Row],[Debit]]+Table846[[#This Row],[Debit -]]-Table846[[#This Row],[Credit]]-Table846[[#This Row],[Credit +]],0)</f>
        <v>0</v>
      </c>
      <c r="AC62" s="34">
        <f>MAX(Table846[[#This Row],[Credit]]-Table846[[#This Row],[Debit]]+Table846[[#This Row],[Credit +]]-Table846[[#This Row],[Debit -]],0)</f>
        <v>10003059</v>
      </c>
      <c r="AD62" s="34" t="str">
        <f>IFERROR(IF(AND(OR(Table846[[#This Row],[Classification]]="Expense",Table846[[#This Row],[Classification]]="Cost of Goods Sold"),Table846[[#This Row],[Debit\]]&gt;Table846[[#This Row],[Credit.]]),Table846[[#This Row],[Debit\]]-Table846[[#This Row],[Credit.]],""),"")</f>
        <v/>
      </c>
      <c r="AE62" s="34">
        <f>IFERROR(IF(AND(OR(Table846[[#This Row],[Classification]]="Income",Table846[[#This Row],[Classification]]="Cost of Goods Sold"),Table846[[#This Row],[Credit.]]&gt;Table846[[#This Row],[Debit\]]),Table846[[#This Row],[Credit.]]-Table846[[#This Row],[Debit\]],""),"")</f>
        <v>10003059</v>
      </c>
      <c r="AF62" s="34"/>
      <c r="AG62" s="34" t="str">
        <f>IFERROR(IF(AND(Table846[[#This Row],[Classification]]="Assets",Table846[[#This Row],[Debit\]]-Table846[[#This Row],[Credit.]]),Table846[[#This Row],[Debit\]]-Table846[[#This Row],[Credit.]],""),"")</f>
        <v/>
      </c>
      <c r="AH62" s="34" t="str">
        <f>IFERROR(IF(AND(OR(Table846[[#This Row],[Classification]]="Liabilities",Table846[[#This Row],[Classification]]="Owner´s Equity"),Table846[[#This Row],[Credit.]]&gt;Table846[[#This Row],[Debit\]]),Table846[[#This Row],[Credit.]]-Table846[[#This Row],[Debit\]],""),"")</f>
        <v/>
      </c>
    </row>
    <row r="63" spans="2:34" x14ac:dyDescent="0.25">
      <c r="B63" s="34"/>
      <c r="C63" s="37" t="s">
        <v>117</v>
      </c>
      <c r="D63" s="34">
        <v>129108.59</v>
      </c>
      <c r="E63" s="34"/>
      <c r="G63" s="39"/>
      <c r="H63" s="40"/>
      <c r="I63" s="41"/>
      <c r="J63" s="41"/>
      <c r="L63" s="34">
        <v>56</v>
      </c>
      <c r="M63" s="35" t="s">
        <v>156</v>
      </c>
      <c r="N63" s="35" t="s">
        <v>118</v>
      </c>
      <c r="O63" s="34">
        <f>IFERROR(SUMIF(Table443[,],Table645[[#This Row],[Accounts Name]],Table443[,3]),"")</f>
        <v>131390</v>
      </c>
      <c r="P63" s="34">
        <f>IFERROR(SUMIF(Table443[,],Table645[[#This Row],[Accounts Name]],Table443[,2]),"")</f>
        <v>0</v>
      </c>
      <c r="S63" s="36">
        <f t="shared" si="0"/>
        <v>56</v>
      </c>
      <c r="T63" s="34" t="s">
        <v>11</v>
      </c>
      <c r="U63" s="37" t="s">
        <v>232</v>
      </c>
      <c r="V63" s="34">
        <f>IFERROR(SUMIF(Table645[Sub-Accounts],Table846[[#This Row],[Update your chart of accounts here]],Table645[Debit]),"")</f>
        <v>0</v>
      </c>
      <c r="W63" s="34">
        <f>IFERROR(SUMIF(Table645[Sub-Accounts],Table846[[#This Row],[Update your chart of accounts here]],Table645[Credit]),"")</f>
        <v>0</v>
      </c>
      <c r="X63" s="34"/>
      <c r="Y63" s="34" t="s">
        <v>233</v>
      </c>
      <c r="Z63" s="34">
        <f>I21</f>
        <v>115200</v>
      </c>
      <c r="AA63" s="34"/>
      <c r="AB63" s="34">
        <f>MAX(Table846[[#This Row],[Debit]]+Table846[[#This Row],[Debit -]]-Table846[[#This Row],[Credit]]-Table846[[#This Row],[Credit +]],0)</f>
        <v>115200</v>
      </c>
      <c r="AC63" s="34">
        <f>MAX(Table846[[#This Row],[Credit]]-Table846[[#This Row],[Debit]]+Table846[[#This Row],[Credit +]]-Table846[[#This Row],[Debit -]],0)</f>
        <v>0</v>
      </c>
      <c r="AD63" s="34" t="str">
        <f>IFERROR(IF(AND(OR(Table846[[#This Row],[Classification]]="Expense",Table846[[#This Row],[Classification]]="Cost of Goods Sold"),Table846[[#This Row],[Debit\]]&gt;Table846[[#This Row],[Credit.]]),Table846[[#This Row],[Debit\]]-Table846[[#This Row],[Credit.]],""),"")</f>
        <v/>
      </c>
      <c r="AE63" s="34" t="str">
        <f>IFERROR(IF(AND(OR(Table846[[#This Row],[Classification]]="Income",Table846[[#This Row],[Classification]]="Cost of Goods Sold"),Table846[[#This Row],[Credit.]]&gt;Table846[[#This Row],[Debit\]]),Table846[[#This Row],[Credit.]]-Table846[[#This Row],[Debit\]],""),"")</f>
        <v/>
      </c>
      <c r="AF63" s="34"/>
      <c r="AG63" s="34">
        <f>IFERROR(IF(AND(Table846[[#This Row],[Classification]]="Assets",Table846[[#This Row],[Debit\]]-Table846[[#This Row],[Credit.]]),Table846[[#This Row],[Debit\]]-Table846[[#This Row],[Credit.]],""),"")</f>
        <v>115200</v>
      </c>
      <c r="AH63" s="34" t="str">
        <f>IFERROR(IF(AND(OR(Table846[[#This Row],[Classification]]="Liabilities",Table846[[#This Row],[Classification]]="Owner´s Equity"),Table846[[#This Row],[Credit.]]&gt;Table846[[#This Row],[Debit\]]),Table846[[#This Row],[Credit.]]-Table846[[#This Row],[Debit\]],""),"")</f>
        <v/>
      </c>
    </row>
    <row r="64" spans="2:34" hidden="1" x14ac:dyDescent="0.25">
      <c r="B64" s="34"/>
      <c r="C64" s="37" t="s">
        <v>118</v>
      </c>
      <c r="D64" s="34">
        <v>131390</v>
      </c>
      <c r="E64" s="34"/>
      <c r="G64" s="39"/>
      <c r="H64" s="40"/>
      <c r="I64" s="41"/>
      <c r="J64" s="41"/>
      <c r="L64" s="34">
        <v>57</v>
      </c>
      <c r="M64" s="35" t="s">
        <v>163</v>
      </c>
      <c r="N64" s="35" t="s">
        <v>119</v>
      </c>
      <c r="O64" s="34">
        <f>IFERROR(SUMIF(Table443[,],Table645[[#This Row],[Accounts Name]],Table443[,3]),"")</f>
        <v>300</v>
      </c>
      <c r="P64" s="34">
        <f>IFERROR(SUMIF(Table443[,],Table645[[#This Row],[Accounts Name]],Table443[,2]),"")</f>
        <v>0</v>
      </c>
      <c r="S64" s="36">
        <f t="shared" si="0"/>
        <v>57</v>
      </c>
      <c r="T64" s="34"/>
      <c r="U64" s="37"/>
      <c r="V64" s="34">
        <f>IFERROR(SUMIF(Table645[Sub-Accounts],Table846[[#This Row],[Update your chart of accounts here]],Table645[Debit]),"")</f>
        <v>0</v>
      </c>
      <c r="W64" s="34">
        <f>IFERROR(SUMIF(Table645[Sub-Accounts],Table846[[#This Row],[Update your chart of accounts here]],Table645[Credit]),"")</f>
        <v>0</v>
      </c>
      <c r="X64" s="34"/>
      <c r="Y64" s="34"/>
      <c r="Z64" s="34"/>
      <c r="AA64" s="34"/>
      <c r="AB64" s="34">
        <f>MAX(Table846[[#This Row],[Debit]]+Table846[[#This Row],[Debit -]]-Table846[[#This Row],[Credit]]-Table846[[#This Row],[Credit +]],0)</f>
        <v>0</v>
      </c>
      <c r="AC64" s="34">
        <f>MAX(Table846[[#This Row],[Credit]]-Table846[[#This Row],[Debit]]+Table846[[#This Row],[Credit +]]-Table846[[#This Row],[Debit -]],0)</f>
        <v>0</v>
      </c>
      <c r="AD64" s="34" t="str">
        <f>IFERROR(IF(AND(OR(Table846[[#This Row],[Classification]]="Expense",Table846[[#This Row],[Classification]]="Cost of Goods Sold"),Table846[[#This Row],[Debit\]]&gt;Table846[[#This Row],[Credit.]]),Table846[[#This Row],[Debit\]]-Table846[[#This Row],[Credit.]],""),"")</f>
        <v/>
      </c>
      <c r="AE64" s="34" t="str">
        <f>IFERROR(IF(AND(OR(Table846[[#This Row],[Classification]]="Income",Table846[[#This Row],[Classification]]="Cost of Goods Sold"),Table846[[#This Row],[Credit.]]&gt;Table846[[#This Row],[Debit\]]),Table846[[#This Row],[Credit.]]-Table846[[#This Row],[Debit\]],""),"")</f>
        <v/>
      </c>
      <c r="AF64" s="34"/>
      <c r="AG64" s="34" t="str">
        <f>IFERROR(IF(AND(Table846[[#This Row],[Classification]]="Assets",Table846[[#This Row],[Debit\]]-Table846[[#This Row],[Credit.]]),Table846[[#This Row],[Debit\]]-Table846[[#This Row],[Credit.]],""),"")</f>
        <v/>
      </c>
      <c r="AH64" s="34" t="str">
        <f>IFERROR(IF(AND(OR(Table846[[#This Row],[Classification]]="Liabilities",Table846[[#This Row],[Classification]]="Owner´s Equity"),Table846[[#This Row],[Credit.]]&gt;Table846[[#This Row],[Debit\]]),Table846[[#This Row],[Credit.]]-Table846[[#This Row],[Debit\]],""),"")</f>
        <v/>
      </c>
    </row>
    <row r="65" spans="2:34" hidden="1" x14ac:dyDescent="0.25">
      <c r="B65" s="34"/>
      <c r="C65" s="37" t="s">
        <v>119</v>
      </c>
      <c r="D65" s="34">
        <v>300</v>
      </c>
      <c r="E65" s="34"/>
      <c r="G65" s="39"/>
      <c r="H65" s="43"/>
      <c r="I65" s="41"/>
      <c r="J65" s="41"/>
      <c r="L65" s="34">
        <v>58</v>
      </c>
      <c r="M65" s="35" t="s">
        <v>164</v>
      </c>
      <c r="N65" s="35" t="s">
        <v>120</v>
      </c>
      <c r="O65" s="34">
        <f>IFERROR(SUMIF(Table443[,],Table645[[#This Row],[Accounts Name]],Table443[,3]),"")</f>
        <v>436840.42</v>
      </c>
      <c r="P65" s="34">
        <f>IFERROR(SUMIF(Table443[,],Table645[[#This Row],[Accounts Name]],Table443[,2]),"")</f>
        <v>0</v>
      </c>
      <c r="S65" s="36">
        <f t="shared" si="0"/>
        <v>58</v>
      </c>
      <c r="T65" s="34"/>
      <c r="U65" s="37"/>
      <c r="V65" s="34">
        <f>IFERROR(SUMIF(Table645[Sub-Accounts],Table846[[#This Row],[Update your chart of accounts here]],Table645[Debit]),"")</f>
        <v>0</v>
      </c>
      <c r="W65" s="34">
        <f>IFERROR(SUMIF(Table645[Sub-Accounts],Table846[[#This Row],[Update your chart of accounts here]],Table645[Credit]),"")</f>
        <v>0</v>
      </c>
      <c r="X65" s="34"/>
      <c r="Y65" s="34"/>
      <c r="Z65" s="34"/>
      <c r="AA65" s="34"/>
      <c r="AB65" s="34">
        <f>MAX(Table846[[#This Row],[Debit]]+Table846[[#This Row],[Debit -]]-Table846[[#This Row],[Credit]]-Table846[[#This Row],[Credit +]],0)</f>
        <v>0</v>
      </c>
      <c r="AC65" s="34">
        <f>MAX(Table846[[#This Row],[Credit]]-Table846[[#This Row],[Debit]]+Table846[[#This Row],[Credit +]]-Table846[[#This Row],[Debit -]],0)</f>
        <v>0</v>
      </c>
      <c r="AD65" s="34" t="str">
        <f>IFERROR(IF(AND(OR(Table846[[#This Row],[Classification]]="Expense",Table846[[#This Row],[Classification]]="Cost of Goods Sold"),Table846[[#This Row],[Debit\]]&gt;Table846[[#This Row],[Credit.]]),Table846[[#This Row],[Debit\]]-Table846[[#This Row],[Credit.]],""),"")</f>
        <v/>
      </c>
      <c r="AE65" s="34" t="str">
        <f>IFERROR(IF(AND(OR(Table846[[#This Row],[Classification]]="Income",Table846[[#This Row],[Classification]]="Cost of Goods Sold"),Table846[[#This Row],[Credit.]]&gt;Table846[[#This Row],[Debit\]]),Table846[[#This Row],[Credit.]]-Table846[[#This Row],[Debit\]],""),"")</f>
        <v/>
      </c>
      <c r="AF65" s="34"/>
      <c r="AG65" s="34" t="str">
        <f>IFERROR(IF(AND(Table846[[#This Row],[Classification]]="Assets",Table846[[#This Row],[Debit\]]-Table846[[#This Row],[Credit.]]),Table846[[#This Row],[Debit\]]-Table846[[#This Row],[Credit.]],""),"")</f>
        <v/>
      </c>
      <c r="AH65" s="34" t="str">
        <f>IFERROR(IF(AND(OR(Table846[[#This Row],[Classification]]="Liabilities",Table846[[#This Row],[Classification]]="Owner´s Equity"),Table846[[#This Row],[Credit.]]&gt;Table846[[#This Row],[Debit\]]),Table846[[#This Row],[Credit.]]-Table846[[#This Row],[Debit\]],""),"")</f>
        <v/>
      </c>
    </row>
    <row r="66" spans="2:34" hidden="1" x14ac:dyDescent="0.25">
      <c r="B66" s="34"/>
      <c r="C66" s="37" t="s">
        <v>120</v>
      </c>
      <c r="D66" s="34">
        <v>436840.42</v>
      </c>
      <c r="E66" s="34"/>
      <c r="G66" s="39"/>
      <c r="H66" s="40"/>
      <c r="I66" s="41"/>
      <c r="J66" s="41"/>
      <c r="L66" s="34">
        <v>59</v>
      </c>
      <c r="M66" s="35" t="s">
        <v>151</v>
      </c>
      <c r="N66" s="35" t="s">
        <v>121</v>
      </c>
      <c r="O66" s="34">
        <f>IFERROR(SUMIF(Table443[,],Table645[[#This Row],[Accounts Name]],Table443[,3]),"")</f>
        <v>102350</v>
      </c>
      <c r="P66" s="34">
        <f>IFERROR(SUMIF(Table443[,],Table645[[#This Row],[Accounts Name]],Table443[,2]),"")</f>
        <v>0</v>
      </c>
      <c r="S66" s="36">
        <f t="shared" si="0"/>
        <v>59</v>
      </c>
      <c r="T66" s="34"/>
      <c r="U66" s="37"/>
      <c r="V66" s="34">
        <f>IFERROR(SUMIF(Table645[Sub-Accounts],Table846[[#This Row],[Update your chart of accounts here]],Table645[Debit]),"")</f>
        <v>0</v>
      </c>
      <c r="W66" s="34">
        <f>IFERROR(SUMIF(Table645[Sub-Accounts],Table846[[#This Row],[Update your chart of accounts here]],Table645[Credit]),"")</f>
        <v>0</v>
      </c>
      <c r="X66" s="34"/>
      <c r="Y66" s="34"/>
      <c r="Z66" s="34"/>
      <c r="AA66" s="34"/>
      <c r="AB66" s="34">
        <f>MAX(Table846[[#This Row],[Debit]]+Table846[[#This Row],[Debit -]]-Table846[[#This Row],[Credit]]-Table846[[#This Row],[Credit +]],0)</f>
        <v>0</v>
      </c>
      <c r="AC66" s="34">
        <f>MAX(Table846[[#This Row],[Credit]]-Table846[[#This Row],[Debit]]+Table846[[#This Row],[Credit +]]-Table846[[#This Row],[Debit -]],0)</f>
        <v>0</v>
      </c>
      <c r="AD66" s="34" t="str">
        <f>IFERROR(IF(AND(OR(Table846[[#This Row],[Classification]]="Expense",Table846[[#This Row],[Classification]]="Cost of Goods Sold"),Table846[[#This Row],[Debit\]]&gt;Table846[[#This Row],[Credit.]]),Table846[[#This Row],[Debit\]]-Table846[[#This Row],[Credit.]],""),"")</f>
        <v/>
      </c>
      <c r="AE66" s="34" t="str">
        <f>IFERROR(IF(AND(OR(Table846[[#This Row],[Classification]]="Income",Table846[[#This Row],[Classification]]="Cost of Goods Sold"),Table846[[#This Row],[Credit.]]&gt;Table846[[#This Row],[Debit\]]),Table846[[#This Row],[Credit.]]-Table846[[#This Row],[Debit\]],""),"")</f>
        <v/>
      </c>
      <c r="AF66" s="34"/>
      <c r="AG66" s="34" t="str">
        <f>IFERROR(IF(AND(Table846[[#This Row],[Classification]]="Assets",Table846[[#This Row],[Debit\]]-Table846[[#This Row],[Credit.]]),Table846[[#This Row],[Debit\]]-Table846[[#This Row],[Credit.]],""),"")</f>
        <v/>
      </c>
      <c r="AH66" s="34" t="str">
        <f>IFERROR(IF(AND(OR(Table846[[#This Row],[Classification]]="Liabilities",Table846[[#This Row],[Classification]]="Owner´s Equity"),Table846[[#This Row],[Credit.]]&gt;Table846[[#This Row],[Debit\]]),Table846[[#This Row],[Credit.]]-Table846[[#This Row],[Debit\]],""),"")</f>
        <v/>
      </c>
    </row>
    <row r="67" spans="2:34" hidden="1" x14ac:dyDescent="0.25">
      <c r="B67" s="34"/>
      <c r="C67" s="37" t="s">
        <v>121</v>
      </c>
      <c r="D67" s="34">
        <v>102350</v>
      </c>
      <c r="E67" s="34"/>
      <c r="G67" s="39"/>
      <c r="H67" s="40"/>
      <c r="I67" s="41"/>
      <c r="J67" s="41"/>
      <c r="L67" s="34">
        <v>60</v>
      </c>
      <c r="M67" s="35" t="s">
        <v>151</v>
      </c>
      <c r="N67" s="35" t="s">
        <v>122</v>
      </c>
      <c r="O67" s="34">
        <f>IFERROR(SUMIF(Table443[,],Table645[[#This Row],[Accounts Name]],Table443[,3]),"")</f>
        <v>62000</v>
      </c>
      <c r="P67" s="34">
        <f>IFERROR(SUMIF(Table443[,],Table645[[#This Row],[Accounts Name]],Table443[,2]),"")</f>
        <v>0</v>
      </c>
      <c r="S67" s="36">
        <f t="shared" si="0"/>
        <v>60</v>
      </c>
      <c r="T67" s="34"/>
      <c r="U67" s="37"/>
      <c r="V67" s="34">
        <f>IFERROR(SUMIF(Table645[Sub-Accounts],Table846[[#This Row],[Update your chart of accounts here]],Table645[Debit]),"")</f>
        <v>0</v>
      </c>
      <c r="W67" s="34">
        <f>IFERROR(SUMIF(Table645[Sub-Accounts],Table846[[#This Row],[Update your chart of accounts here]],Table645[Credit]),"")</f>
        <v>0</v>
      </c>
      <c r="X67" s="34"/>
      <c r="Y67" s="34"/>
      <c r="Z67" s="34"/>
      <c r="AA67" s="34"/>
      <c r="AB67" s="34">
        <f>MAX(Table846[[#This Row],[Debit]]+Table846[[#This Row],[Debit -]]-Table846[[#This Row],[Credit]]-Table846[[#This Row],[Credit +]],0)</f>
        <v>0</v>
      </c>
      <c r="AC67" s="34">
        <f>MAX(Table846[[#This Row],[Credit]]-Table846[[#This Row],[Debit]]+Table846[[#This Row],[Credit +]]-Table846[[#This Row],[Debit -]],0)</f>
        <v>0</v>
      </c>
      <c r="AD67" s="34" t="str">
        <f>IFERROR(IF(AND(OR(Table846[[#This Row],[Classification]]="Expense",Table846[[#This Row],[Classification]]="Cost of Goods Sold"),Table846[[#This Row],[Debit\]]&gt;Table846[[#This Row],[Credit.]]),Table846[[#This Row],[Debit\]]-Table846[[#This Row],[Credit.]],""),"")</f>
        <v/>
      </c>
      <c r="AE67" s="34" t="str">
        <f>IFERROR(IF(AND(OR(Table846[[#This Row],[Classification]]="Income",Table846[[#This Row],[Classification]]="Cost of Goods Sold"),Table846[[#This Row],[Credit.]]&gt;Table846[[#This Row],[Debit\]]),Table846[[#This Row],[Credit.]]-Table846[[#This Row],[Debit\]],""),"")</f>
        <v/>
      </c>
      <c r="AF67" s="34"/>
      <c r="AG67" s="34" t="str">
        <f>IFERROR(IF(AND(Table846[[#This Row],[Classification]]="Assets",Table846[[#This Row],[Debit\]]-Table846[[#This Row],[Credit.]]),Table846[[#This Row],[Debit\]]-Table846[[#This Row],[Credit.]],""),"")</f>
        <v/>
      </c>
      <c r="AH67" s="34" t="str">
        <f>IFERROR(IF(AND(OR(Table846[[#This Row],[Classification]]="Liabilities",Table846[[#This Row],[Classification]]="Owner´s Equity"),Table846[[#This Row],[Credit.]]&gt;Table846[[#This Row],[Debit\]]),Table846[[#This Row],[Credit.]]-Table846[[#This Row],[Debit\]],""),"")</f>
        <v/>
      </c>
    </row>
    <row r="68" spans="2:34" hidden="1" x14ac:dyDescent="0.25">
      <c r="B68" s="34"/>
      <c r="C68" s="37" t="s">
        <v>122</v>
      </c>
      <c r="D68" s="34">
        <v>62000</v>
      </c>
      <c r="E68" s="34"/>
      <c r="G68" s="39"/>
      <c r="H68" s="43"/>
      <c r="I68" s="41"/>
      <c r="J68" s="41"/>
      <c r="L68" s="34">
        <v>61</v>
      </c>
      <c r="M68" s="35" t="s">
        <v>151</v>
      </c>
      <c r="N68" s="35" t="s">
        <v>123</v>
      </c>
      <c r="O68" s="34">
        <f>IFERROR(SUMIF(Table443[,],Table645[[#This Row],[Accounts Name]],Table443[,3]),"")</f>
        <v>278343</v>
      </c>
      <c r="P68" s="34">
        <f>IFERROR(SUMIF(Table443[,],Table645[[#This Row],[Accounts Name]],Table443[,2]),"")</f>
        <v>0</v>
      </c>
      <c r="S68" s="36">
        <f t="shared" si="0"/>
        <v>61</v>
      </c>
      <c r="T68" s="34"/>
      <c r="U68" s="37"/>
      <c r="V68" s="34">
        <f>IFERROR(SUMIF(Table645[Sub-Accounts],Table846[[#This Row],[Update your chart of accounts here]],Table645[Debit]),"")</f>
        <v>0</v>
      </c>
      <c r="W68" s="34">
        <f>IFERROR(SUMIF(Table645[Sub-Accounts],Table846[[#This Row],[Update your chart of accounts here]],Table645[Credit]),"")</f>
        <v>0</v>
      </c>
      <c r="X68" s="34"/>
      <c r="Y68" s="34"/>
      <c r="Z68" s="34"/>
      <c r="AA68" s="34"/>
      <c r="AB68" s="34">
        <f>MAX(Table846[[#This Row],[Debit]]+Table846[[#This Row],[Debit -]]-Table846[[#This Row],[Credit]]-Table846[[#This Row],[Credit +]],0)</f>
        <v>0</v>
      </c>
      <c r="AC68" s="34">
        <f>MAX(Table846[[#This Row],[Credit]]-Table846[[#This Row],[Debit]]+Table846[[#This Row],[Credit +]]-Table846[[#This Row],[Debit -]],0)</f>
        <v>0</v>
      </c>
      <c r="AD68" s="34" t="str">
        <f>IFERROR(IF(AND(OR(Table846[[#This Row],[Classification]]="Expense",Table846[[#This Row],[Classification]]="Cost of Goods Sold"),Table846[[#This Row],[Debit\]]&gt;Table846[[#This Row],[Credit.]]),Table846[[#This Row],[Debit\]]-Table846[[#This Row],[Credit.]],""),"")</f>
        <v/>
      </c>
      <c r="AE68" s="34" t="str">
        <f>IFERROR(IF(AND(OR(Table846[[#This Row],[Classification]]="Income",Table846[[#This Row],[Classification]]="Cost of Goods Sold"),Table846[[#This Row],[Credit.]]&gt;Table846[[#This Row],[Debit\]]),Table846[[#This Row],[Credit.]]-Table846[[#This Row],[Debit\]],""),"")</f>
        <v/>
      </c>
      <c r="AF68" s="34"/>
      <c r="AG68" s="34" t="str">
        <f>IFERROR(IF(AND(Table846[[#This Row],[Classification]]="Assets",Table846[[#This Row],[Debit\]]-Table846[[#This Row],[Credit.]]),Table846[[#This Row],[Debit\]]-Table846[[#This Row],[Credit.]],""),"")</f>
        <v/>
      </c>
      <c r="AH68" s="34" t="str">
        <f>IFERROR(IF(AND(OR(Table846[[#This Row],[Classification]]="Liabilities",Table846[[#This Row],[Classification]]="Owner´s Equity"),Table846[[#This Row],[Credit.]]&gt;Table846[[#This Row],[Debit\]]),Table846[[#This Row],[Credit.]]-Table846[[#This Row],[Debit\]],""),"")</f>
        <v/>
      </c>
    </row>
    <row r="69" spans="2:34" hidden="1" x14ac:dyDescent="0.25">
      <c r="B69" s="34"/>
      <c r="C69" s="37" t="s">
        <v>123</v>
      </c>
      <c r="D69" s="34">
        <v>278343</v>
      </c>
      <c r="E69" s="34"/>
      <c r="G69" s="39"/>
      <c r="H69" s="40"/>
      <c r="I69" s="41"/>
      <c r="J69" s="41"/>
      <c r="L69" s="34">
        <v>62</v>
      </c>
      <c r="M69" s="35" t="s">
        <v>159</v>
      </c>
      <c r="N69" s="35" t="s">
        <v>124</v>
      </c>
      <c r="O69" s="34">
        <f>IFERROR(SUMIF(Table443[,],Table645[[#This Row],[Accounts Name]],Table443[,3]),"")</f>
        <v>181078.65</v>
      </c>
      <c r="P69" s="34">
        <f>IFERROR(SUMIF(Table443[,],Table645[[#This Row],[Accounts Name]],Table443[,2]),"")</f>
        <v>0</v>
      </c>
      <c r="S69" s="36">
        <f t="shared" si="0"/>
        <v>62</v>
      </c>
      <c r="T69" s="34"/>
      <c r="U69" s="37"/>
      <c r="V69" s="34">
        <f>IFERROR(SUMIF(Table645[Sub-Accounts],Table846[[#This Row],[Update your chart of accounts here]],Table645[Debit]),"")</f>
        <v>0</v>
      </c>
      <c r="W69" s="34">
        <f>IFERROR(SUMIF(Table645[Sub-Accounts],Table846[[#This Row],[Update your chart of accounts here]],Table645[Credit]),"")</f>
        <v>0</v>
      </c>
      <c r="X69" s="34"/>
      <c r="Y69" s="34"/>
      <c r="Z69" s="34"/>
      <c r="AA69" s="34"/>
      <c r="AB69" s="34">
        <f>MAX(Table846[[#This Row],[Debit]]+Table846[[#This Row],[Debit -]]-Table846[[#This Row],[Credit]]-Table846[[#This Row],[Credit +]],0)</f>
        <v>0</v>
      </c>
      <c r="AC69" s="34">
        <f>MAX(Table846[[#This Row],[Credit]]-Table846[[#This Row],[Debit]]+Table846[[#This Row],[Credit +]]-Table846[[#This Row],[Debit -]],0)</f>
        <v>0</v>
      </c>
      <c r="AD69" s="34" t="str">
        <f>IFERROR(IF(AND(OR(Table846[[#This Row],[Classification]]="Expense",Table846[[#This Row],[Classification]]="Cost of Goods Sold"),Table846[[#This Row],[Debit\]]&gt;Table846[[#This Row],[Credit.]]),Table846[[#This Row],[Debit\]]-Table846[[#This Row],[Credit.]],""),"")</f>
        <v/>
      </c>
      <c r="AE69" s="34" t="str">
        <f>IFERROR(IF(AND(OR(Table846[[#This Row],[Classification]]="Income",Table846[[#This Row],[Classification]]="Cost of Goods Sold"),Table846[[#This Row],[Credit.]]&gt;Table846[[#This Row],[Debit\]]),Table846[[#This Row],[Credit.]]-Table846[[#This Row],[Debit\]],""),"")</f>
        <v/>
      </c>
      <c r="AF69" s="34"/>
      <c r="AG69" s="34" t="str">
        <f>IFERROR(IF(AND(Table846[[#This Row],[Classification]]="Assets",Table846[[#This Row],[Debit\]]-Table846[[#This Row],[Credit.]]),Table846[[#This Row],[Debit\]]-Table846[[#This Row],[Credit.]],""),"")</f>
        <v/>
      </c>
      <c r="AH69" s="34" t="str">
        <f>IFERROR(IF(AND(OR(Table846[[#This Row],[Classification]]="Liabilities",Table846[[#This Row],[Classification]]="Owner´s Equity"),Table846[[#This Row],[Credit.]]&gt;Table846[[#This Row],[Debit\]]),Table846[[#This Row],[Credit.]]-Table846[[#This Row],[Debit\]],""),"")</f>
        <v/>
      </c>
    </row>
    <row r="70" spans="2:34" hidden="1" x14ac:dyDescent="0.25">
      <c r="B70" s="34"/>
      <c r="C70" s="37" t="s">
        <v>124</v>
      </c>
      <c r="D70" s="34">
        <v>181078.65</v>
      </c>
      <c r="E70" s="34"/>
      <c r="G70" s="39"/>
      <c r="H70" s="40"/>
      <c r="I70" s="41"/>
      <c r="J70" s="41"/>
      <c r="L70" s="34">
        <v>63</v>
      </c>
      <c r="M70" s="35" t="s">
        <v>165</v>
      </c>
      <c r="N70" s="35" t="s">
        <v>125</v>
      </c>
      <c r="O70" s="34">
        <f>IFERROR(SUMIF(Table443[,],Table645[[#This Row],[Accounts Name]],Table443[,3]),"")</f>
        <v>653656.38</v>
      </c>
      <c r="P70" s="34">
        <f>IFERROR(SUMIF(Table443[,],Table645[[#This Row],[Accounts Name]],Table443[,2]),"")</f>
        <v>0</v>
      </c>
      <c r="S70" s="36">
        <f t="shared" si="0"/>
        <v>63</v>
      </c>
      <c r="T70" s="34"/>
      <c r="U70" s="37"/>
      <c r="V70" s="34">
        <f>IFERROR(SUMIF(Table645[Sub-Accounts],Table846[[#This Row],[Update your chart of accounts here]],Table645[Debit]),"")</f>
        <v>0</v>
      </c>
      <c r="W70" s="34">
        <f>IFERROR(SUMIF(Table645[Sub-Accounts],Table846[[#This Row],[Update your chart of accounts here]],Table645[Credit]),"")</f>
        <v>0</v>
      </c>
      <c r="X70" s="34"/>
      <c r="Y70" s="34"/>
      <c r="Z70" s="34"/>
      <c r="AA70" s="34"/>
      <c r="AB70" s="34">
        <f>MAX(Table846[[#This Row],[Debit]]+Table846[[#This Row],[Debit -]]-Table846[[#This Row],[Credit]]-Table846[[#This Row],[Credit +]],0)</f>
        <v>0</v>
      </c>
      <c r="AC70" s="34">
        <f>MAX(Table846[[#This Row],[Credit]]-Table846[[#This Row],[Debit]]+Table846[[#This Row],[Credit +]]-Table846[[#This Row],[Debit -]],0)</f>
        <v>0</v>
      </c>
      <c r="AD70" s="34" t="str">
        <f>IFERROR(IF(AND(OR(Table846[[#This Row],[Classification]]="Expense",Table846[[#This Row],[Classification]]="Cost of Goods Sold"),Table846[[#This Row],[Debit\]]&gt;Table846[[#This Row],[Credit.]]),Table846[[#This Row],[Debit\]]-Table846[[#This Row],[Credit.]],""),"")</f>
        <v/>
      </c>
      <c r="AE70" s="34" t="str">
        <f>IFERROR(IF(AND(OR(Table846[[#This Row],[Classification]]="Income",Table846[[#This Row],[Classification]]="Cost of Goods Sold"),Table846[[#This Row],[Credit.]]&gt;Table846[[#This Row],[Debit\]]),Table846[[#This Row],[Credit.]]-Table846[[#This Row],[Debit\]],""),"")</f>
        <v/>
      </c>
      <c r="AF70" s="34"/>
      <c r="AG70" s="34" t="str">
        <f>IFERROR(IF(AND(Table846[[#This Row],[Classification]]="Assets",Table846[[#This Row],[Debit\]]-Table846[[#This Row],[Credit.]]),Table846[[#This Row],[Debit\]]-Table846[[#This Row],[Credit.]],""),"")</f>
        <v/>
      </c>
      <c r="AH70" s="34" t="str">
        <f>IFERROR(IF(AND(OR(Table846[[#This Row],[Classification]]="Liabilities",Table846[[#This Row],[Classification]]="Owner´s Equity"),Table846[[#This Row],[Credit.]]&gt;Table846[[#This Row],[Debit\]]),Table846[[#This Row],[Credit.]]-Table846[[#This Row],[Debit\]],""),"")</f>
        <v/>
      </c>
    </row>
    <row r="71" spans="2:34" hidden="1" x14ac:dyDescent="0.25">
      <c r="B71" s="34"/>
      <c r="C71" s="37" t="s">
        <v>125</v>
      </c>
      <c r="D71" s="34">
        <v>653656.38</v>
      </c>
      <c r="E71" s="34"/>
      <c r="G71" s="39"/>
      <c r="H71" s="43"/>
      <c r="I71" s="41"/>
      <c r="J71" s="41"/>
      <c r="L71" s="34">
        <v>64</v>
      </c>
      <c r="M71" s="35" t="s">
        <v>160</v>
      </c>
      <c r="N71" s="35" t="s">
        <v>126</v>
      </c>
      <c r="O71" s="34">
        <f>IFERROR(SUMIF(Table443[,],Table645[[#This Row],[Accounts Name]],Table443[,3]),"")</f>
        <v>115440</v>
      </c>
      <c r="P71" s="34">
        <f>IFERROR(SUMIF(Table443[,],Table645[[#This Row],[Accounts Name]],Table443[,2]),"")</f>
        <v>0</v>
      </c>
      <c r="S71" s="36">
        <f t="shared" si="0"/>
        <v>64</v>
      </c>
      <c r="T71" s="34"/>
      <c r="U71" s="37"/>
      <c r="V71" s="34">
        <f>IFERROR(SUMIF(Table645[Sub-Accounts],Table846[[#This Row],[Update your chart of accounts here]],Table645[Debit]),"")</f>
        <v>0</v>
      </c>
      <c r="W71" s="34">
        <f>IFERROR(SUMIF(Table645[Sub-Accounts],Table846[[#This Row],[Update your chart of accounts here]],Table645[Credit]),"")</f>
        <v>0</v>
      </c>
      <c r="X71" s="34"/>
      <c r="Y71" s="34"/>
      <c r="Z71" s="34"/>
      <c r="AA71" s="34"/>
      <c r="AB71" s="34">
        <f>MAX(Table846[[#This Row],[Debit]]+Table846[[#This Row],[Debit -]]-Table846[[#This Row],[Credit]]-Table846[[#This Row],[Credit +]],0)</f>
        <v>0</v>
      </c>
      <c r="AC71" s="34">
        <f>MAX(Table846[[#This Row],[Credit]]-Table846[[#This Row],[Debit]]+Table846[[#This Row],[Credit +]]-Table846[[#This Row],[Debit -]],0)</f>
        <v>0</v>
      </c>
      <c r="AD71" s="34" t="str">
        <f>IFERROR(IF(AND(OR(Table846[[#This Row],[Classification]]="Expense",Table846[[#This Row],[Classification]]="Cost of Goods Sold"),Table846[[#This Row],[Debit\]]&gt;Table846[[#This Row],[Credit.]]),Table846[[#This Row],[Debit\]]-Table846[[#This Row],[Credit.]],""),"")</f>
        <v/>
      </c>
      <c r="AE71" s="34" t="str">
        <f>IFERROR(IF(AND(OR(Table846[[#This Row],[Classification]]="Income",Table846[[#This Row],[Classification]]="Cost of Goods Sold"),Table846[[#This Row],[Credit.]]&gt;Table846[[#This Row],[Debit\]]),Table846[[#This Row],[Credit.]]-Table846[[#This Row],[Debit\]],""),"")</f>
        <v/>
      </c>
      <c r="AF71" s="34"/>
      <c r="AG71" s="34" t="str">
        <f>IFERROR(IF(AND(Table846[[#This Row],[Classification]]="Assets",Table846[[#This Row],[Debit\]]-Table846[[#This Row],[Credit.]]),Table846[[#This Row],[Debit\]]-Table846[[#This Row],[Credit.]],""),"")</f>
        <v/>
      </c>
      <c r="AH71" s="34" t="str">
        <f>IFERROR(IF(AND(OR(Table846[[#This Row],[Classification]]="Liabilities",Table846[[#This Row],[Classification]]="Owner´s Equity"),Table846[[#This Row],[Credit.]]&gt;Table846[[#This Row],[Debit\]]),Table846[[#This Row],[Credit.]]-Table846[[#This Row],[Debit\]],""),"")</f>
        <v/>
      </c>
    </row>
    <row r="72" spans="2:34" hidden="1" x14ac:dyDescent="0.25">
      <c r="B72" s="34"/>
      <c r="C72" s="37" t="s">
        <v>126</v>
      </c>
      <c r="D72" s="34">
        <v>115440</v>
      </c>
      <c r="E72" s="34"/>
      <c r="G72" s="39"/>
      <c r="H72" s="40"/>
      <c r="I72" s="41"/>
      <c r="J72" s="41"/>
      <c r="L72" s="34">
        <v>65</v>
      </c>
      <c r="M72" s="35" t="s">
        <v>166</v>
      </c>
      <c r="N72" s="35" t="s">
        <v>127</v>
      </c>
      <c r="O72" s="34">
        <f>IFERROR(SUMIF(Table443[,],Table645[[#This Row],[Accounts Name]],Table443[,3]),"")</f>
        <v>1409746.56</v>
      </c>
      <c r="P72" s="34">
        <f>IFERROR(SUMIF(Table443[,],Table645[[#This Row],[Accounts Name]],Table443[,2]),"")</f>
        <v>0</v>
      </c>
      <c r="S72" s="36">
        <f t="shared" si="0"/>
        <v>65</v>
      </c>
      <c r="T72" s="34"/>
      <c r="U72" s="37"/>
      <c r="V72" s="34">
        <f>IFERROR(SUMIF(Table645[Sub-Accounts],Table846[[#This Row],[Update your chart of accounts here]],Table645[Debit]),"")</f>
        <v>0</v>
      </c>
      <c r="W72" s="34">
        <f>IFERROR(SUMIF(Table645[Sub-Accounts],Table846[[#This Row],[Update your chart of accounts here]],Table645[Credit]),"")</f>
        <v>0</v>
      </c>
      <c r="X72" s="34"/>
      <c r="Y72" s="34"/>
      <c r="Z72" s="34"/>
      <c r="AA72" s="34"/>
      <c r="AB72" s="34">
        <f>MAX(Table846[[#This Row],[Debit]]+Table846[[#This Row],[Debit -]]-Table846[[#This Row],[Credit]]-Table846[[#This Row],[Credit +]],0)</f>
        <v>0</v>
      </c>
      <c r="AC72" s="34">
        <f>MAX(Table846[[#This Row],[Credit]]-Table846[[#This Row],[Debit]]+Table846[[#This Row],[Credit +]]-Table846[[#This Row],[Debit -]],0)</f>
        <v>0</v>
      </c>
      <c r="AD72" s="34" t="str">
        <f>IFERROR(IF(AND(OR(Table846[[#This Row],[Classification]]="Expense",Table846[[#This Row],[Classification]]="Cost of Goods Sold"),Table846[[#This Row],[Debit\]]&gt;Table846[[#This Row],[Credit.]]),Table846[[#This Row],[Debit\]]-Table846[[#This Row],[Credit.]],""),"")</f>
        <v/>
      </c>
      <c r="AE72" s="34" t="str">
        <f>IFERROR(IF(AND(OR(Table846[[#This Row],[Classification]]="Income",Table846[[#This Row],[Classification]]="Cost of Goods Sold"),Table846[[#This Row],[Credit.]]&gt;Table846[[#This Row],[Debit\]]),Table846[[#This Row],[Credit.]]-Table846[[#This Row],[Debit\]],""),"")</f>
        <v/>
      </c>
      <c r="AF72" s="34"/>
      <c r="AG72" s="34" t="str">
        <f>IFERROR(IF(AND(Table846[[#This Row],[Classification]]="Assets",Table846[[#This Row],[Debit\]]-Table846[[#This Row],[Credit.]]),Table846[[#This Row],[Debit\]]-Table846[[#This Row],[Credit.]],""),"")</f>
        <v/>
      </c>
      <c r="AH72" s="34" t="str">
        <f>IFERROR(IF(AND(OR(Table846[[#This Row],[Classification]]="Liabilities",Table846[[#This Row],[Classification]]="Owner´s Equity"),Table846[[#This Row],[Credit.]]&gt;Table846[[#This Row],[Debit\]]),Table846[[#This Row],[Credit.]]-Table846[[#This Row],[Debit\]],""),"")</f>
        <v/>
      </c>
    </row>
    <row r="73" spans="2:34" hidden="1" x14ac:dyDescent="0.25">
      <c r="B73" s="34"/>
      <c r="C73" s="37" t="s">
        <v>127</v>
      </c>
      <c r="D73" s="34">
        <v>1409746.56</v>
      </c>
      <c r="E73" s="34"/>
      <c r="G73" s="39"/>
      <c r="H73" s="40"/>
      <c r="I73" s="41"/>
      <c r="J73" s="41"/>
      <c r="L73" s="34">
        <v>66</v>
      </c>
      <c r="M73" s="35" t="s">
        <v>152</v>
      </c>
      <c r="N73" s="35" t="s">
        <v>128</v>
      </c>
      <c r="O73" s="34">
        <f>IFERROR(SUMIF(Table443[,],Table645[[#This Row],[Accounts Name]],Table443[,3]),"")</f>
        <v>1758</v>
      </c>
      <c r="P73" s="34">
        <f>IFERROR(SUMIF(Table443[,],Table645[[#This Row],[Accounts Name]],Table443[,2]),"")</f>
        <v>0</v>
      </c>
      <c r="S73" s="36">
        <f t="shared" si="0"/>
        <v>66</v>
      </c>
      <c r="T73" s="34"/>
      <c r="U73" s="37"/>
      <c r="V73" s="34">
        <f>IFERROR(SUMIF(Table645[Sub-Accounts],Table846[[#This Row],[Update your chart of accounts here]],Table645[Debit]),"")</f>
        <v>0</v>
      </c>
      <c r="W73" s="34">
        <f>IFERROR(SUMIF(Table645[Sub-Accounts],Table846[[#This Row],[Update your chart of accounts here]],Table645[Credit]),"")</f>
        <v>0</v>
      </c>
      <c r="X73" s="34"/>
      <c r="Y73" s="34"/>
      <c r="Z73" s="34"/>
      <c r="AA73" s="34"/>
      <c r="AB73" s="34">
        <f>MAX(Table846[[#This Row],[Debit]]+Table846[[#This Row],[Debit -]]-Table846[[#This Row],[Credit]]-Table846[[#This Row],[Credit +]],0)</f>
        <v>0</v>
      </c>
      <c r="AC73" s="34">
        <f>MAX(Table846[[#This Row],[Credit]]-Table846[[#This Row],[Debit]]+Table846[[#This Row],[Credit +]]-Table846[[#This Row],[Debit -]],0)</f>
        <v>0</v>
      </c>
      <c r="AD73" s="34" t="str">
        <f>IFERROR(IF(AND(OR(Table846[[#This Row],[Classification]]="Expense",Table846[[#This Row],[Classification]]="Cost of Goods Sold"),Table846[[#This Row],[Debit\]]&gt;Table846[[#This Row],[Credit.]]),Table846[[#This Row],[Debit\]]-Table846[[#This Row],[Credit.]],""),"")</f>
        <v/>
      </c>
      <c r="AE73" s="34" t="str">
        <f>IFERROR(IF(AND(OR(Table846[[#This Row],[Classification]]="Income",Table846[[#This Row],[Classification]]="Cost of Goods Sold"),Table846[[#This Row],[Credit.]]&gt;Table846[[#This Row],[Debit\]]),Table846[[#This Row],[Credit.]]-Table846[[#This Row],[Debit\]],""),"")</f>
        <v/>
      </c>
      <c r="AF73" s="34"/>
      <c r="AG73" s="34" t="str">
        <f>IFERROR(IF(AND(Table846[[#This Row],[Classification]]="Assets",Table846[[#This Row],[Debit\]]-Table846[[#This Row],[Credit.]]),Table846[[#This Row],[Debit\]]-Table846[[#This Row],[Credit.]],""),"")</f>
        <v/>
      </c>
      <c r="AH73" s="34" t="str">
        <f>IFERROR(IF(AND(OR(Table846[[#This Row],[Classification]]="Liabilities",Table846[[#This Row],[Classification]]="Owner´s Equity"),Table846[[#This Row],[Credit.]]&gt;Table846[[#This Row],[Debit\]]),Table846[[#This Row],[Credit.]]-Table846[[#This Row],[Debit\]],""),"")</f>
        <v/>
      </c>
    </row>
    <row r="74" spans="2:34" hidden="1" x14ac:dyDescent="0.25">
      <c r="B74" s="34"/>
      <c r="C74" s="37" t="s">
        <v>128</v>
      </c>
      <c r="D74" s="34">
        <v>1758</v>
      </c>
      <c r="E74" s="34"/>
      <c r="G74" s="39"/>
      <c r="H74" s="43"/>
      <c r="I74" s="41"/>
      <c r="J74" s="41"/>
      <c r="L74" s="34">
        <v>67</v>
      </c>
      <c r="M74" s="35" t="s">
        <v>167</v>
      </c>
      <c r="N74" s="35" t="s">
        <v>129</v>
      </c>
      <c r="O74" s="34">
        <f>IFERROR(SUMIF(Table443[,],Table645[[#This Row],[Accounts Name]],Table443[,3]),"")</f>
        <v>196582.42</v>
      </c>
      <c r="P74" s="34">
        <f>IFERROR(SUMIF(Table443[,],Table645[[#This Row],[Accounts Name]],Table443[,2]),"")</f>
        <v>0</v>
      </c>
      <c r="S74" s="36">
        <f t="shared" ref="S74:S137" si="1">S73+1</f>
        <v>67</v>
      </c>
      <c r="T74" s="34"/>
      <c r="U74" s="37"/>
      <c r="V74" s="34">
        <f>IFERROR(SUMIF(Table645[Sub-Accounts],Table846[[#This Row],[Update your chart of accounts here]],Table645[Debit]),"")</f>
        <v>0</v>
      </c>
      <c r="W74" s="34">
        <f>IFERROR(SUMIF(Table645[Sub-Accounts],Table846[[#This Row],[Update your chart of accounts here]],Table645[Credit]),"")</f>
        <v>0</v>
      </c>
      <c r="X74" s="34"/>
      <c r="Y74" s="34"/>
      <c r="Z74" s="34"/>
      <c r="AA74" s="34"/>
      <c r="AB74" s="34">
        <f>MAX(Table846[[#This Row],[Debit]]+Table846[[#This Row],[Debit -]]-Table846[[#This Row],[Credit]]-Table846[[#This Row],[Credit +]],0)</f>
        <v>0</v>
      </c>
      <c r="AC74" s="34">
        <f>MAX(Table846[[#This Row],[Credit]]-Table846[[#This Row],[Debit]]+Table846[[#This Row],[Credit +]]-Table846[[#This Row],[Debit -]],0)</f>
        <v>0</v>
      </c>
      <c r="AD74" s="34" t="str">
        <f>IFERROR(IF(AND(OR(Table846[[#This Row],[Classification]]="Expense",Table846[[#This Row],[Classification]]="Cost of Goods Sold"),Table846[[#This Row],[Debit\]]&gt;Table846[[#This Row],[Credit.]]),Table846[[#This Row],[Debit\]]-Table846[[#This Row],[Credit.]],""),"")</f>
        <v/>
      </c>
      <c r="AE74" s="34" t="str">
        <f>IFERROR(IF(AND(OR(Table846[[#This Row],[Classification]]="Income",Table846[[#This Row],[Classification]]="Cost of Goods Sold"),Table846[[#This Row],[Credit.]]&gt;Table846[[#This Row],[Debit\]]),Table846[[#This Row],[Credit.]]-Table846[[#This Row],[Debit\]],""),"")</f>
        <v/>
      </c>
      <c r="AF74" s="34"/>
      <c r="AG74" s="34" t="str">
        <f>IFERROR(IF(AND(Table846[[#This Row],[Classification]]="Assets",Table846[[#This Row],[Debit\]]-Table846[[#This Row],[Credit.]]),Table846[[#This Row],[Debit\]]-Table846[[#This Row],[Credit.]],""),"")</f>
        <v/>
      </c>
      <c r="AH74" s="34" t="str">
        <f>IFERROR(IF(AND(OR(Table846[[#This Row],[Classification]]="Liabilities",Table846[[#This Row],[Classification]]="Owner´s Equity"),Table846[[#This Row],[Credit.]]&gt;Table846[[#This Row],[Debit\]]),Table846[[#This Row],[Credit.]]-Table846[[#This Row],[Debit\]],""),"")</f>
        <v/>
      </c>
    </row>
    <row r="75" spans="2:34" hidden="1" x14ac:dyDescent="0.25">
      <c r="B75" s="34"/>
      <c r="C75" s="37" t="s">
        <v>129</v>
      </c>
      <c r="D75" s="34">
        <v>196582.42</v>
      </c>
      <c r="E75" s="34"/>
      <c r="G75" s="39"/>
      <c r="H75" s="40"/>
      <c r="I75" s="41"/>
      <c r="J75" s="41"/>
      <c r="L75" s="34">
        <v>68</v>
      </c>
      <c r="M75" s="35" t="s">
        <v>151</v>
      </c>
      <c r="N75" s="35" t="s">
        <v>130</v>
      </c>
      <c r="O75" s="34">
        <f>IFERROR(SUMIF(Table443[,],Table645[[#This Row],[Accounts Name]],Table443[,3]),"")</f>
        <v>3069792</v>
      </c>
      <c r="P75" s="34">
        <f>IFERROR(SUMIF(Table443[,],Table645[[#This Row],[Accounts Name]],Table443[,2]),"")</f>
        <v>0</v>
      </c>
      <c r="S75" s="36">
        <f t="shared" si="1"/>
        <v>68</v>
      </c>
      <c r="T75" s="34"/>
      <c r="U75" s="37"/>
      <c r="V75" s="34">
        <f>IFERROR(SUMIF(Table645[Sub-Accounts],Table846[[#This Row],[Update your chart of accounts here]],Table645[Debit]),"")</f>
        <v>0</v>
      </c>
      <c r="W75" s="34">
        <f>IFERROR(SUMIF(Table645[Sub-Accounts],Table846[[#This Row],[Update your chart of accounts here]],Table645[Credit]),"")</f>
        <v>0</v>
      </c>
      <c r="X75" s="34"/>
      <c r="Y75" s="34"/>
      <c r="Z75" s="34"/>
      <c r="AA75" s="34"/>
      <c r="AB75" s="34">
        <f>MAX(Table846[[#This Row],[Debit]]+Table846[[#This Row],[Debit -]]-Table846[[#This Row],[Credit]]-Table846[[#This Row],[Credit +]],0)</f>
        <v>0</v>
      </c>
      <c r="AC75" s="34">
        <f>MAX(Table846[[#This Row],[Credit]]-Table846[[#This Row],[Debit]]+Table846[[#This Row],[Credit +]]-Table846[[#This Row],[Debit -]],0)</f>
        <v>0</v>
      </c>
      <c r="AD75" s="34" t="str">
        <f>IFERROR(IF(AND(OR(Table846[[#This Row],[Classification]]="Expense",Table846[[#This Row],[Classification]]="Cost of Goods Sold"),Table846[[#This Row],[Debit\]]&gt;Table846[[#This Row],[Credit.]]),Table846[[#This Row],[Debit\]]-Table846[[#This Row],[Credit.]],""),"")</f>
        <v/>
      </c>
      <c r="AE75" s="34" t="str">
        <f>IFERROR(IF(AND(OR(Table846[[#This Row],[Classification]]="Income",Table846[[#This Row],[Classification]]="Cost of Goods Sold"),Table846[[#This Row],[Credit.]]&gt;Table846[[#This Row],[Debit\]]),Table846[[#This Row],[Credit.]]-Table846[[#This Row],[Debit\]],""),"")</f>
        <v/>
      </c>
      <c r="AF75" s="34"/>
      <c r="AG75" s="34" t="str">
        <f>IFERROR(IF(AND(Table846[[#This Row],[Classification]]="Assets",Table846[[#This Row],[Debit\]]-Table846[[#This Row],[Credit.]]),Table846[[#This Row],[Debit\]]-Table846[[#This Row],[Credit.]],""),"")</f>
        <v/>
      </c>
      <c r="AH75" s="34" t="str">
        <f>IFERROR(IF(AND(OR(Table846[[#This Row],[Classification]]="Liabilities",Table846[[#This Row],[Classification]]="Owner´s Equity"),Table846[[#This Row],[Credit.]]&gt;Table846[[#This Row],[Debit\]]),Table846[[#This Row],[Credit.]]-Table846[[#This Row],[Debit\]],""),"")</f>
        <v/>
      </c>
    </row>
    <row r="76" spans="2:34" hidden="1" x14ac:dyDescent="0.25">
      <c r="B76" s="34"/>
      <c r="C76" s="37" t="s">
        <v>130</v>
      </c>
      <c r="D76" s="34">
        <v>3069792</v>
      </c>
      <c r="E76" s="34"/>
      <c r="G76" s="39"/>
      <c r="H76" s="40"/>
      <c r="I76" s="41"/>
      <c r="J76" s="41"/>
      <c r="L76" s="34">
        <v>69</v>
      </c>
      <c r="M76" s="35" t="s">
        <v>168</v>
      </c>
      <c r="N76" s="35" t="s">
        <v>131</v>
      </c>
      <c r="O76" s="34">
        <f>IFERROR(SUMIF(Table443[,],Table645[[#This Row],[Accounts Name]],Table443[,3]),"")</f>
        <v>302989.64</v>
      </c>
      <c r="P76" s="34">
        <f>IFERROR(SUMIF(Table443[,],Table645[[#This Row],[Accounts Name]],Table443[,2]),"")</f>
        <v>0</v>
      </c>
      <c r="S76" s="36">
        <f t="shared" si="1"/>
        <v>69</v>
      </c>
      <c r="T76" s="34"/>
      <c r="U76" s="37"/>
      <c r="V76" s="34">
        <f>IFERROR(SUMIF(Table645[Sub-Accounts],Table846[[#This Row],[Update your chart of accounts here]],Table645[Debit]),"")</f>
        <v>0</v>
      </c>
      <c r="W76" s="34">
        <f>IFERROR(SUMIF(Table645[Sub-Accounts],Table846[[#This Row],[Update your chart of accounts here]],Table645[Credit]),"")</f>
        <v>0</v>
      </c>
      <c r="X76" s="34"/>
      <c r="Y76" s="34"/>
      <c r="Z76" s="34"/>
      <c r="AA76" s="34"/>
      <c r="AB76" s="34">
        <f>MAX(Table846[[#This Row],[Debit]]+Table846[[#This Row],[Debit -]]-Table846[[#This Row],[Credit]]-Table846[[#This Row],[Credit +]],0)</f>
        <v>0</v>
      </c>
      <c r="AC76" s="34">
        <f>MAX(Table846[[#This Row],[Credit]]-Table846[[#This Row],[Debit]]+Table846[[#This Row],[Credit +]]-Table846[[#This Row],[Debit -]],0)</f>
        <v>0</v>
      </c>
      <c r="AD76" s="34" t="str">
        <f>IFERROR(IF(AND(OR(Table846[[#This Row],[Classification]]="Expense",Table846[[#This Row],[Classification]]="Cost of Goods Sold"),Table846[[#This Row],[Debit\]]&gt;Table846[[#This Row],[Credit.]]),Table846[[#This Row],[Debit\]]-Table846[[#This Row],[Credit.]],""),"")</f>
        <v/>
      </c>
      <c r="AE76" s="34" t="str">
        <f>IFERROR(IF(AND(OR(Table846[[#This Row],[Classification]]="Income",Table846[[#This Row],[Classification]]="Cost of Goods Sold"),Table846[[#This Row],[Credit.]]&gt;Table846[[#This Row],[Debit\]]),Table846[[#This Row],[Credit.]]-Table846[[#This Row],[Debit\]],""),"")</f>
        <v/>
      </c>
      <c r="AF76" s="34"/>
      <c r="AG76" s="34" t="str">
        <f>IFERROR(IF(AND(Table846[[#This Row],[Classification]]="Assets",Table846[[#This Row],[Debit\]]-Table846[[#This Row],[Credit.]]),Table846[[#This Row],[Debit\]]-Table846[[#This Row],[Credit.]],""),"")</f>
        <v/>
      </c>
      <c r="AH76" s="34" t="str">
        <f>IFERROR(IF(AND(OR(Table846[[#This Row],[Classification]]="Liabilities",Table846[[#This Row],[Classification]]="Owner´s Equity"),Table846[[#This Row],[Credit.]]&gt;Table846[[#This Row],[Debit\]]),Table846[[#This Row],[Credit.]]-Table846[[#This Row],[Debit\]],""),"")</f>
        <v/>
      </c>
    </row>
    <row r="77" spans="2:34" hidden="1" x14ac:dyDescent="0.25">
      <c r="B77" s="34"/>
      <c r="C77" s="37" t="s">
        <v>131</v>
      </c>
      <c r="D77" s="34">
        <v>302989.64</v>
      </c>
      <c r="E77" s="34"/>
      <c r="G77" s="39"/>
      <c r="H77" s="43"/>
      <c r="I77" s="41"/>
      <c r="J77" s="41"/>
      <c r="L77" s="34">
        <v>70</v>
      </c>
      <c r="M77" s="35" t="s">
        <v>167</v>
      </c>
      <c r="N77" s="35" t="s">
        <v>132</v>
      </c>
      <c r="O77" s="34">
        <f>IFERROR(SUMIF(Table443[,],Table645[[#This Row],[Accounts Name]],Table443[,3]),"")</f>
        <v>35000</v>
      </c>
      <c r="P77" s="34">
        <f>IFERROR(SUMIF(Table443[,],Table645[[#This Row],[Accounts Name]],Table443[,2]),"")</f>
        <v>0</v>
      </c>
      <c r="S77" s="36">
        <f t="shared" si="1"/>
        <v>70</v>
      </c>
      <c r="T77" s="34"/>
      <c r="U77" s="37"/>
      <c r="V77" s="34">
        <f>IFERROR(SUMIF(Table645[Sub-Accounts],Table846[[#This Row],[Update your chart of accounts here]],Table645[Debit]),"")</f>
        <v>0</v>
      </c>
      <c r="W77" s="34">
        <f>IFERROR(SUMIF(Table645[Sub-Accounts],Table846[[#This Row],[Update your chart of accounts here]],Table645[Credit]),"")</f>
        <v>0</v>
      </c>
      <c r="X77" s="34"/>
      <c r="Y77" s="34"/>
      <c r="Z77" s="34"/>
      <c r="AA77" s="34"/>
      <c r="AB77" s="34">
        <f>MAX(Table846[[#This Row],[Debit]]+Table846[[#This Row],[Debit -]]-Table846[[#This Row],[Credit]]-Table846[[#This Row],[Credit +]],0)</f>
        <v>0</v>
      </c>
      <c r="AC77" s="34">
        <f>MAX(Table846[[#This Row],[Credit]]-Table846[[#This Row],[Debit]]+Table846[[#This Row],[Credit +]]-Table846[[#This Row],[Debit -]],0)</f>
        <v>0</v>
      </c>
      <c r="AD77" s="34" t="str">
        <f>IFERROR(IF(AND(OR(Table846[[#This Row],[Classification]]="Expense",Table846[[#This Row],[Classification]]="Cost of Goods Sold"),Table846[[#This Row],[Debit\]]&gt;Table846[[#This Row],[Credit.]]),Table846[[#This Row],[Debit\]]-Table846[[#This Row],[Credit.]],""),"")</f>
        <v/>
      </c>
      <c r="AE77" s="34" t="str">
        <f>IFERROR(IF(AND(OR(Table846[[#This Row],[Classification]]="Income",Table846[[#This Row],[Classification]]="Cost of Goods Sold"),Table846[[#This Row],[Credit.]]&gt;Table846[[#This Row],[Debit\]]),Table846[[#This Row],[Credit.]]-Table846[[#This Row],[Debit\]],""),"")</f>
        <v/>
      </c>
      <c r="AF77" s="34"/>
      <c r="AG77" s="34" t="str">
        <f>IFERROR(IF(AND(Table846[[#This Row],[Classification]]="Assets",Table846[[#This Row],[Debit\]]-Table846[[#This Row],[Credit.]]),Table846[[#This Row],[Debit\]]-Table846[[#This Row],[Credit.]],""),"")</f>
        <v/>
      </c>
      <c r="AH77" s="34" t="str">
        <f>IFERROR(IF(AND(OR(Table846[[#This Row],[Classification]]="Liabilities",Table846[[#This Row],[Classification]]="Owner´s Equity"),Table846[[#This Row],[Credit.]]&gt;Table846[[#This Row],[Debit\]]),Table846[[#This Row],[Credit.]]-Table846[[#This Row],[Debit\]],""),"")</f>
        <v/>
      </c>
    </row>
    <row r="78" spans="2:34" hidden="1" x14ac:dyDescent="0.25">
      <c r="B78" s="34"/>
      <c r="C78" s="37" t="s">
        <v>132</v>
      </c>
      <c r="D78" s="34">
        <v>35000</v>
      </c>
      <c r="E78" s="34"/>
      <c r="G78" s="39"/>
      <c r="H78" s="40"/>
      <c r="I78" s="41"/>
      <c r="J78" s="41"/>
      <c r="L78" s="34">
        <v>71</v>
      </c>
      <c r="M78" s="35" t="s">
        <v>167</v>
      </c>
      <c r="N78" s="35" t="s">
        <v>133</v>
      </c>
      <c r="O78" s="34">
        <f>IFERROR(SUMIF(Table443[,],Table645[[#This Row],[Accounts Name]],Table443[,3]),"")</f>
        <v>164240.34</v>
      </c>
      <c r="P78" s="34">
        <f>IFERROR(SUMIF(Table443[,],Table645[[#This Row],[Accounts Name]],Table443[,2]),"")</f>
        <v>0</v>
      </c>
      <c r="S78" s="36">
        <f t="shared" si="1"/>
        <v>71</v>
      </c>
      <c r="T78" s="34"/>
      <c r="U78" s="37"/>
      <c r="V78" s="34">
        <f>IFERROR(SUMIF(Table645[Sub-Accounts],Table846[[#This Row],[Update your chart of accounts here]],Table645[Debit]),"")</f>
        <v>0</v>
      </c>
      <c r="W78" s="34">
        <f>IFERROR(SUMIF(Table645[Sub-Accounts],Table846[[#This Row],[Update your chart of accounts here]],Table645[Credit]),"")</f>
        <v>0</v>
      </c>
      <c r="X78" s="34"/>
      <c r="Y78" s="34"/>
      <c r="Z78" s="34"/>
      <c r="AA78" s="34"/>
      <c r="AB78" s="34">
        <f>MAX(Table846[[#This Row],[Debit]]+Table846[[#This Row],[Debit -]]-Table846[[#This Row],[Credit]]-Table846[[#This Row],[Credit +]],0)</f>
        <v>0</v>
      </c>
      <c r="AC78" s="34">
        <f>MAX(Table846[[#This Row],[Credit]]-Table846[[#This Row],[Debit]]+Table846[[#This Row],[Credit +]]-Table846[[#This Row],[Debit -]],0)</f>
        <v>0</v>
      </c>
      <c r="AD78" s="34" t="str">
        <f>IFERROR(IF(AND(OR(Table846[[#This Row],[Classification]]="Expense",Table846[[#This Row],[Classification]]="Cost of Goods Sold"),Table846[[#This Row],[Debit\]]&gt;Table846[[#This Row],[Credit.]]),Table846[[#This Row],[Debit\]]-Table846[[#This Row],[Credit.]],""),"")</f>
        <v/>
      </c>
      <c r="AE78" s="34" t="str">
        <f>IFERROR(IF(AND(OR(Table846[[#This Row],[Classification]]="Income",Table846[[#This Row],[Classification]]="Cost of Goods Sold"),Table846[[#This Row],[Credit.]]&gt;Table846[[#This Row],[Debit\]]),Table846[[#This Row],[Credit.]]-Table846[[#This Row],[Debit\]],""),"")</f>
        <v/>
      </c>
      <c r="AF78" s="34"/>
      <c r="AG78" s="34" t="str">
        <f>IFERROR(IF(AND(Table846[[#This Row],[Classification]]="Assets",Table846[[#This Row],[Debit\]]-Table846[[#This Row],[Credit.]]),Table846[[#This Row],[Debit\]]-Table846[[#This Row],[Credit.]],""),"")</f>
        <v/>
      </c>
      <c r="AH78" s="34" t="str">
        <f>IFERROR(IF(AND(OR(Table846[[#This Row],[Classification]]="Liabilities",Table846[[#This Row],[Classification]]="Owner´s Equity"),Table846[[#This Row],[Credit.]]&gt;Table846[[#This Row],[Debit\]]),Table846[[#This Row],[Credit.]]-Table846[[#This Row],[Debit\]],""),"")</f>
        <v/>
      </c>
    </row>
    <row r="79" spans="2:34" hidden="1" x14ac:dyDescent="0.25">
      <c r="B79" s="34"/>
      <c r="C79" s="37" t="s">
        <v>133</v>
      </c>
      <c r="D79" s="34">
        <v>164240.34</v>
      </c>
      <c r="E79" s="34"/>
      <c r="G79" s="39"/>
      <c r="H79" s="40"/>
      <c r="I79" s="41"/>
      <c r="J79" s="41"/>
      <c r="L79" s="34">
        <v>72</v>
      </c>
      <c r="M79" s="35" t="s">
        <v>169</v>
      </c>
      <c r="N79" s="35" t="s">
        <v>134</v>
      </c>
      <c r="O79" s="34">
        <f>IFERROR(SUMIF(Table443[,],Table645[[#This Row],[Accounts Name]],Table443[,3]),"")</f>
        <v>2000</v>
      </c>
      <c r="P79" s="34">
        <f>IFERROR(SUMIF(Table443[,],Table645[[#This Row],[Accounts Name]],Table443[,2]),"")</f>
        <v>0</v>
      </c>
      <c r="S79" s="36">
        <f t="shared" si="1"/>
        <v>72</v>
      </c>
      <c r="T79" s="34"/>
      <c r="U79" s="37"/>
      <c r="V79" s="34">
        <f>IFERROR(SUMIF(Table645[Sub-Accounts],Table846[[#This Row],[Update your chart of accounts here]],Table645[Debit]),"")</f>
        <v>0</v>
      </c>
      <c r="W79" s="34">
        <f>IFERROR(SUMIF(Table645[Sub-Accounts],Table846[[#This Row],[Update your chart of accounts here]],Table645[Credit]),"")</f>
        <v>0</v>
      </c>
      <c r="X79" s="34"/>
      <c r="Y79" s="34"/>
      <c r="Z79" s="34"/>
      <c r="AA79" s="34"/>
      <c r="AB79" s="34">
        <f>MAX(Table846[[#This Row],[Debit]]+Table846[[#This Row],[Debit -]]-Table846[[#This Row],[Credit]]-Table846[[#This Row],[Credit +]],0)</f>
        <v>0</v>
      </c>
      <c r="AC79" s="34">
        <f>MAX(Table846[[#This Row],[Credit]]-Table846[[#This Row],[Debit]]+Table846[[#This Row],[Credit +]]-Table846[[#This Row],[Debit -]],0)</f>
        <v>0</v>
      </c>
      <c r="AD79" s="34" t="str">
        <f>IFERROR(IF(AND(OR(Table846[[#This Row],[Classification]]="Expense",Table846[[#This Row],[Classification]]="Cost of Goods Sold"),Table846[[#This Row],[Debit\]]&gt;Table846[[#This Row],[Credit.]]),Table846[[#This Row],[Debit\]]-Table846[[#This Row],[Credit.]],""),"")</f>
        <v/>
      </c>
      <c r="AE79" s="34" t="str">
        <f>IFERROR(IF(AND(OR(Table846[[#This Row],[Classification]]="Income",Table846[[#This Row],[Classification]]="Cost of Goods Sold"),Table846[[#This Row],[Credit.]]&gt;Table846[[#This Row],[Debit\]]),Table846[[#This Row],[Credit.]]-Table846[[#This Row],[Debit\]],""),"")</f>
        <v/>
      </c>
      <c r="AF79" s="34"/>
      <c r="AG79" s="34" t="str">
        <f>IFERROR(IF(AND(Table846[[#This Row],[Classification]]="Assets",Table846[[#This Row],[Debit\]]-Table846[[#This Row],[Credit.]]),Table846[[#This Row],[Debit\]]-Table846[[#This Row],[Credit.]],""),"")</f>
        <v/>
      </c>
      <c r="AH79" s="34" t="str">
        <f>IFERROR(IF(AND(OR(Table846[[#This Row],[Classification]]="Liabilities",Table846[[#This Row],[Classification]]="Owner´s Equity"),Table846[[#This Row],[Credit.]]&gt;Table846[[#This Row],[Debit\]]),Table846[[#This Row],[Credit.]]-Table846[[#This Row],[Debit\]],""),"")</f>
        <v/>
      </c>
    </row>
    <row r="80" spans="2:34" hidden="1" x14ac:dyDescent="0.25">
      <c r="B80" s="34"/>
      <c r="C80" s="37" t="s">
        <v>134</v>
      </c>
      <c r="D80" s="34">
        <v>2000</v>
      </c>
      <c r="E80" s="34"/>
      <c r="G80" s="39"/>
      <c r="H80" s="43"/>
      <c r="I80" s="41"/>
      <c r="J80" s="41"/>
      <c r="L80" s="34">
        <v>73</v>
      </c>
      <c r="M80" s="35" t="s">
        <v>170</v>
      </c>
      <c r="N80" s="35" t="s">
        <v>135</v>
      </c>
      <c r="O80" s="34">
        <f>IFERROR(SUMIF(Table443[,],Table645[[#This Row],[Accounts Name]],Table443[,3]),"")</f>
        <v>13250</v>
      </c>
      <c r="P80" s="34">
        <f>IFERROR(SUMIF(Table443[,],Table645[[#This Row],[Accounts Name]],Table443[,2]),"")</f>
        <v>0</v>
      </c>
      <c r="S80" s="36">
        <f t="shared" si="1"/>
        <v>73</v>
      </c>
      <c r="T80" s="34"/>
      <c r="U80" s="37"/>
      <c r="V80" s="34">
        <f>IFERROR(SUMIF(Table645[Sub-Accounts],Table846[[#This Row],[Update your chart of accounts here]],Table645[Debit]),"")</f>
        <v>0</v>
      </c>
      <c r="W80" s="34">
        <f>IFERROR(SUMIF(Table645[Sub-Accounts],Table846[[#This Row],[Update your chart of accounts here]],Table645[Credit]),"")</f>
        <v>0</v>
      </c>
      <c r="X80" s="34"/>
      <c r="Y80" s="34"/>
      <c r="Z80" s="34"/>
      <c r="AA80" s="34"/>
      <c r="AB80" s="34">
        <f>MAX(Table846[[#This Row],[Debit]]+Table846[[#This Row],[Debit -]]-Table846[[#This Row],[Credit]]-Table846[[#This Row],[Credit +]],0)</f>
        <v>0</v>
      </c>
      <c r="AC80" s="34">
        <f>MAX(Table846[[#This Row],[Credit]]-Table846[[#This Row],[Debit]]+Table846[[#This Row],[Credit +]]-Table846[[#This Row],[Debit -]],0)</f>
        <v>0</v>
      </c>
      <c r="AD80" s="34" t="str">
        <f>IFERROR(IF(AND(OR(Table846[[#This Row],[Classification]]="Expense",Table846[[#This Row],[Classification]]="Cost of Goods Sold"),Table846[[#This Row],[Debit\]]&gt;Table846[[#This Row],[Credit.]]),Table846[[#This Row],[Debit\]]-Table846[[#This Row],[Credit.]],""),"")</f>
        <v/>
      </c>
      <c r="AE80" s="34" t="str">
        <f>IFERROR(IF(AND(OR(Table846[[#This Row],[Classification]]="Income",Table846[[#This Row],[Classification]]="Cost of Goods Sold"),Table846[[#This Row],[Credit.]]&gt;Table846[[#This Row],[Debit\]]),Table846[[#This Row],[Credit.]]-Table846[[#This Row],[Debit\]],""),"")</f>
        <v/>
      </c>
      <c r="AF80" s="34"/>
      <c r="AG80" s="34" t="str">
        <f>IFERROR(IF(AND(Table846[[#This Row],[Classification]]="Assets",Table846[[#This Row],[Debit\]]-Table846[[#This Row],[Credit.]]),Table846[[#This Row],[Debit\]]-Table846[[#This Row],[Credit.]],""),"")</f>
        <v/>
      </c>
      <c r="AH80" s="34" t="str">
        <f>IFERROR(IF(AND(OR(Table846[[#This Row],[Classification]]="Liabilities",Table846[[#This Row],[Classification]]="Owner´s Equity"),Table846[[#This Row],[Credit.]]&gt;Table846[[#This Row],[Debit\]]),Table846[[#This Row],[Credit.]]-Table846[[#This Row],[Debit\]],""),"")</f>
        <v/>
      </c>
    </row>
    <row r="81" spans="2:34" hidden="1" x14ac:dyDescent="0.25">
      <c r="B81" s="34"/>
      <c r="C81" s="37" t="s">
        <v>135</v>
      </c>
      <c r="D81" s="34">
        <v>13250</v>
      </c>
      <c r="E81" s="34"/>
      <c r="G81" s="39"/>
      <c r="H81" s="40"/>
      <c r="I81" s="41"/>
      <c r="J81" s="41"/>
      <c r="L81" s="34">
        <v>74</v>
      </c>
      <c r="M81" s="35" t="s">
        <v>156</v>
      </c>
      <c r="N81" s="35" t="s">
        <v>136</v>
      </c>
      <c r="O81" s="34">
        <f>IFERROR(SUMIF(Table443[,],Table645[[#This Row],[Accounts Name]],Table443[,3]),"")</f>
        <v>87416</v>
      </c>
      <c r="P81" s="34">
        <f>IFERROR(SUMIF(Table443[,],Table645[[#This Row],[Accounts Name]],Table443[,2]),"")</f>
        <v>0</v>
      </c>
      <c r="S81" s="36">
        <f t="shared" si="1"/>
        <v>74</v>
      </c>
      <c r="T81" s="34"/>
      <c r="U81" s="37"/>
      <c r="V81" s="34">
        <f>IFERROR(SUMIF(Table645[Sub-Accounts],Table846[[#This Row],[Update your chart of accounts here]],Table645[Debit]),"")</f>
        <v>0</v>
      </c>
      <c r="W81" s="34">
        <f>IFERROR(SUMIF(Table645[Sub-Accounts],Table846[[#This Row],[Update your chart of accounts here]],Table645[Credit]),"")</f>
        <v>0</v>
      </c>
      <c r="X81" s="34"/>
      <c r="Y81" s="34"/>
      <c r="Z81" s="34"/>
      <c r="AA81" s="34"/>
      <c r="AB81" s="34">
        <f>MAX(Table846[[#This Row],[Debit]]+Table846[[#This Row],[Debit -]]-Table846[[#This Row],[Credit]]-Table846[[#This Row],[Credit +]],0)</f>
        <v>0</v>
      </c>
      <c r="AC81" s="34">
        <f>MAX(Table846[[#This Row],[Credit]]-Table846[[#This Row],[Debit]]+Table846[[#This Row],[Credit +]]-Table846[[#This Row],[Debit -]],0)</f>
        <v>0</v>
      </c>
      <c r="AD81" s="34" t="str">
        <f>IFERROR(IF(AND(OR(Table846[[#This Row],[Classification]]="Expense",Table846[[#This Row],[Classification]]="Cost of Goods Sold"),Table846[[#This Row],[Debit\]]&gt;Table846[[#This Row],[Credit.]]),Table846[[#This Row],[Debit\]]-Table846[[#This Row],[Credit.]],""),"")</f>
        <v/>
      </c>
      <c r="AE81" s="34" t="str">
        <f>IFERROR(IF(AND(OR(Table846[[#This Row],[Classification]]="Income",Table846[[#This Row],[Classification]]="Cost of Goods Sold"),Table846[[#This Row],[Credit.]]&gt;Table846[[#This Row],[Debit\]]),Table846[[#This Row],[Credit.]]-Table846[[#This Row],[Debit\]],""),"")</f>
        <v/>
      </c>
      <c r="AF81" s="34"/>
      <c r="AG81" s="34" t="str">
        <f>IFERROR(IF(AND(Table846[[#This Row],[Classification]]="Assets",Table846[[#This Row],[Debit\]]-Table846[[#This Row],[Credit.]]),Table846[[#This Row],[Debit\]]-Table846[[#This Row],[Credit.]],""),"")</f>
        <v/>
      </c>
      <c r="AH81" s="34" t="str">
        <f>IFERROR(IF(AND(OR(Table846[[#This Row],[Classification]]="Liabilities",Table846[[#This Row],[Classification]]="Owner´s Equity"),Table846[[#This Row],[Credit.]]&gt;Table846[[#This Row],[Debit\]]),Table846[[#This Row],[Credit.]]-Table846[[#This Row],[Debit\]],""),"")</f>
        <v/>
      </c>
    </row>
    <row r="82" spans="2:34" hidden="1" x14ac:dyDescent="0.25">
      <c r="B82" s="34"/>
      <c r="C82" s="37" t="s">
        <v>136</v>
      </c>
      <c r="D82" s="34">
        <v>87416</v>
      </c>
      <c r="E82" s="34"/>
      <c r="G82" s="39"/>
      <c r="H82" s="40"/>
      <c r="I82" s="41"/>
      <c r="J82" s="41"/>
      <c r="L82" s="34">
        <v>75</v>
      </c>
      <c r="M82" s="35" t="s">
        <v>162</v>
      </c>
      <c r="N82" s="35" t="s">
        <v>137</v>
      </c>
      <c r="O82" s="34">
        <f>IFERROR(SUMIF(Table443[,],Table645[[#This Row],[Accounts Name]],Table443[,3]),"")</f>
        <v>139074.48000000001</v>
      </c>
      <c r="P82" s="34">
        <f>IFERROR(SUMIF(Table443[,],Table645[[#This Row],[Accounts Name]],Table443[,2]),"")</f>
        <v>0</v>
      </c>
      <c r="S82" s="36">
        <f t="shared" si="1"/>
        <v>75</v>
      </c>
      <c r="T82" s="34"/>
      <c r="U82" s="37"/>
      <c r="V82" s="34">
        <f>IFERROR(SUMIF(Table645[Sub-Accounts],Table846[[#This Row],[Update your chart of accounts here]],Table645[Debit]),"")</f>
        <v>0</v>
      </c>
      <c r="W82" s="34">
        <f>IFERROR(SUMIF(Table645[Sub-Accounts],Table846[[#This Row],[Update your chart of accounts here]],Table645[Credit]),"")</f>
        <v>0</v>
      </c>
      <c r="X82" s="34"/>
      <c r="Y82" s="34"/>
      <c r="Z82" s="34"/>
      <c r="AA82" s="34"/>
      <c r="AB82" s="34">
        <f>MAX(Table846[[#This Row],[Debit]]+Table846[[#This Row],[Debit -]]-Table846[[#This Row],[Credit]]-Table846[[#This Row],[Credit +]],0)</f>
        <v>0</v>
      </c>
      <c r="AC82" s="34">
        <f>MAX(Table846[[#This Row],[Credit]]-Table846[[#This Row],[Debit]]+Table846[[#This Row],[Credit +]]-Table846[[#This Row],[Debit -]],0)</f>
        <v>0</v>
      </c>
      <c r="AD82" s="34" t="str">
        <f>IFERROR(IF(AND(OR(Table846[[#This Row],[Classification]]="Expense",Table846[[#This Row],[Classification]]="Cost of Goods Sold"),Table846[[#This Row],[Debit\]]&gt;Table846[[#This Row],[Credit.]]),Table846[[#This Row],[Debit\]]-Table846[[#This Row],[Credit.]],""),"")</f>
        <v/>
      </c>
      <c r="AE82" s="34" t="str">
        <f>IFERROR(IF(AND(OR(Table846[[#This Row],[Classification]]="Income",Table846[[#This Row],[Classification]]="Cost of Goods Sold"),Table846[[#This Row],[Credit.]]&gt;Table846[[#This Row],[Debit\]]),Table846[[#This Row],[Credit.]]-Table846[[#This Row],[Debit\]],""),"")</f>
        <v/>
      </c>
      <c r="AF82" s="34"/>
      <c r="AG82" s="34" t="str">
        <f>IFERROR(IF(AND(Table846[[#This Row],[Classification]]="Assets",Table846[[#This Row],[Debit\]]-Table846[[#This Row],[Credit.]]),Table846[[#This Row],[Debit\]]-Table846[[#This Row],[Credit.]],""),"")</f>
        <v/>
      </c>
      <c r="AH82" s="34" t="str">
        <f>IFERROR(IF(AND(OR(Table846[[#This Row],[Classification]]="Liabilities",Table846[[#This Row],[Classification]]="Owner´s Equity"),Table846[[#This Row],[Credit.]]&gt;Table846[[#This Row],[Debit\]]),Table846[[#This Row],[Credit.]]-Table846[[#This Row],[Debit\]],""),"")</f>
        <v/>
      </c>
    </row>
    <row r="83" spans="2:34" hidden="1" x14ac:dyDescent="0.25">
      <c r="B83" s="34"/>
      <c r="C83" s="37" t="s">
        <v>137</v>
      </c>
      <c r="D83" s="34">
        <v>139074.48000000001</v>
      </c>
      <c r="E83" s="34"/>
      <c r="G83" s="39"/>
      <c r="H83" s="43"/>
      <c r="I83" s="41"/>
      <c r="J83" s="41"/>
      <c r="L83" s="34">
        <v>76</v>
      </c>
      <c r="M83" s="35"/>
      <c r="N83" s="35"/>
      <c r="O83" s="34">
        <f>IFERROR(SUMIF(Table443[,],Table645[[#This Row],[Accounts Name]],Table443[,3]),"")</f>
        <v>0</v>
      </c>
      <c r="P83" s="34">
        <f>IFERROR(SUMIF(Table443[,],Table645[[#This Row],[Accounts Name]],Table443[,2]),"")</f>
        <v>0</v>
      </c>
      <c r="S83" s="36">
        <f t="shared" si="1"/>
        <v>76</v>
      </c>
      <c r="T83" s="34"/>
      <c r="U83" s="37"/>
      <c r="V83" s="34">
        <f>IFERROR(SUMIF(Table645[Sub-Accounts],Table846[[#This Row],[Update your chart of accounts here]],Table645[Debit]),"")</f>
        <v>0</v>
      </c>
      <c r="W83" s="34">
        <f>IFERROR(SUMIF(Table645[Sub-Accounts],Table846[[#This Row],[Update your chart of accounts here]],Table645[Credit]),"")</f>
        <v>0</v>
      </c>
      <c r="X83" s="34"/>
      <c r="Y83" s="34"/>
      <c r="Z83" s="34"/>
      <c r="AA83" s="34"/>
      <c r="AB83" s="34">
        <f>MAX(Table846[[#This Row],[Debit]]+Table846[[#This Row],[Debit -]]-Table846[[#This Row],[Credit]]-Table846[[#This Row],[Credit +]],0)</f>
        <v>0</v>
      </c>
      <c r="AC83" s="34">
        <f>MAX(Table846[[#This Row],[Credit]]-Table846[[#This Row],[Debit]]+Table846[[#This Row],[Credit +]]-Table846[[#This Row],[Debit -]],0)</f>
        <v>0</v>
      </c>
      <c r="AD83" s="34" t="str">
        <f>IFERROR(IF(AND(OR(Table846[[#This Row],[Classification]]="Expense",Table846[[#This Row],[Classification]]="Cost of Goods Sold"),Table846[[#This Row],[Debit\]]&gt;Table846[[#This Row],[Credit.]]),Table846[[#This Row],[Debit\]]-Table846[[#This Row],[Credit.]],""),"")</f>
        <v/>
      </c>
      <c r="AE83" s="34" t="str">
        <f>IFERROR(IF(AND(OR(Table846[[#This Row],[Classification]]="Income",Table846[[#This Row],[Classification]]="Cost of Goods Sold"),Table846[[#This Row],[Credit.]]&gt;Table846[[#This Row],[Debit\]]),Table846[[#This Row],[Credit.]]-Table846[[#This Row],[Debit\]],""),"")</f>
        <v/>
      </c>
      <c r="AF83" s="34"/>
      <c r="AG83" s="34" t="str">
        <f>IFERROR(IF(AND(Table846[[#This Row],[Classification]]="Assets",Table846[[#This Row],[Debit\]]-Table846[[#This Row],[Credit.]]),Table846[[#This Row],[Debit\]]-Table846[[#This Row],[Credit.]],""),"")</f>
        <v/>
      </c>
      <c r="AH83" s="34" t="str">
        <f>IFERROR(IF(AND(OR(Table846[[#This Row],[Classification]]="Liabilities",Table846[[#This Row],[Classification]]="Owner´s Equity"),Table846[[#This Row],[Credit.]]&gt;Table846[[#This Row],[Debit\]]),Table846[[#This Row],[Credit.]]-Table846[[#This Row],[Debit\]],""),"")</f>
        <v/>
      </c>
    </row>
    <row r="84" spans="2:34" hidden="1" x14ac:dyDescent="0.25">
      <c r="B84" s="34"/>
      <c r="C84" s="37"/>
      <c r="D84" s="34"/>
      <c r="E84" s="34"/>
      <c r="G84" s="39"/>
      <c r="H84" s="40"/>
      <c r="I84" s="41"/>
      <c r="J84" s="41"/>
      <c r="L84" s="34">
        <v>77</v>
      </c>
      <c r="M84" s="35"/>
      <c r="N84" s="35"/>
      <c r="O84" s="34">
        <f>IFERROR(SUMIF(Table443[,],Table645[[#This Row],[Accounts Name]],Table443[,3]),"")</f>
        <v>0</v>
      </c>
      <c r="P84" s="34">
        <f>IFERROR(SUMIF(Table443[,],Table645[[#This Row],[Accounts Name]],Table443[,2]),"")</f>
        <v>0</v>
      </c>
      <c r="S84" s="36">
        <f t="shared" si="1"/>
        <v>77</v>
      </c>
      <c r="T84" s="34"/>
      <c r="U84" s="37"/>
      <c r="V84" s="34">
        <f>IFERROR(SUMIF(Table645[Sub-Accounts],Table846[[#This Row],[Update your chart of accounts here]],Table645[Debit]),"")</f>
        <v>0</v>
      </c>
      <c r="W84" s="34">
        <f>IFERROR(SUMIF(Table645[Sub-Accounts],Table846[[#This Row],[Update your chart of accounts here]],Table645[Credit]),"")</f>
        <v>0</v>
      </c>
      <c r="X84" s="34"/>
      <c r="Y84" s="34"/>
      <c r="Z84" s="34"/>
      <c r="AA84" s="34"/>
      <c r="AB84" s="34">
        <f>MAX(Table846[[#This Row],[Debit]]+Table846[[#This Row],[Debit -]]-Table846[[#This Row],[Credit]]-Table846[[#This Row],[Credit +]],0)</f>
        <v>0</v>
      </c>
      <c r="AC84" s="34">
        <f>MAX(Table846[[#This Row],[Credit]]-Table846[[#This Row],[Debit]]+Table846[[#This Row],[Credit +]]-Table846[[#This Row],[Debit -]],0)</f>
        <v>0</v>
      </c>
      <c r="AD84" s="34" t="str">
        <f>IFERROR(IF(AND(OR(Table846[[#This Row],[Classification]]="Expense",Table846[[#This Row],[Classification]]="Cost of Goods Sold"),Table846[[#This Row],[Debit\]]&gt;Table846[[#This Row],[Credit.]]),Table846[[#This Row],[Debit\]]-Table846[[#This Row],[Credit.]],""),"")</f>
        <v/>
      </c>
      <c r="AE84" s="34" t="str">
        <f>IFERROR(IF(AND(OR(Table846[[#This Row],[Classification]]="Income",Table846[[#This Row],[Classification]]="Cost of Goods Sold"),Table846[[#This Row],[Credit.]]&gt;Table846[[#This Row],[Debit\]]),Table846[[#This Row],[Credit.]]-Table846[[#This Row],[Debit\]],""),"")</f>
        <v/>
      </c>
      <c r="AF84" s="34"/>
      <c r="AG84" s="34" t="str">
        <f>IFERROR(IF(AND(Table846[[#This Row],[Classification]]="Assets",Table846[[#This Row],[Debit\]]-Table846[[#This Row],[Credit.]]),Table846[[#This Row],[Debit\]]-Table846[[#This Row],[Credit.]],""),"")</f>
        <v/>
      </c>
      <c r="AH84" s="34" t="str">
        <f>IFERROR(IF(AND(OR(Table846[[#This Row],[Classification]]="Liabilities",Table846[[#This Row],[Classification]]="Owner´s Equity"),Table846[[#This Row],[Credit.]]&gt;Table846[[#This Row],[Debit\]]),Table846[[#This Row],[Credit.]]-Table846[[#This Row],[Debit\]],""),"")</f>
        <v/>
      </c>
    </row>
    <row r="85" spans="2:34" hidden="1" x14ac:dyDescent="0.25">
      <c r="B85" s="34"/>
      <c r="C85" s="37"/>
      <c r="D85" s="34"/>
      <c r="E85" s="34"/>
      <c r="G85" s="39"/>
      <c r="H85" s="40"/>
      <c r="I85" s="41"/>
      <c r="J85" s="41"/>
      <c r="L85" s="34">
        <v>78</v>
      </c>
      <c r="M85" s="35"/>
      <c r="N85" s="35"/>
      <c r="O85" s="34">
        <f>IFERROR(SUMIF(Table443[,],Table645[[#This Row],[Accounts Name]],Table443[,3]),"")</f>
        <v>0</v>
      </c>
      <c r="P85" s="34">
        <f>IFERROR(SUMIF(Table443[,],Table645[[#This Row],[Accounts Name]],Table443[,2]),"")</f>
        <v>0</v>
      </c>
      <c r="S85" s="36">
        <f t="shared" si="1"/>
        <v>78</v>
      </c>
      <c r="T85" s="34"/>
      <c r="U85" s="37"/>
      <c r="V85" s="34">
        <f>IFERROR(SUMIF(Table645[Sub-Accounts],Table846[[#This Row],[Update your chart of accounts here]],Table645[Debit]),"")</f>
        <v>0</v>
      </c>
      <c r="W85" s="34">
        <f>IFERROR(SUMIF(Table645[Sub-Accounts],Table846[[#This Row],[Update your chart of accounts here]],Table645[Credit]),"")</f>
        <v>0</v>
      </c>
      <c r="X85" s="34"/>
      <c r="Y85" s="34"/>
      <c r="Z85" s="34"/>
      <c r="AA85" s="34"/>
      <c r="AB85" s="34">
        <f>MAX(Table846[[#This Row],[Debit]]+Table846[[#This Row],[Debit -]]-Table846[[#This Row],[Credit]]-Table846[[#This Row],[Credit +]],0)</f>
        <v>0</v>
      </c>
      <c r="AC85" s="34">
        <f>MAX(Table846[[#This Row],[Credit]]-Table846[[#This Row],[Debit]]+Table846[[#This Row],[Credit +]]-Table846[[#This Row],[Debit -]],0)</f>
        <v>0</v>
      </c>
      <c r="AD85" s="34" t="str">
        <f>IFERROR(IF(AND(OR(Table846[[#This Row],[Classification]]="Expense",Table846[[#This Row],[Classification]]="Cost of Goods Sold"),Table846[[#This Row],[Debit\]]&gt;Table846[[#This Row],[Credit.]]),Table846[[#This Row],[Debit\]]-Table846[[#This Row],[Credit.]],""),"")</f>
        <v/>
      </c>
      <c r="AE85" s="34" t="str">
        <f>IFERROR(IF(AND(OR(Table846[[#This Row],[Classification]]="Income",Table846[[#This Row],[Classification]]="Cost of Goods Sold"),Table846[[#This Row],[Credit.]]&gt;Table846[[#This Row],[Debit\]]),Table846[[#This Row],[Credit.]]-Table846[[#This Row],[Debit\]],""),"")</f>
        <v/>
      </c>
      <c r="AF85" s="34"/>
      <c r="AG85" s="34" t="str">
        <f>IFERROR(IF(AND(Table846[[#This Row],[Classification]]="Assets",Table846[[#This Row],[Debit\]]-Table846[[#This Row],[Credit.]]),Table846[[#This Row],[Debit\]]-Table846[[#This Row],[Credit.]],""),"")</f>
        <v/>
      </c>
      <c r="AH85" s="34" t="str">
        <f>IFERROR(IF(AND(OR(Table846[[#This Row],[Classification]]="Liabilities",Table846[[#This Row],[Classification]]="Owner´s Equity"),Table846[[#This Row],[Credit.]]&gt;Table846[[#This Row],[Debit\]]),Table846[[#This Row],[Credit.]]-Table846[[#This Row],[Debit\]],""),"")</f>
        <v/>
      </c>
    </row>
    <row r="86" spans="2:34" hidden="1" x14ac:dyDescent="0.25">
      <c r="B86" s="34"/>
      <c r="C86" s="37"/>
      <c r="D86" s="34"/>
      <c r="E86" s="34"/>
      <c r="G86" s="39"/>
      <c r="H86" s="43"/>
      <c r="I86" s="41"/>
      <c r="J86" s="41"/>
      <c r="L86" s="34">
        <v>79</v>
      </c>
      <c r="M86" s="35"/>
      <c r="N86" s="35"/>
      <c r="O86" s="34">
        <f>IFERROR(SUMIF(Table443[,],Table645[[#This Row],[Accounts Name]],Table443[,3]),"")</f>
        <v>0</v>
      </c>
      <c r="P86" s="34">
        <f>IFERROR(SUMIF(Table443[,],Table645[[#This Row],[Accounts Name]],Table443[,2]),"")</f>
        <v>0</v>
      </c>
      <c r="S86" s="36">
        <f t="shared" si="1"/>
        <v>79</v>
      </c>
      <c r="T86" s="34"/>
      <c r="U86" s="37"/>
      <c r="V86" s="34">
        <f>IFERROR(SUMIF(Table645[Sub-Accounts],Table846[[#This Row],[Update your chart of accounts here]],Table645[Debit]),"")</f>
        <v>0</v>
      </c>
      <c r="W86" s="34">
        <f>IFERROR(SUMIF(Table645[Sub-Accounts],Table846[[#This Row],[Update your chart of accounts here]],Table645[Credit]),"")</f>
        <v>0</v>
      </c>
      <c r="X86" s="34"/>
      <c r="Y86" s="34"/>
      <c r="Z86" s="34"/>
      <c r="AA86" s="34"/>
      <c r="AB86" s="34">
        <f>MAX(Table846[[#This Row],[Debit]]+Table846[[#This Row],[Debit -]]-Table846[[#This Row],[Credit]]-Table846[[#This Row],[Credit +]],0)</f>
        <v>0</v>
      </c>
      <c r="AC86" s="34">
        <f>MAX(Table846[[#This Row],[Credit]]-Table846[[#This Row],[Debit]]+Table846[[#This Row],[Credit +]]-Table846[[#This Row],[Debit -]],0)</f>
        <v>0</v>
      </c>
      <c r="AD86" s="34" t="str">
        <f>IFERROR(IF(AND(OR(Table846[[#This Row],[Classification]]="Expense",Table846[[#This Row],[Classification]]="Cost of Goods Sold"),Table846[[#This Row],[Debit\]]&gt;Table846[[#This Row],[Credit.]]),Table846[[#This Row],[Debit\]]-Table846[[#This Row],[Credit.]],""),"")</f>
        <v/>
      </c>
      <c r="AE86" s="34" t="str">
        <f>IFERROR(IF(AND(OR(Table846[[#This Row],[Classification]]="Income",Table846[[#This Row],[Classification]]="Cost of Goods Sold"),Table846[[#This Row],[Credit.]]&gt;Table846[[#This Row],[Debit\]]),Table846[[#This Row],[Credit.]]-Table846[[#This Row],[Debit\]],""),"")</f>
        <v/>
      </c>
      <c r="AF86" s="34"/>
      <c r="AG86" s="34" t="str">
        <f>IFERROR(IF(AND(Table846[[#This Row],[Classification]]="Assets",Table846[[#This Row],[Debit\]]-Table846[[#This Row],[Credit.]]),Table846[[#This Row],[Debit\]]-Table846[[#This Row],[Credit.]],""),"")</f>
        <v/>
      </c>
      <c r="AH86" s="34" t="str">
        <f>IFERROR(IF(AND(OR(Table846[[#This Row],[Classification]]="Liabilities",Table846[[#This Row],[Classification]]="Owner´s Equity"),Table846[[#This Row],[Credit.]]&gt;Table846[[#This Row],[Debit\]]),Table846[[#This Row],[Credit.]]-Table846[[#This Row],[Debit\]],""),"")</f>
        <v/>
      </c>
    </row>
    <row r="87" spans="2:34" hidden="1" x14ac:dyDescent="0.25">
      <c r="B87" s="34"/>
      <c r="C87" s="37"/>
      <c r="D87" s="34"/>
      <c r="E87" s="34"/>
      <c r="G87" s="39"/>
      <c r="H87" s="40"/>
      <c r="I87" s="41"/>
      <c r="J87" s="41"/>
      <c r="L87" s="34">
        <v>80</v>
      </c>
      <c r="M87" s="35"/>
      <c r="N87" s="35"/>
      <c r="O87" s="34">
        <f>IFERROR(SUMIF(Table443[,],Table645[[#This Row],[Accounts Name]],Table443[,3]),"")</f>
        <v>0</v>
      </c>
      <c r="P87" s="34">
        <f>IFERROR(SUMIF(Table443[,],Table645[[#This Row],[Accounts Name]],Table443[,2]),"")</f>
        <v>0</v>
      </c>
      <c r="S87" s="36">
        <f t="shared" si="1"/>
        <v>80</v>
      </c>
      <c r="T87" s="34"/>
      <c r="U87" s="37"/>
      <c r="V87" s="34">
        <f>IFERROR(SUMIF(Table645[Sub-Accounts],Table846[[#This Row],[Update your chart of accounts here]],Table645[Debit]),"")</f>
        <v>0</v>
      </c>
      <c r="W87" s="34">
        <f>IFERROR(SUMIF(Table645[Sub-Accounts],Table846[[#This Row],[Update your chart of accounts here]],Table645[Credit]),"")</f>
        <v>0</v>
      </c>
      <c r="X87" s="34"/>
      <c r="Y87" s="34"/>
      <c r="Z87" s="34"/>
      <c r="AA87" s="34"/>
      <c r="AB87" s="34">
        <f>MAX(Table846[[#This Row],[Debit]]+Table846[[#This Row],[Debit -]]-Table846[[#This Row],[Credit]]-Table846[[#This Row],[Credit +]],0)</f>
        <v>0</v>
      </c>
      <c r="AC87" s="34">
        <f>MAX(Table846[[#This Row],[Credit]]-Table846[[#This Row],[Debit]]+Table846[[#This Row],[Credit +]]-Table846[[#This Row],[Debit -]],0)</f>
        <v>0</v>
      </c>
      <c r="AD87" s="34" t="str">
        <f>IFERROR(IF(AND(OR(Table846[[#This Row],[Classification]]="Expense",Table846[[#This Row],[Classification]]="Cost of Goods Sold"),Table846[[#This Row],[Debit\]]&gt;Table846[[#This Row],[Credit.]]),Table846[[#This Row],[Debit\]]-Table846[[#This Row],[Credit.]],""),"")</f>
        <v/>
      </c>
      <c r="AE87" s="34" t="str">
        <f>IFERROR(IF(AND(OR(Table846[[#This Row],[Classification]]="Income",Table846[[#This Row],[Classification]]="Cost of Goods Sold"),Table846[[#This Row],[Credit.]]&gt;Table846[[#This Row],[Debit\]]),Table846[[#This Row],[Credit.]]-Table846[[#This Row],[Debit\]],""),"")</f>
        <v/>
      </c>
      <c r="AF87" s="34"/>
      <c r="AG87" s="34" t="str">
        <f>IFERROR(IF(AND(Table846[[#This Row],[Classification]]="Assets",Table846[[#This Row],[Debit\]]-Table846[[#This Row],[Credit.]]),Table846[[#This Row],[Debit\]]-Table846[[#This Row],[Credit.]],""),"")</f>
        <v/>
      </c>
      <c r="AH87" s="34" t="str">
        <f>IFERROR(IF(AND(OR(Table846[[#This Row],[Classification]]="Liabilities",Table846[[#This Row],[Classification]]="Owner´s Equity"),Table846[[#This Row],[Credit.]]&gt;Table846[[#This Row],[Debit\]]),Table846[[#This Row],[Credit.]]-Table846[[#This Row],[Debit\]],""),"")</f>
        <v/>
      </c>
    </row>
    <row r="88" spans="2:34" hidden="1" x14ac:dyDescent="0.25">
      <c r="B88" s="34"/>
      <c r="C88" s="37"/>
      <c r="D88" s="34"/>
      <c r="E88" s="34"/>
      <c r="G88" s="39"/>
      <c r="H88" s="40"/>
      <c r="I88" s="41"/>
      <c r="J88" s="41"/>
      <c r="L88" s="34">
        <v>81</v>
      </c>
      <c r="M88" s="35"/>
      <c r="N88" s="35"/>
      <c r="O88" s="34">
        <f>IFERROR(SUMIF(Table443[,],Table645[[#This Row],[Accounts Name]],Table443[,3]),"")</f>
        <v>0</v>
      </c>
      <c r="P88" s="34">
        <f>IFERROR(SUMIF(Table443[,],Table645[[#This Row],[Accounts Name]],Table443[,2]),"")</f>
        <v>0</v>
      </c>
      <c r="S88" s="36">
        <f t="shared" si="1"/>
        <v>81</v>
      </c>
      <c r="T88" s="34"/>
      <c r="U88" s="37"/>
      <c r="V88" s="34">
        <f>IFERROR(SUMIF(Table645[Sub-Accounts],Table846[[#This Row],[Update your chart of accounts here]],Table645[Debit]),"")</f>
        <v>0</v>
      </c>
      <c r="W88" s="34">
        <f>IFERROR(SUMIF(Table645[Sub-Accounts],Table846[[#This Row],[Update your chart of accounts here]],Table645[Credit]),"")</f>
        <v>0</v>
      </c>
      <c r="X88" s="34"/>
      <c r="Y88" s="34"/>
      <c r="Z88" s="34"/>
      <c r="AA88" s="34"/>
      <c r="AB88" s="34">
        <f>MAX(Table846[[#This Row],[Debit]]+Table846[[#This Row],[Debit -]]-Table846[[#This Row],[Credit]]-Table846[[#This Row],[Credit +]],0)</f>
        <v>0</v>
      </c>
      <c r="AC88" s="34">
        <f>MAX(Table846[[#This Row],[Credit]]-Table846[[#This Row],[Debit]]+Table846[[#This Row],[Credit +]]-Table846[[#This Row],[Debit -]],0)</f>
        <v>0</v>
      </c>
      <c r="AD88" s="34" t="str">
        <f>IFERROR(IF(AND(OR(Table846[[#This Row],[Classification]]="Expense",Table846[[#This Row],[Classification]]="Cost of Goods Sold"),Table846[[#This Row],[Debit\]]&gt;Table846[[#This Row],[Credit.]]),Table846[[#This Row],[Debit\]]-Table846[[#This Row],[Credit.]],""),"")</f>
        <v/>
      </c>
      <c r="AE88" s="34" t="str">
        <f>IFERROR(IF(AND(OR(Table846[[#This Row],[Classification]]="Income",Table846[[#This Row],[Classification]]="Cost of Goods Sold"),Table846[[#This Row],[Credit.]]&gt;Table846[[#This Row],[Debit\]]),Table846[[#This Row],[Credit.]]-Table846[[#This Row],[Debit\]],""),"")</f>
        <v/>
      </c>
      <c r="AF88" s="34"/>
      <c r="AG88" s="34" t="str">
        <f>IFERROR(IF(AND(Table846[[#This Row],[Classification]]="Assets",Table846[[#This Row],[Debit\]]-Table846[[#This Row],[Credit.]]),Table846[[#This Row],[Debit\]]-Table846[[#This Row],[Credit.]],""),"")</f>
        <v/>
      </c>
      <c r="AH88" s="34" t="str">
        <f>IFERROR(IF(AND(OR(Table846[[#This Row],[Classification]]="Liabilities",Table846[[#This Row],[Classification]]="Owner´s Equity"),Table846[[#This Row],[Credit.]]&gt;Table846[[#This Row],[Debit\]]),Table846[[#This Row],[Credit.]]-Table846[[#This Row],[Debit\]],""),"")</f>
        <v/>
      </c>
    </row>
    <row r="89" spans="2:34" hidden="1" x14ac:dyDescent="0.25">
      <c r="B89" s="34"/>
      <c r="C89" s="37"/>
      <c r="D89" s="34"/>
      <c r="E89" s="34"/>
      <c r="G89" s="39"/>
      <c r="H89" s="43"/>
      <c r="I89" s="41"/>
      <c r="J89" s="41"/>
      <c r="L89" s="34">
        <v>82</v>
      </c>
      <c r="M89" s="35"/>
      <c r="N89" s="35"/>
      <c r="O89" s="34">
        <f>IFERROR(SUMIF(Table443[,],Table645[[#This Row],[Accounts Name]],Table443[,3]),"")</f>
        <v>0</v>
      </c>
      <c r="P89" s="34">
        <f>IFERROR(SUMIF(Table443[,],Table645[[#This Row],[Accounts Name]],Table443[,2]),"")</f>
        <v>0</v>
      </c>
      <c r="S89" s="36">
        <f t="shared" si="1"/>
        <v>82</v>
      </c>
      <c r="T89" s="34"/>
      <c r="U89" s="37"/>
      <c r="V89" s="34">
        <f>IFERROR(SUMIF(Table645[Sub-Accounts],Table846[[#This Row],[Update your chart of accounts here]],Table645[Debit]),"")</f>
        <v>0</v>
      </c>
      <c r="W89" s="34">
        <f>IFERROR(SUMIF(Table645[Sub-Accounts],Table846[[#This Row],[Update your chart of accounts here]],Table645[Credit]),"")</f>
        <v>0</v>
      </c>
      <c r="X89" s="34"/>
      <c r="Y89" s="34"/>
      <c r="Z89" s="34"/>
      <c r="AA89" s="34"/>
      <c r="AB89" s="34">
        <f>MAX(Table846[[#This Row],[Debit]]+Table846[[#This Row],[Debit -]]-Table846[[#This Row],[Credit]]-Table846[[#This Row],[Credit +]],0)</f>
        <v>0</v>
      </c>
      <c r="AC89" s="34">
        <f>MAX(Table846[[#This Row],[Credit]]-Table846[[#This Row],[Debit]]+Table846[[#This Row],[Credit +]]-Table846[[#This Row],[Debit -]],0)</f>
        <v>0</v>
      </c>
      <c r="AD89" s="34" t="str">
        <f>IFERROR(IF(AND(OR(Table846[[#This Row],[Classification]]="Expense",Table846[[#This Row],[Classification]]="Cost of Goods Sold"),Table846[[#This Row],[Debit\]]&gt;Table846[[#This Row],[Credit.]]),Table846[[#This Row],[Debit\]]-Table846[[#This Row],[Credit.]],""),"")</f>
        <v/>
      </c>
      <c r="AE89" s="34" t="str">
        <f>IFERROR(IF(AND(OR(Table846[[#This Row],[Classification]]="Income",Table846[[#This Row],[Classification]]="Cost of Goods Sold"),Table846[[#This Row],[Credit.]]&gt;Table846[[#This Row],[Debit\]]),Table846[[#This Row],[Credit.]]-Table846[[#This Row],[Debit\]],""),"")</f>
        <v/>
      </c>
      <c r="AF89" s="34"/>
      <c r="AG89" s="34" t="str">
        <f>IFERROR(IF(AND(Table846[[#This Row],[Classification]]="Assets",Table846[[#This Row],[Debit\]]-Table846[[#This Row],[Credit.]]),Table846[[#This Row],[Debit\]]-Table846[[#This Row],[Credit.]],""),"")</f>
        <v/>
      </c>
      <c r="AH89" s="34" t="str">
        <f>IFERROR(IF(AND(OR(Table846[[#This Row],[Classification]]="Liabilities",Table846[[#This Row],[Classification]]="Owner´s Equity"),Table846[[#This Row],[Credit.]]&gt;Table846[[#This Row],[Debit\]]),Table846[[#This Row],[Credit.]]-Table846[[#This Row],[Debit\]],""),"")</f>
        <v/>
      </c>
    </row>
    <row r="90" spans="2:34" hidden="1" x14ac:dyDescent="0.25">
      <c r="B90" s="34"/>
      <c r="C90" s="45"/>
      <c r="D90" s="34"/>
      <c r="E90" s="34"/>
      <c r="G90" s="39"/>
      <c r="H90" s="40"/>
      <c r="I90" s="41"/>
      <c r="J90" s="41"/>
      <c r="L90" s="34">
        <v>83</v>
      </c>
      <c r="M90" s="35"/>
      <c r="N90" s="35"/>
      <c r="O90" s="34">
        <f>IFERROR(SUMIF(Table443[,],Table645[[#This Row],[Accounts Name]],Table443[,3]),"")</f>
        <v>0</v>
      </c>
      <c r="P90" s="34">
        <f>IFERROR(SUMIF(Table443[,],Table645[[#This Row],[Accounts Name]],Table443[,2]),"")</f>
        <v>0</v>
      </c>
      <c r="S90" s="36">
        <f t="shared" si="1"/>
        <v>83</v>
      </c>
      <c r="T90" s="34"/>
      <c r="U90" s="37"/>
      <c r="V90" s="34">
        <f>IFERROR(SUMIF(Table645[Sub-Accounts],Table846[[#This Row],[Update your chart of accounts here]],Table645[Debit]),"")</f>
        <v>0</v>
      </c>
      <c r="W90" s="34">
        <f>IFERROR(SUMIF(Table645[Sub-Accounts],Table846[[#This Row],[Update your chart of accounts here]],Table645[Credit]),"")</f>
        <v>0</v>
      </c>
      <c r="X90" s="34"/>
      <c r="Y90" s="34"/>
      <c r="Z90" s="34"/>
      <c r="AA90" s="34"/>
      <c r="AB90" s="34">
        <f>MAX(Table846[[#This Row],[Debit]]+Table846[[#This Row],[Debit -]]-Table846[[#This Row],[Credit]]-Table846[[#This Row],[Credit +]],0)</f>
        <v>0</v>
      </c>
      <c r="AC90" s="34">
        <f>MAX(Table846[[#This Row],[Credit]]-Table846[[#This Row],[Debit]]+Table846[[#This Row],[Credit +]]-Table846[[#This Row],[Debit -]],0)</f>
        <v>0</v>
      </c>
      <c r="AD90" s="34" t="str">
        <f>IFERROR(IF(AND(OR(Table846[[#This Row],[Classification]]="Expense",Table846[[#This Row],[Classification]]="Cost of Goods Sold"),Table846[[#This Row],[Debit\]]&gt;Table846[[#This Row],[Credit.]]),Table846[[#This Row],[Debit\]]-Table846[[#This Row],[Credit.]],""),"")</f>
        <v/>
      </c>
      <c r="AE90" s="34" t="str">
        <f>IFERROR(IF(AND(OR(Table846[[#This Row],[Classification]]="Income",Table846[[#This Row],[Classification]]="Cost of Goods Sold"),Table846[[#This Row],[Credit.]]&gt;Table846[[#This Row],[Debit\]]),Table846[[#This Row],[Credit.]]-Table846[[#This Row],[Debit\]],""),"")</f>
        <v/>
      </c>
      <c r="AF90" s="34"/>
      <c r="AG90" s="34" t="str">
        <f>IFERROR(IF(AND(Table846[[#This Row],[Classification]]="Assets",Table846[[#This Row],[Debit\]]-Table846[[#This Row],[Credit.]]),Table846[[#This Row],[Debit\]]-Table846[[#This Row],[Credit.]],""),"")</f>
        <v/>
      </c>
      <c r="AH90" s="34" t="str">
        <f>IFERROR(IF(AND(OR(Table846[[#This Row],[Classification]]="Liabilities",Table846[[#This Row],[Classification]]="Owner´s Equity"),Table846[[#This Row],[Credit.]]&gt;Table846[[#This Row],[Debit\]]),Table846[[#This Row],[Credit.]]-Table846[[#This Row],[Debit\]],""),"")</f>
        <v/>
      </c>
    </row>
    <row r="91" spans="2:34" hidden="1" x14ac:dyDescent="0.25">
      <c r="B91" s="34"/>
      <c r="C91" s="45"/>
      <c r="D91" s="34"/>
      <c r="E91" s="34"/>
      <c r="G91" s="39"/>
      <c r="H91" s="40"/>
      <c r="I91" s="41"/>
      <c r="J91" s="41"/>
      <c r="L91" s="34">
        <v>84</v>
      </c>
      <c r="M91" s="35"/>
      <c r="N91" s="35"/>
      <c r="O91" s="34">
        <f>IFERROR(SUMIF(Table443[,],Table645[[#This Row],[Accounts Name]],Table443[,3]),"")</f>
        <v>0</v>
      </c>
      <c r="P91" s="34">
        <f>IFERROR(SUMIF(Table443[,],Table645[[#This Row],[Accounts Name]],Table443[,2]),"")</f>
        <v>0</v>
      </c>
      <c r="S91" s="36">
        <f t="shared" si="1"/>
        <v>84</v>
      </c>
      <c r="T91" s="34"/>
      <c r="U91" s="37"/>
      <c r="V91" s="34">
        <f>IFERROR(SUMIF(Table645[Sub-Accounts],Table846[[#This Row],[Update your chart of accounts here]],Table645[Debit]),"")</f>
        <v>0</v>
      </c>
      <c r="W91" s="34">
        <f>IFERROR(SUMIF(Table645[Sub-Accounts],Table846[[#This Row],[Update your chart of accounts here]],Table645[Credit]),"")</f>
        <v>0</v>
      </c>
      <c r="X91" s="34"/>
      <c r="Y91" s="34"/>
      <c r="Z91" s="34"/>
      <c r="AA91" s="34"/>
      <c r="AB91" s="34">
        <f>MAX(Table846[[#This Row],[Debit]]+Table846[[#This Row],[Debit -]]-Table846[[#This Row],[Credit]]-Table846[[#This Row],[Credit +]],0)</f>
        <v>0</v>
      </c>
      <c r="AC91" s="34">
        <f>MAX(Table846[[#This Row],[Credit]]-Table846[[#This Row],[Debit]]+Table846[[#This Row],[Credit +]]-Table846[[#This Row],[Debit -]],0)</f>
        <v>0</v>
      </c>
      <c r="AD91" s="34" t="str">
        <f>IFERROR(IF(AND(OR(Table846[[#This Row],[Classification]]="Expense",Table846[[#This Row],[Classification]]="Cost of Goods Sold"),Table846[[#This Row],[Debit\]]&gt;Table846[[#This Row],[Credit.]]),Table846[[#This Row],[Debit\]]-Table846[[#This Row],[Credit.]],""),"")</f>
        <v/>
      </c>
      <c r="AE91" s="34" t="str">
        <f>IFERROR(IF(AND(OR(Table846[[#This Row],[Classification]]="Income",Table846[[#This Row],[Classification]]="Cost of Goods Sold"),Table846[[#This Row],[Credit.]]&gt;Table846[[#This Row],[Debit\]]),Table846[[#This Row],[Credit.]]-Table846[[#This Row],[Debit\]],""),"")</f>
        <v/>
      </c>
      <c r="AF91" s="34"/>
      <c r="AG91" s="34" t="str">
        <f>IFERROR(IF(AND(Table846[[#This Row],[Classification]]="Assets",Table846[[#This Row],[Debit\]]-Table846[[#This Row],[Credit.]]),Table846[[#This Row],[Debit\]]-Table846[[#This Row],[Credit.]],""),"")</f>
        <v/>
      </c>
      <c r="AH91" s="34" t="str">
        <f>IFERROR(IF(AND(OR(Table846[[#This Row],[Classification]]="Liabilities",Table846[[#This Row],[Classification]]="Owner´s Equity"),Table846[[#This Row],[Credit.]]&gt;Table846[[#This Row],[Debit\]]),Table846[[#This Row],[Credit.]]-Table846[[#This Row],[Debit\]],""),"")</f>
        <v/>
      </c>
    </row>
    <row r="92" spans="2:34" hidden="1" x14ac:dyDescent="0.25">
      <c r="B92" s="34"/>
      <c r="C92" s="45"/>
      <c r="D92" s="34"/>
      <c r="E92" s="34"/>
      <c r="G92" s="39"/>
      <c r="H92" s="43"/>
      <c r="I92" s="41"/>
      <c r="J92" s="41"/>
      <c r="L92" s="34">
        <v>85</v>
      </c>
      <c r="M92" s="35"/>
      <c r="N92" s="35"/>
      <c r="O92" s="34">
        <f>IFERROR(SUMIF(Table443[,],Table645[[#This Row],[Accounts Name]],Table443[,3]),"")</f>
        <v>0</v>
      </c>
      <c r="P92" s="34">
        <f>IFERROR(SUMIF(Table443[,],Table645[[#This Row],[Accounts Name]],Table443[,2]),"")</f>
        <v>0</v>
      </c>
      <c r="S92" s="36">
        <f t="shared" si="1"/>
        <v>85</v>
      </c>
      <c r="T92" s="34"/>
      <c r="U92" s="37"/>
      <c r="V92" s="34">
        <f>IFERROR(SUMIF(Table645[Sub-Accounts],Table846[[#This Row],[Update your chart of accounts here]],Table645[Debit]),"")</f>
        <v>0</v>
      </c>
      <c r="W92" s="34">
        <f>IFERROR(SUMIF(Table645[Sub-Accounts],Table846[[#This Row],[Update your chart of accounts here]],Table645[Credit]),"")</f>
        <v>0</v>
      </c>
      <c r="X92" s="34"/>
      <c r="Y92" s="34"/>
      <c r="Z92" s="34"/>
      <c r="AA92" s="34"/>
      <c r="AB92" s="34">
        <f>MAX(Table846[[#This Row],[Debit]]+Table846[[#This Row],[Debit -]]-Table846[[#This Row],[Credit]]-Table846[[#This Row],[Credit +]],0)</f>
        <v>0</v>
      </c>
      <c r="AC92" s="34">
        <f>MAX(Table846[[#This Row],[Credit]]-Table846[[#This Row],[Debit]]+Table846[[#This Row],[Credit +]]-Table846[[#This Row],[Debit -]],0)</f>
        <v>0</v>
      </c>
      <c r="AD92" s="34" t="str">
        <f>IFERROR(IF(AND(OR(Table846[[#This Row],[Classification]]="Expense",Table846[[#This Row],[Classification]]="Cost of Goods Sold"),Table846[[#This Row],[Debit\]]&gt;Table846[[#This Row],[Credit.]]),Table846[[#This Row],[Debit\]]-Table846[[#This Row],[Credit.]],""),"")</f>
        <v/>
      </c>
      <c r="AE92" s="34" t="str">
        <f>IFERROR(IF(AND(OR(Table846[[#This Row],[Classification]]="Income",Table846[[#This Row],[Classification]]="Cost of Goods Sold"),Table846[[#This Row],[Credit.]]&gt;Table846[[#This Row],[Debit\]]),Table846[[#This Row],[Credit.]]-Table846[[#This Row],[Debit\]],""),"")</f>
        <v/>
      </c>
      <c r="AF92" s="34"/>
      <c r="AG92" s="34" t="str">
        <f>IFERROR(IF(AND(Table846[[#This Row],[Classification]]="Assets",Table846[[#This Row],[Debit\]]-Table846[[#This Row],[Credit.]]),Table846[[#This Row],[Debit\]]-Table846[[#This Row],[Credit.]],""),"")</f>
        <v/>
      </c>
      <c r="AH92" s="34" t="str">
        <f>IFERROR(IF(AND(OR(Table846[[#This Row],[Classification]]="Liabilities",Table846[[#This Row],[Classification]]="Owner´s Equity"),Table846[[#This Row],[Credit.]]&gt;Table846[[#This Row],[Debit\]]),Table846[[#This Row],[Credit.]]-Table846[[#This Row],[Debit\]],""),"")</f>
        <v/>
      </c>
    </row>
    <row r="93" spans="2:34" hidden="1" x14ac:dyDescent="0.25">
      <c r="B93" s="34"/>
      <c r="C93" s="45"/>
      <c r="D93" s="34"/>
      <c r="E93" s="34"/>
      <c r="G93" s="39"/>
      <c r="H93" s="40"/>
      <c r="I93" s="41"/>
      <c r="J93" s="41"/>
      <c r="L93" s="34">
        <v>86</v>
      </c>
      <c r="M93" s="35"/>
      <c r="N93" s="35"/>
      <c r="O93" s="34">
        <f>IFERROR(SUMIF(Table443[,],Table645[[#This Row],[Accounts Name]],Table443[,3]),"")</f>
        <v>0</v>
      </c>
      <c r="P93" s="34">
        <f>IFERROR(SUMIF(Table443[,],Table645[[#This Row],[Accounts Name]],Table443[,2]),"")</f>
        <v>0</v>
      </c>
      <c r="S93" s="36">
        <f t="shared" si="1"/>
        <v>86</v>
      </c>
      <c r="T93" s="34"/>
      <c r="U93" s="37"/>
      <c r="V93" s="34">
        <f>IFERROR(SUMIF(Table645[Sub-Accounts],Table846[[#This Row],[Update your chart of accounts here]],Table645[Debit]),"")</f>
        <v>0</v>
      </c>
      <c r="W93" s="34">
        <f>IFERROR(SUMIF(Table645[Sub-Accounts],Table846[[#This Row],[Update your chart of accounts here]],Table645[Credit]),"")</f>
        <v>0</v>
      </c>
      <c r="X93" s="34"/>
      <c r="Y93" s="34"/>
      <c r="Z93" s="34"/>
      <c r="AA93" s="34"/>
      <c r="AB93" s="34">
        <f>MAX(Table846[[#This Row],[Debit]]+Table846[[#This Row],[Debit -]]-Table846[[#This Row],[Credit]]-Table846[[#This Row],[Credit +]],0)</f>
        <v>0</v>
      </c>
      <c r="AC93" s="34">
        <f>MAX(Table846[[#This Row],[Credit]]-Table846[[#This Row],[Debit]]+Table846[[#This Row],[Credit +]]-Table846[[#This Row],[Debit -]],0)</f>
        <v>0</v>
      </c>
      <c r="AD93" s="34" t="str">
        <f>IFERROR(IF(AND(OR(Table846[[#This Row],[Classification]]="Expense",Table846[[#This Row],[Classification]]="Cost of Goods Sold"),Table846[[#This Row],[Debit\]]&gt;Table846[[#This Row],[Credit.]]),Table846[[#This Row],[Debit\]]-Table846[[#This Row],[Credit.]],""),"")</f>
        <v/>
      </c>
      <c r="AE93" s="34" t="str">
        <f>IFERROR(IF(AND(OR(Table846[[#This Row],[Classification]]="Income",Table846[[#This Row],[Classification]]="Cost of Goods Sold"),Table846[[#This Row],[Credit.]]&gt;Table846[[#This Row],[Debit\]]),Table846[[#This Row],[Credit.]]-Table846[[#This Row],[Debit\]],""),"")</f>
        <v/>
      </c>
      <c r="AF93" s="34"/>
      <c r="AG93" s="34" t="str">
        <f>IFERROR(IF(AND(Table846[[#This Row],[Classification]]="Assets",Table846[[#This Row],[Debit\]]-Table846[[#This Row],[Credit.]]),Table846[[#This Row],[Debit\]]-Table846[[#This Row],[Credit.]],""),"")</f>
        <v/>
      </c>
      <c r="AH93" s="34" t="str">
        <f>IFERROR(IF(AND(OR(Table846[[#This Row],[Classification]]="Liabilities",Table846[[#This Row],[Classification]]="Owner´s Equity"),Table846[[#This Row],[Credit.]]&gt;Table846[[#This Row],[Debit\]]),Table846[[#This Row],[Credit.]]-Table846[[#This Row],[Debit\]],""),"")</f>
        <v/>
      </c>
    </row>
    <row r="94" spans="2:34" hidden="1" x14ac:dyDescent="0.25">
      <c r="B94" s="34"/>
      <c r="C94" s="45"/>
      <c r="D94" s="34"/>
      <c r="E94" s="34"/>
      <c r="G94" s="39"/>
      <c r="H94" s="40"/>
      <c r="I94" s="41"/>
      <c r="J94" s="41"/>
      <c r="L94" s="34">
        <v>87</v>
      </c>
      <c r="M94" s="35"/>
      <c r="N94" s="35"/>
      <c r="O94" s="34">
        <f>IFERROR(SUMIF(Table443[,],Table645[[#This Row],[Accounts Name]],Table443[,3]),"")</f>
        <v>0</v>
      </c>
      <c r="P94" s="34">
        <f>IFERROR(SUMIF(Table443[,],Table645[[#This Row],[Accounts Name]],Table443[,2]),"")</f>
        <v>0</v>
      </c>
      <c r="S94" s="36">
        <f t="shared" si="1"/>
        <v>87</v>
      </c>
      <c r="T94" s="34"/>
      <c r="U94" s="37"/>
      <c r="V94" s="34">
        <f>IFERROR(SUMIF(Table645[Sub-Accounts],Table846[[#This Row],[Update your chart of accounts here]],Table645[Debit]),"")</f>
        <v>0</v>
      </c>
      <c r="W94" s="34">
        <f>IFERROR(SUMIF(Table645[Sub-Accounts],Table846[[#This Row],[Update your chart of accounts here]],Table645[Credit]),"")</f>
        <v>0</v>
      </c>
      <c r="X94" s="34"/>
      <c r="Y94" s="34"/>
      <c r="Z94" s="34"/>
      <c r="AA94" s="34"/>
      <c r="AB94" s="34">
        <f>MAX(Table846[[#This Row],[Debit]]+Table846[[#This Row],[Debit -]]-Table846[[#This Row],[Credit]]-Table846[[#This Row],[Credit +]],0)</f>
        <v>0</v>
      </c>
      <c r="AC94" s="34">
        <f>MAX(Table846[[#This Row],[Credit]]-Table846[[#This Row],[Debit]]+Table846[[#This Row],[Credit +]]-Table846[[#This Row],[Debit -]],0)</f>
        <v>0</v>
      </c>
      <c r="AD94" s="34" t="str">
        <f>IFERROR(IF(AND(OR(Table846[[#This Row],[Classification]]="Expense",Table846[[#This Row],[Classification]]="Cost of Goods Sold"),Table846[[#This Row],[Debit\]]&gt;Table846[[#This Row],[Credit.]]),Table846[[#This Row],[Debit\]]-Table846[[#This Row],[Credit.]],""),"")</f>
        <v/>
      </c>
      <c r="AE94" s="34" t="str">
        <f>IFERROR(IF(AND(OR(Table846[[#This Row],[Classification]]="Income",Table846[[#This Row],[Classification]]="Cost of Goods Sold"),Table846[[#This Row],[Credit.]]&gt;Table846[[#This Row],[Debit\]]),Table846[[#This Row],[Credit.]]-Table846[[#This Row],[Debit\]],""),"")</f>
        <v/>
      </c>
      <c r="AF94" s="34"/>
      <c r="AG94" s="34" t="str">
        <f>IFERROR(IF(AND(Table846[[#This Row],[Classification]]="Assets",Table846[[#This Row],[Debit\]]-Table846[[#This Row],[Credit.]]),Table846[[#This Row],[Debit\]]-Table846[[#This Row],[Credit.]],""),"")</f>
        <v/>
      </c>
      <c r="AH94" s="34" t="str">
        <f>IFERROR(IF(AND(OR(Table846[[#This Row],[Classification]]="Liabilities",Table846[[#This Row],[Classification]]="Owner´s Equity"),Table846[[#This Row],[Credit.]]&gt;Table846[[#This Row],[Debit\]]),Table846[[#This Row],[Credit.]]-Table846[[#This Row],[Debit\]],""),"")</f>
        <v/>
      </c>
    </row>
    <row r="95" spans="2:34" hidden="1" x14ac:dyDescent="0.25">
      <c r="B95" s="34"/>
      <c r="C95" s="45"/>
      <c r="D95" s="34"/>
      <c r="E95" s="34"/>
      <c r="G95" s="39"/>
      <c r="H95" s="43"/>
      <c r="I95" s="41"/>
      <c r="J95" s="41"/>
      <c r="L95" s="34">
        <v>88</v>
      </c>
      <c r="M95" s="35"/>
      <c r="N95" s="35"/>
      <c r="O95" s="34">
        <f>IFERROR(SUMIF(Table443[,],Table645[[#This Row],[Accounts Name]],Table443[,3]),"")</f>
        <v>0</v>
      </c>
      <c r="P95" s="34">
        <f>IFERROR(SUMIF(Table443[,],Table645[[#This Row],[Accounts Name]],Table443[,2]),"")</f>
        <v>0</v>
      </c>
      <c r="S95" s="36">
        <f t="shared" si="1"/>
        <v>88</v>
      </c>
      <c r="T95" s="34"/>
      <c r="U95" s="37"/>
      <c r="V95" s="34">
        <f>IFERROR(SUMIF(Table645[Sub-Accounts],Table846[[#This Row],[Update your chart of accounts here]],Table645[Debit]),"")</f>
        <v>0</v>
      </c>
      <c r="W95" s="34">
        <f>IFERROR(SUMIF(Table645[Sub-Accounts],Table846[[#This Row],[Update your chart of accounts here]],Table645[Credit]),"")</f>
        <v>0</v>
      </c>
      <c r="X95" s="34"/>
      <c r="Y95" s="34"/>
      <c r="Z95" s="34"/>
      <c r="AA95" s="34"/>
      <c r="AB95" s="34">
        <f>MAX(Table846[[#This Row],[Debit]]+Table846[[#This Row],[Debit -]]-Table846[[#This Row],[Credit]]-Table846[[#This Row],[Credit +]],0)</f>
        <v>0</v>
      </c>
      <c r="AC95" s="34">
        <f>MAX(Table846[[#This Row],[Credit]]-Table846[[#This Row],[Debit]]+Table846[[#This Row],[Credit +]]-Table846[[#This Row],[Debit -]],0)</f>
        <v>0</v>
      </c>
      <c r="AD95" s="34" t="str">
        <f>IFERROR(IF(AND(OR(Table846[[#This Row],[Classification]]="Expense",Table846[[#This Row],[Classification]]="Cost of Goods Sold"),Table846[[#This Row],[Debit\]]&gt;Table846[[#This Row],[Credit.]]),Table846[[#This Row],[Debit\]]-Table846[[#This Row],[Credit.]],""),"")</f>
        <v/>
      </c>
      <c r="AE95" s="34" t="str">
        <f>IFERROR(IF(AND(OR(Table846[[#This Row],[Classification]]="Income",Table846[[#This Row],[Classification]]="Cost of Goods Sold"),Table846[[#This Row],[Credit.]]&gt;Table846[[#This Row],[Debit\]]),Table846[[#This Row],[Credit.]]-Table846[[#This Row],[Debit\]],""),"")</f>
        <v/>
      </c>
      <c r="AF95" s="34"/>
      <c r="AG95" s="34" t="str">
        <f>IFERROR(IF(AND(Table846[[#This Row],[Classification]]="Assets",Table846[[#This Row],[Debit\]]-Table846[[#This Row],[Credit.]]),Table846[[#This Row],[Debit\]]-Table846[[#This Row],[Credit.]],""),"")</f>
        <v/>
      </c>
      <c r="AH95" s="34" t="str">
        <f>IFERROR(IF(AND(OR(Table846[[#This Row],[Classification]]="Liabilities",Table846[[#This Row],[Classification]]="Owner´s Equity"),Table846[[#This Row],[Credit.]]&gt;Table846[[#This Row],[Debit\]]),Table846[[#This Row],[Credit.]]-Table846[[#This Row],[Debit\]],""),"")</f>
        <v/>
      </c>
    </row>
    <row r="96" spans="2:34" hidden="1" x14ac:dyDescent="0.25">
      <c r="B96" s="34"/>
      <c r="C96" s="45"/>
      <c r="D96" s="34"/>
      <c r="E96" s="34"/>
      <c r="G96" s="39"/>
      <c r="H96" s="40"/>
      <c r="I96" s="41"/>
      <c r="J96" s="41"/>
      <c r="L96" s="34">
        <v>89</v>
      </c>
      <c r="M96" s="35"/>
      <c r="N96" s="35"/>
      <c r="O96" s="34">
        <f>IFERROR(SUMIF(Table443[,],Table645[[#This Row],[Accounts Name]],Table443[,3]),"")</f>
        <v>0</v>
      </c>
      <c r="P96" s="34">
        <f>IFERROR(SUMIF(Table443[,],Table645[[#This Row],[Accounts Name]],Table443[,2]),"")</f>
        <v>0</v>
      </c>
      <c r="S96" s="36">
        <f t="shared" si="1"/>
        <v>89</v>
      </c>
      <c r="T96" s="34"/>
      <c r="U96" s="37"/>
      <c r="V96" s="34">
        <f>IFERROR(SUMIF(Table645[Sub-Accounts],Table846[[#This Row],[Update your chart of accounts here]],Table645[Debit]),"")</f>
        <v>0</v>
      </c>
      <c r="W96" s="34">
        <f>IFERROR(SUMIF(Table645[Sub-Accounts],Table846[[#This Row],[Update your chart of accounts here]],Table645[Credit]),"")</f>
        <v>0</v>
      </c>
      <c r="X96" s="34"/>
      <c r="Y96" s="34"/>
      <c r="Z96" s="34"/>
      <c r="AA96" s="34"/>
      <c r="AB96" s="34">
        <f>MAX(Table846[[#This Row],[Debit]]+Table846[[#This Row],[Debit -]]-Table846[[#This Row],[Credit]]-Table846[[#This Row],[Credit +]],0)</f>
        <v>0</v>
      </c>
      <c r="AC96" s="34">
        <f>MAX(Table846[[#This Row],[Credit]]-Table846[[#This Row],[Debit]]+Table846[[#This Row],[Credit +]]-Table846[[#This Row],[Debit -]],0)</f>
        <v>0</v>
      </c>
      <c r="AD96" s="34" t="str">
        <f>IFERROR(IF(AND(OR(Table846[[#This Row],[Classification]]="Expense",Table846[[#This Row],[Classification]]="Cost of Goods Sold"),Table846[[#This Row],[Debit\]]&gt;Table846[[#This Row],[Credit.]]),Table846[[#This Row],[Debit\]]-Table846[[#This Row],[Credit.]],""),"")</f>
        <v/>
      </c>
      <c r="AE96" s="34" t="str">
        <f>IFERROR(IF(AND(OR(Table846[[#This Row],[Classification]]="Income",Table846[[#This Row],[Classification]]="Cost of Goods Sold"),Table846[[#This Row],[Credit.]]&gt;Table846[[#This Row],[Debit\]]),Table846[[#This Row],[Credit.]]-Table846[[#This Row],[Debit\]],""),"")</f>
        <v/>
      </c>
      <c r="AF96" s="34"/>
      <c r="AG96" s="34" t="str">
        <f>IFERROR(IF(AND(Table846[[#This Row],[Classification]]="Assets",Table846[[#This Row],[Debit\]]-Table846[[#This Row],[Credit.]]),Table846[[#This Row],[Debit\]]-Table846[[#This Row],[Credit.]],""),"")</f>
        <v/>
      </c>
      <c r="AH96" s="34" t="str">
        <f>IFERROR(IF(AND(OR(Table846[[#This Row],[Classification]]="Liabilities",Table846[[#This Row],[Classification]]="Owner´s Equity"),Table846[[#This Row],[Credit.]]&gt;Table846[[#This Row],[Debit\]]),Table846[[#This Row],[Credit.]]-Table846[[#This Row],[Debit\]],""),"")</f>
        <v/>
      </c>
    </row>
    <row r="97" spans="2:34" hidden="1" x14ac:dyDescent="0.25">
      <c r="B97" s="34"/>
      <c r="C97" s="45"/>
      <c r="D97" s="34"/>
      <c r="E97" s="34"/>
      <c r="G97" s="39"/>
      <c r="H97" s="40"/>
      <c r="I97" s="41"/>
      <c r="J97" s="41"/>
      <c r="L97" s="34">
        <v>90</v>
      </c>
      <c r="M97" s="35"/>
      <c r="N97" s="35"/>
      <c r="O97" s="34">
        <f>IFERROR(SUMIF(Table443[,],Table645[[#This Row],[Accounts Name]],Table443[,3]),"")</f>
        <v>0</v>
      </c>
      <c r="P97" s="34">
        <f>IFERROR(SUMIF(Table443[,],Table645[[#This Row],[Accounts Name]],Table443[,2]),"")</f>
        <v>0</v>
      </c>
      <c r="S97" s="36">
        <f t="shared" si="1"/>
        <v>90</v>
      </c>
      <c r="T97" s="34"/>
      <c r="U97" s="37"/>
      <c r="V97" s="34">
        <f>IFERROR(SUMIF(Table645[Sub-Accounts],Table846[[#This Row],[Update your chart of accounts here]],Table645[Debit]),"")</f>
        <v>0</v>
      </c>
      <c r="W97" s="34">
        <f>IFERROR(SUMIF(Table645[Sub-Accounts],Table846[[#This Row],[Update your chart of accounts here]],Table645[Credit]),"")</f>
        <v>0</v>
      </c>
      <c r="X97" s="34"/>
      <c r="Y97" s="34"/>
      <c r="Z97" s="34"/>
      <c r="AA97" s="34"/>
      <c r="AB97" s="34">
        <f>MAX(Table846[[#This Row],[Debit]]+Table846[[#This Row],[Debit -]]-Table846[[#This Row],[Credit]]-Table846[[#This Row],[Credit +]],0)</f>
        <v>0</v>
      </c>
      <c r="AC97" s="34">
        <f>MAX(Table846[[#This Row],[Credit]]-Table846[[#This Row],[Debit]]+Table846[[#This Row],[Credit +]]-Table846[[#This Row],[Debit -]],0)</f>
        <v>0</v>
      </c>
      <c r="AD97" s="34" t="str">
        <f>IFERROR(IF(AND(OR(Table846[[#This Row],[Classification]]="Expense",Table846[[#This Row],[Classification]]="Cost of Goods Sold"),Table846[[#This Row],[Debit\]]&gt;Table846[[#This Row],[Credit.]]),Table846[[#This Row],[Debit\]]-Table846[[#This Row],[Credit.]],""),"")</f>
        <v/>
      </c>
      <c r="AE97" s="34" t="str">
        <f>IFERROR(IF(AND(OR(Table846[[#This Row],[Classification]]="Income",Table846[[#This Row],[Classification]]="Cost of Goods Sold"),Table846[[#This Row],[Credit.]]&gt;Table846[[#This Row],[Debit\]]),Table846[[#This Row],[Credit.]]-Table846[[#This Row],[Debit\]],""),"")</f>
        <v/>
      </c>
      <c r="AF97" s="34"/>
      <c r="AG97" s="34" t="str">
        <f>IFERROR(IF(AND(Table846[[#This Row],[Classification]]="Assets",Table846[[#This Row],[Debit\]]-Table846[[#This Row],[Credit.]]),Table846[[#This Row],[Debit\]]-Table846[[#This Row],[Credit.]],""),"")</f>
        <v/>
      </c>
      <c r="AH97" s="34" t="str">
        <f>IFERROR(IF(AND(OR(Table846[[#This Row],[Classification]]="Liabilities",Table846[[#This Row],[Classification]]="Owner´s Equity"),Table846[[#This Row],[Credit.]]&gt;Table846[[#This Row],[Debit\]]),Table846[[#This Row],[Credit.]]-Table846[[#This Row],[Debit\]],""),"")</f>
        <v/>
      </c>
    </row>
    <row r="98" spans="2:34" hidden="1" x14ac:dyDescent="0.25">
      <c r="B98" s="34"/>
      <c r="C98" s="45"/>
      <c r="D98" s="34"/>
      <c r="E98" s="34"/>
      <c r="G98" s="39"/>
      <c r="H98" s="43"/>
      <c r="I98" s="41"/>
      <c r="J98" s="41"/>
      <c r="L98" s="34">
        <v>91</v>
      </c>
      <c r="M98" s="35"/>
      <c r="N98" s="35"/>
      <c r="O98" s="34">
        <f>IFERROR(SUMIF(Table443[,],Table645[[#This Row],[Accounts Name]],Table443[,3]),"")</f>
        <v>0</v>
      </c>
      <c r="P98" s="34">
        <f>IFERROR(SUMIF(Table443[,],Table645[[#This Row],[Accounts Name]],Table443[,2]),"")</f>
        <v>0</v>
      </c>
      <c r="S98" s="36">
        <f t="shared" si="1"/>
        <v>91</v>
      </c>
      <c r="T98" s="34"/>
      <c r="U98" s="37"/>
      <c r="V98" s="34">
        <f>IFERROR(SUMIF(Table645[Sub-Accounts],Table846[[#This Row],[Update your chart of accounts here]],Table645[Debit]),"")</f>
        <v>0</v>
      </c>
      <c r="W98" s="34">
        <f>IFERROR(SUMIF(Table645[Sub-Accounts],Table846[[#This Row],[Update your chart of accounts here]],Table645[Credit]),"")</f>
        <v>0</v>
      </c>
      <c r="X98" s="34"/>
      <c r="Y98" s="34"/>
      <c r="Z98" s="34"/>
      <c r="AA98" s="34"/>
      <c r="AB98" s="34">
        <f>MAX(Table846[[#This Row],[Debit]]+Table846[[#This Row],[Debit -]]-Table846[[#This Row],[Credit]]-Table846[[#This Row],[Credit +]],0)</f>
        <v>0</v>
      </c>
      <c r="AC98" s="34">
        <f>MAX(Table846[[#This Row],[Credit]]-Table846[[#This Row],[Debit]]+Table846[[#This Row],[Credit +]]-Table846[[#This Row],[Debit -]],0)</f>
        <v>0</v>
      </c>
      <c r="AD98" s="34" t="str">
        <f>IFERROR(IF(AND(OR(Table846[[#This Row],[Classification]]="Expense",Table846[[#This Row],[Classification]]="Cost of Goods Sold"),Table846[[#This Row],[Debit\]]&gt;Table846[[#This Row],[Credit.]]),Table846[[#This Row],[Debit\]]-Table846[[#This Row],[Credit.]],""),"")</f>
        <v/>
      </c>
      <c r="AE98" s="34" t="str">
        <f>IFERROR(IF(AND(OR(Table846[[#This Row],[Classification]]="Income",Table846[[#This Row],[Classification]]="Cost of Goods Sold"),Table846[[#This Row],[Credit.]]&gt;Table846[[#This Row],[Debit\]]),Table846[[#This Row],[Credit.]]-Table846[[#This Row],[Debit\]],""),"")</f>
        <v/>
      </c>
      <c r="AF98" s="34"/>
      <c r="AG98" s="34" t="str">
        <f>IFERROR(IF(AND(Table846[[#This Row],[Classification]]="Assets",Table846[[#This Row],[Debit\]]-Table846[[#This Row],[Credit.]]),Table846[[#This Row],[Debit\]]-Table846[[#This Row],[Credit.]],""),"")</f>
        <v/>
      </c>
      <c r="AH98" s="34" t="str">
        <f>IFERROR(IF(AND(OR(Table846[[#This Row],[Classification]]="Liabilities",Table846[[#This Row],[Classification]]="Owner´s Equity"),Table846[[#This Row],[Credit.]]&gt;Table846[[#This Row],[Debit\]]),Table846[[#This Row],[Credit.]]-Table846[[#This Row],[Debit\]],""),"")</f>
        <v/>
      </c>
    </row>
    <row r="99" spans="2:34" hidden="1" x14ac:dyDescent="0.25">
      <c r="B99" s="34"/>
      <c r="C99" s="45"/>
      <c r="D99" s="34"/>
      <c r="E99" s="34"/>
      <c r="G99" s="39"/>
      <c r="H99" s="40"/>
      <c r="I99" s="41"/>
      <c r="J99" s="41"/>
      <c r="L99" s="34">
        <v>92</v>
      </c>
      <c r="M99" s="35"/>
      <c r="N99" s="35"/>
      <c r="O99" s="34">
        <f>IFERROR(SUMIF(Table443[,],Table645[[#This Row],[Accounts Name]],Table443[,3]),"")</f>
        <v>0</v>
      </c>
      <c r="P99" s="34">
        <f>IFERROR(SUMIF(Table443[,],Table645[[#This Row],[Accounts Name]],Table443[,2]),"")</f>
        <v>0</v>
      </c>
      <c r="S99" s="36">
        <f t="shared" si="1"/>
        <v>92</v>
      </c>
      <c r="T99" s="34"/>
      <c r="U99" s="37"/>
      <c r="V99" s="34">
        <f>IFERROR(SUMIF(Table645[Sub-Accounts],Table846[[#This Row],[Update your chart of accounts here]],Table645[Debit]),"")</f>
        <v>0</v>
      </c>
      <c r="W99" s="34">
        <f>IFERROR(SUMIF(Table645[Sub-Accounts],Table846[[#This Row],[Update your chart of accounts here]],Table645[Credit]),"")</f>
        <v>0</v>
      </c>
      <c r="X99" s="34"/>
      <c r="Y99" s="34"/>
      <c r="Z99" s="34"/>
      <c r="AA99" s="34"/>
      <c r="AB99" s="34">
        <f>MAX(Table846[[#This Row],[Debit]]+Table846[[#This Row],[Debit -]]-Table846[[#This Row],[Credit]]-Table846[[#This Row],[Credit +]],0)</f>
        <v>0</v>
      </c>
      <c r="AC99" s="34">
        <f>MAX(Table846[[#This Row],[Credit]]-Table846[[#This Row],[Debit]]+Table846[[#This Row],[Credit +]]-Table846[[#This Row],[Debit -]],0)</f>
        <v>0</v>
      </c>
      <c r="AD99" s="34" t="str">
        <f>IFERROR(IF(AND(OR(Table846[[#This Row],[Classification]]="Expense",Table846[[#This Row],[Classification]]="Cost of Goods Sold"),Table846[[#This Row],[Debit\]]&gt;Table846[[#This Row],[Credit.]]),Table846[[#This Row],[Debit\]]-Table846[[#This Row],[Credit.]],""),"")</f>
        <v/>
      </c>
      <c r="AE99" s="34" t="str">
        <f>IFERROR(IF(AND(OR(Table846[[#This Row],[Classification]]="Income",Table846[[#This Row],[Classification]]="Cost of Goods Sold"),Table846[[#This Row],[Credit.]]&gt;Table846[[#This Row],[Debit\]]),Table846[[#This Row],[Credit.]]-Table846[[#This Row],[Debit\]],""),"")</f>
        <v/>
      </c>
      <c r="AF99" s="34"/>
      <c r="AG99" s="34" t="str">
        <f>IFERROR(IF(AND(Table846[[#This Row],[Classification]]="Assets",Table846[[#This Row],[Debit\]]-Table846[[#This Row],[Credit.]]),Table846[[#This Row],[Debit\]]-Table846[[#This Row],[Credit.]],""),"")</f>
        <v/>
      </c>
      <c r="AH99" s="34" t="str">
        <f>IFERROR(IF(AND(OR(Table846[[#This Row],[Classification]]="Liabilities",Table846[[#This Row],[Classification]]="Owner´s Equity"),Table846[[#This Row],[Credit.]]&gt;Table846[[#This Row],[Debit\]]),Table846[[#This Row],[Credit.]]-Table846[[#This Row],[Debit\]],""),"")</f>
        <v/>
      </c>
    </row>
    <row r="100" spans="2:34" hidden="1" x14ac:dyDescent="0.25">
      <c r="B100" s="34"/>
      <c r="C100" s="45"/>
      <c r="D100" s="34"/>
      <c r="E100" s="34"/>
      <c r="G100" s="39"/>
      <c r="H100" s="40"/>
      <c r="I100" s="41"/>
      <c r="J100" s="41"/>
      <c r="L100" s="34">
        <v>93</v>
      </c>
      <c r="M100" s="35"/>
      <c r="N100" s="35"/>
      <c r="O100" s="34">
        <f>IFERROR(SUMIF(Table443[,],Table645[[#This Row],[Accounts Name]],Table443[,3]),"")</f>
        <v>0</v>
      </c>
      <c r="P100" s="34">
        <f>IFERROR(SUMIF(Table443[,],Table645[[#This Row],[Accounts Name]],Table443[,2]),"")</f>
        <v>0</v>
      </c>
      <c r="S100" s="36">
        <f t="shared" si="1"/>
        <v>93</v>
      </c>
      <c r="T100" s="34"/>
      <c r="U100" s="37"/>
      <c r="V100" s="34">
        <f>IFERROR(SUMIF(Table645[Sub-Accounts],Table846[[#This Row],[Update your chart of accounts here]],Table645[Debit]),"")</f>
        <v>0</v>
      </c>
      <c r="W100" s="34">
        <f>IFERROR(SUMIF(Table645[Sub-Accounts],Table846[[#This Row],[Update your chart of accounts here]],Table645[Credit]),"")</f>
        <v>0</v>
      </c>
      <c r="X100" s="34"/>
      <c r="Y100" s="34"/>
      <c r="Z100" s="34"/>
      <c r="AA100" s="34"/>
      <c r="AB100" s="34">
        <f>MAX(Table846[[#This Row],[Debit]]+Table846[[#This Row],[Debit -]]-Table846[[#This Row],[Credit]]-Table846[[#This Row],[Credit +]],0)</f>
        <v>0</v>
      </c>
      <c r="AC100" s="34">
        <f>MAX(Table846[[#This Row],[Credit]]-Table846[[#This Row],[Debit]]+Table846[[#This Row],[Credit +]]-Table846[[#This Row],[Debit -]],0)</f>
        <v>0</v>
      </c>
      <c r="AD100" s="34" t="str">
        <f>IFERROR(IF(AND(OR(Table846[[#This Row],[Classification]]="Expense",Table846[[#This Row],[Classification]]="Cost of Goods Sold"),Table846[[#This Row],[Debit\]]&gt;Table846[[#This Row],[Credit.]]),Table846[[#This Row],[Debit\]]-Table846[[#This Row],[Credit.]],""),"")</f>
        <v/>
      </c>
      <c r="AE100" s="34" t="str">
        <f>IFERROR(IF(AND(OR(Table846[[#This Row],[Classification]]="Income",Table846[[#This Row],[Classification]]="Cost of Goods Sold"),Table846[[#This Row],[Credit.]]&gt;Table846[[#This Row],[Debit\]]),Table846[[#This Row],[Credit.]]-Table846[[#This Row],[Debit\]],""),"")</f>
        <v/>
      </c>
      <c r="AF100" s="34"/>
      <c r="AG100" s="34" t="str">
        <f>IFERROR(IF(AND(Table846[[#This Row],[Classification]]="Assets",Table846[[#This Row],[Debit\]]-Table846[[#This Row],[Credit.]]),Table846[[#This Row],[Debit\]]-Table846[[#This Row],[Credit.]],""),"")</f>
        <v/>
      </c>
      <c r="AH100" s="34" t="str">
        <f>IFERROR(IF(AND(OR(Table846[[#This Row],[Classification]]="Liabilities",Table846[[#This Row],[Classification]]="Owner´s Equity"),Table846[[#This Row],[Credit.]]&gt;Table846[[#This Row],[Debit\]]),Table846[[#This Row],[Credit.]]-Table846[[#This Row],[Debit\]],""),"")</f>
        <v/>
      </c>
    </row>
    <row r="101" spans="2:34" hidden="1" x14ac:dyDescent="0.25">
      <c r="B101" s="34"/>
      <c r="C101" s="45"/>
      <c r="D101" s="34"/>
      <c r="E101" s="34"/>
      <c r="G101" s="39"/>
      <c r="H101" s="43"/>
      <c r="I101" s="41"/>
      <c r="J101" s="41"/>
      <c r="L101" s="34">
        <v>94</v>
      </c>
      <c r="M101" s="35"/>
      <c r="N101" s="35"/>
      <c r="O101" s="34">
        <f>IFERROR(SUMIF(Table443[,],Table645[[#This Row],[Accounts Name]],Table443[,3]),"")</f>
        <v>0</v>
      </c>
      <c r="P101" s="34">
        <f>IFERROR(SUMIF(Table443[,],Table645[[#This Row],[Accounts Name]],Table443[,2]),"")</f>
        <v>0</v>
      </c>
      <c r="S101" s="36">
        <f t="shared" si="1"/>
        <v>94</v>
      </c>
      <c r="T101" s="34"/>
      <c r="U101" s="37"/>
      <c r="V101" s="34">
        <f>IFERROR(SUMIF(Table645[Sub-Accounts],Table846[[#This Row],[Update your chart of accounts here]],Table645[Debit]),"")</f>
        <v>0</v>
      </c>
      <c r="W101" s="34">
        <f>IFERROR(SUMIF(Table645[Sub-Accounts],Table846[[#This Row],[Update your chart of accounts here]],Table645[Credit]),"")</f>
        <v>0</v>
      </c>
      <c r="X101" s="34"/>
      <c r="Y101" s="34"/>
      <c r="Z101" s="34"/>
      <c r="AA101" s="34"/>
      <c r="AB101" s="34">
        <f>MAX(Table846[[#This Row],[Debit]]+Table846[[#This Row],[Debit -]]-Table846[[#This Row],[Credit]]-Table846[[#This Row],[Credit +]],0)</f>
        <v>0</v>
      </c>
      <c r="AC101" s="34">
        <f>MAX(Table846[[#This Row],[Credit]]-Table846[[#This Row],[Debit]]+Table846[[#This Row],[Credit +]]-Table846[[#This Row],[Debit -]],0)</f>
        <v>0</v>
      </c>
      <c r="AD101" s="34" t="str">
        <f>IFERROR(IF(AND(OR(Table846[[#This Row],[Classification]]="Expense",Table846[[#This Row],[Classification]]="Cost of Goods Sold"),Table846[[#This Row],[Debit\]]&gt;Table846[[#This Row],[Credit.]]),Table846[[#This Row],[Debit\]]-Table846[[#This Row],[Credit.]],""),"")</f>
        <v/>
      </c>
      <c r="AE101" s="34" t="str">
        <f>IFERROR(IF(AND(OR(Table846[[#This Row],[Classification]]="Income",Table846[[#This Row],[Classification]]="Cost of Goods Sold"),Table846[[#This Row],[Credit.]]&gt;Table846[[#This Row],[Debit\]]),Table846[[#This Row],[Credit.]]-Table846[[#This Row],[Debit\]],""),"")</f>
        <v/>
      </c>
      <c r="AF101" s="34"/>
      <c r="AG101" s="34" t="str">
        <f>IFERROR(IF(AND(Table846[[#This Row],[Classification]]="Assets",Table846[[#This Row],[Debit\]]-Table846[[#This Row],[Credit.]]),Table846[[#This Row],[Debit\]]-Table846[[#This Row],[Credit.]],""),"")</f>
        <v/>
      </c>
      <c r="AH101" s="34" t="str">
        <f>IFERROR(IF(AND(OR(Table846[[#This Row],[Classification]]="Liabilities",Table846[[#This Row],[Classification]]="Owner´s Equity"),Table846[[#This Row],[Credit.]]&gt;Table846[[#This Row],[Debit\]]),Table846[[#This Row],[Credit.]]-Table846[[#This Row],[Debit\]],""),"")</f>
        <v/>
      </c>
    </row>
    <row r="102" spans="2:34" hidden="1" x14ac:dyDescent="0.25">
      <c r="B102" s="34"/>
      <c r="C102" s="45"/>
      <c r="D102" s="34"/>
      <c r="E102" s="34"/>
      <c r="G102" s="39"/>
      <c r="H102" s="40"/>
      <c r="I102" s="41"/>
      <c r="J102" s="41"/>
      <c r="L102" s="34">
        <v>95</v>
      </c>
      <c r="M102" s="35"/>
      <c r="N102" s="35"/>
      <c r="O102" s="34">
        <f>IFERROR(SUMIF(Table443[,],Table645[[#This Row],[Accounts Name]],Table443[,3]),"")</f>
        <v>0</v>
      </c>
      <c r="P102" s="34">
        <f>IFERROR(SUMIF(Table443[,],Table645[[#This Row],[Accounts Name]],Table443[,2]),"")</f>
        <v>0</v>
      </c>
      <c r="S102" s="36">
        <f t="shared" si="1"/>
        <v>95</v>
      </c>
      <c r="T102" s="34"/>
      <c r="U102" s="37"/>
      <c r="V102" s="34">
        <f>IFERROR(SUMIF(Table645[Sub-Accounts],Table846[[#This Row],[Update your chart of accounts here]],Table645[Debit]),"")</f>
        <v>0</v>
      </c>
      <c r="W102" s="34">
        <f>IFERROR(SUMIF(Table645[Sub-Accounts],Table846[[#This Row],[Update your chart of accounts here]],Table645[Credit]),"")</f>
        <v>0</v>
      </c>
      <c r="X102" s="34"/>
      <c r="Y102" s="34"/>
      <c r="Z102" s="34"/>
      <c r="AA102" s="34"/>
      <c r="AB102" s="34">
        <f>MAX(Table846[[#This Row],[Debit]]+Table846[[#This Row],[Debit -]]-Table846[[#This Row],[Credit]]-Table846[[#This Row],[Credit +]],0)</f>
        <v>0</v>
      </c>
      <c r="AC102" s="34">
        <f>MAX(Table846[[#This Row],[Credit]]-Table846[[#This Row],[Debit]]+Table846[[#This Row],[Credit +]]-Table846[[#This Row],[Debit -]],0)</f>
        <v>0</v>
      </c>
      <c r="AD102" s="34" t="str">
        <f>IFERROR(IF(AND(OR(Table846[[#This Row],[Classification]]="Expense",Table846[[#This Row],[Classification]]="Cost of Goods Sold"),Table846[[#This Row],[Debit\]]&gt;Table846[[#This Row],[Credit.]]),Table846[[#This Row],[Debit\]]-Table846[[#This Row],[Credit.]],""),"")</f>
        <v/>
      </c>
      <c r="AE102" s="34" t="str">
        <f>IFERROR(IF(AND(OR(Table846[[#This Row],[Classification]]="Income",Table846[[#This Row],[Classification]]="Cost of Goods Sold"),Table846[[#This Row],[Credit.]]&gt;Table846[[#This Row],[Debit\]]),Table846[[#This Row],[Credit.]]-Table846[[#This Row],[Debit\]],""),"")</f>
        <v/>
      </c>
      <c r="AF102" s="34"/>
      <c r="AG102" s="34" t="str">
        <f>IFERROR(IF(AND(Table846[[#This Row],[Classification]]="Assets",Table846[[#This Row],[Debit\]]-Table846[[#This Row],[Credit.]]),Table846[[#This Row],[Debit\]]-Table846[[#This Row],[Credit.]],""),"")</f>
        <v/>
      </c>
      <c r="AH102" s="34" t="str">
        <f>IFERROR(IF(AND(OR(Table846[[#This Row],[Classification]]="Liabilities",Table846[[#This Row],[Classification]]="Owner´s Equity"),Table846[[#This Row],[Credit.]]&gt;Table846[[#This Row],[Debit\]]),Table846[[#This Row],[Credit.]]-Table846[[#This Row],[Debit\]],""),"")</f>
        <v/>
      </c>
    </row>
    <row r="103" spans="2:34" hidden="1" x14ac:dyDescent="0.25">
      <c r="B103" s="34"/>
      <c r="C103" s="45"/>
      <c r="D103" s="34"/>
      <c r="E103" s="34"/>
      <c r="G103" s="39"/>
      <c r="H103" s="40"/>
      <c r="I103" s="41"/>
      <c r="J103" s="41"/>
      <c r="L103" s="34">
        <v>96</v>
      </c>
      <c r="M103" s="35"/>
      <c r="N103" s="35"/>
      <c r="O103" s="34">
        <f>IFERROR(SUMIF(Table443[,],Table645[[#This Row],[Accounts Name]],Table443[,3]),"")</f>
        <v>0</v>
      </c>
      <c r="P103" s="34">
        <f>IFERROR(SUMIF(Table443[,],Table645[[#This Row],[Accounts Name]],Table443[,2]),"")</f>
        <v>0</v>
      </c>
      <c r="S103" s="36">
        <f t="shared" si="1"/>
        <v>96</v>
      </c>
      <c r="T103" s="34"/>
      <c r="U103" s="37"/>
      <c r="V103" s="34">
        <f>IFERROR(SUMIF(Table645[Sub-Accounts],Table846[[#This Row],[Update your chart of accounts here]],Table645[Debit]),"")</f>
        <v>0</v>
      </c>
      <c r="W103" s="34">
        <f>IFERROR(SUMIF(Table645[Sub-Accounts],Table846[[#This Row],[Update your chart of accounts here]],Table645[Credit]),"")</f>
        <v>0</v>
      </c>
      <c r="X103" s="34"/>
      <c r="Y103" s="34"/>
      <c r="Z103" s="34"/>
      <c r="AA103" s="34"/>
      <c r="AB103" s="34">
        <f>MAX(Table846[[#This Row],[Debit]]+Table846[[#This Row],[Debit -]]-Table846[[#This Row],[Credit]]-Table846[[#This Row],[Credit +]],0)</f>
        <v>0</v>
      </c>
      <c r="AC103" s="34">
        <f>MAX(Table846[[#This Row],[Credit]]-Table846[[#This Row],[Debit]]+Table846[[#This Row],[Credit +]]-Table846[[#This Row],[Debit -]],0)</f>
        <v>0</v>
      </c>
      <c r="AD103" s="34" t="str">
        <f>IFERROR(IF(AND(OR(Table846[[#This Row],[Classification]]="Expense",Table846[[#This Row],[Classification]]="Cost of Goods Sold"),Table846[[#This Row],[Debit\]]&gt;Table846[[#This Row],[Credit.]]),Table846[[#This Row],[Debit\]]-Table846[[#This Row],[Credit.]],""),"")</f>
        <v/>
      </c>
      <c r="AE103" s="34" t="str">
        <f>IFERROR(IF(AND(OR(Table846[[#This Row],[Classification]]="Income",Table846[[#This Row],[Classification]]="Cost of Goods Sold"),Table846[[#This Row],[Credit.]]&gt;Table846[[#This Row],[Debit\]]),Table846[[#This Row],[Credit.]]-Table846[[#This Row],[Debit\]],""),"")</f>
        <v/>
      </c>
      <c r="AF103" s="34"/>
      <c r="AG103" s="34" t="str">
        <f>IFERROR(IF(AND(Table846[[#This Row],[Classification]]="Assets",Table846[[#This Row],[Debit\]]-Table846[[#This Row],[Credit.]]),Table846[[#This Row],[Debit\]]-Table846[[#This Row],[Credit.]],""),"")</f>
        <v/>
      </c>
      <c r="AH103" s="34" t="str">
        <f>IFERROR(IF(AND(OR(Table846[[#This Row],[Classification]]="Liabilities",Table846[[#This Row],[Classification]]="Owner´s Equity"),Table846[[#This Row],[Credit.]]&gt;Table846[[#This Row],[Debit\]]),Table846[[#This Row],[Credit.]]-Table846[[#This Row],[Debit\]],""),"")</f>
        <v/>
      </c>
    </row>
    <row r="104" spans="2:34" hidden="1" x14ac:dyDescent="0.25">
      <c r="B104" s="34"/>
      <c r="C104" s="45"/>
      <c r="D104" s="34"/>
      <c r="E104" s="34"/>
      <c r="G104" s="39"/>
      <c r="H104" s="43"/>
      <c r="I104" s="41"/>
      <c r="J104" s="41"/>
      <c r="L104" s="34">
        <v>97</v>
      </c>
      <c r="M104" s="35"/>
      <c r="N104" s="35"/>
      <c r="O104" s="34">
        <f>IFERROR(SUMIF(Table443[,],Table645[[#This Row],[Accounts Name]],Table443[,3]),"")</f>
        <v>0</v>
      </c>
      <c r="P104" s="34">
        <f>IFERROR(SUMIF(Table443[,],Table645[[#This Row],[Accounts Name]],Table443[,2]),"")</f>
        <v>0</v>
      </c>
      <c r="S104" s="36">
        <f t="shared" si="1"/>
        <v>97</v>
      </c>
      <c r="T104" s="34"/>
      <c r="U104" s="37"/>
      <c r="V104" s="34">
        <f>IFERROR(SUMIF(Table645[Sub-Accounts],Table846[[#This Row],[Update your chart of accounts here]],Table645[Debit]),"")</f>
        <v>0</v>
      </c>
      <c r="W104" s="34">
        <f>IFERROR(SUMIF(Table645[Sub-Accounts],Table846[[#This Row],[Update your chart of accounts here]],Table645[Credit]),"")</f>
        <v>0</v>
      </c>
      <c r="X104" s="34"/>
      <c r="Y104" s="34"/>
      <c r="Z104" s="34"/>
      <c r="AA104" s="34"/>
      <c r="AB104" s="34">
        <f>MAX(Table846[[#This Row],[Debit]]+Table846[[#This Row],[Debit -]]-Table846[[#This Row],[Credit]]-Table846[[#This Row],[Credit +]],0)</f>
        <v>0</v>
      </c>
      <c r="AC104" s="34">
        <f>MAX(Table846[[#This Row],[Credit]]-Table846[[#This Row],[Debit]]+Table846[[#This Row],[Credit +]]-Table846[[#This Row],[Debit -]],0)</f>
        <v>0</v>
      </c>
      <c r="AD104" s="34" t="str">
        <f>IFERROR(IF(AND(OR(Table846[[#This Row],[Classification]]="Expense",Table846[[#This Row],[Classification]]="Cost of Goods Sold"),Table846[[#This Row],[Debit\]]&gt;Table846[[#This Row],[Credit.]]),Table846[[#This Row],[Debit\]]-Table846[[#This Row],[Credit.]],""),"")</f>
        <v/>
      </c>
      <c r="AE104" s="34" t="str">
        <f>IFERROR(IF(AND(OR(Table846[[#This Row],[Classification]]="Income",Table846[[#This Row],[Classification]]="Cost of Goods Sold"),Table846[[#This Row],[Credit.]]&gt;Table846[[#This Row],[Debit\]]),Table846[[#This Row],[Credit.]]-Table846[[#This Row],[Debit\]],""),"")</f>
        <v/>
      </c>
      <c r="AF104" s="34"/>
      <c r="AG104" s="34" t="str">
        <f>IFERROR(IF(AND(Table846[[#This Row],[Classification]]="Assets",Table846[[#This Row],[Debit\]]-Table846[[#This Row],[Credit.]]),Table846[[#This Row],[Debit\]]-Table846[[#This Row],[Credit.]],""),"")</f>
        <v/>
      </c>
      <c r="AH104" s="34" t="str">
        <f>IFERROR(IF(AND(OR(Table846[[#This Row],[Classification]]="Liabilities",Table846[[#This Row],[Classification]]="Owner´s Equity"),Table846[[#This Row],[Credit.]]&gt;Table846[[#This Row],[Debit\]]),Table846[[#This Row],[Credit.]]-Table846[[#This Row],[Debit\]],""),"")</f>
        <v/>
      </c>
    </row>
    <row r="105" spans="2:34" hidden="1" x14ac:dyDescent="0.25">
      <c r="B105" s="34"/>
      <c r="C105" s="45"/>
      <c r="D105" s="34"/>
      <c r="E105" s="34"/>
      <c r="G105" s="39"/>
      <c r="H105" s="40"/>
      <c r="I105" s="41"/>
      <c r="J105" s="41"/>
      <c r="L105" s="34">
        <v>98</v>
      </c>
      <c r="M105" s="35"/>
      <c r="N105" s="35"/>
      <c r="O105" s="34">
        <f>IFERROR(SUMIF(Table443[,],Table645[[#This Row],[Accounts Name]],Table443[,3]),"")</f>
        <v>0</v>
      </c>
      <c r="P105" s="34">
        <f>IFERROR(SUMIF(Table443[,],Table645[[#This Row],[Accounts Name]],Table443[,2]),"")</f>
        <v>0</v>
      </c>
      <c r="S105" s="36">
        <f t="shared" si="1"/>
        <v>98</v>
      </c>
      <c r="T105" s="34"/>
      <c r="U105" s="37"/>
      <c r="V105" s="34">
        <f>IFERROR(SUMIF(Table645[Sub-Accounts],Table846[[#This Row],[Update your chart of accounts here]],Table645[Debit]),"")</f>
        <v>0</v>
      </c>
      <c r="W105" s="34">
        <f>IFERROR(SUMIF(Table645[Sub-Accounts],Table846[[#This Row],[Update your chart of accounts here]],Table645[Credit]),"")</f>
        <v>0</v>
      </c>
      <c r="X105" s="34"/>
      <c r="Y105" s="34"/>
      <c r="Z105" s="34"/>
      <c r="AA105" s="34"/>
      <c r="AB105" s="34">
        <f>MAX(Table846[[#This Row],[Debit]]+Table846[[#This Row],[Debit -]]-Table846[[#This Row],[Credit]]-Table846[[#This Row],[Credit +]],0)</f>
        <v>0</v>
      </c>
      <c r="AC105" s="34">
        <f>MAX(Table846[[#This Row],[Credit]]-Table846[[#This Row],[Debit]]+Table846[[#This Row],[Credit +]]-Table846[[#This Row],[Debit -]],0)</f>
        <v>0</v>
      </c>
      <c r="AD105" s="34" t="str">
        <f>IFERROR(IF(AND(OR(Table846[[#This Row],[Classification]]="Expense",Table846[[#This Row],[Classification]]="Cost of Goods Sold"),Table846[[#This Row],[Debit\]]&gt;Table846[[#This Row],[Credit.]]),Table846[[#This Row],[Debit\]]-Table846[[#This Row],[Credit.]],""),"")</f>
        <v/>
      </c>
      <c r="AE105" s="34" t="str">
        <f>IFERROR(IF(AND(OR(Table846[[#This Row],[Classification]]="Income",Table846[[#This Row],[Classification]]="Cost of Goods Sold"),Table846[[#This Row],[Credit.]]&gt;Table846[[#This Row],[Debit\]]),Table846[[#This Row],[Credit.]]-Table846[[#This Row],[Debit\]],""),"")</f>
        <v/>
      </c>
      <c r="AF105" s="34"/>
      <c r="AG105" s="34" t="str">
        <f>IFERROR(IF(AND(Table846[[#This Row],[Classification]]="Assets",Table846[[#This Row],[Debit\]]-Table846[[#This Row],[Credit.]]),Table846[[#This Row],[Debit\]]-Table846[[#This Row],[Credit.]],""),"")</f>
        <v/>
      </c>
      <c r="AH105" s="34" t="str">
        <f>IFERROR(IF(AND(OR(Table846[[#This Row],[Classification]]="Liabilities",Table846[[#This Row],[Classification]]="Owner´s Equity"),Table846[[#This Row],[Credit.]]&gt;Table846[[#This Row],[Debit\]]),Table846[[#This Row],[Credit.]]-Table846[[#This Row],[Debit\]],""),"")</f>
        <v/>
      </c>
    </row>
    <row r="106" spans="2:34" hidden="1" x14ac:dyDescent="0.25">
      <c r="B106" s="34"/>
      <c r="C106" s="45"/>
      <c r="D106" s="34"/>
      <c r="E106" s="34"/>
      <c r="G106" s="39"/>
      <c r="H106" s="40"/>
      <c r="I106" s="41"/>
      <c r="J106" s="41"/>
      <c r="L106" s="34">
        <v>99</v>
      </c>
      <c r="M106" s="35"/>
      <c r="N106" s="35"/>
      <c r="O106" s="34">
        <f>IFERROR(SUMIF(Table443[,],Table645[[#This Row],[Accounts Name]],Table443[,3]),"")</f>
        <v>0</v>
      </c>
      <c r="P106" s="34">
        <f>IFERROR(SUMIF(Table443[,],Table645[[#This Row],[Accounts Name]],Table443[,2]),"")</f>
        <v>0</v>
      </c>
      <c r="S106" s="36">
        <f t="shared" si="1"/>
        <v>99</v>
      </c>
      <c r="T106" s="34"/>
      <c r="U106" s="37"/>
      <c r="V106" s="34">
        <f>IFERROR(SUMIF(Table645[Sub-Accounts],Table846[[#This Row],[Update your chart of accounts here]],Table645[Debit]),"")</f>
        <v>0</v>
      </c>
      <c r="W106" s="34">
        <f>IFERROR(SUMIF(Table645[Sub-Accounts],Table846[[#This Row],[Update your chart of accounts here]],Table645[Credit]),"")</f>
        <v>0</v>
      </c>
      <c r="X106" s="34"/>
      <c r="Y106" s="34"/>
      <c r="Z106" s="34"/>
      <c r="AA106" s="34"/>
      <c r="AB106" s="34">
        <f>MAX(Table846[[#This Row],[Debit]]+Table846[[#This Row],[Debit -]]-Table846[[#This Row],[Credit]]-Table846[[#This Row],[Credit +]],0)</f>
        <v>0</v>
      </c>
      <c r="AC106" s="34">
        <f>MAX(Table846[[#This Row],[Credit]]-Table846[[#This Row],[Debit]]+Table846[[#This Row],[Credit +]]-Table846[[#This Row],[Debit -]],0)</f>
        <v>0</v>
      </c>
      <c r="AD106" s="34" t="str">
        <f>IFERROR(IF(AND(OR(Table846[[#This Row],[Classification]]="Expense",Table846[[#This Row],[Classification]]="Cost of Goods Sold"),Table846[[#This Row],[Debit\]]&gt;Table846[[#This Row],[Credit.]]),Table846[[#This Row],[Debit\]]-Table846[[#This Row],[Credit.]],""),"")</f>
        <v/>
      </c>
      <c r="AE106" s="34" t="str">
        <f>IFERROR(IF(AND(OR(Table846[[#This Row],[Classification]]="Income",Table846[[#This Row],[Classification]]="Cost of Goods Sold"),Table846[[#This Row],[Credit.]]&gt;Table846[[#This Row],[Debit\]]),Table846[[#This Row],[Credit.]]-Table846[[#This Row],[Debit\]],""),"")</f>
        <v/>
      </c>
      <c r="AF106" s="34"/>
      <c r="AG106" s="34" t="str">
        <f>IFERROR(IF(AND(Table846[[#This Row],[Classification]]="Assets",Table846[[#This Row],[Debit\]]-Table846[[#This Row],[Credit.]]),Table846[[#This Row],[Debit\]]-Table846[[#This Row],[Credit.]],""),"")</f>
        <v/>
      </c>
      <c r="AH106" s="34" t="str">
        <f>IFERROR(IF(AND(OR(Table846[[#This Row],[Classification]]="Liabilities",Table846[[#This Row],[Classification]]="Owner´s Equity"),Table846[[#This Row],[Credit.]]&gt;Table846[[#This Row],[Debit\]]),Table846[[#This Row],[Credit.]]-Table846[[#This Row],[Debit\]],""),"")</f>
        <v/>
      </c>
    </row>
    <row r="107" spans="2:34" hidden="1" x14ac:dyDescent="0.25">
      <c r="B107" s="34"/>
      <c r="C107" s="45"/>
      <c r="D107" s="34"/>
      <c r="E107" s="34"/>
      <c r="G107" s="39"/>
      <c r="H107" s="43"/>
      <c r="I107" s="41"/>
      <c r="J107" s="41"/>
      <c r="L107" s="34">
        <v>100</v>
      </c>
      <c r="M107" s="35"/>
      <c r="N107" s="35"/>
      <c r="O107" s="34">
        <f>IFERROR(SUMIF(Table443[,],Table645[[#This Row],[Accounts Name]],Table443[,3]),"")</f>
        <v>0</v>
      </c>
      <c r="P107" s="34">
        <f>IFERROR(SUMIF(Table443[,],Table645[[#This Row],[Accounts Name]],Table443[,2]),"")</f>
        <v>0</v>
      </c>
      <c r="S107" s="36">
        <f t="shared" si="1"/>
        <v>100</v>
      </c>
      <c r="T107" s="34"/>
      <c r="U107" s="37"/>
      <c r="V107" s="34">
        <f>IFERROR(SUMIF(Table645[Sub-Accounts],Table846[[#This Row],[Update your chart of accounts here]],Table645[Debit]),"")</f>
        <v>0</v>
      </c>
      <c r="W107" s="34">
        <f>IFERROR(SUMIF(Table645[Sub-Accounts],Table846[[#This Row],[Update your chart of accounts here]],Table645[Credit]),"")</f>
        <v>0</v>
      </c>
      <c r="X107" s="34"/>
      <c r="Y107" s="34"/>
      <c r="Z107" s="34"/>
      <c r="AA107" s="34"/>
      <c r="AB107" s="34">
        <f>MAX(Table846[[#This Row],[Debit]]+Table846[[#This Row],[Debit -]]-Table846[[#This Row],[Credit]]-Table846[[#This Row],[Credit +]],0)</f>
        <v>0</v>
      </c>
      <c r="AC107" s="34">
        <f>MAX(Table846[[#This Row],[Credit]]-Table846[[#This Row],[Debit]]+Table846[[#This Row],[Credit +]]-Table846[[#This Row],[Debit -]],0)</f>
        <v>0</v>
      </c>
      <c r="AD107" s="34" t="str">
        <f>IFERROR(IF(AND(OR(Table846[[#This Row],[Classification]]="Expense",Table846[[#This Row],[Classification]]="Cost of Goods Sold"),Table846[[#This Row],[Debit\]]&gt;Table846[[#This Row],[Credit.]]),Table846[[#This Row],[Debit\]]-Table846[[#This Row],[Credit.]],""),"")</f>
        <v/>
      </c>
      <c r="AE107" s="34" t="str">
        <f>IFERROR(IF(AND(OR(Table846[[#This Row],[Classification]]="Income",Table846[[#This Row],[Classification]]="Cost of Goods Sold"),Table846[[#This Row],[Credit.]]&gt;Table846[[#This Row],[Debit\]]),Table846[[#This Row],[Credit.]]-Table846[[#This Row],[Debit\]],""),"")</f>
        <v/>
      </c>
      <c r="AF107" s="34"/>
      <c r="AG107" s="34" t="str">
        <f>IFERROR(IF(AND(Table846[[#This Row],[Classification]]="Assets",Table846[[#This Row],[Debit\]]-Table846[[#This Row],[Credit.]]),Table846[[#This Row],[Debit\]]-Table846[[#This Row],[Credit.]],""),"")</f>
        <v/>
      </c>
      <c r="AH107" s="34" t="str">
        <f>IFERROR(IF(AND(OR(Table846[[#This Row],[Classification]]="Liabilities",Table846[[#This Row],[Classification]]="Owner´s Equity"),Table846[[#This Row],[Credit.]]&gt;Table846[[#This Row],[Debit\]]),Table846[[#This Row],[Credit.]]-Table846[[#This Row],[Debit\]],""),"")</f>
        <v/>
      </c>
    </row>
    <row r="108" spans="2:34" hidden="1" x14ac:dyDescent="0.25">
      <c r="B108" s="34"/>
      <c r="C108" s="45"/>
      <c r="D108" s="34"/>
      <c r="E108" s="34"/>
      <c r="G108" s="39"/>
      <c r="H108" s="40"/>
      <c r="I108" s="41"/>
      <c r="J108" s="41"/>
      <c r="L108" s="34">
        <v>101</v>
      </c>
      <c r="M108" s="35"/>
      <c r="N108" s="35"/>
      <c r="O108" s="34">
        <f>IFERROR(SUMIF(Table443[,],Table645[[#This Row],[Accounts Name]],Table443[,3]),"")</f>
        <v>0</v>
      </c>
      <c r="P108" s="34">
        <f>IFERROR(SUMIF(Table443[,],Table645[[#This Row],[Accounts Name]],Table443[,2]),"")</f>
        <v>0</v>
      </c>
      <c r="S108" s="36">
        <f t="shared" si="1"/>
        <v>101</v>
      </c>
      <c r="T108" s="34"/>
      <c r="U108" s="37"/>
      <c r="V108" s="34">
        <f>IFERROR(SUMIF(Table645[Sub-Accounts],Table846[[#This Row],[Update your chart of accounts here]],Table645[Debit]),"")</f>
        <v>0</v>
      </c>
      <c r="W108" s="34">
        <f>IFERROR(SUMIF(Table645[Sub-Accounts],Table846[[#This Row],[Update your chart of accounts here]],Table645[Credit]),"")</f>
        <v>0</v>
      </c>
      <c r="X108" s="34"/>
      <c r="Y108" s="34"/>
      <c r="Z108" s="34"/>
      <c r="AA108" s="34"/>
      <c r="AB108" s="34">
        <f>MAX(Table846[[#This Row],[Debit]]+Table846[[#This Row],[Debit -]]-Table846[[#This Row],[Credit]]-Table846[[#This Row],[Credit +]],0)</f>
        <v>0</v>
      </c>
      <c r="AC108" s="34">
        <f>MAX(Table846[[#This Row],[Credit]]-Table846[[#This Row],[Debit]]+Table846[[#This Row],[Credit +]]-Table846[[#This Row],[Debit -]],0)</f>
        <v>0</v>
      </c>
      <c r="AD108" s="34" t="str">
        <f>IFERROR(IF(AND(OR(Table846[[#This Row],[Classification]]="Expense",Table846[[#This Row],[Classification]]="Cost of Goods Sold"),Table846[[#This Row],[Debit\]]&gt;Table846[[#This Row],[Credit.]]),Table846[[#This Row],[Debit\]]-Table846[[#This Row],[Credit.]],""),"")</f>
        <v/>
      </c>
      <c r="AE108" s="34" t="str">
        <f>IFERROR(IF(AND(OR(Table846[[#This Row],[Classification]]="Income",Table846[[#This Row],[Classification]]="Cost of Goods Sold"),Table846[[#This Row],[Credit.]]&gt;Table846[[#This Row],[Debit\]]),Table846[[#This Row],[Credit.]]-Table846[[#This Row],[Debit\]],""),"")</f>
        <v/>
      </c>
      <c r="AF108" s="34"/>
      <c r="AG108" s="34" t="str">
        <f>IFERROR(IF(AND(Table846[[#This Row],[Classification]]="Assets",Table846[[#This Row],[Debit\]]-Table846[[#This Row],[Credit.]]),Table846[[#This Row],[Debit\]]-Table846[[#This Row],[Credit.]],""),"")</f>
        <v/>
      </c>
      <c r="AH108" s="34" t="str">
        <f>IFERROR(IF(AND(OR(Table846[[#This Row],[Classification]]="Liabilities",Table846[[#This Row],[Classification]]="Owner´s Equity"),Table846[[#This Row],[Credit.]]&gt;Table846[[#This Row],[Debit\]]),Table846[[#This Row],[Credit.]]-Table846[[#This Row],[Debit\]],""),"")</f>
        <v/>
      </c>
    </row>
    <row r="109" spans="2:34" hidden="1" x14ac:dyDescent="0.25">
      <c r="B109" s="34"/>
      <c r="C109" s="45"/>
      <c r="D109" s="34"/>
      <c r="E109" s="34"/>
      <c r="G109" s="39"/>
      <c r="H109" s="40"/>
      <c r="I109" s="41"/>
      <c r="J109" s="41"/>
      <c r="L109" s="34">
        <v>102</v>
      </c>
      <c r="M109" s="35"/>
      <c r="N109" s="35"/>
      <c r="O109" s="34">
        <f>IFERROR(SUMIF(Table443[,],Table645[[#This Row],[Accounts Name]],Table443[,3]),"")</f>
        <v>0</v>
      </c>
      <c r="P109" s="34">
        <f>IFERROR(SUMIF(Table443[,],Table645[[#This Row],[Accounts Name]],Table443[,2]),"")</f>
        <v>0</v>
      </c>
      <c r="S109" s="36">
        <f t="shared" si="1"/>
        <v>102</v>
      </c>
      <c r="T109" s="34"/>
      <c r="U109" s="37"/>
      <c r="V109" s="34">
        <f>IFERROR(SUMIF(Table645[Sub-Accounts],Table846[[#This Row],[Update your chart of accounts here]],Table645[Debit]),"")</f>
        <v>0</v>
      </c>
      <c r="W109" s="34">
        <f>IFERROR(SUMIF(Table645[Sub-Accounts],Table846[[#This Row],[Update your chart of accounts here]],Table645[Credit]),"")</f>
        <v>0</v>
      </c>
      <c r="X109" s="34"/>
      <c r="Y109" s="34"/>
      <c r="Z109" s="34"/>
      <c r="AA109" s="34"/>
      <c r="AB109" s="34">
        <f>MAX(Table846[[#This Row],[Debit]]+Table846[[#This Row],[Debit -]]-Table846[[#This Row],[Credit]]-Table846[[#This Row],[Credit +]],0)</f>
        <v>0</v>
      </c>
      <c r="AC109" s="34">
        <f>MAX(Table846[[#This Row],[Credit]]-Table846[[#This Row],[Debit]]+Table846[[#This Row],[Credit +]]-Table846[[#This Row],[Debit -]],0)</f>
        <v>0</v>
      </c>
      <c r="AD109" s="34" t="str">
        <f>IFERROR(IF(AND(OR(Table846[[#This Row],[Classification]]="Expense",Table846[[#This Row],[Classification]]="Cost of Goods Sold"),Table846[[#This Row],[Debit\]]&gt;Table846[[#This Row],[Credit.]]),Table846[[#This Row],[Debit\]]-Table846[[#This Row],[Credit.]],""),"")</f>
        <v/>
      </c>
      <c r="AE109" s="34" t="str">
        <f>IFERROR(IF(AND(OR(Table846[[#This Row],[Classification]]="Income",Table846[[#This Row],[Classification]]="Cost of Goods Sold"),Table846[[#This Row],[Credit.]]&gt;Table846[[#This Row],[Debit\]]),Table846[[#This Row],[Credit.]]-Table846[[#This Row],[Debit\]],""),"")</f>
        <v/>
      </c>
      <c r="AF109" s="34"/>
      <c r="AG109" s="34" t="str">
        <f>IFERROR(IF(AND(Table846[[#This Row],[Classification]]="Assets",Table846[[#This Row],[Debit\]]-Table846[[#This Row],[Credit.]]),Table846[[#This Row],[Debit\]]-Table846[[#This Row],[Credit.]],""),"")</f>
        <v/>
      </c>
      <c r="AH109" s="34" t="str">
        <f>IFERROR(IF(AND(OR(Table846[[#This Row],[Classification]]="Liabilities",Table846[[#This Row],[Classification]]="Owner´s Equity"),Table846[[#This Row],[Credit.]]&gt;Table846[[#This Row],[Debit\]]),Table846[[#This Row],[Credit.]]-Table846[[#This Row],[Debit\]],""),"")</f>
        <v/>
      </c>
    </row>
    <row r="110" spans="2:34" hidden="1" x14ac:dyDescent="0.25">
      <c r="B110" s="34"/>
      <c r="C110" s="45"/>
      <c r="D110" s="34"/>
      <c r="E110" s="34"/>
      <c r="G110" s="39"/>
      <c r="H110" s="43"/>
      <c r="I110" s="41"/>
      <c r="J110" s="41"/>
      <c r="L110" s="34">
        <v>103</v>
      </c>
      <c r="M110" s="35"/>
      <c r="N110" s="35"/>
      <c r="O110" s="34">
        <f>IFERROR(SUMIF(Table443[,],Table645[[#This Row],[Accounts Name]],Table443[,3]),"")</f>
        <v>0</v>
      </c>
      <c r="P110" s="34">
        <f>IFERROR(SUMIF(Table443[,],Table645[[#This Row],[Accounts Name]],Table443[,2]),"")</f>
        <v>0</v>
      </c>
      <c r="S110" s="36">
        <f t="shared" si="1"/>
        <v>103</v>
      </c>
      <c r="T110" s="34"/>
      <c r="U110" s="37"/>
      <c r="V110" s="34">
        <f>IFERROR(SUMIF(Table645[Sub-Accounts],Table846[[#This Row],[Update your chart of accounts here]],Table645[Debit]),"")</f>
        <v>0</v>
      </c>
      <c r="W110" s="34">
        <f>IFERROR(SUMIF(Table645[Sub-Accounts],Table846[[#This Row],[Update your chart of accounts here]],Table645[Credit]),"")</f>
        <v>0</v>
      </c>
      <c r="X110" s="34"/>
      <c r="Y110" s="34"/>
      <c r="Z110" s="34"/>
      <c r="AA110" s="34"/>
      <c r="AB110" s="34">
        <f>MAX(Table846[[#This Row],[Debit]]+Table846[[#This Row],[Debit -]]-Table846[[#This Row],[Credit]]-Table846[[#This Row],[Credit +]],0)</f>
        <v>0</v>
      </c>
      <c r="AC110" s="34">
        <f>MAX(Table846[[#This Row],[Credit]]-Table846[[#This Row],[Debit]]+Table846[[#This Row],[Credit +]]-Table846[[#This Row],[Debit -]],0)</f>
        <v>0</v>
      </c>
      <c r="AD110" s="34" t="str">
        <f>IFERROR(IF(AND(OR(Table846[[#This Row],[Classification]]="Expense",Table846[[#This Row],[Classification]]="Cost of Goods Sold"),Table846[[#This Row],[Debit\]]&gt;Table846[[#This Row],[Credit.]]),Table846[[#This Row],[Debit\]]-Table846[[#This Row],[Credit.]],""),"")</f>
        <v/>
      </c>
      <c r="AE110" s="34" t="str">
        <f>IFERROR(IF(AND(OR(Table846[[#This Row],[Classification]]="Income",Table846[[#This Row],[Classification]]="Cost of Goods Sold"),Table846[[#This Row],[Credit.]]&gt;Table846[[#This Row],[Debit\]]),Table846[[#This Row],[Credit.]]-Table846[[#This Row],[Debit\]],""),"")</f>
        <v/>
      </c>
      <c r="AF110" s="34"/>
      <c r="AG110" s="34" t="str">
        <f>IFERROR(IF(AND(Table846[[#This Row],[Classification]]="Assets",Table846[[#This Row],[Debit\]]-Table846[[#This Row],[Credit.]]),Table846[[#This Row],[Debit\]]-Table846[[#This Row],[Credit.]],""),"")</f>
        <v/>
      </c>
      <c r="AH110" s="34" t="str">
        <f>IFERROR(IF(AND(OR(Table846[[#This Row],[Classification]]="Liabilities",Table846[[#This Row],[Classification]]="Owner´s Equity"),Table846[[#This Row],[Credit.]]&gt;Table846[[#This Row],[Debit\]]),Table846[[#This Row],[Credit.]]-Table846[[#This Row],[Debit\]],""),"")</f>
        <v/>
      </c>
    </row>
    <row r="111" spans="2:34" hidden="1" x14ac:dyDescent="0.25">
      <c r="B111" s="34"/>
      <c r="C111" s="45"/>
      <c r="D111" s="34"/>
      <c r="E111" s="34"/>
      <c r="G111" s="39"/>
      <c r="H111" s="40"/>
      <c r="I111" s="41"/>
      <c r="J111" s="41"/>
      <c r="L111" s="34">
        <v>104</v>
      </c>
      <c r="M111" s="35"/>
      <c r="N111" s="35"/>
      <c r="O111" s="34">
        <f>IFERROR(SUMIF(Table443[,],Table645[[#This Row],[Accounts Name]],Table443[,3]),"")</f>
        <v>0</v>
      </c>
      <c r="P111" s="34">
        <f>IFERROR(SUMIF(Table443[,],Table645[[#This Row],[Accounts Name]],Table443[,2]),"")</f>
        <v>0</v>
      </c>
      <c r="S111" s="36">
        <f t="shared" si="1"/>
        <v>104</v>
      </c>
      <c r="T111" s="34"/>
      <c r="U111" s="37"/>
      <c r="V111" s="34">
        <f>IFERROR(SUMIF(Table645[Sub-Accounts],Table846[[#This Row],[Update your chart of accounts here]],Table645[Debit]),"")</f>
        <v>0</v>
      </c>
      <c r="W111" s="34">
        <f>IFERROR(SUMIF(Table645[Sub-Accounts],Table846[[#This Row],[Update your chart of accounts here]],Table645[Credit]),"")</f>
        <v>0</v>
      </c>
      <c r="X111" s="34"/>
      <c r="Y111" s="34"/>
      <c r="Z111" s="34"/>
      <c r="AA111" s="34"/>
      <c r="AB111" s="34">
        <f>MAX(Table846[[#This Row],[Debit]]+Table846[[#This Row],[Debit -]]-Table846[[#This Row],[Credit]]-Table846[[#This Row],[Credit +]],0)</f>
        <v>0</v>
      </c>
      <c r="AC111" s="34">
        <f>MAX(Table846[[#This Row],[Credit]]-Table846[[#This Row],[Debit]]+Table846[[#This Row],[Credit +]]-Table846[[#This Row],[Debit -]],0)</f>
        <v>0</v>
      </c>
      <c r="AD111" s="34" t="str">
        <f>IFERROR(IF(AND(OR(Table846[[#This Row],[Classification]]="Expense",Table846[[#This Row],[Classification]]="Cost of Goods Sold"),Table846[[#This Row],[Debit\]]&gt;Table846[[#This Row],[Credit.]]),Table846[[#This Row],[Debit\]]-Table846[[#This Row],[Credit.]],""),"")</f>
        <v/>
      </c>
      <c r="AE111" s="34" t="str">
        <f>IFERROR(IF(AND(OR(Table846[[#This Row],[Classification]]="Income",Table846[[#This Row],[Classification]]="Cost of Goods Sold"),Table846[[#This Row],[Credit.]]&gt;Table846[[#This Row],[Debit\]]),Table846[[#This Row],[Credit.]]-Table846[[#This Row],[Debit\]],""),"")</f>
        <v/>
      </c>
      <c r="AF111" s="34"/>
      <c r="AG111" s="34" t="str">
        <f>IFERROR(IF(AND(Table846[[#This Row],[Classification]]="Assets",Table846[[#This Row],[Debit\]]-Table846[[#This Row],[Credit.]]),Table846[[#This Row],[Debit\]]-Table846[[#This Row],[Credit.]],""),"")</f>
        <v/>
      </c>
      <c r="AH111" s="34" t="str">
        <f>IFERROR(IF(AND(OR(Table846[[#This Row],[Classification]]="Liabilities",Table846[[#This Row],[Classification]]="Owner´s Equity"),Table846[[#This Row],[Credit.]]&gt;Table846[[#This Row],[Debit\]]),Table846[[#This Row],[Credit.]]-Table846[[#This Row],[Debit\]],""),"")</f>
        <v/>
      </c>
    </row>
    <row r="112" spans="2:34" hidden="1" x14ac:dyDescent="0.25">
      <c r="B112" s="34"/>
      <c r="C112" s="45"/>
      <c r="D112" s="34"/>
      <c r="E112" s="34"/>
      <c r="G112" s="39"/>
      <c r="H112" s="40"/>
      <c r="I112" s="41"/>
      <c r="J112" s="41"/>
      <c r="L112" s="34">
        <v>105</v>
      </c>
      <c r="M112" s="35"/>
      <c r="N112" s="35"/>
      <c r="O112" s="34">
        <f>IFERROR(SUMIF(Table443[,],Table645[[#This Row],[Accounts Name]],Table443[,3]),"")</f>
        <v>0</v>
      </c>
      <c r="P112" s="34">
        <f>IFERROR(SUMIF(Table443[,],Table645[[#This Row],[Accounts Name]],Table443[,2]),"")</f>
        <v>0</v>
      </c>
      <c r="S112" s="36">
        <f t="shared" si="1"/>
        <v>105</v>
      </c>
      <c r="T112" s="34"/>
      <c r="U112" s="37"/>
      <c r="V112" s="34">
        <f>IFERROR(SUMIF(Table645[Sub-Accounts],Table846[[#This Row],[Update your chart of accounts here]],Table645[Debit]),"")</f>
        <v>0</v>
      </c>
      <c r="W112" s="34">
        <f>IFERROR(SUMIF(Table645[Sub-Accounts],Table846[[#This Row],[Update your chart of accounts here]],Table645[Credit]),"")</f>
        <v>0</v>
      </c>
      <c r="X112" s="34"/>
      <c r="Y112" s="34"/>
      <c r="Z112" s="34"/>
      <c r="AA112" s="34"/>
      <c r="AB112" s="34">
        <f>MAX(Table846[[#This Row],[Debit]]+Table846[[#This Row],[Debit -]]-Table846[[#This Row],[Credit]]-Table846[[#This Row],[Credit +]],0)</f>
        <v>0</v>
      </c>
      <c r="AC112" s="34">
        <f>MAX(Table846[[#This Row],[Credit]]-Table846[[#This Row],[Debit]]+Table846[[#This Row],[Credit +]]-Table846[[#This Row],[Debit -]],0)</f>
        <v>0</v>
      </c>
      <c r="AD112" s="34" t="str">
        <f>IFERROR(IF(AND(OR(Table846[[#This Row],[Classification]]="Expense",Table846[[#This Row],[Classification]]="Cost of Goods Sold"),Table846[[#This Row],[Debit\]]&gt;Table846[[#This Row],[Credit.]]),Table846[[#This Row],[Debit\]]-Table846[[#This Row],[Credit.]],""),"")</f>
        <v/>
      </c>
      <c r="AE112" s="34" t="str">
        <f>IFERROR(IF(AND(OR(Table846[[#This Row],[Classification]]="Income",Table846[[#This Row],[Classification]]="Cost of Goods Sold"),Table846[[#This Row],[Credit.]]&gt;Table846[[#This Row],[Debit\]]),Table846[[#This Row],[Credit.]]-Table846[[#This Row],[Debit\]],""),"")</f>
        <v/>
      </c>
      <c r="AF112" s="34"/>
      <c r="AG112" s="34" t="str">
        <f>IFERROR(IF(AND(Table846[[#This Row],[Classification]]="Assets",Table846[[#This Row],[Debit\]]-Table846[[#This Row],[Credit.]]),Table846[[#This Row],[Debit\]]-Table846[[#This Row],[Credit.]],""),"")</f>
        <v/>
      </c>
      <c r="AH112" s="34" t="str">
        <f>IFERROR(IF(AND(OR(Table846[[#This Row],[Classification]]="Liabilities",Table846[[#This Row],[Classification]]="Owner´s Equity"),Table846[[#This Row],[Credit.]]&gt;Table846[[#This Row],[Debit\]]),Table846[[#This Row],[Credit.]]-Table846[[#This Row],[Debit\]],""),"")</f>
        <v/>
      </c>
    </row>
    <row r="113" spans="2:34" hidden="1" x14ac:dyDescent="0.25">
      <c r="B113" s="34"/>
      <c r="C113" s="45"/>
      <c r="D113" s="34"/>
      <c r="E113" s="34"/>
      <c r="G113" s="39"/>
      <c r="H113" s="43"/>
      <c r="I113" s="41"/>
      <c r="J113" s="41"/>
      <c r="L113" s="34">
        <v>106</v>
      </c>
      <c r="M113" s="35"/>
      <c r="N113" s="35"/>
      <c r="O113" s="34">
        <f>IFERROR(SUMIF(Table443[,],Table645[[#This Row],[Accounts Name]],Table443[,3]),"")</f>
        <v>0</v>
      </c>
      <c r="P113" s="34">
        <f>IFERROR(SUMIF(Table443[,],Table645[[#This Row],[Accounts Name]],Table443[,2]),"")</f>
        <v>0</v>
      </c>
      <c r="S113" s="36">
        <f t="shared" si="1"/>
        <v>106</v>
      </c>
      <c r="T113" s="34"/>
      <c r="U113" s="37"/>
      <c r="V113" s="34">
        <f>IFERROR(SUMIF(Table645[Sub-Accounts],Table846[[#This Row],[Update your chart of accounts here]],Table645[Debit]),"")</f>
        <v>0</v>
      </c>
      <c r="W113" s="34">
        <f>IFERROR(SUMIF(Table645[Sub-Accounts],Table846[[#This Row],[Update your chart of accounts here]],Table645[Credit]),"")</f>
        <v>0</v>
      </c>
      <c r="X113" s="34"/>
      <c r="Y113" s="34"/>
      <c r="Z113" s="34"/>
      <c r="AA113" s="34"/>
      <c r="AB113" s="34">
        <f>MAX(Table846[[#This Row],[Debit]]+Table846[[#This Row],[Debit -]]-Table846[[#This Row],[Credit]]-Table846[[#This Row],[Credit +]],0)</f>
        <v>0</v>
      </c>
      <c r="AC113" s="34">
        <f>MAX(Table846[[#This Row],[Credit]]-Table846[[#This Row],[Debit]]+Table846[[#This Row],[Credit +]]-Table846[[#This Row],[Debit -]],0)</f>
        <v>0</v>
      </c>
      <c r="AD113" s="34" t="str">
        <f>IFERROR(IF(AND(OR(Table846[[#This Row],[Classification]]="Expense",Table846[[#This Row],[Classification]]="Cost of Goods Sold"),Table846[[#This Row],[Debit\]]&gt;Table846[[#This Row],[Credit.]]),Table846[[#This Row],[Debit\]]-Table846[[#This Row],[Credit.]],""),"")</f>
        <v/>
      </c>
      <c r="AE113" s="34" t="str">
        <f>IFERROR(IF(AND(OR(Table846[[#This Row],[Classification]]="Income",Table846[[#This Row],[Classification]]="Cost of Goods Sold"),Table846[[#This Row],[Credit.]]&gt;Table846[[#This Row],[Debit\]]),Table846[[#This Row],[Credit.]]-Table846[[#This Row],[Debit\]],""),"")</f>
        <v/>
      </c>
      <c r="AF113" s="34"/>
      <c r="AG113" s="34" t="str">
        <f>IFERROR(IF(AND(Table846[[#This Row],[Classification]]="Assets",Table846[[#This Row],[Debit\]]-Table846[[#This Row],[Credit.]]),Table846[[#This Row],[Debit\]]-Table846[[#This Row],[Credit.]],""),"")</f>
        <v/>
      </c>
      <c r="AH113" s="34" t="str">
        <f>IFERROR(IF(AND(OR(Table846[[#This Row],[Classification]]="Liabilities",Table846[[#This Row],[Classification]]="Owner´s Equity"),Table846[[#This Row],[Credit.]]&gt;Table846[[#This Row],[Debit\]]),Table846[[#This Row],[Credit.]]-Table846[[#This Row],[Debit\]],""),"")</f>
        <v/>
      </c>
    </row>
    <row r="114" spans="2:34" hidden="1" x14ac:dyDescent="0.25">
      <c r="B114" s="34"/>
      <c r="C114" s="45"/>
      <c r="D114" s="34"/>
      <c r="E114" s="34"/>
      <c r="G114" s="39"/>
      <c r="H114" s="40"/>
      <c r="I114" s="41"/>
      <c r="J114" s="41"/>
      <c r="L114" s="34">
        <v>107</v>
      </c>
      <c r="M114" s="35"/>
      <c r="N114" s="35"/>
      <c r="O114" s="34">
        <f>IFERROR(SUMIF(Table443[,],Table645[[#This Row],[Accounts Name]],Table443[,3]),"")</f>
        <v>0</v>
      </c>
      <c r="P114" s="34">
        <f>IFERROR(SUMIF(Table443[,],Table645[[#This Row],[Accounts Name]],Table443[,2]),"")</f>
        <v>0</v>
      </c>
      <c r="S114" s="36">
        <f t="shared" si="1"/>
        <v>107</v>
      </c>
      <c r="T114" s="34"/>
      <c r="U114" s="37"/>
      <c r="V114" s="34">
        <f>IFERROR(SUMIF(Table645[Sub-Accounts],Table846[[#This Row],[Update your chart of accounts here]],Table645[Debit]),"")</f>
        <v>0</v>
      </c>
      <c r="W114" s="34">
        <f>IFERROR(SUMIF(Table645[Sub-Accounts],Table846[[#This Row],[Update your chart of accounts here]],Table645[Credit]),"")</f>
        <v>0</v>
      </c>
      <c r="X114" s="34"/>
      <c r="Y114" s="34"/>
      <c r="Z114" s="34"/>
      <c r="AA114" s="34"/>
      <c r="AB114" s="34">
        <f>MAX(Table846[[#This Row],[Debit]]+Table846[[#This Row],[Debit -]]-Table846[[#This Row],[Credit]]-Table846[[#This Row],[Credit +]],0)</f>
        <v>0</v>
      </c>
      <c r="AC114" s="34">
        <f>MAX(Table846[[#This Row],[Credit]]-Table846[[#This Row],[Debit]]+Table846[[#This Row],[Credit +]]-Table846[[#This Row],[Debit -]],0)</f>
        <v>0</v>
      </c>
      <c r="AD114" s="34" t="str">
        <f>IFERROR(IF(AND(OR(Table846[[#This Row],[Classification]]="Expense",Table846[[#This Row],[Classification]]="Cost of Goods Sold"),Table846[[#This Row],[Debit\]]&gt;Table846[[#This Row],[Credit.]]),Table846[[#This Row],[Debit\]]-Table846[[#This Row],[Credit.]],""),"")</f>
        <v/>
      </c>
      <c r="AE114" s="34" t="str">
        <f>IFERROR(IF(AND(OR(Table846[[#This Row],[Classification]]="Income",Table846[[#This Row],[Classification]]="Cost of Goods Sold"),Table846[[#This Row],[Credit.]]&gt;Table846[[#This Row],[Debit\]]),Table846[[#This Row],[Credit.]]-Table846[[#This Row],[Debit\]],""),"")</f>
        <v/>
      </c>
      <c r="AF114" s="34"/>
      <c r="AG114" s="34" t="str">
        <f>IFERROR(IF(AND(Table846[[#This Row],[Classification]]="Assets",Table846[[#This Row],[Debit\]]-Table846[[#This Row],[Credit.]]),Table846[[#This Row],[Debit\]]-Table846[[#This Row],[Credit.]],""),"")</f>
        <v/>
      </c>
      <c r="AH114" s="34" t="str">
        <f>IFERROR(IF(AND(OR(Table846[[#This Row],[Classification]]="Liabilities",Table846[[#This Row],[Classification]]="Owner´s Equity"),Table846[[#This Row],[Credit.]]&gt;Table846[[#This Row],[Debit\]]),Table846[[#This Row],[Credit.]]-Table846[[#This Row],[Debit\]],""),"")</f>
        <v/>
      </c>
    </row>
    <row r="115" spans="2:34" hidden="1" x14ac:dyDescent="0.25">
      <c r="B115" s="34"/>
      <c r="C115" s="45"/>
      <c r="D115" s="34"/>
      <c r="E115" s="34"/>
      <c r="G115" s="39"/>
      <c r="H115" s="40"/>
      <c r="I115" s="41"/>
      <c r="J115" s="41"/>
      <c r="L115" s="34">
        <v>108</v>
      </c>
      <c r="M115" s="35"/>
      <c r="N115" s="35"/>
      <c r="O115" s="34">
        <f>IFERROR(SUMIF(Table443[,],Table645[[#This Row],[Accounts Name]],Table443[,3]),"")</f>
        <v>0</v>
      </c>
      <c r="P115" s="34">
        <f>IFERROR(SUMIF(Table443[,],Table645[[#This Row],[Accounts Name]],Table443[,2]),"")</f>
        <v>0</v>
      </c>
      <c r="S115" s="36">
        <f t="shared" si="1"/>
        <v>108</v>
      </c>
      <c r="T115" s="34"/>
      <c r="U115" s="37"/>
      <c r="V115" s="34">
        <f>IFERROR(SUMIF(Table645[Sub-Accounts],Table846[[#This Row],[Update your chart of accounts here]],Table645[Debit]),"")</f>
        <v>0</v>
      </c>
      <c r="W115" s="34">
        <f>IFERROR(SUMIF(Table645[Sub-Accounts],Table846[[#This Row],[Update your chart of accounts here]],Table645[Credit]),"")</f>
        <v>0</v>
      </c>
      <c r="X115" s="34"/>
      <c r="Y115" s="34"/>
      <c r="Z115" s="34"/>
      <c r="AA115" s="34"/>
      <c r="AB115" s="34">
        <f>MAX(Table846[[#This Row],[Debit]]+Table846[[#This Row],[Debit -]]-Table846[[#This Row],[Credit]]-Table846[[#This Row],[Credit +]],0)</f>
        <v>0</v>
      </c>
      <c r="AC115" s="34">
        <f>MAX(Table846[[#This Row],[Credit]]-Table846[[#This Row],[Debit]]+Table846[[#This Row],[Credit +]]-Table846[[#This Row],[Debit -]],0)</f>
        <v>0</v>
      </c>
      <c r="AD115" s="34" t="str">
        <f>IFERROR(IF(AND(OR(Table846[[#This Row],[Classification]]="Expense",Table846[[#This Row],[Classification]]="Cost of Goods Sold"),Table846[[#This Row],[Debit\]]&gt;Table846[[#This Row],[Credit.]]),Table846[[#This Row],[Debit\]]-Table846[[#This Row],[Credit.]],""),"")</f>
        <v/>
      </c>
      <c r="AE115" s="34" t="str">
        <f>IFERROR(IF(AND(OR(Table846[[#This Row],[Classification]]="Income",Table846[[#This Row],[Classification]]="Cost of Goods Sold"),Table846[[#This Row],[Credit.]]&gt;Table846[[#This Row],[Debit\]]),Table846[[#This Row],[Credit.]]-Table846[[#This Row],[Debit\]],""),"")</f>
        <v/>
      </c>
      <c r="AF115" s="34"/>
      <c r="AG115" s="34" t="str">
        <f>IFERROR(IF(AND(Table846[[#This Row],[Classification]]="Assets",Table846[[#This Row],[Debit\]]-Table846[[#This Row],[Credit.]]),Table846[[#This Row],[Debit\]]-Table846[[#This Row],[Credit.]],""),"")</f>
        <v/>
      </c>
      <c r="AH115" s="34" t="str">
        <f>IFERROR(IF(AND(OR(Table846[[#This Row],[Classification]]="Liabilities",Table846[[#This Row],[Classification]]="Owner´s Equity"),Table846[[#This Row],[Credit.]]&gt;Table846[[#This Row],[Debit\]]),Table846[[#This Row],[Credit.]]-Table846[[#This Row],[Debit\]],""),"")</f>
        <v/>
      </c>
    </row>
    <row r="116" spans="2:34" hidden="1" x14ac:dyDescent="0.25">
      <c r="B116" s="34"/>
      <c r="C116" s="45"/>
      <c r="D116" s="34"/>
      <c r="E116" s="34"/>
      <c r="G116" s="39"/>
      <c r="H116" s="43"/>
      <c r="I116" s="41"/>
      <c r="J116" s="41"/>
      <c r="L116" s="34">
        <v>109</v>
      </c>
      <c r="M116" s="35"/>
      <c r="N116" s="35"/>
      <c r="O116" s="34">
        <f>IFERROR(SUMIF(Table443[,],Table645[[#This Row],[Accounts Name]],Table443[,3]),"")</f>
        <v>0</v>
      </c>
      <c r="P116" s="34">
        <f>IFERROR(SUMIF(Table443[,],Table645[[#This Row],[Accounts Name]],Table443[,2]),"")</f>
        <v>0</v>
      </c>
      <c r="S116" s="36">
        <f t="shared" si="1"/>
        <v>109</v>
      </c>
      <c r="T116" s="34"/>
      <c r="U116" s="37"/>
      <c r="V116" s="34">
        <f>IFERROR(SUMIF(Table645[Sub-Accounts],Table846[[#This Row],[Update your chart of accounts here]],Table645[Debit]),"")</f>
        <v>0</v>
      </c>
      <c r="W116" s="34">
        <f>IFERROR(SUMIF(Table645[Sub-Accounts],Table846[[#This Row],[Update your chart of accounts here]],Table645[Credit]),"")</f>
        <v>0</v>
      </c>
      <c r="X116" s="34"/>
      <c r="Y116" s="34"/>
      <c r="Z116" s="34"/>
      <c r="AA116" s="34"/>
      <c r="AB116" s="34">
        <f>MAX(Table846[[#This Row],[Debit]]+Table846[[#This Row],[Debit -]]-Table846[[#This Row],[Credit]]-Table846[[#This Row],[Credit +]],0)</f>
        <v>0</v>
      </c>
      <c r="AC116" s="34">
        <f>MAX(Table846[[#This Row],[Credit]]-Table846[[#This Row],[Debit]]+Table846[[#This Row],[Credit +]]-Table846[[#This Row],[Debit -]],0)</f>
        <v>0</v>
      </c>
      <c r="AD116" s="34" t="str">
        <f>IFERROR(IF(AND(OR(Table846[[#This Row],[Classification]]="Expense",Table846[[#This Row],[Classification]]="Cost of Goods Sold"),Table846[[#This Row],[Debit\]]&gt;Table846[[#This Row],[Credit.]]),Table846[[#This Row],[Debit\]]-Table846[[#This Row],[Credit.]],""),"")</f>
        <v/>
      </c>
      <c r="AE116" s="34" t="str">
        <f>IFERROR(IF(AND(OR(Table846[[#This Row],[Classification]]="Income",Table846[[#This Row],[Classification]]="Cost of Goods Sold"),Table846[[#This Row],[Credit.]]&gt;Table846[[#This Row],[Debit\]]),Table846[[#This Row],[Credit.]]-Table846[[#This Row],[Debit\]],""),"")</f>
        <v/>
      </c>
      <c r="AF116" s="34"/>
      <c r="AG116" s="34" t="str">
        <f>IFERROR(IF(AND(Table846[[#This Row],[Classification]]="Assets",Table846[[#This Row],[Debit\]]-Table846[[#This Row],[Credit.]]),Table846[[#This Row],[Debit\]]-Table846[[#This Row],[Credit.]],""),"")</f>
        <v/>
      </c>
      <c r="AH116" s="34" t="str">
        <f>IFERROR(IF(AND(OR(Table846[[#This Row],[Classification]]="Liabilities",Table846[[#This Row],[Classification]]="Owner´s Equity"),Table846[[#This Row],[Credit.]]&gt;Table846[[#This Row],[Debit\]]),Table846[[#This Row],[Credit.]]-Table846[[#This Row],[Debit\]],""),"")</f>
        <v/>
      </c>
    </row>
    <row r="117" spans="2:34" hidden="1" x14ac:dyDescent="0.25">
      <c r="B117" s="34"/>
      <c r="C117" s="45"/>
      <c r="D117" s="34"/>
      <c r="E117" s="34"/>
      <c r="G117" s="39"/>
      <c r="H117" s="40"/>
      <c r="I117" s="41"/>
      <c r="J117" s="41"/>
      <c r="L117" s="34">
        <v>110</v>
      </c>
      <c r="M117" s="35"/>
      <c r="N117" s="35"/>
      <c r="O117" s="34">
        <f>IFERROR(SUMIF(Table443[,],Table645[[#This Row],[Accounts Name]],Table443[,3]),"")</f>
        <v>0</v>
      </c>
      <c r="P117" s="34">
        <f>IFERROR(SUMIF(Table443[,],Table645[[#This Row],[Accounts Name]],Table443[,2]),"")</f>
        <v>0</v>
      </c>
      <c r="S117" s="36">
        <f t="shared" si="1"/>
        <v>110</v>
      </c>
      <c r="T117" s="34"/>
      <c r="U117" s="37"/>
      <c r="V117" s="34">
        <f>IFERROR(SUMIF(Table645[Sub-Accounts],Table846[[#This Row],[Update your chart of accounts here]],Table645[Debit]),"")</f>
        <v>0</v>
      </c>
      <c r="W117" s="34">
        <f>IFERROR(SUMIF(Table645[Sub-Accounts],Table846[[#This Row],[Update your chart of accounts here]],Table645[Credit]),"")</f>
        <v>0</v>
      </c>
      <c r="X117" s="34"/>
      <c r="Y117" s="34"/>
      <c r="Z117" s="34"/>
      <c r="AA117" s="34"/>
      <c r="AB117" s="34">
        <f>MAX(Table846[[#This Row],[Debit]]+Table846[[#This Row],[Debit -]]-Table846[[#This Row],[Credit]]-Table846[[#This Row],[Credit +]],0)</f>
        <v>0</v>
      </c>
      <c r="AC117" s="34">
        <f>MAX(Table846[[#This Row],[Credit]]-Table846[[#This Row],[Debit]]+Table846[[#This Row],[Credit +]]-Table846[[#This Row],[Debit -]],0)</f>
        <v>0</v>
      </c>
      <c r="AD117" s="34" t="str">
        <f>IFERROR(IF(AND(OR(Table846[[#This Row],[Classification]]="Expense",Table846[[#This Row],[Classification]]="Cost of Goods Sold"),Table846[[#This Row],[Debit\]]&gt;Table846[[#This Row],[Credit.]]),Table846[[#This Row],[Debit\]]-Table846[[#This Row],[Credit.]],""),"")</f>
        <v/>
      </c>
      <c r="AE117" s="34" t="str">
        <f>IFERROR(IF(AND(OR(Table846[[#This Row],[Classification]]="Income",Table846[[#This Row],[Classification]]="Cost of Goods Sold"),Table846[[#This Row],[Credit.]]&gt;Table846[[#This Row],[Debit\]]),Table846[[#This Row],[Credit.]]-Table846[[#This Row],[Debit\]],""),"")</f>
        <v/>
      </c>
      <c r="AF117" s="34"/>
      <c r="AG117" s="34" t="str">
        <f>IFERROR(IF(AND(Table846[[#This Row],[Classification]]="Assets",Table846[[#This Row],[Debit\]]-Table846[[#This Row],[Credit.]]),Table846[[#This Row],[Debit\]]-Table846[[#This Row],[Credit.]],""),"")</f>
        <v/>
      </c>
      <c r="AH117" s="34" t="str">
        <f>IFERROR(IF(AND(OR(Table846[[#This Row],[Classification]]="Liabilities",Table846[[#This Row],[Classification]]="Owner´s Equity"),Table846[[#This Row],[Credit.]]&gt;Table846[[#This Row],[Debit\]]),Table846[[#This Row],[Credit.]]-Table846[[#This Row],[Debit\]],""),"")</f>
        <v/>
      </c>
    </row>
    <row r="118" spans="2:34" hidden="1" x14ac:dyDescent="0.25">
      <c r="B118" s="34"/>
      <c r="C118" s="45"/>
      <c r="D118" s="34"/>
      <c r="E118" s="34"/>
      <c r="G118" s="39"/>
      <c r="H118" s="40"/>
      <c r="I118" s="41"/>
      <c r="J118" s="41"/>
      <c r="L118" s="34">
        <v>111</v>
      </c>
      <c r="M118" s="35"/>
      <c r="N118" s="35"/>
      <c r="O118" s="34">
        <f>IFERROR(SUMIF(Table443[,],Table645[[#This Row],[Accounts Name]],Table443[,3]),"")</f>
        <v>0</v>
      </c>
      <c r="P118" s="34">
        <f>IFERROR(SUMIF(Table443[,],Table645[[#This Row],[Accounts Name]],Table443[,2]),"")</f>
        <v>0</v>
      </c>
      <c r="S118" s="36">
        <f t="shared" si="1"/>
        <v>111</v>
      </c>
      <c r="T118" s="34"/>
      <c r="U118" s="37"/>
      <c r="V118" s="34">
        <f>IFERROR(SUMIF(Table645[Sub-Accounts],Table846[[#This Row],[Update your chart of accounts here]],Table645[Debit]),"")</f>
        <v>0</v>
      </c>
      <c r="W118" s="34">
        <f>IFERROR(SUMIF(Table645[Sub-Accounts],Table846[[#This Row],[Update your chart of accounts here]],Table645[Credit]),"")</f>
        <v>0</v>
      </c>
      <c r="X118" s="34"/>
      <c r="Y118" s="34"/>
      <c r="Z118" s="34"/>
      <c r="AA118" s="34"/>
      <c r="AB118" s="34">
        <f>MAX(Table846[[#This Row],[Debit]]+Table846[[#This Row],[Debit -]]-Table846[[#This Row],[Credit]]-Table846[[#This Row],[Credit +]],0)</f>
        <v>0</v>
      </c>
      <c r="AC118" s="34">
        <f>MAX(Table846[[#This Row],[Credit]]-Table846[[#This Row],[Debit]]+Table846[[#This Row],[Credit +]]-Table846[[#This Row],[Debit -]],0)</f>
        <v>0</v>
      </c>
      <c r="AD118" s="34" t="str">
        <f>IFERROR(IF(AND(OR(Table846[[#This Row],[Classification]]="Expense",Table846[[#This Row],[Classification]]="Cost of Goods Sold"),Table846[[#This Row],[Debit\]]&gt;Table846[[#This Row],[Credit.]]),Table846[[#This Row],[Debit\]]-Table846[[#This Row],[Credit.]],""),"")</f>
        <v/>
      </c>
      <c r="AE118" s="34" t="str">
        <f>IFERROR(IF(AND(OR(Table846[[#This Row],[Classification]]="Income",Table846[[#This Row],[Classification]]="Cost of Goods Sold"),Table846[[#This Row],[Credit.]]&gt;Table846[[#This Row],[Debit\]]),Table846[[#This Row],[Credit.]]-Table846[[#This Row],[Debit\]],""),"")</f>
        <v/>
      </c>
      <c r="AF118" s="34"/>
      <c r="AG118" s="34" t="str">
        <f>IFERROR(IF(AND(Table846[[#This Row],[Classification]]="Assets",Table846[[#This Row],[Debit\]]-Table846[[#This Row],[Credit.]]),Table846[[#This Row],[Debit\]]-Table846[[#This Row],[Credit.]],""),"")</f>
        <v/>
      </c>
      <c r="AH118" s="34" t="str">
        <f>IFERROR(IF(AND(OR(Table846[[#This Row],[Classification]]="Liabilities",Table846[[#This Row],[Classification]]="Owner´s Equity"),Table846[[#This Row],[Credit.]]&gt;Table846[[#This Row],[Debit\]]),Table846[[#This Row],[Credit.]]-Table846[[#This Row],[Debit\]],""),"")</f>
        <v/>
      </c>
    </row>
    <row r="119" spans="2:34" hidden="1" x14ac:dyDescent="0.25">
      <c r="B119" s="34"/>
      <c r="C119" s="45"/>
      <c r="D119" s="34"/>
      <c r="E119" s="34"/>
      <c r="G119" s="39"/>
      <c r="H119" s="43"/>
      <c r="I119" s="41"/>
      <c r="J119" s="41"/>
      <c r="L119" s="34">
        <v>112</v>
      </c>
      <c r="M119" s="35"/>
      <c r="N119" s="35"/>
      <c r="O119" s="34">
        <f>IFERROR(SUMIF(Table443[,],Table645[[#This Row],[Accounts Name]],Table443[,3]),"")</f>
        <v>0</v>
      </c>
      <c r="P119" s="34">
        <f>IFERROR(SUMIF(Table443[,],Table645[[#This Row],[Accounts Name]],Table443[,2]),"")</f>
        <v>0</v>
      </c>
      <c r="S119" s="36">
        <f t="shared" si="1"/>
        <v>112</v>
      </c>
      <c r="T119" s="34"/>
      <c r="U119" s="37"/>
      <c r="V119" s="34">
        <f>IFERROR(SUMIF(Table645[Sub-Accounts],Table846[[#This Row],[Update your chart of accounts here]],Table645[Debit]),"")</f>
        <v>0</v>
      </c>
      <c r="W119" s="34">
        <f>IFERROR(SUMIF(Table645[Sub-Accounts],Table846[[#This Row],[Update your chart of accounts here]],Table645[Credit]),"")</f>
        <v>0</v>
      </c>
      <c r="X119" s="34"/>
      <c r="Y119" s="34"/>
      <c r="Z119" s="34"/>
      <c r="AA119" s="34"/>
      <c r="AB119" s="34">
        <f>MAX(Table846[[#This Row],[Debit]]+Table846[[#This Row],[Debit -]]-Table846[[#This Row],[Credit]]-Table846[[#This Row],[Credit +]],0)</f>
        <v>0</v>
      </c>
      <c r="AC119" s="34">
        <f>MAX(Table846[[#This Row],[Credit]]-Table846[[#This Row],[Debit]]+Table846[[#This Row],[Credit +]]-Table846[[#This Row],[Debit -]],0)</f>
        <v>0</v>
      </c>
      <c r="AD119" s="34" t="str">
        <f>IFERROR(IF(AND(OR(Table846[[#This Row],[Classification]]="Expense",Table846[[#This Row],[Classification]]="Cost of Goods Sold"),Table846[[#This Row],[Debit\]]&gt;Table846[[#This Row],[Credit.]]),Table846[[#This Row],[Debit\]]-Table846[[#This Row],[Credit.]],""),"")</f>
        <v/>
      </c>
      <c r="AE119" s="34" t="str">
        <f>IFERROR(IF(AND(OR(Table846[[#This Row],[Classification]]="Income",Table846[[#This Row],[Classification]]="Cost of Goods Sold"),Table846[[#This Row],[Credit.]]&gt;Table846[[#This Row],[Debit\]]),Table846[[#This Row],[Credit.]]-Table846[[#This Row],[Debit\]],""),"")</f>
        <v/>
      </c>
      <c r="AF119" s="34"/>
      <c r="AG119" s="34" t="str">
        <f>IFERROR(IF(AND(Table846[[#This Row],[Classification]]="Assets",Table846[[#This Row],[Debit\]]-Table846[[#This Row],[Credit.]]),Table846[[#This Row],[Debit\]]-Table846[[#This Row],[Credit.]],""),"")</f>
        <v/>
      </c>
      <c r="AH119" s="34" t="str">
        <f>IFERROR(IF(AND(OR(Table846[[#This Row],[Classification]]="Liabilities",Table846[[#This Row],[Classification]]="Owner´s Equity"),Table846[[#This Row],[Credit.]]&gt;Table846[[#This Row],[Debit\]]),Table846[[#This Row],[Credit.]]-Table846[[#This Row],[Debit\]],""),"")</f>
        <v/>
      </c>
    </row>
    <row r="120" spans="2:34" hidden="1" x14ac:dyDescent="0.25">
      <c r="B120" s="34"/>
      <c r="C120" s="45"/>
      <c r="D120" s="34"/>
      <c r="E120" s="34"/>
      <c r="G120" s="39"/>
      <c r="H120" s="40"/>
      <c r="I120" s="41"/>
      <c r="J120" s="41"/>
      <c r="L120" s="34">
        <v>113</v>
      </c>
      <c r="M120" s="35"/>
      <c r="N120" s="35"/>
      <c r="O120" s="34">
        <f>IFERROR(SUMIF(Table443[,],Table645[[#This Row],[Accounts Name]],Table443[,3]),"")</f>
        <v>0</v>
      </c>
      <c r="P120" s="34">
        <f>IFERROR(SUMIF(Table443[,],Table645[[#This Row],[Accounts Name]],Table443[,2]),"")</f>
        <v>0</v>
      </c>
      <c r="S120" s="36">
        <f t="shared" si="1"/>
        <v>113</v>
      </c>
      <c r="T120" s="34"/>
      <c r="U120" s="37"/>
      <c r="V120" s="34">
        <f>IFERROR(SUMIF(Table645[Sub-Accounts],Table846[[#This Row],[Update your chart of accounts here]],Table645[Debit]),"")</f>
        <v>0</v>
      </c>
      <c r="W120" s="34">
        <f>IFERROR(SUMIF(Table645[Sub-Accounts],Table846[[#This Row],[Update your chart of accounts here]],Table645[Credit]),"")</f>
        <v>0</v>
      </c>
      <c r="X120" s="34"/>
      <c r="Y120" s="34"/>
      <c r="Z120" s="34"/>
      <c r="AA120" s="34"/>
      <c r="AB120" s="34">
        <f>MAX(Table846[[#This Row],[Debit]]+Table846[[#This Row],[Debit -]]-Table846[[#This Row],[Credit]]-Table846[[#This Row],[Credit +]],0)</f>
        <v>0</v>
      </c>
      <c r="AC120" s="34">
        <f>MAX(Table846[[#This Row],[Credit]]-Table846[[#This Row],[Debit]]+Table846[[#This Row],[Credit +]]-Table846[[#This Row],[Debit -]],0)</f>
        <v>0</v>
      </c>
      <c r="AD120" s="34" t="str">
        <f>IFERROR(IF(AND(OR(Table846[[#This Row],[Classification]]="Expense",Table846[[#This Row],[Classification]]="Cost of Goods Sold"),Table846[[#This Row],[Debit\]]&gt;Table846[[#This Row],[Credit.]]),Table846[[#This Row],[Debit\]]-Table846[[#This Row],[Credit.]],""),"")</f>
        <v/>
      </c>
      <c r="AE120" s="34" t="str">
        <f>IFERROR(IF(AND(OR(Table846[[#This Row],[Classification]]="Income",Table846[[#This Row],[Classification]]="Cost of Goods Sold"),Table846[[#This Row],[Credit.]]&gt;Table846[[#This Row],[Debit\]]),Table846[[#This Row],[Credit.]]-Table846[[#This Row],[Debit\]],""),"")</f>
        <v/>
      </c>
      <c r="AF120" s="34"/>
      <c r="AG120" s="34" t="str">
        <f>IFERROR(IF(AND(Table846[[#This Row],[Classification]]="Assets",Table846[[#This Row],[Debit\]]-Table846[[#This Row],[Credit.]]),Table846[[#This Row],[Debit\]]-Table846[[#This Row],[Credit.]],""),"")</f>
        <v/>
      </c>
      <c r="AH120" s="34" t="str">
        <f>IFERROR(IF(AND(OR(Table846[[#This Row],[Classification]]="Liabilities",Table846[[#This Row],[Classification]]="Owner´s Equity"),Table846[[#This Row],[Credit.]]&gt;Table846[[#This Row],[Debit\]]),Table846[[#This Row],[Credit.]]-Table846[[#This Row],[Debit\]],""),"")</f>
        <v/>
      </c>
    </row>
    <row r="121" spans="2:34" hidden="1" x14ac:dyDescent="0.25">
      <c r="B121" s="34"/>
      <c r="C121" s="45"/>
      <c r="D121" s="34"/>
      <c r="E121" s="34"/>
      <c r="G121" s="39"/>
      <c r="H121" s="40"/>
      <c r="I121" s="41"/>
      <c r="J121" s="41"/>
      <c r="L121" s="34">
        <v>114</v>
      </c>
      <c r="M121" s="35"/>
      <c r="N121" s="35"/>
      <c r="O121" s="34">
        <f>IFERROR(SUMIF(Table443[,],Table645[[#This Row],[Accounts Name]],Table443[,3]),"")</f>
        <v>0</v>
      </c>
      <c r="P121" s="34">
        <f>IFERROR(SUMIF(Table443[,],Table645[[#This Row],[Accounts Name]],Table443[,2]),"")</f>
        <v>0</v>
      </c>
      <c r="S121" s="36">
        <f t="shared" si="1"/>
        <v>114</v>
      </c>
      <c r="T121" s="34"/>
      <c r="U121" s="37"/>
      <c r="V121" s="34">
        <f>IFERROR(SUMIF(Table645[Sub-Accounts],Table846[[#This Row],[Update your chart of accounts here]],Table645[Debit]),"")</f>
        <v>0</v>
      </c>
      <c r="W121" s="34">
        <f>IFERROR(SUMIF(Table645[Sub-Accounts],Table846[[#This Row],[Update your chart of accounts here]],Table645[Credit]),"")</f>
        <v>0</v>
      </c>
      <c r="X121" s="34"/>
      <c r="Y121" s="34"/>
      <c r="Z121" s="34"/>
      <c r="AA121" s="34"/>
      <c r="AB121" s="34">
        <f>MAX(Table846[[#This Row],[Debit]]+Table846[[#This Row],[Debit -]]-Table846[[#This Row],[Credit]]-Table846[[#This Row],[Credit +]],0)</f>
        <v>0</v>
      </c>
      <c r="AC121" s="34">
        <f>MAX(Table846[[#This Row],[Credit]]-Table846[[#This Row],[Debit]]+Table846[[#This Row],[Credit +]]-Table846[[#This Row],[Debit -]],0)</f>
        <v>0</v>
      </c>
      <c r="AD121" s="34" t="str">
        <f>IFERROR(IF(AND(OR(Table846[[#This Row],[Classification]]="Expense",Table846[[#This Row],[Classification]]="Cost of Goods Sold"),Table846[[#This Row],[Debit\]]&gt;Table846[[#This Row],[Credit.]]),Table846[[#This Row],[Debit\]]-Table846[[#This Row],[Credit.]],""),"")</f>
        <v/>
      </c>
      <c r="AE121" s="34" t="str">
        <f>IFERROR(IF(AND(OR(Table846[[#This Row],[Classification]]="Income",Table846[[#This Row],[Classification]]="Cost of Goods Sold"),Table846[[#This Row],[Credit.]]&gt;Table846[[#This Row],[Debit\]]),Table846[[#This Row],[Credit.]]-Table846[[#This Row],[Debit\]],""),"")</f>
        <v/>
      </c>
      <c r="AF121" s="34"/>
      <c r="AG121" s="34" t="str">
        <f>IFERROR(IF(AND(Table846[[#This Row],[Classification]]="Assets",Table846[[#This Row],[Debit\]]-Table846[[#This Row],[Credit.]]),Table846[[#This Row],[Debit\]]-Table846[[#This Row],[Credit.]],""),"")</f>
        <v/>
      </c>
      <c r="AH121" s="34" t="str">
        <f>IFERROR(IF(AND(OR(Table846[[#This Row],[Classification]]="Liabilities",Table846[[#This Row],[Classification]]="Owner´s Equity"),Table846[[#This Row],[Credit.]]&gt;Table846[[#This Row],[Debit\]]),Table846[[#This Row],[Credit.]]-Table846[[#This Row],[Debit\]],""),"")</f>
        <v/>
      </c>
    </row>
    <row r="122" spans="2:34" hidden="1" x14ac:dyDescent="0.25">
      <c r="B122" s="34"/>
      <c r="C122" s="45"/>
      <c r="D122" s="34"/>
      <c r="E122" s="34"/>
      <c r="G122" s="39"/>
      <c r="H122" s="43"/>
      <c r="I122" s="41"/>
      <c r="J122" s="41"/>
      <c r="L122" s="34">
        <v>115</v>
      </c>
      <c r="M122" s="35"/>
      <c r="N122" s="35"/>
      <c r="O122" s="34">
        <f>IFERROR(SUMIF(Table443[,],Table645[[#This Row],[Accounts Name]],Table443[,3]),"")</f>
        <v>0</v>
      </c>
      <c r="P122" s="34">
        <f>IFERROR(SUMIF(Table443[,],Table645[[#This Row],[Accounts Name]],Table443[,2]),"")</f>
        <v>0</v>
      </c>
      <c r="S122" s="36">
        <f t="shared" si="1"/>
        <v>115</v>
      </c>
      <c r="T122" s="34"/>
      <c r="U122" s="37"/>
      <c r="V122" s="34">
        <f>IFERROR(SUMIF(Table645[Sub-Accounts],Table846[[#This Row],[Update your chart of accounts here]],Table645[Debit]),"")</f>
        <v>0</v>
      </c>
      <c r="W122" s="34">
        <f>IFERROR(SUMIF(Table645[Sub-Accounts],Table846[[#This Row],[Update your chart of accounts here]],Table645[Credit]),"")</f>
        <v>0</v>
      </c>
      <c r="X122" s="34"/>
      <c r="Y122" s="34"/>
      <c r="Z122" s="34"/>
      <c r="AA122" s="34"/>
      <c r="AB122" s="34">
        <f>MAX(Table846[[#This Row],[Debit]]+Table846[[#This Row],[Debit -]]-Table846[[#This Row],[Credit]]-Table846[[#This Row],[Credit +]],0)</f>
        <v>0</v>
      </c>
      <c r="AC122" s="34">
        <f>MAX(Table846[[#This Row],[Credit]]-Table846[[#This Row],[Debit]]+Table846[[#This Row],[Credit +]]-Table846[[#This Row],[Debit -]],0)</f>
        <v>0</v>
      </c>
      <c r="AD122" s="34" t="str">
        <f>IFERROR(IF(AND(OR(Table846[[#This Row],[Classification]]="Expense",Table846[[#This Row],[Classification]]="Cost of Goods Sold"),Table846[[#This Row],[Debit\]]&gt;Table846[[#This Row],[Credit.]]),Table846[[#This Row],[Debit\]]-Table846[[#This Row],[Credit.]],""),"")</f>
        <v/>
      </c>
      <c r="AE122" s="34" t="str">
        <f>IFERROR(IF(AND(OR(Table846[[#This Row],[Classification]]="Income",Table846[[#This Row],[Classification]]="Cost of Goods Sold"),Table846[[#This Row],[Credit.]]&gt;Table846[[#This Row],[Debit\]]),Table846[[#This Row],[Credit.]]-Table846[[#This Row],[Debit\]],""),"")</f>
        <v/>
      </c>
      <c r="AF122" s="34"/>
      <c r="AG122" s="34" t="str">
        <f>IFERROR(IF(AND(Table846[[#This Row],[Classification]]="Assets",Table846[[#This Row],[Debit\]]-Table846[[#This Row],[Credit.]]),Table846[[#This Row],[Debit\]]-Table846[[#This Row],[Credit.]],""),"")</f>
        <v/>
      </c>
      <c r="AH122" s="34" t="str">
        <f>IFERROR(IF(AND(OR(Table846[[#This Row],[Classification]]="Liabilities",Table846[[#This Row],[Classification]]="Owner´s Equity"),Table846[[#This Row],[Credit.]]&gt;Table846[[#This Row],[Debit\]]),Table846[[#This Row],[Credit.]]-Table846[[#This Row],[Debit\]],""),"")</f>
        <v/>
      </c>
    </row>
    <row r="123" spans="2:34" hidden="1" x14ac:dyDescent="0.25">
      <c r="B123" s="34"/>
      <c r="C123" s="45"/>
      <c r="D123" s="34"/>
      <c r="E123" s="34"/>
      <c r="G123" s="39"/>
      <c r="H123" s="40"/>
      <c r="I123" s="41"/>
      <c r="J123" s="41"/>
      <c r="L123" s="34">
        <v>116</v>
      </c>
      <c r="M123" s="35"/>
      <c r="N123" s="35"/>
      <c r="O123" s="34">
        <f>IFERROR(SUMIF(Table443[,],Table645[[#This Row],[Accounts Name]],Table443[,3]),"")</f>
        <v>0</v>
      </c>
      <c r="P123" s="34">
        <f>IFERROR(SUMIF(Table443[,],Table645[[#This Row],[Accounts Name]],Table443[,2]),"")</f>
        <v>0</v>
      </c>
      <c r="S123" s="36">
        <f t="shared" si="1"/>
        <v>116</v>
      </c>
      <c r="T123" s="34"/>
      <c r="U123" s="37"/>
      <c r="V123" s="34">
        <f>IFERROR(SUMIF(Table645[Sub-Accounts],Table846[[#This Row],[Update your chart of accounts here]],Table645[Debit]),"")</f>
        <v>0</v>
      </c>
      <c r="W123" s="34">
        <f>IFERROR(SUMIF(Table645[Sub-Accounts],Table846[[#This Row],[Update your chart of accounts here]],Table645[Credit]),"")</f>
        <v>0</v>
      </c>
      <c r="X123" s="34"/>
      <c r="Y123" s="34"/>
      <c r="Z123" s="34"/>
      <c r="AA123" s="34"/>
      <c r="AB123" s="34">
        <f>MAX(Table846[[#This Row],[Debit]]+Table846[[#This Row],[Debit -]]-Table846[[#This Row],[Credit]]-Table846[[#This Row],[Credit +]],0)</f>
        <v>0</v>
      </c>
      <c r="AC123" s="34">
        <f>MAX(Table846[[#This Row],[Credit]]-Table846[[#This Row],[Debit]]+Table846[[#This Row],[Credit +]]-Table846[[#This Row],[Debit -]],0)</f>
        <v>0</v>
      </c>
      <c r="AD123" s="34" t="str">
        <f>IFERROR(IF(AND(OR(Table846[[#This Row],[Classification]]="Expense",Table846[[#This Row],[Classification]]="Cost of Goods Sold"),Table846[[#This Row],[Debit\]]&gt;Table846[[#This Row],[Credit.]]),Table846[[#This Row],[Debit\]]-Table846[[#This Row],[Credit.]],""),"")</f>
        <v/>
      </c>
      <c r="AE123" s="34" t="str">
        <f>IFERROR(IF(AND(OR(Table846[[#This Row],[Classification]]="Income",Table846[[#This Row],[Classification]]="Cost of Goods Sold"),Table846[[#This Row],[Credit.]]&gt;Table846[[#This Row],[Debit\]]),Table846[[#This Row],[Credit.]]-Table846[[#This Row],[Debit\]],""),"")</f>
        <v/>
      </c>
      <c r="AF123" s="34"/>
      <c r="AG123" s="34" t="str">
        <f>IFERROR(IF(AND(Table846[[#This Row],[Classification]]="Assets",Table846[[#This Row],[Debit\]]-Table846[[#This Row],[Credit.]]),Table846[[#This Row],[Debit\]]-Table846[[#This Row],[Credit.]],""),"")</f>
        <v/>
      </c>
      <c r="AH123" s="34" t="str">
        <f>IFERROR(IF(AND(OR(Table846[[#This Row],[Classification]]="Liabilities",Table846[[#This Row],[Classification]]="Owner´s Equity"),Table846[[#This Row],[Credit.]]&gt;Table846[[#This Row],[Debit\]]),Table846[[#This Row],[Credit.]]-Table846[[#This Row],[Debit\]],""),"")</f>
        <v/>
      </c>
    </row>
    <row r="124" spans="2:34" hidden="1" x14ac:dyDescent="0.25">
      <c r="B124" s="34"/>
      <c r="C124" s="45"/>
      <c r="D124" s="34"/>
      <c r="E124" s="34"/>
      <c r="G124" s="39"/>
      <c r="H124" s="40"/>
      <c r="I124" s="41"/>
      <c r="J124" s="41"/>
      <c r="L124" s="34">
        <v>117</v>
      </c>
      <c r="M124" s="35"/>
      <c r="N124" s="35"/>
      <c r="O124" s="34">
        <f>IFERROR(SUMIF(Table443[,],Table645[[#This Row],[Accounts Name]],Table443[,3]),"")</f>
        <v>0</v>
      </c>
      <c r="P124" s="34">
        <f>IFERROR(SUMIF(Table443[,],Table645[[#This Row],[Accounts Name]],Table443[,2]),"")</f>
        <v>0</v>
      </c>
      <c r="S124" s="36">
        <f t="shared" si="1"/>
        <v>117</v>
      </c>
      <c r="T124" s="34"/>
      <c r="U124" s="37"/>
      <c r="V124" s="34">
        <f>IFERROR(SUMIF(Table645[Sub-Accounts],Table846[[#This Row],[Update your chart of accounts here]],Table645[Debit]),"")</f>
        <v>0</v>
      </c>
      <c r="W124" s="34">
        <f>IFERROR(SUMIF(Table645[Sub-Accounts],Table846[[#This Row],[Update your chart of accounts here]],Table645[Credit]),"")</f>
        <v>0</v>
      </c>
      <c r="X124" s="34"/>
      <c r="Y124" s="34"/>
      <c r="Z124" s="34"/>
      <c r="AA124" s="34"/>
      <c r="AB124" s="34">
        <f>MAX(Table846[[#This Row],[Debit]]+Table846[[#This Row],[Debit -]]-Table846[[#This Row],[Credit]]-Table846[[#This Row],[Credit +]],0)</f>
        <v>0</v>
      </c>
      <c r="AC124" s="34">
        <f>MAX(Table846[[#This Row],[Credit]]-Table846[[#This Row],[Debit]]+Table846[[#This Row],[Credit +]]-Table846[[#This Row],[Debit -]],0)</f>
        <v>0</v>
      </c>
      <c r="AD124" s="34" t="str">
        <f>IFERROR(IF(AND(OR(Table846[[#This Row],[Classification]]="Expense",Table846[[#This Row],[Classification]]="Cost of Goods Sold"),Table846[[#This Row],[Debit\]]&gt;Table846[[#This Row],[Credit.]]),Table846[[#This Row],[Debit\]]-Table846[[#This Row],[Credit.]],""),"")</f>
        <v/>
      </c>
      <c r="AE124" s="34" t="str">
        <f>IFERROR(IF(AND(OR(Table846[[#This Row],[Classification]]="Income",Table846[[#This Row],[Classification]]="Cost of Goods Sold"),Table846[[#This Row],[Credit.]]&gt;Table846[[#This Row],[Debit\]]),Table846[[#This Row],[Credit.]]-Table846[[#This Row],[Debit\]],""),"")</f>
        <v/>
      </c>
      <c r="AF124" s="34"/>
      <c r="AG124" s="34" t="str">
        <f>IFERROR(IF(AND(Table846[[#This Row],[Classification]]="Assets",Table846[[#This Row],[Debit\]]-Table846[[#This Row],[Credit.]]),Table846[[#This Row],[Debit\]]-Table846[[#This Row],[Credit.]],""),"")</f>
        <v/>
      </c>
      <c r="AH124" s="34" t="str">
        <f>IFERROR(IF(AND(OR(Table846[[#This Row],[Classification]]="Liabilities",Table846[[#This Row],[Classification]]="Owner´s Equity"),Table846[[#This Row],[Credit.]]&gt;Table846[[#This Row],[Debit\]]),Table846[[#This Row],[Credit.]]-Table846[[#This Row],[Debit\]],""),"")</f>
        <v/>
      </c>
    </row>
    <row r="125" spans="2:34" hidden="1" x14ac:dyDescent="0.25">
      <c r="B125" s="34"/>
      <c r="C125" s="45"/>
      <c r="D125" s="34"/>
      <c r="E125" s="34"/>
      <c r="G125" s="39"/>
      <c r="H125" s="43"/>
      <c r="I125" s="41"/>
      <c r="J125" s="41"/>
      <c r="L125" s="34">
        <v>118</v>
      </c>
      <c r="M125" s="35"/>
      <c r="N125" s="35"/>
      <c r="O125" s="34">
        <f>IFERROR(SUMIF(Table443[,],Table645[[#This Row],[Accounts Name]],Table443[,3]),"")</f>
        <v>0</v>
      </c>
      <c r="P125" s="34">
        <f>IFERROR(SUMIF(Table443[,],Table645[[#This Row],[Accounts Name]],Table443[,2]),"")</f>
        <v>0</v>
      </c>
      <c r="S125" s="36">
        <f t="shared" si="1"/>
        <v>118</v>
      </c>
      <c r="T125" s="34"/>
      <c r="U125" s="37"/>
      <c r="V125" s="34">
        <f>IFERROR(SUMIF(Table645[Sub-Accounts],Table846[[#This Row],[Update your chart of accounts here]],Table645[Debit]),"")</f>
        <v>0</v>
      </c>
      <c r="W125" s="34">
        <f>IFERROR(SUMIF(Table645[Sub-Accounts],Table846[[#This Row],[Update your chart of accounts here]],Table645[Credit]),"")</f>
        <v>0</v>
      </c>
      <c r="X125" s="34"/>
      <c r="Y125" s="34"/>
      <c r="Z125" s="34"/>
      <c r="AA125" s="34"/>
      <c r="AB125" s="34">
        <f>MAX(Table846[[#This Row],[Debit]]+Table846[[#This Row],[Debit -]]-Table846[[#This Row],[Credit]]-Table846[[#This Row],[Credit +]],0)</f>
        <v>0</v>
      </c>
      <c r="AC125" s="34">
        <f>MAX(Table846[[#This Row],[Credit]]-Table846[[#This Row],[Debit]]+Table846[[#This Row],[Credit +]]-Table846[[#This Row],[Debit -]],0)</f>
        <v>0</v>
      </c>
      <c r="AD125" s="34" t="str">
        <f>IFERROR(IF(AND(OR(Table846[[#This Row],[Classification]]="Expense",Table846[[#This Row],[Classification]]="Cost of Goods Sold"),Table846[[#This Row],[Debit\]]&gt;Table846[[#This Row],[Credit.]]),Table846[[#This Row],[Debit\]]-Table846[[#This Row],[Credit.]],""),"")</f>
        <v/>
      </c>
      <c r="AE125" s="34" t="str">
        <f>IFERROR(IF(AND(OR(Table846[[#This Row],[Classification]]="Income",Table846[[#This Row],[Classification]]="Cost of Goods Sold"),Table846[[#This Row],[Credit.]]&gt;Table846[[#This Row],[Debit\]]),Table846[[#This Row],[Credit.]]-Table846[[#This Row],[Debit\]],""),"")</f>
        <v/>
      </c>
      <c r="AF125" s="34"/>
      <c r="AG125" s="34" t="str">
        <f>IFERROR(IF(AND(Table846[[#This Row],[Classification]]="Assets",Table846[[#This Row],[Debit\]]-Table846[[#This Row],[Credit.]]),Table846[[#This Row],[Debit\]]-Table846[[#This Row],[Credit.]],""),"")</f>
        <v/>
      </c>
      <c r="AH125" s="34" t="str">
        <f>IFERROR(IF(AND(OR(Table846[[#This Row],[Classification]]="Liabilities",Table846[[#This Row],[Classification]]="Owner´s Equity"),Table846[[#This Row],[Credit.]]&gt;Table846[[#This Row],[Debit\]]),Table846[[#This Row],[Credit.]]-Table846[[#This Row],[Debit\]],""),"")</f>
        <v/>
      </c>
    </row>
    <row r="126" spans="2:34" hidden="1" x14ac:dyDescent="0.25">
      <c r="B126" s="34"/>
      <c r="C126" s="45"/>
      <c r="D126" s="34"/>
      <c r="E126" s="34"/>
      <c r="G126" s="39"/>
      <c r="H126" s="40"/>
      <c r="I126" s="41"/>
      <c r="J126" s="41"/>
      <c r="L126" s="34">
        <v>119</v>
      </c>
      <c r="M126" s="35"/>
      <c r="N126" s="35"/>
      <c r="O126" s="34">
        <f>IFERROR(SUMIF(Table443[,],Table645[[#This Row],[Accounts Name]],Table443[,3]),"")</f>
        <v>0</v>
      </c>
      <c r="P126" s="34">
        <f>IFERROR(SUMIF(Table443[,],Table645[[#This Row],[Accounts Name]],Table443[,2]),"")</f>
        <v>0</v>
      </c>
      <c r="S126" s="36">
        <f t="shared" si="1"/>
        <v>119</v>
      </c>
      <c r="T126" s="34"/>
      <c r="U126" s="37"/>
      <c r="V126" s="34">
        <f>IFERROR(SUMIF(Table645[Sub-Accounts],Table846[[#This Row],[Update your chart of accounts here]],Table645[Debit]),"")</f>
        <v>0</v>
      </c>
      <c r="W126" s="34">
        <f>IFERROR(SUMIF(Table645[Sub-Accounts],Table846[[#This Row],[Update your chart of accounts here]],Table645[Credit]),"")</f>
        <v>0</v>
      </c>
      <c r="X126" s="34"/>
      <c r="Y126" s="34"/>
      <c r="Z126" s="34"/>
      <c r="AA126" s="34"/>
      <c r="AB126" s="34">
        <f>MAX(Table846[[#This Row],[Debit]]+Table846[[#This Row],[Debit -]]-Table846[[#This Row],[Credit]]-Table846[[#This Row],[Credit +]],0)</f>
        <v>0</v>
      </c>
      <c r="AC126" s="34">
        <f>MAX(Table846[[#This Row],[Credit]]-Table846[[#This Row],[Debit]]+Table846[[#This Row],[Credit +]]-Table846[[#This Row],[Debit -]],0)</f>
        <v>0</v>
      </c>
      <c r="AD126" s="34" t="str">
        <f>IFERROR(IF(AND(OR(Table846[[#This Row],[Classification]]="Expense",Table846[[#This Row],[Classification]]="Cost of Goods Sold"),Table846[[#This Row],[Debit\]]&gt;Table846[[#This Row],[Credit.]]),Table846[[#This Row],[Debit\]]-Table846[[#This Row],[Credit.]],""),"")</f>
        <v/>
      </c>
      <c r="AE126" s="34" t="str">
        <f>IFERROR(IF(AND(OR(Table846[[#This Row],[Classification]]="Income",Table846[[#This Row],[Classification]]="Cost of Goods Sold"),Table846[[#This Row],[Credit.]]&gt;Table846[[#This Row],[Debit\]]),Table846[[#This Row],[Credit.]]-Table846[[#This Row],[Debit\]],""),"")</f>
        <v/>
      </c>
      <c r="AF126" s="34"/>
      <c r="AG126" s="34" t="str">
        <f>IFERROR(IF(AND(Table846[[#This Row],[Classification]]="Assets",Table846[[#This Row],[Debit\]]-Table846[[#This Row],[Credit.]]),Table846[[#This Row],[Debit\]]-Table846[[#This Row],[Credit.]],""),"")</f>
        <v/>
      </c>
      <c r="AH126" s="34" t="str">
        <f>IFERROR(IF(AND(OR(Table846[[#This Row],[Classification]]="Liabilities",Table846[[#This Row],[Classification]]="Owner´s Equity"),Table846[[#This Row],[Credit.]]&gt;Table846[[#This Row],[Debit\]]),Table846[[#This Row],[Credit.]]-Table846[[#This Row],[Debit\]],""),"")</f>
        <v/>
      </c>
    </row>
    <row r="127" spans="2:34" hidden="1" x14ac:dyDescent="0.25">
      <c r="B127" s="34"/>
      <c r="C127" s="45"/>
      <c r="D127" s="34"/>
      <c r="E127" s="34"/>
      <c r="G127" s="39"/>
      <c r="H127" s="40"/>
      <c r="I127" s="41"/>
      <c r="J127" s="41"/>
      <c r="L127" s="34">
        <v>120</v>
      </c>
      <c r="M127" s="35"/>
      <c r="N127" s="35"/>
      <c r="O127" s="34">
        <f>IFERROR(SUMIF(Table443[,],Table645[[#This Row],[Accounts Name]],Table443[,3]),"")</f>
        <v>0</v>
      </c>
      <c r="P127" s="34">
        <f>IFERROR(SUMIF(Table443[,],Table645[[#This Row],[Accounts Name]],Table443[,2]),"")</f>
        <v>0</v>
      </c>
      <c r="S127" s="36">
        <f t="shared" si="1"/>
        <v>120</v>
      </c>
      <c r="T127" s="34"/>
      <c r="U127" s="37"/>
      <c r="V127" s="34">
        <f>IFERROR(SUMIF(Table645[Sub-Accounts],Table846[[#This Row],[Update your chart of accounts here]],Table645[Debit]),"")</f>
        <v>0</v>
      </c>
      <c r="W127" s="34">
        <f>IFERROR(SUMIF(Table645[Sub-Accounts],Table846[[#This Row],[Update your chart of accounts here]],Table645[Credit]),"")</f>
        <v>0</v>
      </c>
      <c r="X127" s="34"/>
      <c r="Y127" s="34"/>
      <c r="Z127" s="34"/>
      <c r="AA127" s="34"/>
      <c r="AB127" s="34">
        <f>MAX(Table846[[#This Row],[Debit]]+Table846[[#This Row],[Debit -]]-Table846[[#This Row],[Credit]]-Table846[[#This Row],[Credit +]],0)</f>
        <v>0</v>
      </c>
      <c r="AC127" s="34">
        <f>MAX(Table846[[#This Row],[Credit]]-Table846[[#This Row],[Debit]]+Table846[[#This Row],[Credit +]]-Table846[[#This Row],[Debit -]],0)</f>
        <v>0</v>
      </c>
      <c r="AD127" s="34" t="str">
        <f>IFERROR(IF(AND(OR(Table846[[#This Row],[Classification]]="Expense",Table846[[#This Row],[Classification]]="Cost of Goods Sold"),Table846[[#This Row],[Debit\]]&gt;Table846[[#This Row],[Credit.]]),Table846[[#This Row],[Debit\]]-Table846[[#This Row],[Credit.]],""),"")</f>
        <v/>
      </c>
      <c r="AE127" s="34" t="str">
        <f>IFERROR(IF(AND(OR(Table846[[#This Row],[Classification]]="Income",Table846[[#This Row],[Classification]]="Cost of Goods Sold"),Table846[[#This Row],[Credit.]]&gt;Table846[[#This Row],[Debit\]]),Table846[[#This Row],[Credit.]]-Table846[[#This Row],[Debit\]],""),"")</f>
        <v/>
      </c>
      <c r="AF127" s="34"/>
      <c r="AG127" s="34" t="str">
        <f>IFERROR(IF(AND(Table846[[#This Row],[Classification]]="Assets",Table846[[#This Row],[Debit\]]-Table846[[#This Row],[Credit.]]),Table846[[#This Row],[Debit\]]-Table846[[#This Row],[Credit.]],""),"")</f>
        <v/>
      </c>
      <c r="AH127" s="34" t="str">
        <f>IFERROR(IF(AND(OR(Table846[[#This Row],[Classification]]="Liabilities",Table846[[#This Row],[Classification]]="Owner´s Equity"),Table846[[#This Row],[Credit.]]&gt;Table846[[#This Row],[Debit\]]),Table846[[#This Row],[Credit.]]-Table846[[#This Row],[Debit\]],""),"")</f>
        <v/>
      </c>
    </row>
    <row r="128" spans="2:34" hidden="1" x14ac:dyDescent="0.25">
      <c r="B128" s="34"/>
      <c r="C128" s="45"/>
      <c r="D128" s="34"/>
      <c r="E128" s="34"/>
      <c r="G128" s="39"/>
      <c r="H128" s="43"/>
      <c r="I128" s="41"/>
      <c r="J128" s="41"/>
      <c r="L128" s="34">
        <v>121</v>
      </c>
      <c r="M128" s="35"/>
      <c r="N128" s="35"/>
      <c r="O128" s="34">
        <f>IFERROR(SUMIF(Table443[,],Table645[[#This Row],[Accounts Name]],Table443[,3]),"")</f>
        <v>0</v>
      </c>
      <c r="P128" s="34">
        <f>IFERROR(SUMIF(Table443[,],Table645[[#This Row],[Accounts Name]],Table443[,2]),"")</f>
        <v>0</v>
      </c>
      <c r="S128" s="36">
        <f t="shared" si="1"/>
        <v>121</v>
      </c>
      <c r="T128" s="34"/>
      <c r="U128" s="37"/>
      <c r="V128" s="34">
        <f>IFERROR(SUMIF(Table645[Sub-Accounts],Table846[[#This Row],[Update your chart of accounts here]],Table645[Debit]),"")</f>
        <v>0</v>
      </c>
      <c r="W128" s="34">
        <f>IFERROR(SUMIF(Table645[Sub-Accounts],Table846[[#This Row],[Update your chart of accounts here]],Table645[Credit]),"")</f>
        <v>0</v>
      </c>
      <c r="X128" s="34"/>
      <c r="Y128" s="34"/>
      <c r="Z128" s="34"/>
      <c r="AA128" s="34"/>
      <c r="AB128" s="34">
        <f>MAX(Table846[[#This Row],[Debit]]+Table846[[#This Row],[Debit -]]-Table846[[#This Row],[Credit]]-Table846[[#This Row],[Credit +]],0)</f>
        <v>0</v>
      </c>
      <c r="AC128" s="34">
        <f>MAX(Table846[[#This Row],[Credit]]-Table846[[#This Row],[Debit]]+Table846[[#This Row],[Credit +]]-Table846[[#This Row],[Debit -]],0)</f>
        <v>0</v>
      </c>
      <c r="AD128" s="34" t="str">
        <f>IFERROR(IF(AND(OR(Table846[[#This Row],[Classification]]="Expense",Table846[[#This Row],[Classification]]="Cost of Goods Sold"),Table846[[#This Row],[Debit\]]&gt;Table846[[#This Row],[Credit.]]),Table846[[#This Row],[Debit\]]-Table846[[#This Row],[Credit.]],""),"")</f>
        <v/>
      </c>
      <c r="AE128" s="34" t="str">
        <f>IFERROR(IF(AND(OR(Table846[[#This Row],[Classification]]="Income",Table846[[#This Row],[Classification]]="Cost of Goods Sold"),Table846[[#This Row],[Credit.]]&gt;Table846[[#This Row],[Debit\]]),Table846[[#This Row],[Credit.]]-Table846[[#This Row],[Debit\]],""),"")</f>
        <v/>
      </c>
      <c r="AF128" s="34"/>
      <c r="AG128" s="34" t="str">
        <f>IFERROR(IF(AND(Table846[[#This Row],[Classification]]="Assets",Table846[[#This Row],[Debit\]]-Table846[[#This Row],[Credit.]]),Table846[[#This Row],[Debit\]]-Table846[[#This Row],[Credit.]],""),"")</f>
        <v/>
      </c>
      <c r="AH128" s="34" t="str">
        <f>IFERROR(IF(AND(OR(Table846[[#This Row],[Classification]]="Liabilities",Table846[[#This Row],[Classification]]="Owner´s Equity"),Table846[[#This Row],[Credit.]]&gt;Table846[[#This Row],[Debit\]]),Table846[[#This Row],[Credit.]]-Table846[[#This Row],[Debit\]],""),"")</f>
        <v/>
      </c>
    </row>
    <row r="129" spans="2:34" hidden="1" x14ac:dyDescent="0.25">
      <c r="B129" s="34"/>
      <c r="C129" s="45"/>
      <c r="D129" s="34"/>
      <c r="E129" s="34"/>
      <c r="G129" s="39"/>
      <c r="H129" s="40"/>
      <c r="I129" s="41"/>
      <c r="J129" s="41"/>
      <c r="L129" s="34">
        <v>122</v>
      </c>
      <c r="M129" s="35"/>
      <c r="N129" s="35"/>
      <c r="O129" s="34">
        <f>IFERROR(SUMIF(Table443[,],Table645[[#This Row],[Accounts Name]],Table443[,3]),"")</f>
        <v>0</v>
      </c>
      <c r="P129" s="34">
        <f>IFERROR(SUMIF(Table443[,],Table645[[#This Row],[Accounts Name]],Table443[,2]),"")</f>
        <v>0</v>
      </c>
      <c r="S129" s="36">
        <f t="shared" si="1"/>
        <v>122</v>
      </c>
      <c r="T129" s="34"/>
      <c r="U129" s="37"/>
      <c r="V129" s="34">
        <f>IFERROR(SUMIF(Table645[Sub-Accounts],Table846[[#This Row],[Update your chart of accounts here]],Table645[Debit]),"")</f>
        <v>0</v>
      </c>
      <c r="W129" s="34">
        <f>IFERROR(SUMIF(Table645[Sub-Accounts],Table846[[#This Row],[Update your chart of accounts here]],Table645[Credit]),"")</f>
        <v>0</v>
      </c>
      <c r="X129" s="34"/>
      <c r="Y129" s="34"/>
      <c r="Z129" s="34"/>
      <c r="AA129" s="34"/>
      <c r="AB129" s="34">
        <f>MAX(Table846[[#This Row],[Debit]]+Table846[[#This Row],[Debit -]]-Table846[[#This Row],[Credit]]-Table846[[#This Row],[Credit +]],0)</f>
        <v>0</v>
      </c>
      <c r="AC129" s="34">
        <f>MAX(Table846[[#This Row],[Credit]]-Table846[[#This Row],[Debit]]+Table846[[#This Row],[Credit +]]-Table846[[#This Row],[Debit -]],0)</f>
        <v>0</v>
      </c>
      <c r="AD129" s="34" t="str">
        <f>IFERROR(IF(AND(OR(Table846[[#This Row],[Classification]]="Expense",Table846[[#This Row],[Classification]]="Cost of Goods Sold"),Table846[[#This Row],[Debit\]]&gt;Table846[[#This Row],[Credit.]]),Table846[[#This Row],[Debit\]]-Table846[[#This Row],[Credit.]],""),"")</f>
        <v/>
      </c>
      <c r="AE129" s="34" t="str">
        <f>IFERROR(IF(AND(OR(Table846[[#This Row],[Classification]]="Income",Table846[[#This Row],[Classification]]="Cost of Goods Sold"),Table846[[#This Row],[Credit.]]&gt;Table846[[#This Row],[Debit\]]),Table846[[#This Row],[Credit.]]-Table846[[#This Row],[Debit\]],""),"")</f>
        <v/>
      </c>
      <c r="AF129" s="34"/>
      <c r="AG129" s="34" t="str">
        <f>IFERROR(IF(AND(Table846[[#This Row],[Classification]]="Assets",Table846[[#This Row],[Debit\]]-Table846[[#This Row],[Credit.]]),Table846[[#This Row],[Debit\]]-Table846[[#This Row],[Credit.]],""),"")</f>
        <v/>
      </c>
      <c r="AH129" s="34" t="str">
        <f>IFERROR(IF(AND(OR(Table846[[#This Row],[Classification]]="Liabilities",Table846[[#This Row],[Classification]]="Owner´s Equity"),Table846[[#This Row],[Credit.]]&gt;Table846[[#This Row],[Debit\]]),Table846[[#This Row],[Credit.]]-Table846[[#This Row],[Debit\]],""),"")</f>
        <v/>
      </c>
    </row>
    <row r="130" spans="2:34" hidden="1" x14ac:dyDescent="0.25">
      <c r="B130" s="34"/>
      <c r="C130" s="45"/>
      <c r="D130" s="34"/>
      <c r="E130" s="34"/>
      <c r="G130" s="39"/>
      <c r="H130" s="40"/>
      <c r="I130" s="41"/>
      <c r="J130" s="41"/>
      <c r="L130" s="34">
        <v>123</v>
      </c>
      <c r="M130" s="35"/>
      <c r="N130" s="35"/>
      <c r="O130" s="34">
        <f>IFERROR(SUMIF(Table443[,],Table645[[#This Row],[Accounts Name]],Table443[,3]),"")</f>
        <v>0</v>
      </c>
      <c r="P130" s="34">
        <f>IFERROR(SUMIF(Table443[,],Table645[[#This Row],[Accounts Name]],Table443[,2]),"")</f>
        <v>0</v>
      </c>
      <c r="S130" s="36">
        <f t="shared" si="1"/>
        <v>123</v>
      </c>
      <c r="T130" s="34"/>
      <c r="U130" s="37"/>
      <c r="V130" s="34">
        <f>IFERROR(SUMIF(Table645[Sub-Accounts],Table846[[#This Row],[Update your chart of accounts here]],Table645[Debit]),"")</f>
        <v>0</v>
      </c>
      <c r="W130" s="34">
        <f>IFERROR(SUMIF(Table645[Sub-Accounts],Table846[[#This Row],[Update your chart of accounts here]],Table645[Credit]),"")</f>
        <v>0</v>
      </c>
      <c r="X130" s="34"/>
      <c r="Y130" s="34"/>
      <c r="Z130" s="34"/>
      <c r="AA130" s="34"/>
      <c r="AB130" s="34">
        <f>MAX(Table846[[#This Row],[Debit]]+Table846[[#This Row],[Debit -]]-Table846[[#This Row],[Credit]]-Table846[[#This Row],[Credit +]],0)</f>
        <v>0</v>
      </c>
      <c r="AC130" s="34">
        <f>MAX(Table846[[#This Row],[Credit]]-Table846[[#This Row],[Debit]]+Table846[[#This Row],[Credit +]]-Table846[[#This Row],[Debit -]],0)</f>
        <v>0</v>
      </c>
      <c r="AD130" s="34" t="str">
        <f>IFERROR(IF(AND(OR(Table846[[#This Row],[Classification]]="Expense",Table846[[#This Row],[Classification]]="Cost of Goods Sold"),Table846[[#This Row],[Debit\]]&gt;Table846[[#This Row],[Credit.]]),Table846[[#This Row],[Debit\]]-Table846[[#This Row],[Credit.]],""),"")</f>
        <v/>
      </c>
      <c r="AE130" s="34" t="str">
        <f>IFERROR(IF(AND(OR(Table846[[#This Row],[Classification]]="Income",Table846[[#This Row],[Classification]]="Cost of Goods Sold"),Table846[[#This Row],[Credit.]]&gt;Table846[[#This Row],[Debit\]]),Table846[[#This Row],[Credit.]]-Table846[[#This Row],[Debit\]],""),"")</f>
        <v/>
      </c>
      <c r="AF130" s="34"/>
      <c r="AG130" s="34" t="str">
        <f>IFERROR(IF(AND(Table846[[#This Row],[Classification]]="Assets",Table846[[#This Row],[Debit\]]-Table846[[#This Row],[Credit.]]),Table846[[#This Row],[Debit\]]-Table846[[#This Row],[Credit.]],""),"")</f>
        <v/>
      </c>
      <c r="AH130" s="34" t="str">
        <f>IFERROR(IF(AND(OR(Table846[[#This Row],[Classification]]="Liabilities",Table846[[#This Row],[Classification]]="Owner´s Equity"),Table846[[#This Row],[Credit.]]&gt;Table846[[#This Row],[Debit\]]),Table846[[#This Row],[Credit.]]-Table846[[#This Row],[Debit\]],""),"")</f>
        <v/>
      </c>
    </row>
    <row r="131" spans="2:34" hidden="1" x14ac:dyDescent="0.25">
      <c r="B131" s="34"/>
      <c r="C131" s="45"/>
      <c r="D131" s="34"/>
      <c r="E131" s="34"/>
      <c r="G131" s="39"/>
      <c r="H131" s="43"/>
      <c r="I131" s="41"/>
      <c r="J131" s="41"/>
      <c r="L131" s="34">
        <v>124</v>
      </c>
      <c r="M131" s="35"/>
      <c r="N131" s="35"/>
      <c r="O131" s="34">
        <f>IFERROR(SUMIF(Table443[,],Table645[[#This Row],[Accounts Name]],Table443[,3]),"")</f>
        <v>0</v>
      </c>
      <c r="P131" s="34">
        <f>IFERROR(SUMIF(Table443[,],Table645[[#This Row],[Accounts Name]],Table443[,2]),"")</f>
        <v>0</v>
      </c>
      <c r="S131" s="36">
        <f t="shared" si="1"/>
        <v>124</v>
      </c>
      <c r="T131" s="34"/>
      <c r="U131" s="37"/>
      <c r="V131" s="34">
        <f>IFERROR(SUMIF(Table645[Sub-Accounts],Table846[[#This Row],[Update your chart of accounts here]],Table645[Debit]),"")</f>
        <v>0</v>
      </c>
      <c r="W131" s="34">
        <f>IFERROR(SUMIF(Table645[Sub-Accounts],Table846[[#This Row],[Update your chart of accounts here]],Table645[Credit]),"")</f>
        <v>0</v>
      </c>
      <c r="X131" s="34"/>
      <c r="Y131" s="34"/>
      <c r="Z131" s="34"/>
      <c r="AA131" s="34"/>
      <c r="AB131" s="34">
        <f>MAX(Table846[[#This Row],[Debit]]+Table846[[#This Row],[Debit -]]-Table846[[#This Row],[Credit]]-Table846[[#This Row],[Credit +]],0)</f>
        <v>0</v>
      </c>
      <c r="AC131" s="34">
        <f>MAX(Table846[[#This Row],[Credit]]-Table846[[#This Row],[Debit]]+Table846[[#This Row],[Credit +]]-Table846[[#This Row],[Debit -]],0)</f>
        <v>0</v>
      </c>
      <c r="AD131" s="34" t="str">
        <f>IFERROR(IF(AND(OR(Table846[[#This Row],[Classification]]="Expense",Table846[[#This Row],[Classification]]="Cost of Goods Sold"),Table846[[#This Row],[Debit\]]&gt;Table846[[#This Row],[Credit.]]),Table846[[#This Row],[Debit\]]-Table846[[#This Row],[Credit.]],""),"")</f>
        <v/>
      </c>
      <c r="AE131" s="34" t="str">
        <f>IFERROR(IF(AND(OR(Table846[[#This Row],[Classification]]="Income",Table846[[#This Row],[Classification]]="Cost of Goods Sold"),Table846[[#This Row],[Credit.]]&gt;Table846[[#This Row],[Debit\]]),Table846[[#This Row],[Credit.]]-Table846[[#This Row],[Debit\]],""),"")</f>
        <v/>
      </c>
      <c r="AF131" s="34"/>
      <c r="AG131" s="34" t="str">
        <f>IFERROR(IF(AND(Table846[[#This Row],[Classification]]="Assets",Table846[[#This Row],[Debit\]]-Table846[[#This Row],[Credit.]]),Table846[[#This Row],[Debit\]]-Table846[[#This Row],[Credit.]],""),"")</f>
        <v/>
      </c>
      <c r="AH131" s="34" t="str">
        <f>IFERROR(IF(AND(OR(Table846[[#This Row],[Classification]]="Liabilities",Table846[[#This Row],[Classification]]="Owner´s Equity"),Table846[[#This Row],[Credit.]]&gt;Table846[[#This Row],[Debit\]]),Table846[[#This Row],[Credit.]]-Table846[[#This Row],[Debit\]],""),"")</f>
        <v/>
      </c>
    </row>
    <row r="132" spans="2:34" hidden="1" x14ac:dyDescent="0.25">
      <c r="B132" s="34"/>
      <c r="C132" s="45"/>
      <c r="D132" s="34"/>
      <c r="E132" s="34"/>
      <c r="G132" s="39"/>
      <c r="H132" s="40"/>
      <c r="I132" s="41"/>
      <c r="J132" s="41"/>
      <c r="L132" s="34">
        <v>125</v>
      </c>
      <c r="M132" s="35"/>
      <c r="N132" s="35"/>
      <c r="O132" s="34">
        <f>IFERROR(SUMIF(Table443[,],Table645[[#This Row],[Accounts Name]],Table443[,3]),"")</f>
        <v>0</v>
      </c>
      <c r="P132" s="34">
        <f>IFERROR(SUMIF(Table443[,],Table645[[#This Row],[Accounts Name]],Table443[,2]),"")</f>
        <v>0</v>
      </c>
      <c r="S132" s="36">
        <f t="shared" si="1"/>
        <v>125</v>
      </c>
      <c r="T132" s="34"/>
      <c r="U132" s="37"/>
      <c r="V132" s="34">
        <f>IFERROR(SUMIF(Table645[Sub-Accounts],Table846[[#This Row],[Update your chart of accounts here]],Table645[Debit]),"")</f>
        <v>0</v>
      </c>
      <c r="W132" s="34">
        <f>IFERROR(SUMIF(Table645[Sub-Accounts],Table846[[#This Row],[Update your chart of accounts here]],Table645[Credit]),"")</f>
        <v>0</v>
      </c>
      <c r="X132" s="34"/>
      <c r="Y132" s="34"/>
      <c r="Z132" s="34"/>
      <c r="AA132" s="34"/>
      <c r="AB132" s="34">
        <f>MAX(Table846[[#This Row],[Debit]]+Table846[[#This Row],[Debit -]]-Table846[[#This Row],[Credit]]-Table846[[#This Row],[Credit +]],0)</f>
        <v>0</v>
      </c>
      <c r="AC132" s="34">
        <f>MAX(Table846[[#This Row],[Credit]]-Table846[[#This Row],[Debit]]+Table846[[#This Row],[Credit +]]-Table846[[#This Row],[Debit -]],0)</f>
        <v>0</v>
      </c>
      <c r="AD132" s="34" t="str">
        <f>IFERROR(IF(AND(OR(Table846[[#This Row],[Classification]]="Expense",Table846[[#This Row],[Classification]]="Cost of Goods Sold"),Table846[[#This Row],[Debit\]]&gt;Table846[[#This Row],[Credit.]]),Table846[[#This Row],[Debit\]]-Table846[[#This Row],[Credit.]],""),"")</f>
        <v/>
      </c>
      <c r="AE132" s="34" t="str">
        <f>IFERROR(IF(AND(OR(Table846[[#This Row],[Classification]]="Income",Table846[[#This Row],[Classification]]="Cost of Goods Sold"),Table846[[#This Row],[Credit.]]&gt;Table846[[#This Row],[Debit\]]),Table846[[#This Row],[Credit.]]-Table846[[#This Row],[Debit\]],""),"")</f>
        <v/>
      </c>
      <c r="AF132" s="34"/>
      <c r="AG132" s="34" t="str">
        <f>IFERROR(IF(AND(Table846[[#This Row],[Classification]]="Assets",Table846[[#This Row],[Debit\]]-Table846[[#This Row],[Credit.]]),Table846[[#This Row],[Debit\]]-Table846[[#This Row],[Credit.]],""),"")</f>
        <v/>
      </c>
      <c r="AH132" s="34" t="str">
        <f>IFERROR(IF(AND(OR(Table846[[#This Row],[Classification]]="Liabilities",Table846[[#This Row],[Classification]]="Owner´s Equity"),Table846[[#This Row],[Credit.]]&gt;Table846[[#This Row],[Debit\]]),Table846[[#This Row],[Credit.]]-Table846[[#This Row],[Debit\]],""),"")</f>
        <v/>
      </c>
    </row>
    <row r="133" spans="2:34" hidden="1" x14ac:dyDescent="0.25">
      <c r="B133" s="34"/>
      <c r="C133" s="45"/>
      <c r="D133" s="34"/>
      <c r="E133" s="34"/>
      <c r="G133" s="39"/>
      <c r="H133" s="40"/>
      <c r="I133" s="41"/>
      <c r="J133" s="41"/>
      <c r="L133" s="34">
        <v>126</v>
      </c>
      <c r="M133" s="35"/>
      <c r="N133" s="35"/>
      <c r="O133" s="34">
        <f>IFERROR(SUMIF(Table443[,],Table645[[#This Row],[Accounts Name]],Table443[,3]),"")</f>
        <v>0</v>
      </c>
      <c r="P133" s="34">
        <f>IFERROR(SUMIF(Table443[,],Table645[[#This Row],[Accounts Name]],Table443[,2]),"")</f>
        <v>0</v>
      </c>
      <c r="S133" s="36">
        <f t="shared" si="1"/>
        <v>126</v>
      </c>
      <c r="T133" s="34"/>
      <c r="U133" s="37"/>
      <c r="V133" s="34">
        <f>IFERROR(SUMIF(Table645[Sub-Accounts],Table846[[#This Row],[Update your chart of accounts here]],Table645[Debit]),"")</f>
        <v>0</v>
      </c>
      <c r="W133" s="34">
        <f>IFERROR(SUMIF(Table645[Sub-Accounts],Table846[[#This Row],[Update your chart of accounts here]],Table645[Credit]),"")</f>
        <v>0</v>
      </c>
      <c r="X133" s="34"/>
      <c r="Y133" s="34"/>
      <c r="Z133" s="34"/>
      <c r="AA133" s="34"/>
      <c r="AB133" s="34">
        <f>MAX(Table846[[#This Row],[Debit]]+Table846[[#This Row],[Debit -]]-Table846[[#This Row],[Credit]]-Table846[[#This Row],[Credit +]],0)</f>
        <v>0</v>
      </c>
      <c r="AC133" s="34">
        <f>MAX(Table846[[#This Row],[Credit]]-Table846[[#This Row],[Debit]]+Table846[[#This Row],[Credit +]]-Table846[[#This Row],[Debit -]],0)</f>
        <v>0</v>
      </c>
      <c r="AD133" s="34" t="str">
        <f>IFERROR(IF(AND(OR(Table846[[#This Row],[Classification]]="Expense",Table846[[#This Row],[Classification]]="Cost of Goods Sold"),Table846[[#This Row],[Debit\]]&gt;Table846[[#This Row],[Credit.]]),Table846[[#This Row],[Debit\]]-Table846[[#This Row],[Credit.]],""),"")</f>
        <v/>
      </c>
      <c r="AE133" s="34" t="str">
        <f>IFERROR(IF(AND(OR(Table846[[#This Row],[Classification]]="Income",Table846[[#This Row],[Classification]]="Cost of Goods Sold"),Table846[[#This Row],[Credit.]]&gt;Table846[[#This Row],[Debit\]]),Table846[[#This Row],[Credit.]]-Table846[[#This Row],[Debit\]],""),"")</f>
        <v/>
      </c>
      <c r="AF133" s="34"/>
      <c r="AG133" s="34" t="str">
        <f>IFERROR(IF(AND(Table846[[#This Row],[Classification]]="Assets",Table846[[#This Row],[Debit\]]-Table846[[#This Row],[Credit.]]),Table846[[#This Row],[Debit\]]-Table846[[#This Row],[Credit.]],""),"")</f>
        <v/>
      </c>
      <c r="AH133" s="34" t="str">
        <f>IFERROR(IF(AND(OR(Table846[[#This Row],[Classification]]="Liabilities",Table846[[#This Row],[Classification]]="Owner´s Equity"),Table846[[#This Row],[Credit.]]&gt;Table846[[#This Row],[Debit\]]),Table846[[#This Row],[Credit.]]-Table846[[#This Row],[Debit\]],""),"")</f>
        <v/>
      </c>
    </row>
    <row r="134" spans="2:34" hidden="1" x14ac:dyDescent="0.25">
      <c r="B134" s="34"/>
      <c r="C134" s="45"/>
      <c r="D134" s="34"/>
      <c r="E134" s="34"/>
      <c r="G134" s="39"/>
      <c r="H134" s="43"/>
      <c r="I134" s="41"/>
      <c r="J134" s="41"/>
      <c r="L134" s="34">
        <v>127</v>
      </c>
      <c r="M134" s="35"/>
      <c r="N134" s="35"/>
      <c r="O134" s="34">
        <f>IFERROR(SUMIF(Table443[,],Table645[[#This Row],[Accounts Name]],Table443[,3]),"")</f>
        <v>0</v>
      </c>
      <c r="P134" s="34">
        <f>IFERROR(SUMIF(Table443[,],Table645[[#This Row],[Accounts Name]],Table443[,2]),"")</f>
        <v>0</v>
      </c>
      <c r="S134" s="36">
        <f t="shared" si="1"/>
        <v>127</v>
      </c>
      <c r="T134" s="34"/>
      <c r="U134" s="37"/>
      <c r="V134" s="34">
        <f>IFERROR(SUMIF(Table645[Sub-Accounts],Table846[[#This Row],[Update your chart of accounts here]],Table645[Debit]),"")</f>
        <v>0</v>
      </c>
      <c r="W134" s="34">
        <f>IFERROR(SUMIF(Table645[Sub-Accounts],Table846[[#This Row],[Update your chart of accounts here]],Table645[Credit]),"")</f>
        <v>0</v>
      </c>
      <c r="X134" s="34"/>
      <c r="Y134" s="34"/>
      <c r="Z134" s="34"/>
      <c r="AA134" s="34"/>
      <c r="AB134" s="34">
        <f>MAX(Table846[[#This Row],[Debit]]+Table846[[#This Row],[Debit -]]-Table846[[#This Row],[Credit]]-Table846[[#This Row],[Credit +]],0)</f>
        <v>0</v>
      </c>
      <c r="AC134" s="34">
        <f>MAX(Table846[[#This Row],[Credit]]-Table846[[#This Row],[Debit]]+Table846[[#This Row],[Credit +]]-Table846[[#This Row],[Debit -]],0)</f>
        <v>0</v>
      </c>
      <c r="AD134" s="34" t="str">
        <f>IFERROR(IF(AND(OR(Table846[[#This Row],[Classification]]="Expense",Table846[[#This Row],[Classification]]="Cost of Goods Sold"),Table846[[#This Row],[Debit\]]&gt;Table846[[#This Row],[Credit.]]),Table846[[#This Row],[Debit\]]-Table846[[#This Row],[Credit.]],""),"")</f>
        <v/>
      </c>
      <c r="AE134" s="34" t="str">
        <f>IFERROR(IF(AND(OR(Table846[[#This Row],[Classification]]="Income",Table846[[#This Row],[Classification]]="Cost of Goods Sold"),Table846[[#This Row],[Credit.]]&gt;Table846[[#This Row],[Debit\]]),Table846[[#This Row],[Credit.]]-Table846[[#This Row],[Debit\]],""),"")</f>
        <v/>
      </c>
      <c r="AF134" s="34"/>
      <c r="AG134" s="34" t="str">
        <f>IFERROR(IF(AND(Table846[[#This Row],[Classification]]="Assets",Table846[[#This Row],[Debit\]]-Table846[[#This Row],[Credit.]]),Table846[[#This Row],[Debit\]]-Table846[[#This Row],[Credit.]],""),"")</f>
        <v/>
      </c>
      <c r="AH134" s="34" t="str">
        <f>IFERROR(IF(AND(OR(Table846[[#This Row],[Classification]]="Liabilities",Table846[[#This Row],[Classification]]="Owner´s Equity"),Table846[[#This Row],[Credit.]]&gt;Table846[[#This Row],[Debit\]]),Table846[[#This Row],[Credit.]]-Table846[[#This Row],[Debit\]],""),"")</f>
        <v/>
      </c>
    </row>
    <row r="135" spans="2:34" hidden="1" x14ac:dyDescent="0.25">
      <c r="B135" s="34"/>
      <c r="C135" s="45"/>
      <c r="D135" s="34"/>
      <c r="E135" s="34"/>
      <c r="G135" s="39"/>
      <c r="H135" s="40"/>
      <c r="I135" s="41"/>
      <c r="J135" s="41"/>
      <c r="L135" s="34">
        <v>128</v>
      </c>
      <c r="M135" s="35"/>
      <c r="N135" s="35"/>
      <c r="O135" s="34">
        <f>IFERROR(SUMIF(Table443[,],Table645[[#This Row],[Accounts Name]],Table443[,3]),"")</f>
        <v>0</v>
      </c>
      <c r="P135" s="34">
        <f>IFERROR(SUMIF(Table443[,],Table645[[#This Row],[Accounts Name]],Table443[,2]),"")</f>
        <v>0</v>
      </c>
      <c r="S135" s="36">
        <f t="shared" si="1"/>
        <v>128</v>
      </c>
      <c r="T135" s="34"/>
      <c r="U135" s="37"/>
      <c r="V135" s="34">
        <f>IFERROR(SUMIF(Table645[Sub-Accounts],Table846[[#This Row],[Update your chart of accounts here]],Table645[Debit]),"")</f>
        <v>0</v>
      </c>
      <c r="W135" s="34">
        <f>IFERROR(SUMIF(Table645[Sub-Accounts],Table846[[#This Row],[Update your chart of accounts here]],Table645[Credit]),"")</f>
        <v>0</v>
      </c>
      <c r="X135" s="34"/>
      <c r="Y135" s="34"/>
      <c r="Z135" s="34"/>
      <c r="AA135" s="34"/>
      <c r="AB135" s="34">
        <f>MAX(Table846[[#This Row],[Debit]]+Table846[[#This Row],[Debit -]]-Table846[[#This Row],[Credit]]-Table846[[#This Row],[Credit +]],0)</f>
        <v>0</v>
      </c>
      <c r="AC135" s="34">
        <f>MAX(Table846[[#This Row],[Credit]]-Table846[[#This Row],[Debit]]+Table846[[#This Row],[Credit +]]-Table846[[#This Row],[Debit -]],0)</f>
        <v>0</v>
      </c>
      <c r="AD135" s="34" t="str">
        <f>IFERROR(IF(AND(OR(Table846[[#This Row],[Classification]]="Expense",Table846[[#This Row],[Classification]]="Cost of Goods Sold"),Table846[[#This Row],[Debit\]]&gt;Table846[[#This Row],[Credit.]]),Table846[[#This Row],[Debit\]]-Table846[[#This Row],[Credit.]],""),"")</f>
        <v/>
      </c>
      <c r="AE135" s="34" t="str">
        <f>IFERROR(IF(AND(OR(Table846[[#This Row],[Classification]]="Income",Table846[[#This Row],[Classification]]="Cost of Goods Sold"),Table846[[#This Row],[Credit.]]&gt;Table846[[#This Row],[Debit\]]),Table846[[#This Row],[Credit.]]-Table846[[#This Row],[Debit\]],""),"")</f>
        <v/>
      </c>
      <c r="AF135" s="34"/>
      <c r="AG135" s="34" t="str">
        <f>IFERROR(IF(AND(Table846[[#This Row],[Classification]]="Assets",Table846[[#This Row],[Debit\]]-Table846[[#This Row],[Credit.]]),Table846[[#This Row],[Debit\]]-Table846[[#This Row],[Credit.]],""),"")</f>
        <v/>
      </c>
      <c r="AH135" s="34" t="str">
        <f>IFERROR(IF(AND(OR(Table846[[#This Row],[Classification]]="Liabilities",Table846[[#This Row],[Classification]]="Owner´s Equity"),Table846[[#This Row],[Credit.]]&gt;Table846[[#This Row],[Debit\]]),Table846[[#This Row],[Credit.]]-Table846[[#This Row],[Debit\]],""),"")</f>
        <v/>
      </c>
    </row>
    <row r="136" spans="2:34" hidden="1" x14ac:dyDescent="0.25">
      <c r="B136" s="34"/>
      <c r="C136" s="45"/>
      <c r="D136" s="34"/>
      <c r="E136" s="34"/>
      <c r="G136" s="39"/>
      <c r="H136" s="40"/>
      <c r="I136" s="41"/>
      <c r="J136" s="41"/>
      <c r="L136" s="34">
        <v>129</v>
      </c>
      <c r="M136" s="35"/>
      <c r="N136" s="35"/>
      <c r="O136" s="34">
        <f>IFERROR(SUMIF(Table443[,],Table645[[#This Row],[Accounts Name]],Table443[,3]),"")</f>
        <v>0</v>
      </c>
      <c r="P136" s="34">
        <f>IFERROR(SUMIF(Table443[,],Table645[[#This Row],[Accounts Name]],Table443[,2]),"")</f>
        <v>0</v>
      </c>
      <c r="S136" s="36">
        <f t="shared" si="1"/>
        <v>129</v>
      </c>
      <c r="T136" s="34"/>
      <c r="U136" s="37"/>
      <c r="V136" s="34">
        <f>IFERROR(SUMIF(Table645[Sub-Accounts],Table846[[#This Row],[Update your chart of accounts here]],Table645[Debit]),"")</f>
        <v>0</v>
      </c>
      <c r="W136" s="34">
        <f>IFERROR(SUMIF(Table645[Sub-Accounts],Table846[[#This Row],[Update your chart of accounts here]],Table645[Credit]),"")</f>
        <v>0</v>
      </c>
      <c r="X136" s="34"/>
      <c r="Y136" s="34"/>
      <c r="Z136" s="34"/>
      <c r="AA136" s="34"/>
      <c r="AB136" s="34">
        <f>MAX(Table846[[#This Row],[Debit]]+Table846[[#This Row],[Debit -]]-Table846[[#This Row],[Credit]]-Table846[[#This Row],[Credit +]],0)</f>
        <v>0</v>
      </c>
      <c r="AC136" s="34">
        <f>MAX(Table846[[#This Row],[Credit]]-Table846[[#This Row],[Debit]]+Table846[[#This Row],[Credit +]]-Table846[[#This Row],[Debit -]],0)</f>
        <v>0</v>
      </c>
      <c r="AD136" s="34" t="str">
        <f>IFERROR(IF(AND(OR(Table846[[#This Row],[Classification]]="Expense",Table846[[#This Row],[Classification]]="Cost of Goods Sold"),Table846[[#This Row],[Debit\]]&gt;Table846[[#This Row],[Credit.]]),Table846[[#This Row],[Debit\]]-Table846[[#This Row],[Credit.]],""),"")</f>
        <v/>
      </c>
      <c r="AE136" s="34" t="str">
        <f>IFERROR(IF(AND(OR(Table846[[#This Row],[Classification]]="Income",Table846[[#This Row],[Classification]]="Cost of Goods Sold"),Table846[[#This Row],[Credit.]]&gt;Table846[[#This Row],[Debit\]]),Table846[[#This Row],[Credit.]]-Table846[[#This Row],[Debit\]],""),"")</f>
        <v/>
      </c>
      <c r="AF136" s="34"/>
      <c r="AG136" s="34" t="str">
        <f>IFERROR(IF(AND(Table846[[#This Row],[Classification]]="Assets",Table846[[#This Row],[Debit\]]-Table846[[#This Row],[Credit.]]),Table846[[#This Row],[Debit\]]-Table846[[#This Row],[Credit.]],""),"")</f>
        <v/>
      </c>
      <c r="AH136" s="34" t="str">
        <f>IFERROR(IF(AND(OR(Table846[[#This Row],[Classification]]="Liabilities",Table846[[#This Row],[Classification]]="Owner´s Equity"),Table846[[#This Row],[Credit.]]&gt;Table846[[#This Row],[Debit\]]),Table846[[#This Row],[Credit.]]-Table846[[#This Row],[Debit\]],""),"")</f>
        <v/>
      </c>
    </row>
    <row r="137" spans="2:34" hidden="1" x14ac:dyDescent="0.25">
      <c r="B137" s="34"/>
      <c r="C137" s="45"/>
      <c r="D137" s="34"/>
      <c r="E137" s="34"/>
      <c r="G137" s="39"/>
      <c r="H137" s="43"/>
      <c r="I137" s="41"/>
      <c r="J137" s="41"/>
      <c r="L137" s="34">
        <v>130</v>
      </c>
      <c r="M137" s="35"/>
      <c r="N137" s="35"/>
      <c r="O137" s="34">
        <f>IFERROR(SUMIF(Table443[,],Table645[[#This Row],[Accounts Name]],Table443[,3]),"")</f>
        <v>0</v>
      </c>
      <c r="P137" s="34">
        <f>IFERROR(SUMIF(Table443[,],Table645[[#This Row],[Accounts Name]],Table443[,2]),"")</f>
        <v>0</v>
      </c>
      <c r="S137" s="36">
        <f t="shared" si="1"/>
        <v>130</v>
      </c>
      <c r="T137" s="34"/>
      <c r="U137" s="37"/>
      <c r="V137" s="34">
        <f>IFERROR(SUMIF(Table645[Sub-Accounts],Table846[[#This Row],[Update your chart of accounts here]],Table645[Debit]),"")</f>
        <v>0</v>
      </c>
      <c r="W137" s="34">
        <f>IFERROR(SUMIF(Table645[Sub-Accounts],Table846[[#This Row],[Update your chart of accounts here]],Table645[Credit]),"")</f>
        <v>0</v>
      </c>
      <c r="X137" s="34"/>
      <c r="Y137" s="34"/>
      <c r="Z137" s="34"/>
      <c r="AA137" s="34"/>
      <c r="AB137" s="34">
        <f>MAX(Table846[[#This Row],[Debit]]+Table846[[#This Row],[Debit -]]-Table846[[#This Row],[Credit]]-Table846[[#This Row],[Credit +]],0)</f>
        <v>0</v>
      </c>
      <c r="AC137" s="34">
        <f>MAX(Table846[[#This Row],[Credit]]-Table846[[#This Row],[Debit]]+Table846[[#This Row],[Credit +]]-Table846[[#This Row],[Debit -]],0)</f>
        <v>0</v>
      </c>
      <c r="AD137" s="34" t="str">
        <f>IFERROR(IF(AND(OR(Table846[[#This Row],[Classification]]="Expense",Table846[[#This Row],[Classification]]="Cost of Goods Sold"),Table846[[#This Row],[Debit\]]&gt;Table846[[#This Row],[Credit.]]),Table846[[#This Row],[Debit\]]-Table846[[#This Row],[Credit.]],""),"")</f>
        <v/>
      </c>
      <c r="AE137" s="34" t="str">
        <f>IFERROR(IF(AND(OR(Table846[[#This Row],[Classification]]="Income",Table846[[#This Row],[Classification]]="Cost of Goods Sold"),Table846[[#This Row],[Credit.]]&gt;Table846[[#This Row],[Debit\]]),Table846[[#This Row],[Credit.]]-Table846[[#This Row],[Debit\]],""),"")</f>
        <v/>
      </c>
      <c r="AF137" s="34"/>
      <c r="AG137" s="34" t="str">
        <f>IFERROR(IF(AND(Table846[[#This Row],[Classification]]="Assets",Table846[[#This Row],[Debit\]]-Table846[[#This Row],[Credit.]]),Table846[[#This Row],[Debit\]]-Table846[[#This Row],[Credit.]],""),"")</f>
        <v/>
      </c>
      <c r="AH137" s="34" t="str">
        <f>IFERROR(IF(AND(OR(Table846[[#This Row],[Classification]]="Liabilities",Table846[[#This Row],[Classification]]="Owner´s Equity"),Table846[[#This Row],[Credit.]]&gt;Table846[[#This Row],[Debit\]]),Table846[[#This Row],[Credit.]]-Table846[[#This Row],[Debit\]],""),"")</f>
        <v/>
      </c>
    </row>
    <row r="138" spans="2:34" hidden="1" x14ac:dyDescent="0.25">
      <c r="B138" s="34"/>
      <c r="C138" s="45"/>
      <c r="D138" s="34"/>
      <c r="E138" s="34"/>
      <c r="G138" s="39"/>
      <c r="H138" s="40"/>
      <c r="I138" s="41"/>
      <c r="J138" s="41"/>
      <c r="L138" s="34">
        <v>131</v>
      </c>
      <c r="M138" s="35"/>
      <c r="N138" s="35"/>
      <c r="O138" s="34">
        <f>IFERROR(SUMIF(Table443[,],Table645[[#This Row],[Accounts Name]],Table443[,3]),"")</f>
        <v>0</v>
      </c>
      <c r="P138" s="34">
        <f>IFERROR(SUMIF(Table443[,],Table645[[#This Row],[Accounts Name]],Table443[,2]),"")</f>
        <v>0</v>
      </c>
      <c r="S138" s="36">
        <f t="shared" ref="S138:S200" si="2">S137+1</f>
        <v>131</v>
      </c>
      <c r="T138" s="34"/>
      <c r="U138" s="37"/>
      <c r="V138" s="34">
        <f>IFERROR(SUMIF(Table645[Sub-Accounts],Table846[[#This Row],[Update your chart of accounts here]],Table645[Debit]),"")</f>
        <v>0</v>
      </c>
      <c r="W138" s="34">
        <f>IFERROR(SUMIF(Table645[Sub-Accounts],Table846[[#This Row],[Update your chart of accounts here]],Table645[Credit]),"")</f>
        <v>0</v>
      </c>
      <c r="X138" s="34"/>
      <c r="Y138" s="34"/>
      <c r="Z138" s="34"/>
      <c r="AA138" s="34"/>
      <c r="AB138" s="34">
        <f>MAX(Table846[[#This Row],[Debit]]+Table846[[#This Row],[Debit -]]-Table846[[#This Row],[Credit]]-Table846[[#This Row],[Credit +]],0)</f>
        <v>0</v>
      </c>
      <c r="AC138" s="34">
        <f>MAX(Table846[[#This Row],[Credit]]-Table846[[#This Row],[Debit]]+Table846[[#This Row],[Credit +]]-Table846[[#This Row],[Debit -]],0)</f>
        <v>0</v>
      </c>
      <c r="AD138" s="34" t="str">
        <f>IFERROR(IF(AND(OR(Table846[[#This Row],[Classification]]="Expense",Table846[[#This Row],[Classification]]="Cost of Goods Sold"),Table846[[#This Row],[Debit\]]&gt;Table846[[#This Row],[Credit.]]),Table846[[#This Row],[Debit\]]-Table846[[#This Row],[Credit.]],""),"")</f>
        <v/>
      </c>
      <c r="AE138" s="34" t="str">
        <f>IFERROR(IF(AND(OR(Table846[[#This Row],[Classification]]="Income",Table846[[#This Row],[Classification]]="Cost of Goods Sold"),Table846[[#This Row],[Credit.]]&gt;Table846[[#This Row],[Debit\]]),Table846[[#This Row],[Credit.]]-Table846[[#This Row],[Debit\]],""),"")</f>
        <v/>
      </c>
      <c r="AF138" s="34"/>
      <c r="AG138" s="34" t="str">
        <f>IFERROR(IF(AND(Table846[[#This Row],[Classification]]="Assets",Table846[[#This Row],[Debit\]]-Table846[[#This Row],[Credit.]]),Table846[[#This Row],[Debit\]]-Table846[[#This Row],[Credit.]],""),"")</f>
        <v/>
      </c>
      <c r="AH138" s="34" t="str">
        <f>IFERROR(IF(AND(OR(Table846[[#This Row],[Classification]]="Liabilities",Table846[[#This Row],[Classification]]="Owner´s Equity"),Table846[[#This Row],[Credit.]]&gt;Table846[[#This Row],[Debit\]]),Table846[[#This Row],[Credit.]]-Table846[[#This Row],[Debit\]],""),"")</f>
        <v/>
      </c>
    </row>
    <row r="139" spans="2:34" hidden="1" x14ac:dyDescent="0.25">
      <c r="B139" s="34"/>
      <c r="C139" s="45"/>
      <c r="D139" s="34"/>
      <c r="E139" s="34"/>
      <c r="G139" s="39"/>
      <c r="H139" s="40"/>
      <c r="I139" s="41"/>
      <c r="J139" s="41"/>
      <c r="L139" s="34">
        <v>132</v>
      </c>
      <c r="M139" s="35"/>
      <c r="N139" s="35"/>
      <c r="O139" s="34">
        <f>IFERROR(SUMIF(Table443[,],Table645[[#This Row],[Accounts Name]],Table443[,3]),"")</f>
        <v>0</v>
      </c>
      <c r="P139" s="34">
        <f>IFERROR(SUMIF(Table443[,],Table645[[#This Row],[Accounts Name]],Table443[,2]),"")</f>
        <v>0</v>
      </c>
      <c r="S139" s="36">
        <f t="shared" si="2"/>
        <v>132</v>
      </c>
      <c r="T139" s="34"/>
      <c r="U139" s="37"/>
      <c r="V139" s="34">
        <f>IFERROR(SUMIF(Table645[Sub-Accounts],Table846[[#This Row],[Update your chart of accounts here]],Table645[Debit]),"")</f>
        <v>0</v>
      </c>
      <c r="W139" s="34">
        <f>IFERROR(SUMIF(Table645[Sub-Accounts],Table846[[#This Row],[Update your chart of accounts here]],Table645[Credit]),"")</f>
        <v>0</v>
      </c>
      <c r="X139" s="34"/>
      <c r="Y139" s="34"/>
      <c r="Z139" s="34"/>
      <c r="AA139" s="34"/>
      <c r="AB139" s="34">
        <f>MAX(Table846[[#This Row],[Debit]]+Table846[[#This Row],[Debit -]]-Table846[[#This Row],[Credit]]-Table846[[#This Row],[Credit +]],0)</f>
        <v>0</v>
      </c>
      <c r="AC139" s="34">
        <f>MAX(Table846[[#This Row],[Credit]]-Table846[[#This Row],[Debit]]+Table846[[#This Row],[Credit +]]-Table846[[#This Row],[Debit -]],0)</f>
        <v>0</v>
      </c>
      <c r="AD139" s="34" t="str">
        <f>IFERROR(IF(AND(OR(Table846[[#This Row],[Classification]]="Expense",Table846[[#This Row],[Classification]]="Cost of Goods Sold"),Table846[[#This Row],[Debit\]]&gt;Table846[[#This Row],[Credit.]]),Table846[[#This Row],[Debit\]]-Table846[[#This Row],[Credit.]],""),"")</f>
        <v/>
      </c>
      <c r="AE139" s="34" t="str">
        <f>IFERROR(IF(AND(OR(Table846[[#This Row],[Classification]]="Income",Table846[[#This Row],[Classification]]="Cost of Goods Sold"),Table846[[#This Row],[Credit.]]&gt;Table846[[#This Row],[Debit\]]),Table846[[#This Row],[Credit.]]-Table846[[#This Row],[Debit\]],""),"")</f>
        <v/>
      </c>
      <c r="AF139" s="34"/>
      <c r="AG139" s="34" t="str">
        <f>IFERROR(IF(AND(Table846[[#This Row],[Classification]]="Assets",Table846[[#This Row],[Debit\]]-Table846[[#This Row],[Credit.]]),Table846[[#This Row],[Debit\]]-Table846[[#This Row],[Credit.]],""),"")</f>
        <v/>
      </c>
      <c r="AH139" s="34" t="str">
        <f>IFERROR(IF(AND(OR(Table846[[#This Row],[Classification]]="Liabilities",Table846[[#This Row],[Classification]]="Owner´s Equity"),Table846[[#This Row],[Credit.]]&gt;Table846[[#This Row],[Debit\]]),Table846[[#This Row],[Credit.]]-Table846[[#This Row],[Debit\]],""),"")</f>
        <v/>
      </c>
    </row>
    <row r="140" spans="2:34" hidden="1" x14ac:dyDescent="0.25">
      <c r="B140" s="34"/>
      <c r="C140" s="45"/>
      <c r="D140" s="34"/>
      <c r="E140" s="34"/>
      <c r="G140" s="39"/>
      <c r="H140" s="43"/>
      <c r="I140" s="41"/>
      <c r="J140" s="41"/>
      <c r="L140" s="34">
        <v>133</v>
      </c>
      <c r="M140" s="35"/>
      <c r="N140" s="35"/>
      <c r="O140" s="34">
        <f>IFERROR(SUMIF(Table443[,],Table645[[#This Row],[Accounts Name]],Table443[,3]),"")</f>
        <v>0</v>
      </c>
      <c r="P140" s="34">
        <f>IFERROR(SUMIF(Table443[,],Table645[[#This Row],[Accounts Name]],Table443[,2]),"")</f>
        <v>0</v>
      </c>
      <c r="S140" s="36">
        <f t="shared" si="2"/>
        <v>133</v>
      </c>
      <c r="T140" s="34"/>
      <c r="U140" s="37"/>
      <c r="V140" s="34">
        <f>IFERROR(SUMIF(Table645[Sub-Accounts],Table846[[#This Row],[Update your chart of accounts here]],Table645[Debit]),"")</f>
        <v>0</v>
      </c>
      <c r="W140" s="34">
        <f>IFERROR(SUMIF(Table645[Sub-Accounts],Table846[[#This Row],[Update your chart of accounts here]],Table645[Credit]),"")</f>
        <v>0</v>
      </c>
      <c r="X140" s="34"/>
      <c r="Y140" s="34"/>
      <c r="Z140" s="34"/>
      <c r="AA140" s="34"/>
      <c r="AB140" s="34">
        <f>MAX(Table846[[#This Row],[Debit]]+Table846[[#This Row],[Debit -]]-Table846[[#This Row],[Credit]]-Table846[[#This Row],[Credit +]],0)</f>
        <v>0</v>
      </c>
      <c r="AC140" s="34">
        <f>MAX(Table846[[#This Row],[Credit]]-Table846[[#This Row],[Debit]]+Table846[[#This Row],[Credit +]]-Table846[[#This Row],[Debit -]],0)</f>
        <v>0</v>
      </c>
      <c r="AD140" s="34" t="str">
        <f>IFERROR(IF(AND(OR(Table846[[#This Row],[Classification]]="Expense",Table846[[#This Row],[Classification]]="Cost of Goods Sold"),Table846[[#This Row],[Debit\]]&gt;Table846[[#This Row],[Credit.]]),Table846[[#This Row],[Debit\]]-Table846[[#This Row],[Credit.]],""),"")</f>
        <v/>
      </c>
      <c r="AE140" s="34" t="str">
        <f>IFERROR(IF(AND(OR(Table846[[#This Row],[Classification]]="Income",Table846[[#This Row],[Classification]]="Cost of Goods Sold"),Table846[[#This Row],[Credit.]]&gt;Table846[[#This Row],[Debit\]]),Table846[[#This Row],[Credit.]]-Table846[[#This Row],[Debit\]],""),"")</f>
        <v/>
      </c>
      <c r="AF140" s="34"/>
      <c r="AG140" s="34" t="str">
        <f>IFERROR(IF(AND(Table846[[#This Row],[Classification]]="Assets",Table846[[#This Row],[Debit\]]-Table846[[#This Row],[Credit.]]),Table846[[#This Row],[Debit\]]-Table846[[#This Row],[Credit.]],""),"")</f>
        <v/>
      </c>
      <c r="AH140" s="34" t="str">
        <f>IFERROR(IF(AND(OR(Table846[[#This Row],[Classification]]="Liabilities",Table846[[#This Row],[Classification]]="Owner´s Equity"),Table846[[#This Row],[Credit.]]&gt;Table846[[#This Row],[Debit\]]),Table846[[#This Row],[Credit.]]-Table846[[#This Row],[Debit\]],""),"")</f>
        <v/>
      </c>
    </row>
    <row r="141" spans="2:34" hidden="1" x14ac:dyDescent="0.25">
      <c r="B141" s="34"/>
      <c r="C141" s="45"/>
      <c r="D141" s="34"/>
      <c r="E141" s="34"/>
      <c r="G141" s="39"/>
      <c r="H141" s="40"/>
      <c r="I141" s="41"/>
      <c r="J141" s="41"/>
      <c r="L141" s="34">
        <v>134</v>
      </c>
      <c r="M141" s="35"/>
      <c r="N141" s="35"/>
      <c r="O141" s="34">
        <f>IFERROR(SUMIF(Table443[,],Table645[[#This Row],[Accounts Name]],Table443[,3]),"")</f>
        <v>0</v>
      </c>
      <c r="P141" s="34">
        <f>IFERROR(SUMIF(Table443[,],Table645[[#This Row],[Accounts Name]],Table443[,2]),"")</f>
        <v>0</v>
      </c>
      <c r="S141" s="36">
        <f t="shared" si="2"/>
        <v>134</v>
      </c>
      <c r="T141" s="34"/>
      <c r="U141" s="37"/>
      <c r="V141" s="34">
        <f>IFERROR(SUMIF(Table645[Sub-Accounts],Table846[[#This Row],[Update your chart of accounts here]],Table645[Debit]),"")</f>
        <v>0</v>
      </c>
      <c r="W141" s="34">
        <f>IFERROR(SUMIF(Table645[Sub-Accounts],Table846[[#This Row],[Update your chart of accounts here]],Table645[Credit]),"")</f>
        <v>0</v>
      </c>
      <c r="X141" s="34"/>
      <c r="Y141" s="34"/>
      <c r="Z141" s="34"/>
      <c r="AA141" s="34"/>
      <c r="AB141" s="34">
        <f>MAX(Table846[[#This Row],[Debit]]+Table846[[#This Row],[Debit -]]-Table846[[#This Row],[Credit]]-Table846[[#This Row],[Credit +]],0)</f>
        <v>0</v>
      </c>
      <c r="AC141" s="34">
        <f>MAX(Table846[[#This Row],[Credit]]-Table846[[#This Row],[Debit]]+Table846[[#This Row],[Credit +]]-Table846[[#This Row],[Debit -]],0)</f>
        <v>0</v>
      </c>
      <c r="AD141" s="34" t="str">
        <f>IFERROR(IF(AND(OR(Table846[[#This Row],[Classification]]="Expense",Table846[[#This Row],[Classification]]="Cost of Goods Sold"),Table846[[#This Row],[Debit\]]&gt;Table846[[#This Row],[Credit.]]),Table846[[#This Row],[Debit\]]-Table846[[#This Row],[Credit.]],""),"")</f>
        <v/>
      </c>
      <c r="AE141" s="34" t="str">
        <f>IFERROR(IF(AND(OR(Table846[[#This Row],[Classification]]="Income",Table846[[#This Row],[Classification]]="Cost of Goods Sold"),Table846[[#This Row],[Credit.]]&gt;Table846[[#This Row],[Debit\]]),Table846[[#This Row],[Credit.]]-Table846[[#This Row],[Debit\]],""),"")</f>
        <v/>
      </c>
      <c r="AF141" s="34"/>
      <c r="AG141" s="34" t="str">
        <f>IFERROR(IF(AND(Table846[[#This Row],[Classification]]="Assets",Table846[[#This Row],[Debit\]]-Table846[[#This Row],[Credit.]]),Table846[[#This Row],[Debit\]]-Table846[[#This Row],[Credit.]],""),"")</f>
        <v/>
      </c>
      <c r="AH141" s="34" t="str">
        <f>IFERROR(IF(AND(OR(Table846[[#This Row],[Classification]]="Liabilities",Table846[[#This Row],[Classification]]="Owner´s Equity"),Table846[[#This Row],[Credit.]]&gt;Table846[[#This Row],[Debit\]]),Table846[[#This Row],[Credit.]]-Table846[[#This Row],[Debit\]],""),"")</f>
        <v/>
      </c>
    </row>
    <row r="142" spans="2:34" hidden="1" x14ac:dyDescent="0.25">
      <c r="B142" s="34"/>
      <c r="C142" s="45"/>
      <c r="D142" s="34"/>
      <c r="E142" s="34"/>
      <c r="G142" s="39"/>
      <c r="H142" s="40"/>
      <c r="I142" s="41"/>
      <c r="J142" s="41"/>
      <c r="L142" s="34">
        <v>135</v>
      </c>
      <c r="M142" s="35"/>
      <c r="N142" s="35"/>
      <c r="O142" s="34">
        <f>IFERROR(SUMIF(Table443[,],Table645[[#This Row],[Accounts Name]],Table443[,3]),"")</f>
        <v>0</v>
      </c>
      <c r="P142" s="34">
        <f>IFERROR(SUMIF(Table443[,],Table645[[#This Row],[Accounts Name]],Table443[,2]),"")</f>
        <v>0</v>
      </c>
      <c r="S142" s="36">
        <f t="shared" si="2"/>
        <v>135</v>
      </c>
      <c r="T142" s="34"/>
      <c r="U142" s="37"/>
      <c r="V142" s="34">
        <f>IFERROR(SUMIF(Table645[Sub-Accounts],Table846[[#This Row],[Update your chart of accounts here]],Table645[Debit]),"")</f>
        <v>0</v>
      </c>
      <c r="W142" s="34">
        <f>IFERROR(SUMIF(Table645[Sub-Accounts],Table846[[#This Row],[Update your chart of accounts here]],Table645[Credit]),"")</f>
        <v>0</v>
      </c>
      <c r="X142" s="34"/>
      <c r="Y142" s="34"/>
      <c r="Z142" s="34"/>
      <c r="AA142" s="34"/>
      <c r="AB142" s="34">
        <f>MAX(Table846[[#This Row],[Debit]]+Table846[[#This Row],[Debit -]]-Table846[[#This Row],[Credit]]-Table846[[#This Row],[Credit +]],0)</f>
        <v>0</v>
      </c>
      <c r="AC142" s="34">
        <f>MAX(Table846[[#This Row],[Credit]]-Table846[[#This Row],[Debit]]+Table846[[#This Row],[Credit +]]-Table846[[#This Row],[Debit -]],0)</f>
        <v>0</v>
      </c>
      <c r="AD142" s="34" t="str">
        <f>IFERROR(IF(AND(OR(Table846[[#This Row],[Classification]]="Expense",Table846[[#This Row],[Classification]]="Cost of Goods Sold"),Table846[[#This Row],[Debit\]]&gt;Table846[[#This Row],[Credit.]]),Table846[[#This Row],[Debit\]]-Table846[[#This Row],[Credit.]],""),"")</f>
        <v/>
      </c>
      <c r="AE142" s="34" t="str">
        <f>IFERROR(IF(AND(OR(Table846[[#This Row],[Classification]]="Income",Table846[[#This Row],[Classification]]="Cost of Goods Sold"),Table846[[#This Row],[Credit.]]&gt;Table846[[#This Row],[Debit\]]),Table846[[#This Row],[Credit.]]-Table846[[#This Row],[Debit\]],""),"")</f>
        <v/>
      </c>
      <c r="AF142" s="34"/>
      <c r="AG142" s="34" t="str">
        <f>IFERROR(IF(AND(Table846[[#This Row],[Classification]]="Assets",Table846[[#This Row],[Debit\]]-Table846[[#This Row],[Credit.]]),Table846[[#This Row],[Debit\]]-Table846[[#This Row],[Credit.]],""),"")</f>
        <v/>
      </c>
      <c r="AH142" s="34" t="str">
        <f>IFERROR(IF(AND(OR(Table846[[#This Row],[Classification]]="Liabilities",Table846[[#This Row],[Classification]]="Owner´s Equity"),Table846[[#This Row],[Credit.]]&gt;Table846[[#This Row],[Debit\]]),Table846[[#This Row],[Credit.]]-Table846[[#This Row],[Debit\]],""),"")</f>
        <v/>
      </c>
    </row>
    <row r="143" spans="2:34" hidden="1" x14ac:dyDescent="0.25">
      <c r="B143" s="34"/>
      <c r="C143" s="45"/>
      <c r="D143" s="34"/>
      <c r="E143" s="34"/>
      <c r="G143" s="39"/>
      <c r="H143" s="43"/>
      <c r="I143" s="41"/>
      <c r="J143" s="41"/>
      <c r="L143" s="34">
        <v>136</v>
      </c>
      <c r="M143" s="35"/>
      <c r="N143" s="35"/>
      <c r="O143" s="34">
        <f>IFERROR(SUMIF(Table443[,],Table645[[#This Row],[Accounts Name]],Table443[,3]),"")</f>
        <v>0</v>
      </c>
      <c r="P143" s="34">
        <f>IFERROR(SUMIF(Table443[,],Table645[[#This Row],[Accounts Name]],Table443[,2]),"")</f>
        <v>0</v>
      </c>
      <c r="S143" s="36">
        <f t="shared" si="2"/>
        <v>136</v>
      </c>
      <c r="T143" s="34"/>
      <c r="U143" s="37"/>
      <c r="V143" s="34">
        <f>IFERROR(SUMIF(Table645[Sub-Accounts],Table846[[#This Row],[Update your chart of accounts here]],Table645[Debit]),"")</f>
        <v>0</v>
      </c>
      <c r="W143" s="34">
        <f>IFERROR(SUMIF(Table645[Sub-Accounts],Table846[[#This Row],[Update your chart of accounts here]],Table645[Credit]),"")</f>
        <v>0</v>
      </c>
      <c r="X143" s="34"/>
      <c r="Y143" s="34"/>
      <c r="Z143" s="34"/>
      <c r="AA143" s="34"/>
      <c r="AB143" s="34">
        <f>MAX(Table846[[#This Row],[Debit]]+Table846[[#This Row],[Debit -]]-Table846[[#This Row],[Credit]]-Table846[[#This Row],[Credit +]],0)</f>
        <v>0</v>
      </c>
      <c r="AC143" s="34">
        <f>MAX(Table846[[#This Row],[Credit]]-Table846[[#This Row],[Debit]]+Table846[[#This Row],[Credit +]]-Table846[[#This Row],[Debit -]],0)</f>
        <v>0</v>
      </c>
      <c r="AD143" s="34" t="str">
        <f>IFERROR(IF(AND(OR(Table846[[#This Row],[Classification]]="Expense",Table846[[#This Row],[Classification]]="Cost of Goods Sold"),Table846[[#This Row],[Debit\]]&gt;Table846[[#This Row],[Credit.]]),Table846[[#This Row],[Debit\]]-Table846[[#This Row],[Credit.]],""),"")</f>
        <v/>
      </c>
      <c r="AE143" s="34" t="str">
        <f>IFERROR(IF(AND(OR(Table846[[#This Row],[Classification]]="Income",Table846[[#This Row],[Classification]]="Cost of Goods Sold"),Table846[[#This Row],[Credit.]]&gt;Table846[[#This Row],[Debit\]]),Table846[[#This Row],[Credit.]]-Table846[[#This Row],[Debit\]],""),"")</f>
        <v/>
      </c>
      <c r="AF143" s="34"/>
      <c r="AG143" s="34" t="str">
        <f>IFERROR(IF(AND(Table846[[#This Row],[Classification]]="Assets",Table846[[#This Row],[Debit\]]-Table846[[#This Row],[Credit.]]),Table846[[#This Row],[Debit\]]-Table846[[#This Row],[Credit.]],""),"")</f>
        <v/>
      </c>
      <c r="AH143" s="34" t="str">
        <f>IFERROR(IF(AND(OR(Table846[[#This Row],[Classification]]="Liabilities",Table846[[#This Row],[Classification]]="Owner´s Equity"),Table846[[#This Row],[Credit.]]&gt;Table846[[#This Row],[Debit\]]),Table846[[#This Row],[Credit.]]-Table846[[#This Row],[Debit\]],""),"")</f>
        <v/>
      </c>
    </row>
    <row r="144" spans="2:34" hidden="1" x14ac:dyDescent="0.25">
      <c r="B144" s="34"/>
      <c r="C144" s="45"/>
      <c r="D144" s="34"/>
      <c r="E144" s="34"/>
      <c r="G144" s="39"/>
      <c r="H144" s="40"/>
      <c r="I144" s="41"/>
      <c r="J144" s="41"/>
      <c r="L144" s="34">
        <v>137</v>
      </c>
      <c r="M144" s="35"/>
      <c r="N144" s="35"/>
      <c r="O144" s="34">
        <f>IFERROR(SUMIF(Table443[,],Table645[[#This Row],[Accounts Name]],Table443[,3]),"")</f>
        <v>0</v>
      </c>
      <c r="P144" s="34">
        <f>IFERROR(SUMIF(Table443[,],Table645[[#This Row],[Accounts Name]],Table443[,2]),"")</f>
        <v>0</v>
      </c>
      <c r="S144" s="36">
        <f t="shared" si="2"/>
        <v>137</v>
      </c>
      <c r="T144" s="34"/>
      <c r="U144" s="37"/>
      <c r="V144" s="34">
        <f>IFERROR(SUMIF(Table645[Sub-Accounts],Table846[[#This Row],[Update your chart of accounts here]],Table645[Debit]),"")</f>
        <v>0</v>
      </c>
      <c r="W144" s="34">
        <f>IFERROR(SUMIF(Table645[Sub-Accounts],Table846[[#This Row],[Update your chart of accounts here]],Table645[Credit]),"")</f>
        <v>0</v>
      </c>
      <c r="X144" s="34"/>
      <c r="Y144" s="34"/>
      <c r="Z144" s="34"/>
      <c r="AA144" s="34"/>
      <c r="AB144" s="34">
        <f>MAX(Table846[[#This Row],[Debit]]+Table846[[#This Row],[Debit -]]-Table846[[#This Row],[Credit]]-Table846[[#This Row],[Credit +]],0)</f>
        <v>0</v>
      </c>
      <c r="AC144" s="34">
        <f>MAX(Table846[[#This Row],[Credit]]-Table846[[#This Row],[Debit]]+Table846[[#This Row],[Credit +]]-Table846[[#This Row],[Debit -]],0)</f>
        <v>0</v>
      </c>
      <c r="AD144" s="34" t="str">
        <f>IFERROR(IF(AND(OR(Table846[[#This Row],[Classification]]="Expense",Table846[[#This Row],[Classification]]="Cost of Goods Sold"),Table846[[#This Row],[Debit\]]&gt;Table846[[#This Row],[Credit.]]),Table846[[#This Row],[Debit\]]-Table846[[#This Row],[Credit.]],""),"")</f>
        <v/>
      </c>
      <c r="AE144" s="34" t="str">
        <f>IFERROR(IF(AND(OR(Table846[[#This Row],[Classification]]="Income",Table846[[#This Row],[Classification]]="Cost of Goods Sold"),Table846[[#This Row],[Credit.]]&gt;Table846[[#This Row],[Debit\]]),Table846[[#This Row],[Credit.]]-Table846[[#This Row],[Debit\]],""),"")</f>
        <v/>
      </c>
      <c r="AF144" s="34"/>
      <c r="AG144" s="34" t="str">
        <f>IFERROR(IF(AND(Table846[[#This Row],[Classification]]="Assets",Table846[[#This Row],[Debit\]]-Table846[[#This Row],[Credit.]]),Table846[[#This Row],[Debit\]]-Table846[[#This Row],[Credit.]],""),"")</f>
        <v/>
      </c>
      <c r="AH144" s="34" t="str">
        <f>IFERROR(IF(AND(OR(Table846[[#This Row],[Classification]]="Liabilities",Table846[[#This Row],[Classification]]="Owner´s Equity"),Table846[[#This Row],[Credit.]]&gt;Table846[[#This Row],[Debit\]]),Table846[[#This Row],[Credit.]]-Table846[[#This Row],[Debit\]],""),"")</f>
        <v/>
      </c>
    </row>
    <row r="145" spans="2:34" hidden="1" x14ac:dyDescent="0.25">
      <c r="B145" s="34"/>
      <c r="C145" s="45"/>
      <c r="D145" s="34"/>
      <c r="E145" s="34"/>
      <c r="G145" s="39"/>
      <c r="H145" s="40"/>
      <c r="I145" s="41"/>
      <c r="J145" s="41"/>
      <c r="L145" s="34">
        <v>138</v>
      </c>
      <c r="M145" s="35"/>
      <c r="N145" s="35"/>
      <c r="O145" s="34">
        <f>IFERROR(SUMIF(Table443[,],Table645[[#This Row],[Accounts Name]],Table443[,3]),"")</f>
        <v>0</v>
      </c>
      <c r="P145" s="34">
        <f>IFERROR(SUMIF(Table443[,],Table645[[#This Row],[Accounts Name]],Table443[,2]),"")</f>
        <v>0</v>
      </c>
      <c r="S145" s="36">
        <f t="shared" si="2"/>
        <v>138</v>
      </c>
      <c r="T145" s="34"/>
      <c r="U145" s="37"/>
      <c r="V145" s="34">
        <f>IFERROR(SUMIF(Table645[Sub-Accounts],Table846[[#This Row],[Update your chart of accounts here]],Table645[Debit]),"")</f>
        <v>0</v>
      </c>
      <c r="W145" s="34">
        <f>IFERROR(SUMIF(Table645[Sub-Accounts],Table846[[#This Row],[Update your chart of accounts here]],Table645[Credit]),"")</f>
        <v>0</v>
      </c>
      <c r="X145" s="34"/>
      <c r="Y145" s="34"/>
      <c r="Z145" s="34"/>
      <c r="AA145" s="34"/>
      <c r="AB145" s="34">
        <f>MAX(Table846[[#This Row],[Debit]]+Table846[[#This Row],[Debit -]]-Table846[[#This Row],[Credit]]-Table846[[#This Row],[Credit +]],0)</f>
        <v>0</v>
      </c>
      <c r="AC145" s="34">
        <f>MAX(Table846[[#This Row],[Credit]]-Table846[[#This Row],[Debit]]+Table846[[#This Row],[Credit +]]-Table846[[#This Row],[Debit -]],0)</f>
        <v>0</v>
      </c>
      <c r="AD145" s="34" t="str">
        <f>IFERROR(IF(AND(OR(Table846[[#This Row],[Classification]]="Expense",Table846[[#This Row],[Classification]]="Cost of Goods Sold"),Table846[[#This Row],[Debit\]]&gt;Table846[[#This Row],[Credit.]]),Table846[[#This Row],[Debit\]]-Table846[[#This Row],[Credit.]],""),"")</f>
        <v/>
      </c>
      <c r="AE145" s="34" t="str">
        <f>IFERROR(IF(AND(OR(Table846[[#This Row],[Classification]]="Income",Table846[[#This Row],[Classification]]="Cost of Goods Sold"),Table846[[#This Row],[Credit.]]&gt;Table846[[#This Row],[Debit\]]),Table846[[#This Row],[Credit.]]-Table846[[#This Row],[Debit\]],""),"")</f>
        <v/>
      </c>
      <c r="AF145" s="34"/>
      <c r="AG145" s="34" t="str">
        <f>IFERROR(IF(AND(Table846[[#This Row],[Classification]]="Assets",Table846[[#This Row],[Debit\]]-Table846[[#This Row],[Credit.]]),Table846[[#This Row],[Debit\]]-Table846[[#This Row],[Credit.]],""),"")</f>
        <v/>
      </c>
      <c r="AH145" s="34" t="str">
        <f>IFERROR(IF(AND(OR(Table846[[#This Row],[Classification]]="Liabilities",Table846[[#This Row],[Classification]]="Owner´s Equity"),Table846[[#This Row],[Credit.]]&gt;Table846[[#This Row],[Debit\]]),Table846[[#This Row],[Credit.]]-Table846[[#This Row],[Debit\]],""),"")</f>
        <v/>
      </c>
    </row>
    <row r="146" spans="2:34" hidden="1" x14ac:dyDescent="0.25">
      <c r="B146" s="34"/>
      <c r="C146" s="45"/>
      <c r="D146" s="34"/>
      <c r="E146" s="34"/>
      <c r="G146" s="39"/>
      <c r="H146" s="43"/>
      <c r="I146" s="41"/>
      <c r="J146" s="41"/>
      <c r="L146" s="34">
        <v>139</v>
      </c>
      <c r="M146" s="35"/>
      <c r="N146" s="35"/>
      <c r="O146" s="34">
        <f>IFERROR(SUMIF(Table443[,],Table645[[#This Row],[Accounts Name]],Table443[,3]),"")</f>
        <v>0</v>
      </c>
      <c r="P146" s="34">
        <f>IFERROR(SUMIF(Table443[,],Table645[[#This Row],[Accounts Name]],Table443[,2]),"")</f>
        <v>0</v>
      </c>
      <c r="S146" s="36">
        <f t="shared" si="2"/>
        <v>139</v>
      </c>
      <c r="T146" s="34"/>
      <c r="U146" s="37"/>
      <c r="V146" s="34">
        <f>IFERROR(SUMIF(Table645[Sub-Accounts],Table846[[#This Row],[Update your chart of accounts here]],Table645[Debit]),"")</f>
        <v>0</v>
      </c>
      <c r="W146" s="34">
        <f>IFERROR(SUMIF(Table645[Sub-Accounts],Table846[[#This Row],[Update your chart of accounts here]],Table645[Credit]),"")</f>
        <v>0</v>
      </c>
      <c r="X146" s="34"/>
      <c r="Y146" s="34"/>
      <c r="Z146" s="34"/>
      <c r="AA146" s="34"/>
      <c r="AB146" s="34">
        <f>MAX(Table846[[#This Row],[Debit]]+Table846[[#This Row],[Debit -]]-Table846[[#This Row],[Credit]]-Table846[[#This Row],[Credit +]],0)</f>
        <v>0</v>
      </c>
      <c r="AC146" s="34">
        <f>MAX(Table846[[#This Row],[Credit]]-Table846[[#This Row],[Debit]]+Table846[[#This Row],[Credit +]]-Table846[[#This Row],[Debit -]],0)</f>
        <v>0</v>
      </c>
      <c r="AD146" s="34" t="str">
        <f>IFERROR(IF(AND(OR(Table846[[#This Row],[Classification]]="Expense",Table846[[#This Row],[Classification]]="Cost of Goods Sold"),Table846[[#This Row],[Debit\]]&gt;Table846[[#This Row],[Credit.]]),Table846[[#This Row],[Debit\]]-Table846[[#This Row],[Credit.]],""),"")</f>
        <v/>
      </c>
      <c r="AE146" s="34" t="str">
        <f>IFERROR(IF(AND(OR(Table846[[#This Row],[Classification]]="Income",Table846[[#This Row],[Classification]]="Cost of Goods Sold"),Table846[[#This Row],[Credit.]]&gt;Table846[[#This Row],[Debit\]]),Table846[[#This Row],[Credit.]]-Table846[[#This Row],[Debit\]],""),"")</f>
        <v/>
      </c>
      <c r="AF146" s="34"/>
      <c r="AG146" s="34" t="str">
        <f>IFERROR(IF(AND(Table846[[#This Row],[Classification]]="Assets",Table846[[#This Row],[Debit\]]-Table846[[#This Row],[Credit.]]),Table846[[#This Row],[Debit\]]-Table846[[#This Row],[Credit.]],""),"")</f>
        <v/>
      </c>
      <c r="AH146" s="34" t="str">
        <f>IFERROR(IF(AND(OR(Table846[[#This Row],[Classification]]="Liabilities",Table846[[#This Row],[Classification]]="Owner´s Equity"),Table846[[#This Row],[Credit.]]&gt;Table846[[#This Row],[Debit\]]),Table846[[#This Row],[Credit.]]-Table846[[#This Row],[Debit\]],""),"")</f>
        <v/>
      </c>
    </row>
    <row r="147" spans="2:34" hidden="1" x14ac:dyDescent="0.25">
      <c r="B147" s="34"/>
      <c r="C147" s="45"/>
      <c r="D147" s="34"/>
      <c r="E147" s="34"/>
      <c r="G147" s="39"/>
      <c r="H147" s="40"/>
      <c r="I147" s="41"/>
      <c r="J147" s="41"/>
      <c r="L147" s="34">
        <v>140</v>
      </c>
      <c r="M147" s="35"/>
      <c r="N147" s="35"/>
      <c r="O147" s="34">
        <f>IFERROR(SUMIF(Table443[,],Table645[[#This Row],[Accounts Name]],Table443[,3]),"")</f>
        <v>0</v>
      </c>
      <c r="P147" s="34">
        <f>IFERROR(SUMIF(Table443[,],Table645[[#This Row],[Accounts Name]],Table443[,2]),"")</f>
        <v>0</v>
      </c>
      <c r="S147" s="36">
        <f t="shared" si="2"/>
        <v>140</v>
      </c>
      <c r="T147" s="34"/>
      <c r="U147" s="37"/>
      <c r="V147" s="34">
        <f>IFERROR(SUMIF(Table645[Sub-Accounts],Table846[[#This Row],[Update your chart of accounts here]],Table645[Debit]),"")</f>
        <v>0</v>
      </c>
      <c r="W147" s="34">
        <f>IFERROR(SUMIF(Table645[Sub-Accounts],Table846[[#This Row],[Update your chart of accounts here]],Table645[Credit]),"")</f>
        <v>0</v>
      </c>
      <c r="X147" s="34"/>
      <c r="Y147" s="34"/>
      <c r="Z147" s="34"/>
      <c r="AA147" s="34"/>
      <c r="AB147" s="34">
        <f>MAX(Table846[[#This Row],[Debit]]+Table846[[#This Row],[Debit -]]-Table846[[#This Row],[Credit]]-Table846[[#This Row],[Credit +]],0)</f>
        <v>0</v>
      </c>
      <c r="AC147" s="34">
        <f>MAX(Table846[[#This Row],[Credit]]-Table846[[#This Row],[Debit]]+Table846[[#This Row],[Credit +]]-Table846[[#This Row],[Debit -]],0)</f>
        <v>0</v>
      </c>
      <c r="AD147" s="34" t="str">
        <f>IFERROR(IF(AND(OR(Table846[[#This Row],[Classification]]="Expense",Table846[[#This Row],[Classification]]="Cost of Goods Sold"),Table846[[#This Row],[Debit\]]&gt;Table846[[#This Row],[Credit.]]),Table846[[#This Row],[Debit\]]-Table846[[#This Row],[Credit.]],""),"")</f>
        <v/>
      </c>
      <c r="AE147" s="34" t="str">
        <f>IFERROR(IF(AND(OR(Table846[[#This Row],[Classification]]="Income",Table846[[#This Row],[Classification]]="Cost of Goods Sold"),Table846[[#This Row],[Credit.]]&gt;Table846[[#This Row],[Debit\]]),Table846[[#This Row],[Credit.]]-Table846[[#This Row],[Debit\]],""),"")</f>
        <v/>
      </c>
      <c r="AF147" s="34"/>
      <c r="AG147" s="34" t="str">
        <f>IFERROR(IF(AND(Table846[[#This Row],[Classification]]="Assets",Table846[[#This Row],[Debit\]]-Table846[[#This Row],[Credit.]]),Table846[[#This Row],[Debit\]]-Table846[[#This Row],[Credit.]],""),"")</f>
        <v/>
      </c>
      <c r="AH147" s="34" t="str">
        <f>IFERROR(IF(AND(OR(Table846[[#This Row],[Classification]]="Liabilities",Table846[[#This Row],[Classification]]="Owner´s Equity"),Table846[[#This Row],[Credit.]]&gt;Table846[[#This Row],[Debit\]]),Table846[[#This Row],[Credit.]]-Table846[[#This Row],[Debit\]],""),"")</f>
        <v/>
      </c>
    </row>
    <row r="148" spans="2:34" hidden="1" x14ac:dyDescent="0.25">
      <c r="B148" s="34"/>
      <c r="C148" s="45"/>
      <c r="D148" s="34"/>
      <c r="E148" s="34"/>
      <c r="G148" s="39"/>
      <c r="H148" s="40"/>
      <c r="I148" s="41"/>
      <c r="J148" s="41"/>
      <c r="L148" s="34">
        <v>141</v>
      </c>
      <c r="M148" s="35"/>
      <c r="N148" s="35"/>
      <c r="O148" s="34">
        <f>IFERROR(SUMIF(Table443[,],Table645[[#This Row],[Accounts Name]],Table443[,3]),"")</f>
        <v>0</v>
      </c>
      <c r="P148" s="34">
        <f>IFERROR(SUMIF(Table443[,],Table645[[#This Row],[Accounts Name]],Table443[,2]),"")</f>
        <v>0</v>
      </c>
      <c r="S148" s="36">
        <f t="shared" si="2"/>
        <v>141</v>
      </c>
      <c r="T148" s="34"/>
      <c r="U148" s="37"/>
      <c r="V148" s="34">
        <f>IFERROR(SUMIF(Table645[Sub-Accounts],Table846[[#This Row],[Update your chart of accounts here]],Table645[Debit]),"")</f>
        <v>0</v>
      </c>
      <c r="W148" s="34">
        <f>IFERROR(SUMIF(Table645[Sub-Accounts],Table846[[#This Row],[Update your chart of accounts here]],Table645[Credit]),"")</f>
        <v>0</v>
      </c>
      <c r="X148" s="34"/>
      <c r="Y148" s="34"/>
      <c r="Z148" s="34"/>
      <c r="AA148" s="34"/>
      <c r="AB148" s="34">
        <f>MAX(Table846[[#This Row],[Debit]]+Table846[[#This Row],[Debit -]]-Table846[[#This Row],[Credit]]-Table846[[#This Row],[Credit +]],0)</f>
        <v>0</v>
      </c>
      <c r="AC148" s="34">
        <f>MAX(Table846[[#This Row],[Credit]]-Table846[[#This Row],[Debit]]+Table846[[#This Row],[Credit +]]-Table846[[#This Row],[Debit -]],0)</f>
        <v>0</v>
      </c>
      <c r="AD148" s="34" t="str">
        <f>IFERROR(IF(AND(OR(Table846[[#This Row],[Classification]]="Expense",Table846[[#This Row],[Classification]]="Cost of Goods Sold"),Table846[[#This Row],[Debit\]]&gt;Table846[[#This Row],[Credit.]]),Table846[[#This Row],[Debit\]]-Table846[[#This Row],[Credit.]],""),"")</f>
        <v/>
      </c>
      <c r="AE148" s="34" t="str">
        <f>IFERROR(IF(AND(OR(Table846[[#This Row],[Classification]]="Income",Table846[[#This Row],[Classification]]="Cost of Goods Sold"),Table846[[#This Row],[Credit.]]&gt;Table846[[#This Row],[Debit\]]),Table846[[#This Row],[Credit.]]-Table846[[#This Row],[Debit\]],""),"")</f>
        <v/>
      </c>
      <c r="AF148" s="34"/>
      <c r="AG148" s="34" t="str">
        <f>IFERROR(IF(AND(Table846[[#This Row],[Classification]]="Assets",Table846[[#This Row],[Debit\]]-Table846[[#This Row],[Credit.]]),Table846[[#This Row],[Debit\]]-Table846[[#This Row],[Credit.]],""),"")</f>
        <v/>
      </c>
      <c r="AH148" s="34" t="str">
        <f>IFERROR(IF(AND(OR(Table846[[#This Row],[Classification]]="Liabilities",Table846[[#This Row],[Classification]]="Owner´s Equity"),Table846[[#This Row],[Credit.]]&gt;Table846[[#This Row],[Debit\]]),Table846[[#This Row],[Credit.]]-Table846[[#This Row],[Debit\]],""),"")</f>
        <v/>
      </c>
    </row>
    <row r="149" spans="2:34" hidden="1" x14ac:dyDescent="0.25">
      <c r="B149" s="34"/>
      <c r="C149" s="45"/>
      <c r="D149" s="34"/>
      <c r="E149" s="34"/>
      <c r="G149" s="39"/>
      <c r="H149" s="43"/>
      <c r="I149" s="41"/>
      <c r="J149" s="41"/>
      <c r="L149" s="34">
        <v>142</v>
      </c>
      <c r="M149" s="35"/>
      <c r="N149" s="35"/>
      <c r="O149" s="34">
        <f>IFERROR(SUMIF(Table443[,],Table645[[#This Row],[Accounts Name]],Table443[,3]),"")</f>
        <v>0</v>
      </c>
      <c r="P149" s="34">
        <f>IFERROR(SUMIF(Table443[,],Table645[[#This Row],[Accounts Name]],Table443[,2]),"")</f>
        <v>0</v>
      </c>
      <c r="S149" s="36">
        <f t="shared" si="2"/>
        <v>142</v>
      </c>
      <c r="T149" s="34"/>
      <c r="U149" s="37"/>
      <c r="V149" s="34">
        <f>IFERROR(SUMIF(Table645[Sub-Accounts],Table846[[#This Row],[Update your chart of accounts here]],Table645[Debit]),"")</f>
        <v>0</v>
      </c>
      <c r="W149" s="34">
        <f>IFERROR(SUMIF(Table645[Sub-Accounts],Table846[[#This Row],[Update your chart of accounts here]],Table645[Credit]),"")</f>
        <v>0</v>
      </c>
      <c r="X149" s="34"/>
      <c r="Y149" s="34"/>
      <c r="Z149" s="34"/>
      <c r="AA149" s="34"/>
      <c r="AB149" s="34">
        <f>MAX(Table846[[#This Row],[Debit]]+Table846[[#This Row],[Debit -]]-Table846[[#This Row],[Credit]]-Table846[[#This Row],[Credit +]],0)</f>
        <v>0</v>
      </c>
      <c r="AC149" s="34">
        <f>MAX(Table846[[#This Row],[Credit]]-Table846[[#This Row],[Debit]]+Table846[[#This Row],[Credit +]]-Table846[[#This Row],[Debit -]],0)</f>
        <v>0</v>
      </c>
      <c r="AD149" s="34" t="str">
        <f>IFERROR(IF(AND(OR(Table846[[#This Row],[Classification]]="Expense",Table846[[#This Row],[Classification]]="Cost of Goods Sold"),Table846[[#This Row],[Debit\]]&gt;Table846[[#This Row],[Credit.]]),Table846[[#This Row],[Debit\]]-Table846[[#This Row],[Credit.]],""),"")</f>
        <v/>
      </c>
      <c r="AE149" s="34" t="str">
        <f>IFERROR(IF(AND(OR(Table846[[#This Row],[Classification]]="Income",Table846[[#This Row],[Classification]]="Cost of Goods Sold"),Table846[[#This Row],[Credit.]]&gt;Table846[[#This Row],[Debit\]]),Table846[[#This Row],[Credit.]]-Table846[[#This Row],[Debit\]],""),"")</f>
        <v/>
      </c>
      <c r="AF149" s="34"/>
      <c r="AG149" s="34" t="str">
        <f>IFERROR(IF(AND(Table846[[#This Row],[Classification]]="Assets",Table846[[#This Row],[Debit\]]-Table846[[#This Row],[Credit.]]),Table846[[#This Row],[Debit\]]-Table846[[#This Row],[Credit.]],""),"")</f>
        <v/>
      </c>
      <c r="AH149" s="34" t="str">
        <f>IFERROR(IF(AND(OR(Table846[[#This Row],[Classification]]="Liabilities",Table846[[#This Row],[Classification]]="Owner´s Equity"),Table846[[#This Row],[Credit.]]&gt;Table846[[#This Row],[Debit\]]),Table846[[#This Row],[Credit.]]-Table846[[#This Row],[Debit\]],""),"")</f>
        <v/>
      </c>
    </row>
    <row r="150" spans="2:34" hidden="1" x14ac:dyDescent="0.25">
      <c r="B150" s="34"/>
      <c r="C150" s="45"/>
      <c r="D150" s="34"/>
      <c r="E150" s="34"/>
      <c r="G150" s="39"/>
      <c r="H150" s="40"/>
      <c r="I150" s="41"/>
      <c r="J150" s="41"/>
      <c r="L150" s="34">
        <v>143</v>
      </c>
      <c r="M150" s="35"/>
      <c r="N150" s="35"/>
      <c r="O150" s="34">
        <f>IFERROR(SUMIF(Table443[,],Table645[[#This Row],[Accounts Name]],Table443[,3]),"")</f>
        <v>0</v>
      </c>
      <c r="P150" s="34">
        <f>IFERROR(SUMIF(Table443[,],Table645[[#This Row],[Accounts Name]],Table443[,2]),"")</f>
        <v>0</v>
      </c>
      <c r="S150" s="36">
        <f t="shared" si="2"/>
        <v>143</v>
      </c>
      <c r="T150" s="34"/>
      <c r="U150" s="37"/>
      <c r="V150" s="34">
        <f>IFERROR(SUMIF(Table645[Sub-Accounts],Table846[[#This Row],[Update your chart of accounts here]],Table645[Debit]),"")</f>
        <v>0</v>
      </c>
      <c r="W150" s="34">
        <f>IFERROR(SUMIF(Table645[Sub-Accounts],Table846[[#This Row],[Update your chart of accounts here]],Table645[Credit]),"")</f>
        <v>0</v>
      </c>
      <c r="X150" s="34"/>
      <c r="Y150" s="34"/>
      <c r="Z150" s="34"/>
      <c r="AA150" s="34"/>
      <c r="AB150" s="34">
        <f>MAX(Table846[[#This Row],[Debit]]+Table846[[#This Row],[Debit -]]-Table846[[#This Row],[Credit]]-Table846[[#This Row],[Credit +]],0)</f>
        <v>0</v>
      </c>
      <c r="AC150" s="34">
        <f>MAX(Table846[[#This Row],[Credit]]-Table846[[#This Row],[Debit]]+Table846[[#This Row],[Credit +]]-Table846[[#This Row],[Debit -]],0)</f>
        <v>0</v>
      </c>
      <c r="AD150" s="34" t="str">
        <f>IFERROR(IF(AND(OR(Table846[[#This Row],[Classification]]="Expense",Table846[[#This Row],[Classification]]="Cost of Goods Sold"),Table846[[#This Row],[Debit\]]&gt;Table846[[#This Row],[Credit.]]),Table846[[#This Row],[Debit\]]-Table846[[#This Row],[Credit.]],""),"")</f>
        <v/>
      </c>
      <c r="AE150" s="34" t="str">
        <f>IFERROR(IF(AND(OR(Table846[[#This Row],[Classification]]="Income",Table846[[#This Row],[Classification]]="Cost of Goods Sold"),Table846[[#This Row],[Credit.]]&gt;Table846[[#This Row],[Debit\]]),Table846[[#This Row],[Credit.]]-Table846[[#This Row],[Debit\]],""),"")</f>
        <v/>
      </c>
      <c r="AF150" s="34"/>
      <c r="AG150" s="34" t="str">
        <f>IFERROR(IF(AND(Table846[[#This Row],[Classification]]="Assets",Table846[[#This Row],[Debit\]]-Table846[[#This Row],[Credit.]]),Table846[[#This Row],[Debit\]]-Table846[[#This Row],[Credit.]],""),"")</f>
        <v/>
      </c>
      <c r="AH150" s="34" t="str">
        <f>IFERROR(IF(AND(OR(Table846[[#This Row],[Classification]]="Liabilities",Table846[[#This Row],[Classification]]="Owner´s Equity"),Table846[[#This Row],[Credit.]]&gt;Table846[[#This Row],[Debit\]]),Table846[[#This Row],[Credit.]]-Table846[[#This Row],[Debit\]],""),"")</f>
        <v/>
      </c>
    </row>
    <row r="151" spans="2:34" hidden="1" x14ac:dyDescent="0.25">
      <c r="B151" s="34"/>
      <c r="C151" s="45"/>
      <c r="D151" s="34"/>
      <c r="E151" s="34"/>
      <c r="G151" s="39"/>
      <c r="H151" s="40"/>
      <c r="I151" s="41"/>
      <c r="J151" s="41"/>
      <c r="L151" s="34">
        <v>144</v>
      </c>
      <c r="M151" s="35"/>
      <c r="N151" s="35"/>
      <c r="O151" s="34">
        <f>IFERROR(SUMIF(Table443[,],Table645[[#This Row],[Accounts Name]],Table443[,3]),"")</f>
        <v>0</v>
      </c>
      <c r="P151" s="34">
        <f>IFERROR(SUMIF(Table443[,],Table645[[#This Row],[Accounts Name]],Table443[,2]),"")</f>
        <v>0</v>
      </c>
      <c r="S151" s="36">
        <f t="shared" si="2"/>
        <v>144</v>
      </c>
      <c r="T151" s="34"/>
      <c r="U151" s="37"/>
      <c r="V151" s="34">
        <f>IFERROR(SUMIF(Table645[Sub-Accounts],Table846[[#This Row],[Update your chart of accounts here]],Table645[Debit]),"")</f>
        <v>0</v>
      </c>
      <c r="W151" s="34">
        <f>IFERROR(SUMIF(Table645[Sub-Accounts],Table846[[#This Row],[Update your chart of accounts here]],Table645[Credit]),"")</f>
        <v>0</v>
      </c>
      <c r="X151" s="34"/>
      <c r="Y151" s="34"/>
      <c r="Z151" s="34"/>
      <c r="AA151" s="34"/>
      <c r="AB151" s="34">
        <f>MAX(Table846[[#This Row],[Debit]]+Table846[[#This Row],[Debit -]]-Table846[[#This Row],[Credit]]-Table846[[#This Row],[Credit +]],0)</f>
        <v>0</v>
      </c>
      <c r="AC151" s="34">
        <f>MAX(Table846[[#This Row],[Credit]]-Table846[[#This Row],[Debit]]+Table846[[#This Row],[Credit +]]-Table846[[#This Row],[Debit -]],0)</f>
        <v>0</v>
      </c>
      <c r="AD151" s="34" t="str">
        <f>IFERROR(IF(AND(OR(Table846[[#This Row],[Classification]]="Expense",Table846[[#This Row],[Classification]]="Cost of Goods Sold"),Table846[[#This Row],[Debit\]]&gt;Table846[[#This Row],[Credit.]]),Table846[[#This Row],[Debit\]]-Table846[[#This Row],[Credit.]],""),"")</f>
        <v/>
      </c>
      <c r="AE151" s="34" t="str">
        <f>IFERROR(IF(AND(OR(Table846[[#This Row],[Classification]]="Income",Table846[[#This Row],[Classification]]="Cost of Goods Sold"),Table846[[#This Row],[Credit.]]&gt;Table846[[#This Row],[Debit\]]),Table846[[#This Row],[Credit.]]-Table846[[#This Row],[Debit\]],""),"")</f>
        <v/>
      </c>
      <c r="AF151" s="34"/>
      <c r="AG151" s="34" t="str">
        <f>IFERROR(IF(AND(Table846[[#This Row],[Classification]]="Assets",Table846[[#This Row],[Debit\]]-Table846[[#This Row],[Credit.]]),Table846[[#This Row],[Debit\]]-Table846[[#This Row],[Credit.]],""),"")</f>
        <v/>
      </c>
      <c r="AH151" s="34" t="str">
        <f>IFERROR(IF(AND(OR(Table846[[#This Row],[Classification]]="Liabilities",Table846[[#This Row],[Classification]]="Owner´s Equity"),Table846[[#This Row],[Credit.]]&gt;Table846[[#This Row],[Debit\]]),Table846[[#This Row],[Credit.]]-Table846[[#This Row],[Debit\]],""),"")</f>
        <v/>
      </c>
    </row>
    <row r="152" spans="2:34" hidden="1" x14ac:dyDescent="0.25">
      <c r="B152" s="34"/>
      <c r="C152" s="45"/>
      <c r="D152" s="34"/>
      <c r="E152" s="34"/>
      <c r="G152" s="39"/>
      <c r="H152" s="43"/>
      <c r="I152" s="41"/>
      <c r="J152" s="41"/>
      <c r="L152" s="34">
        <v>145</v>
      </c>
      <c r="M152" s="35"/>
      <c r="N152" s="35"/>
      <c r="O152" s="34">
        <f>IFERROR(SUMIF(Table443[,],Table645[[#This Row],[Accounts Name]],Table443[,3]),"")</f>
        <v>0</v>
      </c>
      <c r="P152" s="34">
        <f>IFERROR(SUMIF(Table443[,],Table645[[#This Row],[Accounts Name]],Table443[,2]),"")</f>
        <v>0</v>
      </c>
      <c r="S152" s="36">
        <f t="shared" si="2"/>
        <v>145</v>
      </c>
      <c r="T152" s="34"/>
      <c r="U152" s="37"/>
      <c r="V152" s="34">
        <f>IFERROR(SUMIF(Table645[Sub-Accounts],Table846[[#This Row],[Update your chart of accounts here]],Table645[Debit]),"")</f>
        <v>0</v>
      </c>
      <c r="W152" s="34">
        <f>IFERROR(SUMIF(Table645[Sub-Accounts],Table846[[#This Row],[Update your chart of accounts here]],Table645[Credit]),"")</f>
        <v>0</v>
      </c>
      <c r="X152" s="34"/>
      <c r="Y152" s="34"/>
      <c r="Z152" s="34"/>
      <c r="AA152" s="34"/>
      <c r="AB152" s="34">
        <f>MAX(Table846[[#This Row],[Debit]]+Table846[[#This Row],[Debit -]]-Table846[[#This Row],[Credit]]-Table846[[#This Row],[Credit +]],0)</f>
        <v>0</v>
      </c>
      <c r="AC152" s="34">
        <f>MAX(Table846[[#This Row],[Credit]]-Table846[[#This Row],[Debit]]+Table846[[#This Row],[Credit +]]-Table846[[#This Row],[Debit -]],0)</f>
        <v>0</v>
      </c>
      <c r="AD152" s="34" t="str">
        <f>IFERROR(IF(AND(OR(Table846[[#This Row],[Classification]]="Expense",Table846[[#This Row],[Classification]]="Cost of Goods Sold"),Table846[[#This Row],[Debit\]]&gt;Table846[[#This Row],[Credit.]]),Table846[[#This Row],[Debit\]]-Table846[[#This Row],[Credit.]],""),"")</f>
        <v/>
      </c>
      <c r="AE152" s="34" t="str">
        <f>IFERROR(IF(AND(OR(Table846[[#This Row],[Classification]]="Income",Table846[[#This Row],[Classification]]="Cost of Goods Sold"),Table846[[#This Row],[Credit.]]&gt;Table846[[#This Row],[Debit\]]),Table846[[#This Row],[Credit.]]-Table846[[#This Row],[Debit\]],""),"")</f>
        <v/>
      </c>
      <c r="AF152" s="34"/>
      <c r="AG152" s="34" t="str">
        <f>IFERROR(IF(AND(Table846[[#This Row],[Classification]]="Assets",Table846[[#This Row],[Debit\]]-Table846[[#This Row],[Credit.]]),Table846[[#This Row],[Debit\]]-Table846[[#This Row],[Credit.]],""),"")</f>
        <v/>
      </c>
      <c r="AH152" s="34" t="str">
        <f>IFERROR(IF(AND(OR(Table846[[#This Row],[Classification]]="Liabilities",Table846[[#This Row],[Classification]]="Owner´s Equity"),Table846[[#This Row],[Credit.]]&gt;Table846[[#This Row],[Debit\]]),Table846[[#This Row],[Credit.]]-Table846[[#This Row],[Debit\]],""),"")</f>
        <v/>
      </c>
    </row>
    <row r="153" spans="2:34" hidden="1" x14ac:dyDescent="0.25">
      <c r="B153" s="34"/>
      <c r="C153" s="45"/>
      <c r="D153" s="34"/>
      <c r="E153" s="34"/>
      <c r="G153" s="39"/>
      <c r="H153" s="40"/>
      <c r="I153" s="41"/>
      <c r="J153" s="41"/>
      <c r="L153" s="34">
        <v>146</v>
      </c>
      <c r="M153" s="35"/>
      <c r="N153" s="35"/>
      <c r="O153" s="34">
        <f>IFERROR(SUMIF(Table443[,],Table645[[#This Row],[Accounts Name]],Table443[,3]),"")</f>
        <v>0</v>
      </c>
      <c r="P153" s="34">
        <f>IFERROR(SUMIF(Table443[,],Table645[[#This Row],[Accounts Name]],Table443[,2]),"")</f>
        <v>0</v>
      </c>
      <c r="S153" s="36">
        <f t="shared" si="2"/>
        <v>146</v>
      </c>
      <c r="T153" s="34"/>
      <c r="U153" s="37"/>
      <c r="V153" s="34">
        <f>IFERROR(SUMIF(Table645[Sub-Accounts],Table846[[#This Row],[Update your chart of accounts here]],Table645[Debit]),"")</f>
        <v>0</v>
      </c>
      <c r="W153" s="34">
        <f>IFERROR(SUMIF(Table645[Sub-Accounts],Table846[[#This Row],[Update your chart of accounts here]],Table645[Credit]),"")</f>
        <v>0</v>
      </c>
      <c r="X153" s="34"/>
      <c r="Y153" s="34"/>
      <c r="Z153" s="34"/>
      <c r="AA153" s="34"/>
      <c r="AB153" s="34">
        <f>MAX(Table846[[#This Row],[Debit]]+Table846[[#This Row],[Debit -]]-Table846[[#This Row],[Credit]]-Table846[[#This Row],[Credit +]],0)</f>
        <v>0</v>
      </c>
      <c r="AC153" s="34">
        <f>MAX(Table846[[#This Row],[Credit]]-Table846[[#This Row],[Debit]]+Table846[[#This Row],[Credit +]]-Table846[[#This Row],[Debit -]],0)</f>
        <v>0</v>
      </c>
      <c r="AD153" s="34" t="str">
        <f>IFERROR(IF(AND(OR(Table846[[#This Row],[Classification]]="Expense",Table846[[#This Row],[Classification]]="Cost of Goods Sold"),Table846[[#This Row],[Debit\]]&gt;Table846[[#This Row],[Credit.]]),Table846[[#This Row],[Debit\]]-Table846[[#This Row],[Credit.]],""),"")</f>
        <v/>
      </c>
      <c r="AE153" s="34" t="str">
        <f>IFERROR(IF(AND(OR(Table846[[#This Row],[Classification]]="Income",Table846[[#This Row],[Classification]]="Cost of Goods Sold"),Table846[[#This Row],[Credit.]]&gt;Table846[[#This Row],[Debit\]]),Table846[[#This Row],[Credit.]]-Table846[[#This Row],[Debit\]],""),"")</f>
        <v/>
      </c>
      <c r="AF153" s="34"/>
      <c r="AG153" s="34" t="str">
        <f>IFERROR(IF(AND(Table846[[#This Row],[Classification]]="Assets",Table846[[#This Row],[Debit\]]-Table846[[#This Row],[Credit.]]),Table846[[#This Row],[Debit\]]-Table846[[#This Row],[Credit.]],""),"")</f>
        <v/>
      </c>
      <c r="AH153" s="34" t="str">
        <f>IFERROR(IF(AND(OR(Table846[[#This Row],[Classification]]="Liabilities",Table846[[#This Row],[Classification]]="Owner´s Equity"),Table846[[#This Row],[Credit.]]&gt;Table846[[#This Row],[Debit\]]),Table846[[#This Row],[Credit.]]-Table846[[#This Row],[Debit\]],""),"")</f>
        <v/>
      </c>
    </row>
    <row r="154" spans="2:34" hidden="1" x14ac:dyDescent="0.25">
      <c r="B154" s="34"/>
      <c r="C154" s="45"/>
      <c r="D154" s="34"/>
      <c r="E154" s="34"/>
      <c r="G154" s="39"/>
      <c r="H154" s="40"/>
      <c r="I154" s="41"/>
      <c r="J154" s="41"/>
      <c r="L154" s="34">
        <v>147</v>
      </c>
      <c r="M154" s="35"/>
      <c r="N154" s="35"/>
      <c r="O154" s="34">
        <f>IFERROR(SUMIF(Table443[,],Table645[[#This Row],[Accounts Name]],Table443[,3]),"")</f>
        <v>0</v>
      </c>
      <c r="P154" s="34">
        <f>IFERROR(SUMIF(Table443[,],Table645[[#This Row],[Accounts Name]],Table443[,2]),"")</f>
        <v>0</v>
      </c>
      <c r="S154" s="36">
        <f t="shared" si="2"/>
        <v>147</v>
      </c>
      <c r="T154" s="34"/>
      <c r="U154" s="37"/>
      <c r="V154" s="34">
        <f>IFERROR(SUMIF(Table645[Sub-Accounts],Table846[[#This Row],[Update your chart of accounts here]],Table645[Debit]),"")</f>
        <v>0</v>
      </c>
      <c r="W154" s="34">
        <f>IFERROR(SUMIF(Table645[Sub-Accounts],Table846[[#This Row],[Update your chart of accounts here]],Table645[Credit]),"")</f>
        <v>0</v>
      </c>
      <c r="X154" s="34"/>
      <c r="Y154" s="34"/>
      <c r="Z154" s="34"/>
      <c r="AA154" s="34"/>
      <c r="AB154" s="34">
        <f>MAX(Table846[[#This Row],[Debit]]+Table846[[#This Row],[Debit -]]-Table846[[#This Row],[Credit]]-Table846[[#This Row],[Credit +]],0)</f>
        <v>0</v>
      </c>
      <c r="AC154" s="34">
        <f>MAX(Table846[[#This Row],[Credit]]-Table846[[#This Row],[Debit]]+Table846[[#This Row],[Credit +]]-Table846[[#This Row],[Debit -]],0)</f>
        <v>0</v>
      </c>
      <c r="AD154" s="34" t="str">
        <f>IFERROR(IF(AND(OR(Table846[[#This Row],[Classification]]="Expense",Table846[[#This Row],[Classification]]="Cost of Goods Sold"),Table846[[#This Row],[Debit\]]&gt;Table846[[#This Row],[Credit.]]),Table846[[#This Row],[Debit\]]-Table846[[#This Row],[Credit.]],""),"")</f>
        <v/>
      </c>
      <c r="AE154" s="34" t="str">
        <f>IFERROR(IF(AND(OR(Table846[[#This Row],[Classification]]="Income",Table846[[#This Row],[Classification]]="Cost of Goods Sold"),Table846[[#This Row],[Credit.]]&gt;Table846[[#This Row],[Debit\]]),Table846[[#This Row],[Credit.]]-Table846[[#This Row],[Debit\]],""),"")</f>
        <v/>
      </c>
      <c r="AF154" s="34"/>
      <c r="AG154" s="34" t="str">
        <f>IFERROR(IF(AND(Table846[[#This Row],[Classification]]="Assets",Table846[[#This Row],[Debit\]]-Table846[[#This Row],[Credit.]]),Table846[[#This Row],[Debit\]]-Table846[[#This Row],[Credit.]],""),"")</f>
        <v/>
      </c>
      <c r="AH154" s="34" t="str">
        <f>IFERROR(IF(AND(OR(Table846[[#This Row],[Classification]]="Liabilities",Table846[[#This Row],[Classification]]="Owner´s Equity"),Table846[[#This Row],[Credit.]]&gt;Table846[[#This Row],[Debit\]]),Table846[[#This Row],[Credit.]]-Table846[[#This Row],[Debit\]],""),"")</f>
        <v/>
      </c>
    </row>
    <row r="155" spans="2:34" hidden="1" x14ac:dyDescent="0.25">
      <c r="B155" s="34"/>
      <c r="C155" s="45"/>
      <c r="D155" s="34"/>
      <c r="E155" s="34"/>
      <c r="G155" s="39"/>
      <c r="H155" s="43"/>
      <c r="I155" s="41"/>
      <c r="J155" s="41"/>
      <c r="L155" s="34">
        <v>148</v>
      </c>
      <c r="M155" s="35"/>
      <c r="N155" s="35"/>
      <c r="O155" s="34">
        <f>IFERROR(SUMIF(Table443[,],Table645[[#This Row],[Accounts Name]],Table443[,3]),"")</f>
        <v>0</v>
      </c>
      <c r="P155" s="34">
        <f>IFERROR(SUMIF(Table443[,],Table645[[#This Row],[Accounts Name]],Table443[,2]),"")</f>
        <v>0</v>
      </c>
      <c r="S155" s="36">
        <f t="shared" si="2"/>
        <v>148</v>
      </c>
      <c r="T155" s="34"/>
      <c r="U155" s="37"/>
      <c r="V155" s="34">
        <f>IFERROR(SUMIF(Table645[Sub-Accounts],Table846[[#This Row],[Update your chart of accounts here]],Table645[Debit]),"")</f>
        <v>0</v>
      </c>
      <c r="W155" s="34">
        <f>IFERROR(SUMIF(Table645[Sub-Accounts],Table846[[#This Row],[Update your chart of accounts here]],Table645[Credit]),"")</f>
        <v>0</v>
      </c>
      <c r="X155" s="34"/>
      <c r="Y155" s="34"/>
      <c r="Z155" s="34"/>
      <c r="AA155" s="34"/>
      <c r="AB155" s="34">
        <f>MAX(Table846[[#This Row],[Debit]]+Table846[[#This Row],[Debit -]]-Table846[[#This Row],[Credit]]-Table846[[#This Row],[Credit +]],0)</f>
        <v>0</v>
      </c>
      <c r="AC155" s="34">
        <f>MAX(Table846[[#This Row],[Credit]]-Table846[[#This Row],[Debit]]+Table846[[#This Row],[Credit +]]-Table846[[#This Row],[Debit -]],0)</f>
        <v>0</v>
      </c>
      <c r="AD155" s="34" t="str">
        <f>IFERROR(IF(AND(OR(Table846[[#This Row],[Classification]]="Expense",Table846[[#This Row],[Classification]]="Cost of Goods Sold"),Table846[[#This Row],[Debit\]]&gt;Table846[[#This Row],[Credit.]]),Table846[[#This Row],[Debit\]]-Table846[[#This Row],[Credit.]],""),"")</f>
        <v/>
      </c>
      <c r="AE155" s="34" t="str">
        <f>IFERROR(IF(AND(OR(Table846[[#This Row],[Classification]]="Income",Table846[[#This Row],[Classification]]="Cost of Goods Sold"),Table846[[#This Row],[Credit.]]&gt;Table846[[#This Row],[Debit\]]),Table846[[#This Row],[Credit.]]-Table846[[#This Row],[Debit\]],""),"")</f>
        <v/>
      </c>
      <c r="AF155" s="34"/>
      <c r="AG155" s="34" t="str">
        <f>IFERROR(IF(AND(Table846[[#This Row],[Classification]]="Assets",Table846[[#This Row],[Debit\]]-Table846[[#This Row],[Credit.]]),Table846[[#This Row],[Debit\]]-Table846[[#This Row],[Credit.]],""),"")</f>
        <v/>
      </c>
      <c r="AH155" s="34" t="str">
        <f>IFERROR(IF(AND(OR(Table846[[#This Row],[Classification]]="Liabilities",Table846[[#This Row],[Classification]]="Owner´s Equity"),Table846[[#This Row],[Credit.]]&gt;Table846[[#This Row],[Debit\]]),Table846[[#This Row],[Credit.]]-Table846[[#This Row],[Debit\]],""),"")</f>
        <v/>
      </c>
    </row>
    <row r="156" spans="2:34" hidden="1" x14ac:dyDescent="0.25">
      <c r="B156" s="34"/>
      <c r="C156" s="45"/>
      <c r="D156" s="34"/>
      <c r="E156" s="34"/>
      <c r="G156" s="39"/>
      <c r="H156" s="40"/>
      <c r="I156" s="41"/>
      <c r="J156" s="41"/>
      <c r="L156" s="34">
        <v>149</v>
      </c>
      <c r="M156" s="35"/>
      <c r="N156" s="35"/>
      <c r="O156" s="34">
        <f>IFERROR(SUMIF(Table443[,],Table645[[#This Row],[Accounts Name]],Table443[,3]),"")</f>
        <v>0</v>
      </c>
      <c r="P156" s="34">
        <f>IFERROR(SUMIF(Table443[,],Table645[[#This Row],[Accounts Name]],Table443[,2]),"")</f>
        <v>0</v>
      </c>
      <c r="S156" s="36">
        <f t="shared" si="2"/>
        <v>149</v>
      </c>
      <c r="T156" s="34"/>
      <c r="U156" s="37"/>
      <c r="V156" s="34">
        <f>IFERROR(SUMIF(Table645[Sub-Accounts],Table846[[#This Row],[Update your chart of accounts here]],Table645[Debit]),"")</f>
        <v>0</v>
      </c>
      <c r="W156" s="34">
        <f>IFERROR(SUMIF(Table645[Sub-Accounts],Table846[[#This Row],[Update your chart of accounts here]],Table645[Credit]),"")</f>
        <v>0</v>
      </c>
      <c r="X156" s="34"/>
      <c r="Y156" s="34"/>
      <c r="Z156" s="34"/>
      <c r="AA156" s="34"/>
      <c r="AB156" s="34">
        <f>MAX(Table846[[#This Row],[Debit]]+Table846[[#This Row],[Debit -]]-Table846[[#This Row],[Credit]]-Table846[[#This Row],[Credit +]],0)</f>
        <v>0</v>
      </c>
      <c r="AC156" s="34">
        <f>MAX(Table846[[#This Row],[Credit]]-Table846[[#This Row],[Debit]]+Table846[[#This Row],[Credit +]]-Table846[[#This Row],[Debit -]],0)</f>
        <v>0</v>
      </c>
      <c r="AD156" s="34" t="str">
        <f>IFERROR(IF(AND(OR(Table846[[#This Row],[Classification]]="Expense",Table846[[#This Row],[Classification]]="Cost of Goods Sold"),Table846[[#This Row],[Debit\]]&gt;Table846[[#This Row],[Credit.]]),Table846[[#This Row],[Debit\]]-Table846[[#This Row],[Credit.]],""),"")</f>
        <v/>
      </c>
      <c r="AE156" s="34" t="str">
        <f>IFERROR(IF(AND(OR(Table846[[#This Row],[Classification]]="Income",Table846[[#This Row],[Classification]]="Cost of Goods Sold"),Table846[[#This Row],[Credit.]]&gt;Table846[[#This Row],[Debit\]]),Table846[[#This Row],[Credit.]]-Table846[[#This Row],[Debit\]],""),"")</f>
        <v/>
      </c>
      <c r="AF156" s="34"/>
      <c r="AG156" s="34" t="str">
        <f>IFERROR(IF(AND(Table846[[#This Row],[Classification]]="Assets",Table846[[#This Row],[Debit\]]-Table846[[#This Row],[Credit.]]),Table846[[#This Row],[Debit\]]-Table846[[#This Row],[Credit.]],""),"")</f>
        <v/>
      </c>
      <c r="AH156" s="34" t="str">
        <f>IFERROR(IF(AND(OR(Table846[[#This Row],[Classification]]="Liabilities",Table846[[#This Row],[Classification]]="Owner´s Equity"),Table846[[#This Row],[Credit.]]&gt;Table846[[#This Row],[Debit\]]),Table846[[#This Row],[Credit.]]-Table846[[#This Row],[Debit\]],""),"")</f>
        <v/>
      </c>
    </row>
    <row r="157" spans="2:34" hidden="1" x14ac:dyDescent="0.25">
      <c r="B157" s="34"/>
      <c r="C157" s="45"/>
      <c r="D157" s="34"/>
      <c r="E157" s="34"/>
      <c r="G157" s="39"/>
      <c r="H157" s="40"/>
      <c r="I157" s="41"/>
      <c r="J157" s="41"/>
      <c r="L157" s="34">
        <v>150</v>
      </c>
      <c r="M157" s="35"/>
      <c r="N157" s="35"/>
      <c r="O157" s="34">
        <f>IFERROR(SUMIF(Table443[,],Table645[[#This Row],[Accounts Name]],Table443[,3]),"")</f>
        <v>0</v>
      </c>
      <c r="P157" s="34">
        <f>IFERROR(SUMIF(Table443[,],Table645[[#This Row],[Accounts Name]],Table443[,2]),"")</f>
        <v>0</v>
      </c>
      <c r="S157" s="36">
        <f t="shared" si="2"/>
        <v>150</v>
      </c>
      <c r="T157" s="34"/>
      <c r="U157" s="37"/>
      <c r="V157" s="34">
        <f>IFERROR(SUMIF(Table645[Sub-Accounts],Table846[[#This Row],[Update your chart of accounts here]],Table645[Debit]),"")</f>
        <v>0</v>
      </c>
      <c r="W157" s="34">
        <f>IFERROR(SUMIF(Table645[Sub-Accounts],Table846[[#This Row],[Update your chart of accounts here]],Table645[Credit]),"")</f>
        <v>0</v>
      </c>
      <c r="X157" s="34"/>
      <c r="Y157" s="34"/>
      <c r="Z157" s="34"/>
      <c r="AA157" s="34"/>
      <c r="AB157" s="34">
        <f>MAX(Table846[[#This Row],[Debit]]+Table846[[#This Row],[Debit -]]-Table846[[#This Row],[Credit]]-Table846[[#This Row],[Credit +]],0)</f>
        <v>0</v>
      </c>
      <c r="AC157" s="34">
        <f>MAX(Table846[[#This Row],[Credit]]-Table846[[#This Row],[Debit]]+Table846[[#This Row],[Credit +]]-Table846[[#This Row],[Debit -]],0)</f>
        <v>0</v>
      </c>
      <c r="AD157" s="34" t="str">
        <f>IFERROR(IF(AND(OR(Table846[[#This Row],[Classification]]="Expense",Table846[[#This Row],[Classification]]="Cost of Goods Sold"),Table846[[#This Row],[Debit\]]&gt;Table846[[#This Row],[Credit.]]),Table846[[#This Row],[Debit\]]-Table846[[#This Row],[Credit.]],""),"")</f>
        <v/>
      </c>
      <c r="AE157" s="34" t="str">
        <f>IFERROR(IF(AND(OR(Table846[[#This Row],[Classification]]="Income",Table846[[#This Row],[Classification]]="Cost of Goods Sold"),Table846[[#This Row],[Credit.]]&gt;Table846[[#This Row],[Debit\]]),Table846[[#This Row],[Credit.]]-Table846[[#This Row],[Debit\]],""),"")</f>
        <v/>
      </c>
      <c r="AF157" s="34"/>
      <c r="AG157" s="34" t="str">
        <f>IFERROR(IF(AND(Table846[[#This Row],[Classification]]="Assets",Table846[[#This Row],[Debit\]]-Table846[[#This Row],[Credit.]]),Table846[[#This Row],[Debit\]]-Table846[[#This Row],[Credit.]],""),"")</f>
        <v/>
      </c>
      <c r="AH157" s="34" t="str">
        <f>IFERROR(IF(AND(OR(Table846[[#This Row],[Classification]]="Liabilities",Table846[[#This Row],[Classification]]="Owner´s Equity"),Table846[[#This Row],[Credit.]]&gt;Table846[[#This Row],[Debit\]]),Table846[[#This Row],[Credit.]]-Table846[[#This Row],[Debit\]],""),"")</f>
        <v/>
      </c>
    </row>
    <row r="158" spans="2:34" hidden="1" x14ac:dyDescent="0.25">
      <c r="B158" s="34"/>
      <c r="C158" s="45"/>
      <c r="D158" s="34"/>
      <c r="E158" s="34"/>
      <c r="G158" s="39"/>
      <c r="H158" s="43"/>
      <c r="I158" s="41"/>
      <c r="J158" s="41"/>
      <c r="L158" s="34">
        <v>151</v>
      </c>
      <c r="M158" s="35"/>
      <c r="N158" s="35"/>
      <c r="O158" s="34">
        <f>IFERROR(SUMIF(Table443[,],Table645[[#This Row],[Accounts Name]],Table443[,3]),"")</f>
        <v>0</v>
      </c>
      <c r="P158" s="34">
        <f>IFERROR(SUMIF(Table443[,],Table645[[#This Row],[Accounts Name]],Table443[,2]),"")</f>
        <v>0</v>
      </c>
      <c r="S158" s="36">
        <f t="shared" si="2"/>
        <v>151</v>
      </c>
      <c r="T158" s="34"/>
      <c r="U158" s="37"/>
      <c r="V158" s="34">
        <f>IFERROR(SUMIF(Table645[Sub-Accounts],Table846[[#This Row],[Update your chart of accounts here]],Table645[Debit]),"")</f>
        <v>0</v>
      </c>
      <c r="W158" s="34">
        <f>IFERROR(SUMIF(Table645[Sub-Accounts],Table846[[#This Row],[Update your chart of accounts here]],Table645[Credit]),"")</f>
        <v>0</v>
      </c>
      <c r="X158" s="34"/>
      <c r="Y158" s="34"/>
      <c r="Z158" s="34"/>
      <c r="AA158" s="34"/>
      <c r="AB158" s="34">
        <f>MAX(Table846[[#This Row],[Debit]]+Table846[[#This Row],[Debit -]]-Table846[[#This Row],[Credit]]-Table846[[#This Row],[Credit +]],0)</f>
        <v>0</v>
      </c>
      <c r="AC158" s="34">
        <f>MAX(Table846[[#This Row],[Credit]]-Table846[[#This Row],[Debit]]+Table846[[#This Row],[Credit +]]-Table846[[#This Row],[Debit -]],0)</f>
        <v>0</v>
      </c>
      <c r="AD158" s="34" t="str">
        <f>IFERROR(IF(AND(OR(Table846[[#This Row],[Classification]]="Expense",Table846[[#This Row],[Classification]]="Cost of Goods Sold"),Table846[[#This Row],[Debit\]]&gt;Table846[[#This Row],[Credit.]]),Table846[[#This Row],[Debit\]]-Table846[[#This Row],[Credit.]],""),"")</f>
        <v/>
      </c>
      <c r="AE158" s="34" t="str">
        <f>IFERROR(IF(AND(OR(Table846[[#This Row],[Classification]]="Income",Table846[[#This Row],[Classification]]="Cost of Goods Sold"),Table846[[#This Row],[Credit.]]&gt;Table846[[#This Row],[Debit\]]),Table846[[#This Row],[Credit.]]-Table846[[#This Row],[Debit\]],""),"")</f>
        <v/>
      </c>
      <c r="AF158" s="34"/>
      <c r="AG158" s="34" t="str">
        <f>IFERROR(IF(AND(Table846[[#This Row],[Classification]]="Assets",Table846[[#This Row],[Debit\]]-Table846[[#This Row],[Credit.]]),Table846[[#This Row],[Debit\]]-Table846[[#This Row],[Credit.]],""),"")</f>
        <v/>
      </c>
      <c r="AH158" s="34" t="str">
        <f>IFERROR(IF(AND(OR(Table846[[#This Row],[Classification]]="Liabilities",Table846[[#This Row],[Classification]]="Owner´s Equity"),Table846[[#This Row],[Credit.]]&gt;Table846[[#This Row],[Debit\]]),Table846[[#This Row],[Credit.]]-Table846[[#This Row],[Debit\]],""),"")</f>
        <v/>
      </c>
    </row>
    <row r="159" spans="2:34" hidden="1" x14ac:dyDescent="0.25">
      <c r="B159" s="34"/>
      <c r="C159" s="45"/>
      <c r="D159" s="34"/>
      <c r="E159" s="34"/>
      <c r="G159" s="39"/>
      <c r="H159" s="40"/>
      <c r="I159" s="41"/>
      <c r="J159" s="41"/>
      <c r="L159" s="34">
        <v>152</v>
      </c>
      <c r="M159" s="35"/>
      <c r="N159" s="35"/>
      <c r="O159" s="34">
        <f>IFERROR(SUMIF(Table443[,],Table645[[#This Row],[Accounts Name]],Table443[,3]),"")</f>
        <v>0</v>
      </c>
      <c r="P159" s="34">
        <f>IFERROR(SUMIF(Table443[,],Table645[[#This Row],[Accounts Name]],Table443[,2]),"")</f>
        <v>0</v>
      </c>
      <c r="S159" s="36">
        <f t="shared" si="2"/>
        <v>152</v>
      </c>
      <c r="T159" s="34"/>
      <c r="U159" s="37"/>
      <c r="V159" s="34">
        <f>IFERROR(SUMIF(Table645[Sub-Accounts],Table846[[#This Row],[Update your chart of accounts here]],Table645[Debit]),"")</f>
        <v>0</v>
      </c>
      <c r="W159" s="34">
        <f>IFERROR(SUMIF(Table645[Sub-Accounts],Table846[[#This Row],[Update your chart of accounts here]],Table645[Credit]),"")</f>
        <v>0</v>
      </c>
      <c r="X159" s="34"/>
      <c r="Y159" s="34"/>
      <c r="Z159" s="34"/>
      <c r="AA159" s="34"/>
      <c r="AB159" s="34">
        <f>MAX(Table846[[#This Row],[Debit]]+Table846[[#This Row],[Debit -]]-Table846[[#This Row],[Credit]]-Table846[[#This Row],[Credit +]],0)</f>
        <v>0</v>
      </c>
      <c r="AC159" s="34">
        <f>MAX(Table846[[#This Row],[Credit]]-Table846[[#This Row],[Debit]]+Table846[[#This Row],[Credit +]]-Table846[[#This Row],[Debit -]],0)</f>
        <v>0</v>
      </c>
      <c r="AD159" s="34" t="str">
        <f>IFERROR(IF(AND(OR(Table846[[#This Row],[Classification]]="Expense",Table846[[#This Row],[Classification]]="Cost of Goods Sold"),Table846[[#This Row],[Debit\]]&gt;Table846[[#This Row],[Credit.]]),Table846[[#This Row],[Debit\]]-Table846[[#This Row],[Credit.]],""),"")</f>
        <v/>
      </c>
      <c r="AE159" s="34" t="str">
        <f>IFERROR(IF(AND(OR(Table846[[#This Row],[Classification]]="Income",Table846[[#This Row],[Classification]]="Cost of Goods Sold"),Table846[[#This Row],[Credit.]]&gt;Table846[[#This Row],[Debit\]]),Table846[[#This Row],[Credit.]]-Table846[[#This Row],[Debit\]],""),"")</f>
        <v/>
      </c>
      <c r="AF159" s="34"/>
      <c r="AG159" s="34" t="str">
        <f>IFERROR(IF(AND(Table846[[#This Row],[Classification]]="Assets",Table846[[#This Row],[Debit\]]-Table846[[#This Row],[Credit.]]),Table846[[#This Row],[Debit\]]-Table846[[#This Row],[Credit.]],""),"")</f>
        <v/>
      </c>
      <c r="AH159" s="34" t="str">
        <f>IFERROR(IF(AND(OR(Table846[[#This Row],[Classification]]="Liabilities",Table846[[#This Row],[Classification]]="Owner´s Equity"),Table846[[#This Row],[Credit.]]&gt;Table846[[#This Row],[Debit\]]),Table846[[#This Row],[Credit.]]-Table846[[#This Row],[Debit\]],""),"")</f>
        <v/>
      </c>
    </row>
    <row r="160" spans="2:34" hidden="1" x14ac:dyDescent="0.25">
      <c r="B160" s="34"/>
      <c r="C160" s="45"/>
      <c r="D160" s="34"/>
      <c r="E160" s="34"/>
      <c r="G160" s="39"/>
      <c r="H160" s="40"/>
      <c r="I160" s="41"/>
      <c r="J160" s="41"/>
      <c r="L160" s="34">
        <v>153</v>
      </c>
      <c r="M160" s="35"/>
      <c r="N160" s="35"/>
      <c r="O160" s="34">
        <f>IFERROR(SUMIF(Table443[,],Table645[[#This Row],[Accounts Name]],Table443[,3]),"")</f>
        <v>0</v>
      </c>
      <c r="P160" s="34">
        <f>IFERROR(SUMIF(Table443[,],Table645[[#This Row],[Accounts Name]],Table443[,2]),"")</f>
        <v>0</v>
      </c>
      <c r="S160" s="36">
        <f t="shared" si="2"/>
        <v>153</v>
      </c>
      <c r="T160" s="34"/>
      <c r="U160" s="37"/>
      <c r="V160" s="34">
        <f>IFERROR(SUMIF(Table645[Sub-Accounts],Table846[[#This Row],[Update your chart of accounts here]],Table645[Debit]),"")</f>
        <v>0</v>
      </c>
      <c r="W160" s="34">
        <f>IFERROR(SUMIF(Table645[Sub-Accounts],Table846[[#This Row],[Update your chart of accounts here]],Table645[Credit]),"")</f>
        <v>0</v>
      </c>
      <c r="X160" s="34"/>
      <c r="Y160" s="34"/>
      <c r="Z160" s="34"/>
      <c r="AA160" s="34"/>
      <c r="AB160" s="34">
        <f>MAX(Table846[[#This Row],[Debit]]+Table846[[#This Row],[Debit -]]-Table846[[#This Row],[Credit]]-Table846[[#This Row],[Credit +]],0)</f>
        <v>0</v>
      </c>
      <c r="AC160" s="34">
        <f>MAX(Table846[[#This Row],[Credit]]-Table846[[#This Row],[Debit]]+Table846[[#This Row],[Credit +]]-Table846[[#This Row],[Debit -]],0)</f>
        <v>0</v>
      </c>
      <c r="AD160" s="34" t="str">
        <f>IFERROR(IF(AND(OR(Table846[[#This Row],[Classification]]="Expense",Table846[[#This Row],[Classification]]="Cost of Goods Sold"),Table846[[#This Row],[Debit\]]&gt;Table846[[#This Row],[Credit.]]),Table846[[#This Row],[Debit\]]-Table846[[#This Row],[Credit.]],""),"")</f>
        <v/>
      </c>
      <c r="AE160" s="34" t="str">
        <f>IFERROR(IF(AND(OR(Table846[[#This Row],[Classification]]="Income",Table846[[#This Row],[Classification]]="Cost of Goods Sold"),Table846[[#This Row],[Credit.]]&gt;Table846[[#This Row],[Debit\]]),Table846[[#This Row],[Credit.]]-Table846[[#This Row],[Debit\]],""),"")</f>
        <v/>
      </c>
      <c r="AF160" s="34"/>
      <c r="AG160" s="34" t="str">
        <f>IFERROR(IF(AND(Table846[[#This Row],[Classification]]="Assets",Table846[[#This Row],[Debit\]]-Table846[[#This Row],[Credit.]]),Table846[[#This Row],[Debit\]]-Table846[[#This Row],[Credit.]],""),"")</f>
        <v/>
      </c>
      <c r="AH160" s="34" t="str">
        <f>IFERROR(IF(AND(OR(Table846[[#This Row],[Classification]]="Liabilities",Table846[[#This Row],[Classification]]="Owner´s Equity"),Table846[[#This Row],[Credit.]]&gt;Table846[[#This Row],[Debit\]]),Table846[[#This Row],[Credit.]]-Table846[[#This Row],[Debit\]],""),"")</f>
        <v/>
      </c>
    </row>
    <row r="161" spans="2:34" hidden="1" x14ac:dyDescent="0.25">
      <c r="B161" s="34"/>
      <c r="C161" s="45"/>
      <c r="D161" s="34"/>
      <c r="E161" s="34"/>
      <c r="G161" s="39"/>
      <c r="H161" s="43"/>
      <c r="I161" s="41"/>
      <c r="J161" s="41"/>
      <c r="L161" s="34">
        <v>154</v>
      </c>
      <c r="M161" s="35"/>
      <c r="N161" s="35"/>
      <c r="O161" s="34">
        <f>IFERROR(SUMIF(Table443[,],Table645[[#This Row],[Accounts Name]],Table443[,3]),"")</f>
        <v>0</v>
      </c>
      <c r="P161" s="34">
        <f>IFERROR(SUMIF(Table443[,],Table645[[#This Row],[Accounts Name]],Table443[,2]),"")</f>
        <v>0</v>
      </c>
      <c r="S161" s="36">
        <f t="shared" si="2"/>
        <v>154</v>
      </c>
      <c r="T161" s="34"/>
      <c r="U161" s="37"/>
      <c r="V161" s="34">
        <f>IFERROR(SUMIF(Table645[Sub-Accounts],Table846[[#This Row],[Update your chart of accounts here]],Table645[Debit]),"")</f>
        <v>0</v>
      </c>
      <c r="W161" s="34">
        <f>IFERROR(SUMIF(Table645[Sub-Accounts],Table846[[#This Row],[Update your chart of accounts here]],Table645[Credit]),"")</f>
        <v>0</v>
      </c>
      <c r="X161" s="34"/>
      <c r="Y161" s="34"/>
      <c r="Z161" s="34"/>
      <c r="AA161" s="34"/>
      <c r="AB161" s="34">
        <f>MAX(Table846[[#This Row],[Debit]]+Table846[[#This Row],[Debit -]]-Table846[[#This Row],[Credit]]-Table846[[#This Row],[Credit +]],0)</f>
        <v>0</v>
      </c>
      <c r="AC161" s="34">
        <f>MAX(Table846[[#This Row],[Credit]]-Table846[[#This Row],[Debit]]+Table846[[#This Row],[Credit +]]-Table846[[#This Row],[Debit -]],0)</f>
        <v>0</v>
      </c>
      <c r="AD161" s="34" t="str">
        <f>IFERROR(IF(AND(OR(Table846[[#This Row],[Classification]]="Expense",Table846[[#This Row],[Classification]]="Cost of Goods Sold"),Table846[[#This Row],[Debit\]]&gt;Table846[[#This Row],[Credit.]]),Table846[[#This Row],[Debit\]]-Table846[[#This Row],[Credit.]],""),"")</f>
        <v/>
      </c>
      <c r="AE161" s="34" t="str">
        <f>IFERROR(IF(AND(OR(Table846[[#This Row],[Classification]]="Income",Table846[[#This Row],[Classification]]="Cost of Goods Sold"),Table846[[#This Row],[Credit.]]&gt;Table846[[#This Row],[Debit\]]),Table846[[#This Row],[Credit.]]-Table846[[#This Row],[Debit\]],""),"")</f>
        <v/>
      </c>
      <c r="AF161" s="34"/>
      <c r="AG161" s="34" t="str">
        <f>IFERROR(IF(AND(Table846[[#This Row],[Classification]]="Assets",Table846[[#This Row],[Debit\]]-Table846[[#This Row],[Credit.]]),Table846[[#This Row],[Debit\]]-Table846[[#This Row],[Credit.]],""),"")</f>
        <v/>
      </c>
      <c r="AH161" s="34" t="str">
        <f>IFERROR(IF(AND(OR(Table846[[#This Row],[Classification]]="Liabilities",Table846[[#This Row],[Classification]]="Owner´s Equity"),Table846[[#This Row],[Credit.]]&gt;Table846[[#This Row],[Debit\]]),Table846[[#This Row],[Credit.]]-Table846[[#This Row],[Debit\]],""),"")</f>
        <v/>
      </c>
    </row>
    <row r="162" spans="2:34" hidden="1" x14ac:dyDescent="0.25">
      <c r="B162" s="34"/>
      <c r="C162" s="45"/>
      <c r="D162" s="34"/>
      <c r="E162" s="34"/>
      <c r="G162" s="39"/>
      <c r="H162" s="40"/>
      <c r="I162" s="41"/>
      <c r="J162" s="41"/>
      <c r="L162" s="34">
        <v>155</v>
      </c>
      <c r="M162" s="35"/>
      <c r="N162" s="35"/>
      <c r="O162" s="34">
        <f>IFERROR(SUMIF(Table443[,],Table645[[#This Row],[Accounts Name]],Table443[,3]),"")</f>
        <v>0</v>
      </c>
      <c r="P162" s="34">
        <f>IFERROR(SUMIF(Table443[,],Table645[[#This Row],[Accounts Name]],Table443[,2]),"")</f>
        <v>0</v>
      </c>
      <c r="S162" s="36">
        <f t="shared" si="2"/>
        <v>155</v>
      </c>
      <c r="T162" s="34"/>
      <c r="U162" s="37"/>
      <c r="V162" s="34">
        <f>IFERROR(SUMIF(Table645[Sub-Accounts],Table846[[#This Row],[Update your chart of accounts here]],Table645[Debit]),"")</f>
        <v>0</v>
      </c>
      <c r="W162" s="34">
        <f>IFERROR(SUMIF(Table645[Sub-Accounts],Table846[[#This Row],[Update your chart of accounts here]],Table645[Credit]),"")</f>
        <v>0</v>
      </c>
      <c r="X162" s="34"/>
      <c r="Y162" s="34"/>
      <c r="Z162" s="34"/>
      <c r="AA162" s="34"/>
      <c r="AB162" s="34">
        <f>MAX(Table846[[#This Row],[Debit]]+Table846[[#This Row],[Debit -]]-Table846[[#This Row],[Credit]]-Table846[[#This Row],[Credit +]],0)</f>
        <v>0</v>
      </c>
      <c r="AC162" s="34">
        <f>MAX(Table846[[#This Row],[Credit]]-Table846[[#This Row],[Debit]]+Table846[[#This Row],[Credit +]]-Table846[[#This Row],[Debit -]],0)</f>
        <v>0</v>
      </c>
      <c r="AD162" s="34" t="str">
        <f>IFERROR(IF(AND(OR(Table846[[#This Row],[Classification]]="Expense",Table846[[#This Row],[Classification]]="Cost of Goods Sold"),Table846[[#This Row],[Debit\]]&gt;Table846[[#This Row],[Credit.]]),Table846[[#This Row],[Debit\]]-Table846[[#This Row],[Credit.]],""),"")</f>
        <v/>
      </c>
      <c r="AE162" s="34" t="str">
        <f>IFERROR(IF(AND(OR(Table846[[#This Row],[Classification]]="Income",Table846[[#This Row],[Classification]]="Cost of Goods Sold"),Table846[[#This Row],[Credit.]]&gt;Table846[[#This Row],[Debit\]]),Table846[[#This Row],[Credit.]]-Table846[[#This Row],[Debit\]],""),"")</f>
        <v/>
      </c>
      <c r="AF162" s="34"/>
      <c r="AG162" s="34" t="str">
        <f>IFERROR(IF(AND(Table846[[#This Row],[Classification]]="Assets",Table846[[#This Row],[Debit\]]-Table846[[#This Row],[Credit.]]),Table846[[#This Row],[Debit\]]-Table846[[#This Row],[Credit.]],""),"")</f>
        <v/>
      </c>
      <c r="AH162" s="34" t="str">
        <f>IFERROR(IF(AND(OR(Table846[[#This Row],[Classification]]="Liabilities",Table846[[#This Row],[Classification]]="Owner´s Equity"),Table846[[#This Row],[Credit.]]&gt;Table846[[#This Row],[Debit\]]),Table846[[#This Row],[Credit.]]-Table846[[#This Row],[Debit\]],""),"")</f>
        <v/>
      </c>
    </row>
    <row r="163" spans="2:34" hidden="1" x14ac:dyDescent="0.25">
      <c r="B163" s="34"/>
      <c r="C163" s="45"/>
      <c r="D163" s="34"/>
      <c r="E163" s="34"/>
      <c r="G163" s="39"/>
      <c r="H163" s="40"/>
      <c r="I163" s="41"/>
      <c r="J163" s="41"/>
      <c r="L163" s="34">
        <v>156</v>
      </c>
      <c r="M163" s="35"/>
      <c r="N163" s="35"/>
      <c r="O163" s="34">
        <f>IFERROR(SUMIF(Table443[,],Table645[[#This Row],[Accounts Name]],Table443[,3]),"")</f>
        <v>0</v>
      </c>
      <c r="P163" s="34">
        <f>IFERROR(SUMIF(Table443[,],Table645[[#This Row],[Accounts Name]],Table443[,2]),"")</f>
        <v>0</v>
      </c>
      <c r="S163" s="36">
        <f t="shared" si="2"/>
        <v>156</v>
      </c>
      <c r="T163" s="34"/>
      <c r="U163" s="37"/>
      <c r="V163" s="34">
        <f>IFERROR(SUMIF(Table645[Sub-Accounts],Table846[[#This Row],[Update your chart of accounts here]],Table645[Debit]),"")</f>
        <v>0</v>
      </c>
      <c r="W163" s="34">
        <f>IFERROR(SUMIF(Table645[Sub-Accounts],Table846[[#This Row],[Update your chart of accounts here]],Table645[Credit]),"")</f>
        <v>0</v>
      </c>
      <c r="X163" s="34"/>
      <c r="Y163" s="34"/>
      <c r="Z163" s="34"/>
      <c r="AA163" s="34"/>
      <c r="AB163" s="34">
        <f>MAX(Table846[[#This Row],[Debit]]+Table846[[#This Row],[Debit -]]-Table846[[#This Row],[Credit]]-Table846[[#This Row],[Credit +]],0)</f>
        <v>0</v>
      </c>
      <c r="AC163" s="34">
        <f>MAX(Table846[[#This Row],[Credit]]-Table846[[#This Row],[Debit]]+Table846[[#This Row],[Credit +]]-Table846[[#This Row],[Debit -]],0)</f>
        <v>0</v>
      </c>
      <c r="AD163" s="34" t="str">
        <f>IFERROR(IF(AND(OR(Table846[[#This Row],[Classification]]="Expense",Table846[[#This Row],[Classification]]="Cost of Goods Sold"),Table846[[#This Row],[Debit\]]&gt;Table846[[#This Row],[Credit.]]),Table846[[#This Row],[Debit\]]-Table846[[#This Row],[Credit.]],""),"")</f>
        <v/>
      </c>
      <c r="AE163" s="34" t="str">
        <f>IFERROR(IF(AND(OR(Table846[[#This Row],[Classification]]="Income",Table846[[#This Row],[Classification]]="Cost of Goods Sold"),Table846[[#This Row],[Credit.]]&gt;Table846[[#This Row],[Debit\]]),Table846[[#This Row],[Credit.]]-Table846[[#This Row],[Debit\]],""),"")</f>
        <v/>
      </c>
      <c r="AF163" s="34"/>
      <c r="AG163" s="34" t="str">
        <f>IFERROR(IF(AND(Table846[[#This Row],[Classification]]="Assets",Table846[[#This Row],[Debit\]]-Table846[[#This Row],[Credit.]]),Table846[[#This Row],[Debit\]]-Table846[[#This Row],[Credit.]],""),"")</f>
        <v/>
      </c>
      <c r="AH163" s="34" t="str">
        <f>IFERROR(IF(AND(OR(Table846[[#This Row],[Classification]]="Liabilities",Table846[[#This Row],[Classification]]="Owner´s Equity"),Table846[[#This Row],[Credit.]]&gt;Table846[[#This Row],[Debit\]]),Table846[[#This Row],[Credit.]]-Table846[[#This Row],[Debit\]],""),"")</f>
        <v/>
      </c>
    </row>
    <row r="164" spans="2:34" hidden="1" x14ac:dyDescent="0.25">
      <c r="B164" s="34"/>
      <c r="C164" s="45"/>
      <c r="D164" s="34"/>
      <c r="E164" s="34"/>
      <c r="G164" s="39"/>
      <c r="H164" s="43"/>
      <c r="I164" s="41"/>
      <c r="J164" s="41"/>
      <c r="L164" s="34">
        <v>157</v>
      </c>
      <c r="M164" s="35"/>
      <c r="N164" s="35"/>
      <c r="O164" s="34">
        <f>IFERROR(SUMIF(Table443[,],Table645[[#This Row],[Accounts Name]],Table443[,3]),"")</f>
        <v>0</v>
      </c>
      <c r="P164" s="34">
        <f>IFERROR(SUMIF(Table443[,],Table645[[#This Row],[Accounts Name]],Table443[,2]),"")</f>
        <v>0</v>
      </c>
      <c r="S164" s="36">
        <f t="shared" si="2"/>
        <v>157</v>
      </c>
      <c r="T164" s="34"/>
      <c r="U164" s="37"/>
      <c r="V164" s="34">
        <f>IFERROR(SUMIF(Table645[Sub-Accounts],Table846[[#This Row],[Update your chart of accounts here]],Table645[Debit]),"")</f>
        <v>0</v>
      </c>
      <c r="W164" s="34">
        <f>IFERROR(SUMIF(Table645[Sub-Accounts],Table846[[#This Row],[Update your chart of accounts here]],Table645[Credit]),"")</f>
        <v>0</v>
      </c>
      <c r="X164" s="34"/>
      <c r="Y164" s="34"/>
      <c r="Z164" s="34"/>
      <c r="AA164" s="34"/>
      <c r="AB164" s="34">
        <f>MAX(Table846[[#This Row],[Debit]]+Table846[[#This Row],[Debit -]]-Table846[[#This Row],[Credit]]-Table846[[#This Row],[Credit +]],0)</f>
        <v>0</v>
      </c>
      <c r="AC164" s="34">
        <f>MAX(Table846[[#This Row],[Credit]]-Table846[[#This Row],[Debit]]+Table846[[#This Row],[Credit +]]-Table846[[#This Row],[Debit -]],0)</f>
        <v>0</v>
      </c>
      <c r="AD164" s="34" t="str">
        <f>IFERROR(IF(AND(OR(Table846[[#This Row],[Classification]]="Expense",Table846[[#This Row],[Classification]]="Cost of Goods Sold"),Table846[[#This Row],[Debit\]]&gt;Table846[[#This Row],[Credit.]]),Table846[[#This Row],[Debit\]]-Table846[[#This Row],[Credit.]],""),"")</f>
        <v/>
      </c>
      <c r="AE164" s="34" t="str">
        <f>IFERROR(IF(AND(OR(Table846[[#This Row],[Classification]]="Income",Table846[[#This Row],[Classification]]="Cost of Goods Sold"),Table846[[#This Row],[Credit.]]&gt;Table846[[#This Row],[Debit\]]),Table846[[#This Row],[Credit.]]-Table846[[#This Row],[Debit\]],""),"")</f>
        <v/>
      </c>
      <c r="AF164" s="34"/>
      <c r="AG164" s="34" t="str">
        <f>IFERROR(IF(AND(Table846[[#This Row],[Classification]]="Assets",Table846[[#This Row],[Debit\]]-Table846[[#This Row],[Credit.]]),Table846[[#This Row],[Debit\]]-Table846[[#This Row],[Credit.]],""),"")</f>
        <v/>
      </c>
      <c r="AH164" s="34" t="str">
        <f>IFERROR(IF(AND(OR(Table846[[#This Row],[Classification]]="Liabilities",Table846[[#This Row],[Classification]]="Owner´s Equity"),Table846[[#This Row],[Credit.]]&gt;Table846[[#This Row],[Debit\]]),Table846[[#This Row],[Credit.]]-Table846[[#This Row],[Debit\]],""),"")</f>
        <v/>
      </c>
    </row>
    <row r="165" spans="2:34" hidden="1" x14ac:dyDescent="0.25">
      <c r="B165" s="34"/>
      <c r="C165" s="45"/>
      <c r="D165" s="34"/>
      <c r="E165" s="34"/>
      <c r="G165" s="39"/>
      <c r="H165" s="40"/>
      <c r="I165" s="41"/>
      <c r="J165" s="41"/>
      <c r="L165" s="34">
        <v>158</v>
      </c>
      <c r="M165" s="35"/>
      <c r="N165" s="35"/>
      <c r="O165" s="34">
        <f>IFERROR(SUMIF(Table443[,],Table645[[#This Row],[Accounts Name]],Table443[,3]),"")</f>
        <v>0</v>
      </c>
      <c r="P165" s="34">
        <f>IFERROR(SUMIF(Table443[,],Table645[[#This Row],[Accounts Name]],Table443[,2]),"")</f>
        <v>0</v>
      </c>
      <c r="S165" s="36">
        <f t="shared" si="2"/>
        <v>158</v>
      </c>
      <c r="T165" s="34"/>
      <c r="U165" s="37"/>
      <c r="V165" s="34">
        <f>IFERROR(SUMIF(Table645[Sub-Accounts],Table846[[#This Row],[Update your chart of accounts here]],Table645[Debit]),"")</f>
        <v>0</v>
      </c>
      <c r="W165" s="34">
        <f>IFERROR(SUMIF(Table645[Sub-Accounts],Table846[[#This Row],[Update your chart of accounts here]],Table645[Credit]),"")</f>
        <v>0</v>
      </c>
      <c r="X165" s="34"/>
      <c r="Y165" s="34"/>
      <c r="Z165" s="34"/>
      <c r="AA165" s="34"/>
      <c r="AB165" s="34">
        <f>MAX(Table846[[#This Row],[Debit]]+Table846[[#This Row],[Debit -]]-Table846[[#This Row],[Credit]]-Table846[[#This Row],[Credit +]],0)</f>
        <v>0</v>
      </c>
      <c r="AC165" s="34">
        <f>MAX(Table846[[#This Row],[Credit]]-Table846[[#This Row],[Debit]]+Table846[[#This Row],[Credit +]]-Table846[[#This Row],[Debit -]],0)</f>
        <v>0</v>
      </c>
      <c r="AD165" s="34" t="str">
        <f>IFERROR(IF(AND(OR(Table846[[#This Row],[Classification]]="Expense",Table846[[#This Row],[Classification]]="Cost of Goods Sold"),Table846[[#This Row],[Debit\]]&gt;Table846[[#This Row],[Credit.]]),Table846[[#This Row],[Debit\]]-Table846[[#This Row],[Credit.]],""),"")</f>
        <v/>
      </c>
      <c r="AE165" s="34" t="str">
        <f>IFERROR(IF(AND(OR(Table846[[#This Row],[Classification]]="Income",Table846[[#This Row],[Classification]]="Cost of Goods Sold"),Table846[[#This Row],[Credit.]]&gt;Table846[[#This Row],[Debit\]]),Table846[[#This Row],[Credit.]]-Table846[[#This Row],[Debit\]],""),"")</f>
        <v/>
      </c>
      <c r="AF165" s="34"/>
      <c r="AG165" s="34" t="str">
        <f>IFERROR(IF(AND(Table846[[#This Row],[Classification]]="Assets",Table846[[#This Row],[Debit\]]-Table846[[#This Row],[Credit.]]),Table846[[#This Row],[Debit\]]-Table846[[#This Row],[Credit.]],""),"")</f>
        <v/>
      </c>
      <c r="AH165" s="34" t="str">
        <f>IFERROR(IF(AND(OR(Table846[[#This Row],[Classification]]="Liabilities",Table846[[#This Row],[Classification]]="Owner´s Equity"),Table846[[#This Row],[Credit.]]&gt;Table846[[#This Row],[Debit\]]),Table846[[#This Row],[Credit.]]-Table846[[#This Row],[Debit\]],""),"")</f>
        <v/>
      </c>
    </row>
    <row r="166" spans="2:34" hidden="1" x14ac:dyDescent="0.25">
      <c r="B166" s="34"/>
      <c r="C166" s="45"/>
      <c r="D166" s="34"/>
      <c r="E166" s="34"/>
      <c r="G166" s="39"/>
      <c r="H166" s="40"/>
      <c r="I166" s="41"/>
      <c r="J166" s="41"/>
      <c r="L166" s="34">
        <v>159</v>
      </c>
      <c r="M166" s="35"/>
      <c r="N166" s="35"/>
      <c r="O166" s="34">
        <f>IFERROR(SUMIF(Table443[,],Table645[[#This Row],[Accounts Name]],Table443[,3]),"")</f>
        <v>0</v>
      </c>
      <c r="P166" s="34">
        <f>IFERROR(SUMIF(Table443[,],Table645[[#This Row],[Accounts Name]],Table443[,2]),"")</f>
        <v>0</v>
      </c>
      <c r="S166" s="36">
        <f t="shared" si="2"/>
        <v>159</v>
      </c>
      <c r="T166" s="34"/>
      <c r="U166" s="37"/>
      <c r="V166" s="34">
        <f>IFERROR(SUMIF(Table645[Sub-Accounts],Table846[[#This Row],[Update your chart of accounts here]],Table645[Debit]),"")</f>
        <v>0</v>
      </c>
      <c r="W166" s="34">
        <f>IFERROR(SUMIF(Table645[Sub-Accounts],Table846[[#This Row],[Update your chart of accounts here]],Table645[Credit]),"")</f>
        <v>0</v>
      </c>
      <c r="X166" s="34"/>
      <c r="Y166" s="34"/>
      <c r="Z166" s="34"/>
      <c r="AA166" s="34"/>
      <c r="AB166" s="34">
        <f>MAX(Table846[[#This Row],[Debit]]+Table846[[#This Row],[Debit -]]-Table846[[#This Row],[Credit]]-Table846[[#This Row],[Credit +]],0)</f>
        <v>0</v>
      </c>
      <c r="AC166" s="34">
        <f>MAX(Table846[[#This Row],[Credit]]-Table846[[#This Row],[Debit]]+Table846[[#This Row],[Credit +]]-Table846[[#This Row],[Debit -]],0)</f>
        <v>0</v>
      </c>
      <c r="AD166" s="34" t="str">
        <f>IFERROR(IF(AND(OR(Table846[[#This Row],[Classification]]="Expense",Table846[[#This Row],[Classification]]="Cost of Goods Sold"),Table846[[#This Row],[Debit\]]&gt;Table846[[#This Row],[Credit.]]),Table846[[#This Row],[Debit\]]-Table846[[#This Row],[Credit.]],""),"")</f>
        <v/>
      </c>
      <c r="AE166" s="34" t="str">
        <f>IFERROR(IF(AND(OR(Table846[[#This Row],[Classification]]="Income",Table846[[#This Row],[Classification]]="Cost of Goods Sold"),Table846[[#This Row],[Credit.]]&gt;Table846[[#This Row],[Debit\]]),Table846[[#This Row],[Credit.]]-Table846[[#This Row],[Debit\]],""),"")</f>
        <v/>
      </c>
      <c r="AF166" s="34"/>
      <c r="AG166" s="34" t="str">
        <f>IFERROR(IF(AND(Table846[[#This Row],[Classification]]="Assets",Table846[[#This Row],[Debit\]]-Table846[[#This Row],[Credit.]]),Table846[[#This Row],[Debit\]]-Table846[[#This Row],[Credit.]],""),"")</f>
        <v/>
      </c>
      <c r="AH166" s="34" t="str">
        <f>IFERROR(IF(AND(OR(Table846[[#This Row],[Classification]]="Liabilities",Table846[[#This Row],[Classification]]="Owner´s Equity"),Table846[[#This Row],[Credit.]]&gt;Table846[[#This Row],[Debit\]]),Table846[[#This Row],[Credit.]]-Table846[[#This Row],[Debit\]],""),"")</f>
        <v/>
      </c>
    </row>
    <row r="167" spans="2:34" hidden="1" x14ac:dyDescent="0.25">
      <c r="B167" s="34"/>
      <c r="C167" s="45"/>
      <c r="D167" s="34"/>
      <c r="E167" s="34"/>
      <c r="G167" s="39"/>
      <c r="H167" s="43"/>
      <c r="I167" s="41"/>
      <c r="J167" s="41"/>
      <c r="L167" s="34">
        <v>160</v>
      </c>
      <c r="M167" s="35"/>
      <c r="N167" s="35"/>
      <c r="O167" s="34">
        <f>IFERROR(SUMIF(Table443[,],Table645[[#This Row],[Accounts Name]],Table443[,3]),"")</f>
        <v>0</v>
      </c>
      <c r="P167" s="34">
        <f>IFERROR(SUMIF(Table443[,],Table645[[#This Row],[Accounts Name]],Table443[,2]),"")</f>
        <v>0</v>
      </c>
      <c r="S167" s="36">
        <f t="shared" si="2"/>
        <v>160</v>
      </c>
      <c r="T167" s="34"/>
      <c r="U167" s="37"/>
      <c r="V167" s="34">
        <f>IFERROR(SUMIF(Table645[Sub-Accounts],Table846[[#This Row],[Update your chart of accounts here]],Table645[Debit]),"")</f>
        <v>0</v>
      </c>
      <c r="W167" s="34">
        <f>IFERROR(SUMIF(Table645[Sub-Accounts],Table846[[#This Row],[Update your chart of accounts here]],Table645[Credit]),"")</f>
        <v>0</v>
      </c>
      <c r="X167" s="34"/>
      <c r="Y167" s="34"/>
      <c r="Z167" s="34"/>
      <c r="AA167" s="34"/>
      <c r="AB167" s="34">
        <f>MAX(Table846[[#This Row],[Debit]]+Table846[[#This Row],[Debit -]]-Table846[[#This Row],[Credit]]-Table846[[#This Row],[Credit +]],0)</f>
        <v>0</v>
      </c>
      <c r="AC167" s="34">
        <f>MAX(Table846[[#This Row],[Credit]]-Table846[[#This Row],[Debit]]+Table846[[#This Row],[Credit +]]-Table846[[#This Row],[Debit -]],0)</f>
        <v>0</v>
      </c>
      <c r="AD167" s="34" t="str">
        <f>IFERROR(IF(AND(OR(Table846[[#This Row],[Classification]]="Expense",Table846[[#This Row],[Classification]]="Cost of Goods Sold"),Table846[[#This Row],[Debit\]]&gt;Table846[[#This Row],[Credit.]]),Table846[[#This Row],[Debit\]]-Table846[[#This Row],[Credit.]],""),"")</f>
        <v/>
      </c>
      <c r="AE167" s="34" t="str">
        <f>IFERROR(IF(AND(OR(Table846[[#This Row],[Classification]]="Income",Table846[[#This Row],[Classification]]="Cost of Goods Sold"),Table846[[#This Row],[Credit.]]&gt;Table846[[#This Row],[Debit\]]),Table846[[#This Row],[Credit.]]-Table846[[#This Row],[Debit\]],""),"")</f>
        <v/>
      </c>
      <c r="AF167" s="34"/>
      <c r="AG167" s="34" t="str">
        <f>IFERROR(IF(AND(Table846[[#This Row],[Classification]]="Assets",Table846[[#This Row],[Debit\]]-Table846[[#This Row],[Credit.]]),Table846[[#This Row],[Debit\]]-Table846[[#This Row],[Credit.]],""),"")</f>
        <v/>
      </c>
      <c r="AH167" s="34" t="str">
        <f>IFERROR(IF(AND(OR(Table846[[#This Row],[Classification]]="Liabilities",Table846[[#This Row],[Classification]]="Owner´s Equity"),Table846[[#This Row],[Credit.]]&gt;Table846[[#This Row],[Debit\]]),Table846[[#This Row],[Credit.]]-Table846[[#This Row],[Debit\]],""),"")</f>
        <v/>
      </c>
    </row>
    <row r="168" spans="2:34" hidden="1" x14ac:dyDescent="0.25">
      <c r="B168" s="34"/>
      <c r="C168" s="45"/>
      <c r="D168" s="34"/>
      <c r="E168" s="34"/>
      <c r="G168" s="39"/>
      <c r="H168" s="40"/>
      <c r="I168" s="41"/>
      <c r="J168" s="41"/>
      <c r="L168" s="34">
        <v>161</v>
      </c>
      <c r="M168" s="35"/>
      <c r="N168" s="35"/>
      <c r="O168" s="34">
        <f>IFERROR(SUMIF(Table443[,],Table645[[#This Row],[Accounts Name]],Table443[,3]),"")</f>
        <v>0</v>
      </c>
      <c r="P168" s="34">
        <f>IFERROR(SUMIF(Table443[,],Table645[[#This Row],[Accounts Name]],Table443[,2]),"")</f>
        <v>0</v>
      </c>
      <c r="S168" s="36">
        <f t="shared" si="2"/>
        <v>161</v>
      </c>
      <c r="T168" s="34"/>
      <c r="U168" s="37"/>
      <c r="V168" s="34">
        <f>IFERROR(SUMIF(Table645[Sub-Accounts],Table846[[#This Row],[Update your chart of accounts here]],Table645[Debit]),"")</f>
        <v>0</v>
      </c>
      <c r="W168" s="34">
        <f>IFERROR(SUMIF(Table645[Sub-Accounts],Table846[[#This Row],[Update your chart of accounts here]],Table645[Credit]),"")</f>
        <v>0</v>
      </c>
      <c r="X168" s="34"/>
      <c r="Y168" s="34"/>
      <c r="Z168" s="34"/>
      <c r="AA168" s="34"/>
      <c r="AB168" s="34">
        <f>MAX(Table846[[#This Row],[Debit]]+Table846[[#This Row],[Debit -]]-Table846[[#This Row],[Credit]]-Table846[[#This Row],[Credit +]],0)</f>
        <v>0</v>
      </c>
      <c r="AC168" s="34">
        <f>MAX(Table846[[#This Row],[Credit]]-Table846[[#This Row],[Debit]]+Table846[[#This Row],[Credit +]]-Table846[[#This Row],[Debit -]],0)</f>
        <v>0</v>
      </c>
      <c r="AD168" s="34" t="str">
        <f>IFERROR(IF(AND(OR(Table846[[#This Row],[Classification]]="Expense",Table846[[#This Row],[Classification]]="Cost of Goods Sold"),Table846[[#This Row],[Debit\]]&gt;Table846[[#This Row],[Credit.]]),Table846[[#This Row],[Debit\]]-Table846[[#This Row],[Credit.]],""),"")</f>
        <v/>
      </c>
      <c r="AE168" s="34" t="str">
        <f>IFERROR(IF(AND(OR(Table846[[#This Row],[Classification]]="Income",Table846[[#This Row],[Classification]]="Cost of Goods Sold"),Table846[[#This Row],[Credit.]]&gt;Table846[[#This Row],[Debit\]]),Table846[[#This Row],[Credit.]]-Table846[[#This Row],[Debit\]],""),"")</f>
        <v/>
      </c>
      <c r="AF168" s="34"/>
      <c r="AG168" s="34" t="str">
        <f>IFERROR(IF(AND(Table846[[#This Row],[Classification]]="Assets",Table846[[#This Row],[Debit\]]-Table846[[#This Row],[Credit.]]),Table846[[#This Row],[Debit\]]-Table846[[#This Row],[Credit.]],""),"")</f>
        <v/>
      </c>
      <c r="AH168" s="34" t="str">
        <f>IFERROR(IF(AND(OR(Table846[[#This Row],[Classification]]="Liabilities",Table846[[#This Row],[Classification]]="Owner´s Equity"),Table846[[#This Row],[Credit.]]&gt;Table846[[#This Row],[Debit\]]),Table846[[#This Row],[Credit.]]-Table846[[#This Row],[Debit\]],""),"")</f>
        <v/>
      </c>
    </row>
    <row r="169" spans="2:34" hidden="1" x14ac:dyDescent="0.25">
      <c r="B169" s="34"/>
      <c r="C169" s="45"/>
      <c r="D169" s="34"/>
      <c r="E169" s="34"/>
      <c r="G169" s="39"/>
      <c r="H169" s="40"/>
      <c r="I169" s="41"/>
      <c r="J169" s="41"/>
      <c r="L169" s="34">
        <v>162</v>
      </c>
      <c r="M169" s="35"/>
      <c r="N169" s="35"/>
      <c r="O169" s="34">
        <f>IFERROR(SUMIF(Table443[,],Table645[[#This Row],[Accounts Name]],Table443[,3]),"")</f>
        <v>0</v>
      </c>
      <c r="P169" s="34">
        <f>IFERROR(SUMIF(Table443[,],Table645[[#This Row],[Accounts Name]],Table443[,2]),"")</f>
        <v>0</v>
      </c>
      <c r="S169" s="36">
        <f t="shared" si="2"/>
        <v>162</v>
      </c>
      <c r="T169" s="34"/>
      <c r="U169" s="37"/>
      <c r="V169" s="34">
        <f>IFERROR(SUMIF(Table645[Sub-Accounts],Table846[[#This Row],[Update your chart of accounts here]],Table645[Debit]),"")</f>
        <v>0</v>
      </c>
      <c r="W169" s="34">
        <f>IFERROR(SUMIF(Table645[Sub-Accounts],Table846[[#This Row],[Update your chart of accounts here]],Table645[Credit]),"")</f>
        <v>0</v>
      </c>
      <c r="X169" s="34"/>
      <c r="Y169" s="34"/>
      <c r="Z169" s="34"/>
      <c r="AA169" s="34"/>
      <c r="AB169" s="34">
        <f>MAX(Table846[[#This Row],[Debit]]+Table846[[#This Row],[Debit -]]-Table846[[#This Row],[Credit]]-Table846[[#This Row],[Credit +]],0)</f>
        <v>0</v>
      </c>
      <c r="AC169" s="34">
        <f>MAX(Table846[[#This Row],[Credit]]-Table846[[#This Row],[Debit]]+Table846[[#This Row],[Credit +]]-Table846[[#This Row],[Debit -]],0)</f>
        <v>0</v>
      </c>
      <c r="AD169" s="34" t="str">
        <f>IFERROR(IF(AND(OR(Table846[[#This Row],[Classification]]="Expense",Table846[[#This Row],[Classification]]="Cost of Goods Sold"),Table846[[#This Row],[Debit\]]&gt;Table846[[#This Row],[Credit.]]),Table846[[#This Row],[Debit\]]-Table846[[#This Row],[Credit.]],""),"")</f>
        <v/>
      </c>
      <c r="AE169" s="34" t="str">
        <f>IFERROR(IF(AND(OR(Table846[[#This Row],[Classification]]="Income",Table846[[#This Row],[Classification]]="Cost of Goods Sold"),Table846[[#This Row],[Credit.]]&gt;Table846[[#This Row],[Debit\]]),Table846[[#This Row],[Credit.]]-Table846[[#This Row],[Debit\]],""),"")</f>
        <v/>
      </c>
      <c r="AF169" s="34"/>
      <c r="AG169" s="34" t="str">
        <f>IFERROR(IF(AND(Table846[[#This Row],[Classification]]="Assets",Table846[[#This Row],[Debit\]]-Table846[[#This Row],[Credit.]]),Table846[[#This Row],[Debit\]]-Table846[[#This Row],[Credit.]],""),"")</f>
        <v/>
      </c>
      <c r="AH169" s="34" t="str">
        <f>IFERROR(IF(AND(OR(Table846[[#This Row],[Classification]]="Liabilities",Table846[[#This Row],[Classification]]="Owner´s Equity"),Table846[[#This Row],[Credit.]]&gt;Table846[[#This Row],[Debit\]]),Table846[[#This Row],[Credit.]]-Table846[[#This Row],[Debit\]],""),"")</f>
        <v/>
      </c>
    </row>
    <row r="170" spans="2:34" hidden="1" x14ac:dyDescent="0.25">
      <c r="B170" s="34"/>
      <c r="C170" s="45"/>
      <c r="D170" s="34"/>
      <c r="E170" s="34"/>
      <c r="G170" s="39"/>
      <c r="H170" s="43"/>
      <c r="I170" s="41"/>
      <c r="J170" s="41"/>
      <c r="L170" s="34">
        <v>163</v>
      </c>
      <c r="M170" s="35"/>
      <c r="N170" s="35"/>
      <c r="O170" s="34">
        <f>IFERROR(SUMIF(Table443[,],Table645[[#This Row],[Accounts Name]],Table443[,3]),"")</f>
        <v>0</v>
      </c>
      <c r="P170" s="34">
        <f>IFERROR(SUMIF(Table443[,],Table645[[#This Row],[Accounts Name]],Table443[,2]),"")</f>
        <v>0</v>
      </c>
      <c r="S170" s="36">
        <f t="shared" si="2"/>
        <v>163</v>
      </c>
      <c r="T170" s="34"/>
      <c r="U170" s="37"/>
      <c r="V170" s="34">
        <f>IFERROR(SUMIF(Table645[Sub-Accounts],Table846[[#This Row],[Update your chart of accounts here]],Table645[Debit]),"")</f>
        <v>0</v>
      </c>
      <c r="W170" s="34">
        <f>IFERROR(SUMIF(Table645[Sub-Accounts],Table846[[#This Row],[Update your chart of accounts here]],Table645[Credit]),"")</f>
        <v>0</v>
      </c>
      <c r="X170" s="34"/>
      <c r="Y170" s="34"/>
      <c r="Z170" s="34"/>
      <c r="AA170" s="34"/>
      <c r="AB170" s="34">
        <f>MAX(Table846[[#This Row],[Debit]]+Table846[[#This Row],[Debit -]]-Table846[[#This Row],[Credit]]-Table846[[#This Row],[Credit +]],0)</f>
        <v>0</v>
      </c>
      <c r="AC170" s="34">
        <f>MAX(Table846[[#This Row],[Credit]]-Table846[[#This Row],[Debit]]+Table846[[#This Row],[Credit +]]-Table846[[#This Row],[Debit -]],0)</f>
        <v>0</v>
      </c>
      <c r="AD170" s="34" t="str">
        <f>IFERROR(IF(AND(OR(Table846[[#This Row],[Classification]]="Expense",Table846[[#This Row],[Classification]]="Cost of Goods Sold"),Table846[[#This Row],[Debit\]]&gt;Table846[[#This Row],[Credit.]]),Table846[[#This Row],[Debit\]]-Table846[[#This Row],[Credit.]],""),"")</f>
        <v/>
      </c>
      <c r="AE170" s="34" t="str">
        <f>IFERROR(IF(AND(OR(Table846[[#This Row],[Classification]]="Income",Table846[[#This Row],[Classification]]="Cost of Goods Sold"),Table846[[#This Row],[Credit.]]&gt;Table846[[#This Row],[Debit\]]),Table846[[#This Row],[Credit.]]-Table846[[#This Row],[Debit\]],""),"")</f>
        <v/>
      </c>
      <c r="AF170" s="34"/>
      <c r="AG170" s="34" t="str">
        <f>IFERROR(IF(AND(Table846[[#This Row],[Classification]]="Assets",Table846[[#This Row],[Debit\]]-Table846[[#This Row],[Credit.]]),Table846[[#This Row],[Debit\]]-Table846[[#This Row],[Credit.]],""),"")</f>
        <v/>
      </c>
      <c r="AH170" s="34" t="str">
        <f>IFERROR(IF(AND(OR(Table846[[#This Row],[Classification]]="Liabilities",Table846[[#This Row],[Classification]]="Owner´s Equity"),Table846[[#This Row],[Credit.]]&gt;Table846[[#This Row],[Debit\]]),Table846[[#This Row],[Credit.]]-Table846[[#This Row],[Debit\]],""),"")</f>
        <v/>
      </c>
    </row>
    <row r="171" spans="2:34" hidden="1" x14ac:dyDescent="0.25">
      <c r="B171" s="34"/>
      <c r="C171" s="45"/>
      <c r="D171" s="34"/>
      <c r="E171" s="34"/>
      <c r="G171" s="39"/>
      <c r="H171" s="40"/>
      <c r="I171" s="41"/>
      <c r="J171" s="41"/>
      <c r="L171" s="34">
        <v>164</v>
      </c>
      <c r="M171" s="35"/>
      <c r="N171" s="35"/>
      <c r="O171" s="34">
        <f>IFERROR(SUMIF(Table443[,],Table645[[#This Row],[Accounts Name]],Table443[,3]),"")</f>
        <v>0</v>
      </c>
      <c r="P171" s="34">
        <f>IFERROR(SUMIF(Table443[,],Table645[[#This Row],[Accounts Name]],Table443[,2]),"")</f>
        <v>0</v>
      </c>
      <c r="S171" s="36">
        <f t="shared" si="2"/>
        <v>164</v>
      </c>
      <c r="T171" s="34"/>
      <c r="U171" s="37"/>
      <c r="V171" s="34">
        <f>IFERROR(SUMIF(Table645[Sub-Accounts],Table846[[#This Row],[Update your chart of accounts here]],Table645[Debit]),"")</f>
        <v>0</v>
      </c>
      <c r="W171" s="34">
        <f>IFERROR(SUMIF(Table645[Sub-Accounts],Table846[[#This Row],[Update your chart of accounts here]],Table645[Credit]),"")</f>
        <v>0</v>
      </c>
      <c r="X171" s="34"/>
      <c r="Y171" s="34"/>
      <c r="Z171" s="34"/>
      <c r="AA171" s="34"/>
      <c r="AB171" s="34">
        <f>MAX(Table846[[#This Row],[Debit]]+Table846[[#This Row],[Debit -]]-Table846[[#This Row],[Credit]]-Table846[[#This Row],[Credit +]],0)</f>
        <v>0</v>
      </c>
      <c r="AC171" s="34">
        <f>MAX(Table846[[#This Row],[Credit]]-Table846[[#This Row],[Debit]]+Table846[[#This Row],[Credit +]]-Table846[[#This Row],[Debit -]],0)</f>
        <v>0</v>
      </c>
      <c r="AD171" s="34" t="str">
        <f>IFERROR(IF(AND(OR(Table846[[#This Row],[Classification]]="Expense",Table846[[#This Row],[Classification]]="Cost of Goods Sold"),Table846[[#This Row],[Debit\]]&gt;Table846[[#This Row],[Credit.]]),Table846[[#This Row],[Debit\]]-Table846[[#This Row],[Credit.]],""),"")</f>
        <v/>
      </c>
      <c r="AE171" s="34" t="str">
        <f>IFERROR(IF(AND(OR(Table846[[#This Row],[Classification]]="Income",Table846[[#This Row],[Classification]]="Cost of Goods Sold"),Table846[[#This Row],[Credit.]]&gt;Table846[[#This Row],[Debit\]]),Table846[[#This Row],[Credit.]]-Table846[[#This Row],[Debit\]],""),"")</f>
        <v/>
      </c>
      <c r="AF171" s="34"/>
      <c r="AG171" s="34" t="str">
        <f>IFERROR(IF(AND(Table846[[#This Row],[Classification]]="Assets",Table846[[#This Row],[Debit\]]-Table846[[#This Row],[Credit.]]),Table846[[#This Row],[Debit\]]-Table846[[#This Row],[Credit.]],""),"")</f>
        <v/>
      </c>
      <c r="AH171" s="34" t="str">
        <f>IFERROR(IF(AND(OR(Table846[[#This Row],[Classification]]="Liabilities",Table846[[#This Row],[Classification]]="Owner´s Equity"),Table846[[#This Row],[Credit.]]&gt;Table846[[#This Row],[Debit\]]),Table846[[#This Row],[Credit.]]-Table846[[#This Row],[Debit\]],""),"")</f>
        <v/>
      </c>
    </row>
    <row r="172" spans="2:34" hidden="1" x14ac:dyDescent="0.25">
      <c r="B172" s="34"/>
      <c r="C172" s="45"/>
      <c r="D172" s="34"/>
      <c r="E172" s="34"/>
      <c r="G172" s="39"/>
      <c r="H172" s="40"/>
      <c r="I172" s="41"/>
      <c r="J172" s="41"/>
      <c r="L172" s="34">
        <v>165</v>
      </c>
      <c r="M172" s="35"/>
      <c r="N172" s="35"/>
      <c r="O172" s="34">
        <f>IFERROR(SUMIF(Table443[,],Table645[[#This Row],[Accounts Name]],Table443[,3]),"")</f>
        <v>0</v>
      </c>
      <c r="P172" s="34">
        <f>IFERROR(SUMIF(Table443[,],Table645[[#This Row],[Accounts Name]],Table443[,2]),"")</f>
        <v>0</v>
      </c>
      <c r="S172" s="36">
        <f t="shared" si="2"/>
        <v>165</v>
      </c>
      <c r="T172" s="34"/>
      <c r="U172" s="37"/>
      <c r="V172" s="34">
        <f>IFERROR(SUMIF(Table645[Sub-Accounts],Table846[[#This Row],[Update your chart of accounts here]],Table645[Debit]),"")</f>
        <v>0</v>
      </c>
      <c r="W172" s="34">
        <f>IFERROR(SUMIF(Table645[Sub-Accounts],Table846[[#This Row],[Update your chart of accounts here]],Table645[Credit]),"")</f>
        <v>0</v>
      </c>
      <c r="X172" s="34"/>
      <c r="Y172" s="34"/>
      <c r="Z172" s="34"/>
      <c r="AA172" s="34"/>
      <c r="AB172" s="34">
        <f>MAX(Table846[[#This Row],[Debit]]+Table846[[#This Row],[Debit -]]-Table846[[#This Row],[Credit]]-Table846[[#This Row],[Credit +]],0)</f>
        <v>0</v>
      </c>
      <c r="AC172" s="34">
        <f>MAX(Table846[[#This Row],[Credit]]-Table846[[#This Row],[Debit]]+Table846[[#This Row],[Credit +]]-Table846[[#This Row],[Debit -]],0)</f>
        <v>0</v>
      </c>
      <c r="AD172" s="34" t="str">
        <f>IFERROR(IF(AND(OR(Table846[[#This Row],[Classification]]="Expense",Table846[[#This Row],[Classification]]="Cost of Goods Sold"),Table846[[#This Row],[Debit\]]&gt;Table846[[#This Row],[Credit.]]),Table846[[#This Row],[Debit\]]-Table846[[#This Row],[Credit.]],""),"")</f>
        <v/>
      </c>
      <c r="AE172" s="34" t="str">
        <f>IFERROR(IF(AND(OR(Table846[[#This Row],[Classification]]="Income",Table846[[#This Row],[Classification]]="Cost of Goods Sold"),Table846[[#This Row],[Credit.]]&gt;Table846[[#This Row],[Debit\]]),Table846[[#This Row],[Credit.]]-Table846[[#This Row],[Debit\]],""),"")</f>
        <v/>
      </c>
      <c r="AF172" s="34"/>
      <c r="AG172" s="34" t="str">
        <f>IFERROR(IF(AND(Table846[[#This Row],[Classification]]="Assets",Table846[[#This Row],[Debit\]]-Table846[[#This Row],[Credit.]]),Table846[[#This Row],[Debit\]]-Table846[[#This Row],[Credit.]],""),"")</f>
        <v/>
      </c>
      <c r="AH172" s="34" t="str">
        <f>IFERROR(IF(AND(OR(Table846[[#This Row],[Classification]]="Liabilities",Table846[[#This Row],[Classification]]="Owner´s Equity"),Table846[[#This Row],[Credit.]]&gt;Table846[[#This Row],[Debit\]]),Table846[[#This Row],[Credit.]]-Table846[[#This Row],[Debit\]],""),"")</f>
        <v/>
      </c>
    </row>
    <row r="173" spans="2:34" hidden="1" x14ac:dyDescent="0.25">
      <c r="B173" s="34"/>
      <c r="C173" s="45"/>
      <c r="D173" s="34"/>
      <c r="E173" s="34"/>
      <c r="G173" s="39"/>
      <c r="H173" s="43"/>
      <c r="I173" s="41"/>
      <c r="J173" s="41"/>
      <c r="L173" s="34">
        <v>166</v>
      </c>
      <c r="M173" s="35"/>
      <c r="N173" s="35"/>
      <c r="O173" s="34">
        <f>IFERROR(SUMIF(Table443[,],Table645[[#This Row],[Accounts Name]],Table443[,3]),"")</f>
        <v>0</v>
      </c>
      <c r="P173" s="34">
        <f>IFERROR(SUMIF(Table443[,],Table645[[#This Row],[Accounts Name]],Table443[,2]),"")</f>
        <v>0</v>
      </c>
      <c r="S173" s="36">
        <f t="shared" si="2"/>
        <v>166</v>
      </c>
      <c r="T173" s="34"/>
      <c r="U173" s="37"/>
      <c r="V173" s="34">
        <f>IFERROR(SUMIF(Table645[Sub-Accounts],Table846[[#This Row],[Update your chart of accounts here]],Table645[Debit]),"")</f>
        <v>0</v>
      </c>
      <c r="W173" s="34">
        <f>IFERROR(SUMIF(Table645[Sub-Accounts],Table846[[#This Row],[Update your chart of accounts here]],Table645[Credit]),"")</f>
        <v>0</v>
      </c>
      <c r="X173" s="34"/>
      <c r="Y173" s="34"/>
      <c r="Z173" s="34"/>
      <c r="AA173" s="34"/>
      <c r="AB173" s="34">
        <f>MAX(Table846[[#This Row],[Debit]]+Table846[[#This Row],[Debit -]]-Table846[[#This Row],[Credit]]-Table846[[#This Row],[Credit +]],0)</f>
        <v>0</v>
      </c>
      <c r="AC173" s="34">
        <f>MAX(Table846[[#This Row],[Credit]]-Table846[[#This Row],[Debit]]+Table846[[#This Row],[Credit +]]-Table846[[#This Row],[Debit -]],0)</f>
        <v>0</v>
      </c>
      <c r="AD173" s="34" t="str">
        <f>IFERROR(IF(AND(OR(Table846[[#This Row],[Classification]]="Expense",Table846[[#This Row],[Classification]]="Cost of Goods Sold"),Table846[[#This Row],[Debit\]]&gt;Table846[[#This Row],[Credit.]]),Table846[[#This Row],[Debit\]]-Table846[[#This Row],[Credit.]],""),"")</f>
        <v/>
      </c>
      <c r="AE173" s="34" t="str">
        <f>IFERROR(IF(AND(OR(Table846[[#This Row],[Classification]]="Income",Table846[[#This Row],[Classification]]="Cost of Goods Sold"),Table846[[#This Row],[Credit.]]&gt;Table846[[#This Row],[Debit\]]),Table846[[#This Row],[Credit.]]-Table846[[#This Row],[Debit\]],""),"")</f>
        <v/>
      </c>
      <c r="AF173" s="34"/>
      <c r="AG173" s="34" t="str">
        <f>IFERROR(IF(AND(Table846[[#This Row],[Classification]]="Assets",Table846[[#This Row],[Debit\]]-Table846[[#This Row],[Credit.]]),Table846[[#This Row],[Debit\]]-Table846[[#This Row],[Credit.]],""),"")</f>
        <v/>
      </c>
      <c r="AH173" s="34" t="str">
        <f>IFERROR(IF(AND(OR(Table846[[#This Row],[Classification]]="Liabilities",Table846[[#This Row],[Classification]]="Owner´s Equity"),Table846[[#This Row],[Credit.]]&gt;Table846[[#This Row],[Debit\]]),Table846[[#This Row],[Credit.]]-Table846[[#This Row],[Debit\]],""),"")</f>
        <v/>
      </c>
    </row>
    <row r="174" spans="2:34" hidden="1" x14ac:dyDescent="0.25">
      <c r="B174" s="34"/>
      <c r="C174" s="45"/>
      <c r="D174" s="34"/>
      <c r="E174" s="34"/>
      <c r="G174" s="39"/>
      <c r="H174" s="40"/>
      <c r="I174" s="41"/>
      <c r="J174" s="41"/>
      <c r="L174" s="34">
        <v>167</v>
      </c>
      <c r="M174" s="35"/>
      <c r="N174" s="35"/>
      <c r="O174" s="34">
        <f>IFERROR(SUMIF(Table443[,],Table645[[#This Row],[Accounts Name]],Table443[,3]),"")</f>
        <v>0</v>
      </c>
      <c r="P174" s="34">
        <f>IFERROR(SUMIF(Table443[,],Table645[[#This Row],[Accounts Name]],Table443[,2]),"")</f>
        <v>0</v>
      </c>
      <c r="S174" s="36">
        <f t="shared" si="2"/>
        <v>167</v>
      </c>
      <c r="T174" s="34"/>
      <c r="U174" s="37"/>
      <c r="V174" s="34">
        <f>IFERROR(SUMIF(Table645[Sub-Accounts],Table846[[#This Row],[Update your chart of accounts here]],Table645[Debit]),"")</f>
        <v>0</v>
      </c>
      <c r="W174" s="34">
        <f>IFERROR(SUMIF(Table645[Sub-Accounts],Table846[[#This Row],[Update your chart of accounts here]],Table645[Credit]),"")</f>
        <v>0</v>
      </c>
      <c r="X174" s="34"/>
      <c r="Y174" s="34"/>
      <c r="Z174" s="34"/>
      <c r="AA174" s="34"/>
      <c r="AB174" s="34">
        <f>MAX(Table846[[#This Row],[Debit]]+Table846[[#This Row],[Debit -]]-Table846[[#This Row],[Credit]]-Table846[[#This Row],[Credit +]],0)</f>
        <v>0</v>
      </c>
      <c r="AC174" s="34">
        <f>MAX(Table846[[#This Row],[Credit]]-Table846[[#This Row],[Debit]]+Table846[[#This Row],[Credit +]]-Table846[[#This Row],[Debit -]],0)</f>
        <v>0</v>
      </c>
      <c r="AD174" s="34" t="str">
        <f>IFERROR(IF(AND(OR(Table846[[#This Row],[Classification]]="Expense",Table846[[#This Row],[Classification]]="Cost of Goods Sold"),Table846[[#This Row],[Debit\]]&gt;Table846[[#This Row],[Credit.]]),Table846[[#This Row],[Debit\]]-Table846[[#This Row],[Credit.]],""),"")</f>
        <v/>
      </c>
      <c r="AE174" s="34" t="str">
        <f>IFERROR(IF(AND(OR(Table846[[#This Row],[Classification]]="Income",Table846[[#This Row],[Classification]]="Cost of Goods Sold"),Table846[[#This Row],[Credit.]]&gt;Table846[[#This Row],[Debit\]]),Table846[[#This Row],[Credit.]]-Table846[[#This Row],[Debit\]],""),"")</f>
        <v/>
      </c>
      <c r="AF174" s="34"/>
      <c r="AG174" s="34" t="str">
        <f>IFERROR(IF(AND(Table846[[#This Row],[Classification]]="Assets",Table846[[#This Row],[Debit\]]-Table846[[#This Row],[Credit.]]),Table846[[#This Row],[Debit\]]-Table846[[#This Row],[Credit.]],""),"")</f>
        <v/>
      </c>
      <c r="AH174" s="34" t="str">
        <f>IFERROR(IF(AND(OR(Table846[[#This Row],[Classification]]="Liabilities",Table846[[#This Row],[Classification]]="Owner´s Equity"),Table846[[#This Row],[Credit.]]&gt;Table846[[#This Row],[Debit\]]),Table846[[#This Row],[Credit.]]-Table846[[#This Row],[Debit\]],""),"")</f>
        <v/>
      </c>
    </row>
    <row r="175" spans="2:34" hidden="1" x14ac:dyDescent="0.25">
      <c r="B175" s="34"/>
      <c r="C175" s="45"/>
      <c r="D175" s="34"/>
      <c r="E175" s="34"/>
      <c r="G175" s="39"/>
      <c r="H175" s="40"/>
      <c r="I175" s="41"/>
      <c r="J175" s="41"/>
      <c r="L175" s="34">
        <v>168</v>
      </c>
      <c r="M175" s="35"/>
      <c r="N175" s="35"/>
      <c r="O175" s="34">
        <f>IFERROR(SUMIF(Table443[,],Table645[[#This Row],[Accounts Name]],Table443[,3]),"")</f>
        <v>0</v>
      </c>
      <c r="P175" s="34">
        <f>IFERROR(SUMIF(Table443[,],Table645[[#This Row],[Accounts Name]],Table443[,2]),"")</f>
        <v>0</v>
      </c>
      <c r="S175" s="36">
        <f t="shared" si="2"/>
        <v>168</v>
      </c>
      <c r="T175" s="34"/>
      <c r="U175" s="37"/>
      <c r="V175" s="34">
        <f>IFERROR(SUMIF(Table645[Sub-Accounts],Table846[[#This Row],[Update your chart of accounts here]],Table645[Debit]),"")</f>
        <v>0</v>
      </c>
      <c r="W175" s="34">
        <f>IFERROR(SUMIF(Table645[Sub-Accounts],Table846[[#This Row],[Update your chart of accounts here]],Table645[Credit]),"")</f>
        <v>0</v>
      </c>
      <c r="X175" s="34"/>
      <c r="Y175" s="34"/>
      <c r="Z175" s="34"/>
      <c r="AA175" s="34"/>
      <c r="AB175" s="34">
        <f>MAX(Table846[[#This Row],[Debit]]+Table846[[#This Row],[Debit -]]-Table846[[#This Row],[Credit]]-Table846[[#This Row],[Credit +]],0)</f>
        <v>0</v>
      </c>
      <c r="AC175" s="34">
        <f>MAX(Table846[[#This Row],[Credit]]-Table846[[#This Row],[Debit]]+Table846[[#This Row],[Credit +]]-Table846[[#This Row],[Debit -]],0)</f>
        <v>0</v>
      </c>
      <c r="AD175" s="34" t="str">
        <f>IFERROR(IF(AND(OR(Table846[[#This Row],[Classification]]="Expense",Table846[[#This Row],[Classification]]="Cost of Goods Sold"),Table846[[#This Row],[Debit\]]&gt;Table846[[#This Row],[Credit.]]),Table846[[#This Row],[Debit\]]-Table846[[#This Row],[Credit.]],""),"")</f>
        <v/>
      </c>
      <c r="AE175" s="34" t="str">
        <f>IFERROR(IF(AND(OR(Table846[[#This Row],[Classification]]="Income",Table846[[#This Row],[Classification]]="Cost of Goods Sold"),Table846[[#This Row],[Credit.]]&gt;Table846[[#This Row],[Debit\]]),Table846[[#This Row],[Credit.]]-Table846[[#This Row],[Debit\]],""),"")</f>
        <v/>
      </c>
      <c r="AF175" s="34"/>
      <c r="AG175" s="34" t="str">
        <f>IFERROR(IF(AND(Table846[[#This Row],[Classification]]="Assets",Table846[[#This Row],[Debit\]]-Table846[[#This Row],[Credit.]]),Table846[[#This Row],[Debit\]]-Table846[[#This Row],[Credit.]],""),"")</f>
        <v/>
      </c>
      <c r="AH175" s="34" t="str">
        <f>IFERROR(IF(AND(OR(Table846[[#This Row],[Classification]]="Liabilities",Table846[[#This Row],[Classification]]="Owner´s Equity"),Table846[[#This Row],[Credit.]]&gt;Table846[[#This Row],[Debit\]]),Table846[[#This Row],[Credit.]]-Table846[[#This Row],[Debit\]],""),"")</f>
        <v/>
      </c>
    </row>
    <row r="176" spans="2:34" hidden="1" x14ac:dyDescent="0.25">
      <c r="B176" s="34"/>
      <c r="C176" s="45"/>
      <c r="D176" s="34"/>
      <c r="E176" s="34"/>
      <c r="G176" s="39"/>
      <c r="H176" s="43"/>
      <c r="I176" s="41"/>
      <c r="J176" s="41"/>
      <c r="L176" s="34">
        <v>169</v>
      </c>
      <c r="M176" s="35"/>
      <c r="N176" s="35"/>
      <c r="O176" s="34">
        <f>IFERROR(SUMIF(Table443[,],Table645[[#This Row],[Accounts Name]],Table443[,3]),"")</f>
        <v>0</v>
      </c>
      <c r="P176" s="34">
        <f>IFERROR(SUMIF(Table443[,],Table645[[#This Row],[Accounts Name]],Table443[,2]),"")</f>
        <v>0</v>
      </c>
      <c r="S176" s="36">
        <f t="shared" si="2"/>
        <v>169</v>
      </c>
      <c r="T176" s="34"/>
      <c r="U176" s="37"/>
      <c r="V176" s="34">
        <f>IFERROR(SUMIF(Table645[Sub-Accounts],Table846[[#This Row],[Update your chart of accounts here]],Table645[Debit]),"")</f>
        <v>0</v>
      </c>
      <c r="W176" s="34">
        <f>IFERROR(SUMIF(Table645[Sub-Accounts],Table846[[#This Row],[Update your chart of accounts here]],Table645[Credit]),"")</f>
        <v>0</v>
      </c>
      <c r="X176" s="34"/>
      <c r="Y176" s="34"/>
      <c r="Z176" s="34"/>
      <c r="AA176" s="34"/>
      <c r="AB176" s="34">
        <f>MAX(Table846[[#This Row],[Debit]]+Table846[[#This Row],[Debit -]]-Table846[[#This Row],[Credit]]-Table846[[#This Row],[Credit +]],0)</f>
        <v>0</v>
      </c>
      <c r="AC176" s="34">
        <f>MAX(Table846[[#This Row],[Credit]]-Table846[[#This Row],[Debit]]+Table846[[#This Row],[Credit +]]-Table846[[#This Row],[Debit -]],0)</f>
        <v>0</v>
      </c>
      <c r="AD176" s="34" t="str">
        <f>IFERROR(IF(AND(OR(Table846[[#This Row],[Classification]]="Expense",Table846[[#This Row],[Classification]]="Cost of Goods Sold"),Table846[[#This Row],[Debit\]]&gt;Table846[[#This Row],[Credit.]]),Table846[[#This Row],[Debit\]]-Table846[[#This Row],[Credit.]],""),"")</f>
        <v/>
      </c>
      <c r="AE176" s="34" t="str">
        <f>IFERROR(IF(AND(OR(Table846[[#This Row],[Classification]]="Income",Table846[[#This Row],[Classification]]="Cost of Goods Sold"),Table846[[#This Row],[Credit.]]&gt;Table846[[#This Row],[Debit\]]),Table846[[#This Row],[Credit.]]-Table846[[#This Row],[Debit\]],""),"")</f>
        <v/>
      </c>
      <c r="AF176" s="34"/>
      <c r="AG176" s="34" t="str">
        <f>IFERROR(IF(AND(Table846[[#This Row],[Classification]]="Assets",Table846[[#This Row],[Debit\]]-Table846[[#This Row],[Credit.]]),Table846[[#This Row],[Debit\]]-Table846[[#This Row],[Credit.]],""),"")</f>
        <v/>
      </c>
      <c r="AH176" s="34" t="str">
        <f>IFERROR(IF(AND(OR(Table846[[#This Row],[Classification]]="Liabilities",Table846[[#This Row],[Classification]]="Owner´s Equity"),Table846[[#This Row],[Credit.]]&gt;Table846[[#This Row],[Debit\]]),Table846[[#This Row],[Credit.]]-Table846[[#This Row],[Debit\]],""),"")</f>
        <v/>
      </c>
    </row>
    <row r="177" spans="2:34" hidden="1" x14ac:dyDescent="0.25">
      <c r="B177" s="34"/>
      <c r="C177" s="45"/>
      <c r="D177" s="34"/>
      <c r="E177" s="34"/>
      <c r="G177" s="39"/>
      <c r="H177" s="40"/>
      <c r="I177" s="41"/>
      <c r="J177" s="41"/>
      <c r="L177" s="34">
        <v>170</v>
      </c>
      <c r="M177" s="35"/>
      <c r="N177" s="35"/>
      <c r="O177" s="34">
        <f>IFERROR(SUMIF(Table443[,],Table645[[#This Row],[Accounts Name]],Table443[,3]),"")</f>
        <v>0</v>
      </c>
      <c r="P177" s="34">
        <f>IFERROR(SUMIF(Table443[,],Table645[[#This Row],[Accounts Name]],Table443[,2]),"")</f>
        <v>0</v>
      </c>
      <c r="S177" s="36">
        <f t="shared" si="2"/>
        <v>170</v>
      </c>
      <c r="T177" s="34"/>
      <c r="U177" s="37"/>
      <c r="V177" s="34">
        <f>IFERROR(SUMIF(Table645[Sub-Accounts],Table846[[#This Row],[Update your chart of accounts here]],Table645[Debit]),"")</f>
        <v>0</v>
      </c>
      <c r="W177" s="34">
        <f>IFERROR(SUMIF(Table645[Sub-Accounts],Table846[[#This Row],[Update your chart of accounts here]],Table645[Credit]),"")</f>
        <v>0</v>
      </c>
      <c r="X177" s="34"/>
      <c r="Y177" s="34"/>
      <c r="Z177" s="34"/>
      <c r="AA177" s="34"/>
      <c r="AB177" s="34">
        <f>MAX(Table846[[#This Row],[Debit]]+Table846[[#This Row],[Debit -]]-Table846[[#This Row],[Credit]]-Table846[[#This Row],[Credit +]],0)</f>
        <v>0</v>
      </c>
      <c r="AC177" s="34">
        <f>MAX(Table846[[#This Row],[Credit]]-Table846[[#This Row],[Debit]]+Table846[[#This Row],[Credit +]]-Table846[[#This Row],[Debit -]],0)</f>
        <v>0</v>
      </c>
      <c r="AD177" s="34" t="str">
        <f>IFERROR(IF(AND(OR(Table846[[#This Row],[Classification]]="Expense",Table846[[#This Row],[Classification]]="Cost of Goods Sold"),Table846[[#This Row],[Debit\]]&gt;Table846[[#This Row],[Credit.]]),Table846[[#This Row],[Debit\]]-Table846[[#This Row],[Credit.]],""),"")</f>
        <v/>
      </c>
      <c r="AE177" s="34" t="str">
        <f>IFERROR(IF(AND(OR(Table846[[#This Row],[Classification]]="Income",Table846[[#This Row],[Classification]]="Cost of Goods Sold"),Table846[[#This Row],[Credit.]]&gt;Table846[[#This Row],[Debit\]]),Table846[[#This Row],[Credit.]]-Table846[[#This Row],[Debit\]],""),"")</f>
        <v/>
      </c>
      <c r="AF177" s="34"/>
      <c r="AG177" s="34" t="str">
        <f>IFERROR(IF(AND(Table846[[#This Row],[Classification]]="Assets",Table846[[#This Row],[Debit\]]-Table846[[#This Row],[Credit.]]),Table846[[#This Row],[Debit\]]-Table846[[#This Row],[Credit.]],""),"")</f>
        <v/>
      </c>
      <c r="AH177" s="34" t="str">
        <f>IFERROR(IF(AND(OR(Table846[[#This Row],[Classification]]="Liabilities",Table846[[#This Row],[Classification]]="Owner´s Equity"),Table846[[#This Row],[Credit.]]&gt;Table846[[#This Row],[Debit\]]),Table846[[#This Row],[Credit.]]-Table846[[#This Row],[Debit\]],""),"")</f>
        <v/>
      </c>
    </row>
    <row r="178" spans="2:34" hidden="1" x14ac:dyDescent="0.25">
      <c r="B178" s="34"/>
      <c r="C178" s="45"/>
      <c r="D178" s="34"/>
      <c r="E178" s="34"/>
      <c r="G178" s="39"/>
      <c r="H178" s="40"/>
      <c r="I178" s="41"/>
      <c r="J178" s="41"/>
      <c r="L178" s="34">
        <v>171</v>
      </c>
      <c r="M178" s="35"/>
      <c r="N178" s="35"/>
      <c r="O178" s="34">
        <f>IFERROR(SUMIF(Table443[,],Table645[[#This Row],[Accounts Name]],Table443[,3]),"")</f>
        <v>0</v>
      </c>
      <c r="P178" s="34">
        <f>IFERROR(SUMIF(Table443[,],Table645[[#This Row],[Accounts Name]],Table443[,2]),"")</f>
        <v>0</v>
      </c>
      <c r="S178" s="36">
        <f t="shared" si="2"/>
        <v>171</v>
      </c>
      <c r="T178" s="34"/>
      <c r="U178" s="37"/>
      <c r="V178" s="34">
        <f>IFERROR(SUMIF(Table645[Sub-Accounts],Table846[[#This Row],[Update your chart of accounts here]],Table645[Debit]),"")</f>
        <v>0</v>
      </c>
      <c r="W178" s="34">
        <f>IFERROR(SUMIF(Table645[Sub-Accounts],Table846[[#This Row],[Update your chart of accounts here]],Table645[Credit]),"")</f>
        <v>0</v>
      </c>
      <c r="X178" s="34"/>
      <c r="Y178" s="34"/>
      <c r="Z178" s="34"/>
      <c r="AA178" s="34"/>
      <c r="AB178" s="34">
        <f>MAX(Table846[[#This Row],[Debit]]+Table846[[#This Row],[Debit -]]-Table846[[#This Row],[Credit]]-Table846[[#This Row],[Credit +]],0)</f>
        <v>0</v>
      </c>
      <c r="AC178" s="34">
        <f>MAX(Table846[[#This Row],[Credit]]-Table846[[#This Row],[Debit]]+Table846[[#This Row],[Credit +]]-Table846[[#This Row],[Debit -]],0)</f>
        <v>0</v>
      </c>
      <c r="AD178" s="34" t="str">
        <f>IFERROR(IF(AND(OR(Table846[[#This Row],[Classification]]="Expense",Table846[[#This Row],[Classification]]="Cost of Goods Sold"),Table846[[#This Row],[Debit\]]&gt;Table846[[#This Row],[Credit.]]),Table846[[#This Row],[Debit\]]-Table846[[#This Row],[Credit.]],""),"")</f>
        <v/>
      </c>
      <c r="AE178" s="34" t="str">
        <f>IFERROR(IF(AND(OR(Table846[[#This Row],[Classification]]="Income",Table846[[#This Row],[Classification]]="Cost of Goods Sold"),Table846[[#This Row],[Credit.]]&gt;Table846[[#This Row],[Debit\]]),Table846[[#This Row],[Credit.]]-Table846[[#This Row],[Debit\]],""),"")</f>
        <v/>
      </c>
      <c r="AF178" s="34"/>
      <c r="AG178" s="34" t="str">
        <f>IFERROR(IF(AND(Table846[[#This Row],[Classification]]="Assets",Table846[[#This Row],[Debit\]]-Table846[[#This Row],[Credit.]]),Table846[[#This Row],[Debit\]]-Table846[[#This Row],[Credit.]],""),"")</f>
        <v/>
      </c>
      <c r="AH178" s="34" t="str">
        <f>IFERROR(IF(AND(OR(Table846[[#This Row],[Classification]]="Liabilities",Table846[[#This Row],[Classification]]="Owner´s Equity"),Table846[[#This Row],[Credit.]]&gt;Table846[[#This Row],[Debit\]]),Table846[[#This Row],[Credit.]]-Table846[[#This Row],[Debit\]],""),"")</f>
        <v/>
      </c>
    </row>
    <row r="179" spans="2:34" hidden="1" x14ac:dyDescent="0.25">
      <c r="B179" s="34"/>
      <c r="C179" s="45"/>
      <c r="D179" s="34"/>
      <c r="E179" s="34"/>
      <c r="G179" s="39"/>
      <c r="H179" s="43"/>
      <c r="I179" s="41"/>
      <c r="J179" s="41"/>
      <c r="L179" s="34">
        <v>172</v>
      </c>
      <c r="M179" s="35"/>
      <c r="N179" s="35"/>
      <c r="O179" s="34">
        <f>IFERROR(SUMIF(Table443[,],Table645[[#This Row],[Accounts Name]],Table443[,3]),"")</f>
        <v>0</v>
      </c>
      <c r="P179" s="34">
        <f>IFERROR(SUMIF(Table443[,],Table645[[#This Row],[Accounts Name]],Table443[,2]),"")</f>
        <v>0</v>
      </c>
      <c r="S179" s="36">
        <f t="shared" si="2"/>
        <v>172</v>
      </c>
      <c r="T179" s="34"/>
      <c r="U179" s="37"/>
      <c r="V179" s="34">
        <f>IFERROR(SUMIF(Table645[Sub-Accounts],Table846[[#This Row],[Update your chart of accounts here]],Table645[Debit]),"")</f>
        <v>0</v>
      </c>
      <c r="W179" s="34">
        <f>IFERROR(SUMIF(Table645[Sub-Accounts],Table846[[#This Row],[Update your chart of accounts here]],Table645[Credit]),"")</f>
        <v>0</v>
      </c>
      <c r="X179" s="34"/>
      <c r="Y179" s="34"/>
      <c r="Z179" s="34"/>
      <c r="AA179" s="34"/>
      <c r="AB179" s="34">
        <f>MAX(Table846[[#This Row],[Debit]]+Table846[[#This Row],[Debit -]]-Table846[[#This Row],[Credit]]-Table846[[#This Row],[Credit +]],0)</f>
        <v>0</v>
      </c>
      <c r="AC179" s="34">
        <f>MAX(Table846[[#This Row],[Credit]]-Table846[[#This Row],[Debit]]+Table846[[#This Row],[Credit +]]-Table846[[#This Row],[Debit -]],0)</f>
        <v>0</v>
      </c>
      <c r="AD179" s="34" t="str">
        <f>IFERROR(IF(AND(OR(Table846[[#This Row],[Classification]]="Expense",Table846[[#This Row],[Classification]]="Cost of Goods Sold"),Table846[[#This Row],[Debit\]]&gt;Table846[[#This Row],[Credit.]]),Table846[[#This Row],[Debit\]]-Table846[[#This Row],[Credit.]],""),"")</f>
        <v/>
      </c>
      <c r="AE179" s="34" t="str">
        <f>IFERROR(IF(AND(OR(Table846[[#This Row],[Classification]]="Income",Table846[[#This Row],[Classification]]="Cost of Goods Sold"),Table846[[#This Row],[Credit.]]&gt;Table846[[#This Row],[Debit\]]),Table846[[#This Row],[Credit.]]-Table846[[#This Row],[Debit\]],""),"")</f>
        <v/>
      </c>
      <c r="AF179" s="34"/>
      <c r="AG179" s="34" t="str">
        <f>IFERROR(IF(AND(Table846[[#This Row],[Classification]]="Assets",Table846[[#This Row],[Debit\]]-Table846[[#This Row],[Credit.]]),Table846[[#This Row],[Debit\]]-Table846[[#This Row],[Credit.]],""),"")</f>
        <v/>
      </c>
      <c r="AH179" s="34" t="str">
        <f>IFERROR(IF(AND(OR(Table846[[#This Row],[Classification]]="Liabilities",Table846[[#This Row],[Classification]]="Owner´s Equity"),Table846[[#This Row],[Credit.]]&gt;Table846[[#This Row],[Debit\]]),Table846[[#This Row],[Credit.]]-Table846[[#This Row],[Debit\]],""),"")</f>
        <v/>
      </c>
    </row>
    <row r="180" spans="2:34" hidden="1" x14ac:dyDescent="0.25">
      <c r="B180" s="34"/>
      <c r="C180" s="45"/>
      <c r="D180" s="34"/>
      <c r="E180" s="34"/>
      <c r="G180" s="39"/>
      <c r="H180" s="40"/>
      <c r="I180" s="41"/>
      <c r="J180" s="41"/>
      <c r="L180" s="34">
        <v>173</v>
      </c>
      <c r="M180" s="35"/>
      <c r="N180" s="35"/>
      <c r="O180" s="34">
        <f>IFERROR(SUMIF(Table443[,],Table645[[#This Row],[Accounts Name]],Table443[,3]),"")</f>
        <v>0</v>
      </c>
      <c r="P180" s="34">
        <f>IFERROR(SUMIF(Table443[,],Table645[[#This Row],[Accounts Name]],Table443[,2]),"")</f>
        <v>0</v>
      </c>
      <c r="S180" s="36">
        <f t="shared" si="2"/>
        <v>173</v>
      </c>
      <c r="T180" s="34"/>
      <c r="U180" s="37"/>
      <c r="V180" s="34">
        <f>IFERROR(SUMIF(Table645[Sub-Accounts],Table846[[#This Row],[Update your chart of accounts here]],Table645[Debit]),"")</f>
        <v>0</v>
      </c>
      <c r="W180" s="34">
        <f>IFERROR(SUMIF(Table645[Sub-Accounts],Table846[[#This Row],[Update your chart of accounts here]],Table645[Credit]),"")</f>
        <v>0</v>
      </c>
      <c r="X180" s="34"/>
      <c r="Y180" s="34"/>
      <c r="Z180" s="34"/>
      <c r="AA180" s="34"/>
      <c r="AB180" s="34">
        <f>MAX(Table846[[#This Row],[Debit]]+Table846[[#This Row],[Debit -]]-Table846[[#This Row],[Credit]]-Table846[[#This Row],[Credit +]],0)</f>
        <v>0</v>
      </c>
      <c r="AC180" s="34">
        <f>MAX(Table846[[#This Row],[Credit]]-Table846[[#This Row],[Debit]]+Table846[[#This Row],[Credit +]]-Table846[[#This Row],[Debit -]],0)</f>
        <v>0</v>
      </c>
      <c r="AD180" s="34" t="str">
        <f>IFERROR(IF(AND(OR(Table846[[#This Row],[Classification]]="Expense",Table846[[#This Row],[Classification]]="Cost of Goods Sold"),Table846[[#This Row],[Debit\]]&gt;Table846[[#This Row],[Credit.]]),Table846[[#This Row],[Debit\]]-Table846[[#This Row],[Credit.]],""),"")</f>
        <v/>
      </c>
      <c r="AE180" s="34" t="str">
        <f>IFERROR(IF(AND(OR(Table846[[#This Row],[Classification]]="Income",Table846[[#This Row],[Classification]]="Cost of Goods Sold"),Table846[[#This Row],[Credit.]]&gt;Table846[[#This Row],[Debit\]]),Table846[[#This Row],[Credit.]]-Table846[[#This Row],[Debit\]],""),"")</f>
        <v/>
      </c>
      <c r="AF180" s="34"/>
      <c r="AG180" s="34" t="str">
        <f>IFERROR(IF(AND(Table846[[#This Row],[Classification]]="Assets",Table846[[#This Row],[Debit\]]-Table846[[#This Row],[Credit.]]),Table846[[#This Row],[Debit\]]-Table846[[#This Row],[Credit.]],""),"")</f>
        <v/>
      </c>
      <c r="AH180" s="34" t="str">
        <f>IFERROR(IF(AND(OR(Table846[[#This Row],[Classification]]="Liabilities",Table846[[#This Row],[Classification]]="Owner´s Equity"),Table846[[#This Row],[Credit.]]&gt;Table846[[#This Row],[Debit\]]),Table846[[#This Row],[Credit.]]-Table846[[#This Row],[Debit\]],""),"")</f>
        <v/>
      </c>
    </row>
    <row r="181" spans="2:34" hidden="1" x14ac:dyDescent="0.25">
      <c r="B181" s="34"/>
      <c r="C181" s="45"/>
      <c r="D181" s="34"/>
      <c r="E181" s="34"/>
      <c r="G181" s="39"/>
      <c r="H181" s="40"/>
      <c r="I181" s="41"/>
      <c r="J181" s="41"/>
      <c r="L181" s="34">
        <v>174</v>
      </c>
      <c r="M181" s="35"/>
      <c r="N181" s="35"/>
      <c r="O181" s="34">
        <f>IFERROR(SUMIF(Table443[,],Table645[[#This Row],[Accounts Name]],Table443[,3]),"")</f>
        <v>0</v>
      </c>
      <c r="P181" s="34">
        <f>IFERROR(SUMIF(Table443[,],Table645[[#This Row],[Accounts Name]],Table443[,2]),"")</f>
        <v>0</v>
      </c>
      <c r="S181" s="36">
        <f t="shared" si="2"/>
        <v>174</v>
      </c>
      <c r="T181" s="34"/>
      <c r="U181" s="37"/>
      <c r="V181" s="34">
        <f>IFERROR(SUMIF(Table645[Sub-Accounts],Table846[[#This Row],[Update your chart of accounts here]],Table645[Debit]),"")</f>
        <v>0</v>
      </c>
      <c r="W181" s="34">
        <f>IFERROR(SUMIF(Table645[Sub-Accounts],Table846[[#This Row],[Update your chart of accounts here]],Table645[Credit]),"")</f>
        <v>0</v>
      </c>
      <c r="X181" s="34"/>
      <c r="Y181" s="34"/>
      <c r="Z181" s="34"/>
      <c r="AA181" s="34"/>
      <c r="AB181" s="34">
        <f>MAX(Table846[[#This Row],[Debit]]+Table846[[#This Row],[Debit -]]-Table846[[#This Row],[Credit]]-Table846[[#This Row],[Credit +]],0)</f>
        <v>0</v>
      </c>
      <c r="AC181" s="34">
        <f>MAX(Table846[[#This Row],[Credit]]-Table846[[#This Row],[Debit]]+Table846[[#This Row],[Credit +]]-Table846[[#This Row],[Debit -]],0)</f>
        <v>0</v>
      </c>
      <c r="AD181" s="34" t="str">
        <f>IFERROR(IF(AND(OR(Table846[[#This Row],[Classification]]="Expense",Table846[[#This Row],[Classification]]="Cost of Goods Sold"),Table846[[#This Row],[Debit\]]&gt;Table846[[#This Row],[Credit.]]),Table846[[#This Row],[Debit\]]-Table846[[#This Row],[Credit.]],""),"")</f>
        <v/>
      </c>
      <c r="AE181" s="34" t="str">
        <f>IFERROR(IF(AND(OR(Table846[[#This Row],[Classification]]="Income",Table846[[#This Row],[Classification]]="Cost of Goods Sold"),Table846[[#This Row],[Credit.]]&gt;Table846[[#This Row],[Debit\]]),Table846[[#This Row],[Credit.]]-Table846[[#This Row],[Debit\]],""),"")</f>
        <v/>
      </c>
      <c r="AF181" s="34"/>
      <c r="AG181" s="34" t="str">
        <f>IFERROR(IF(AND(Table846[[#This Row],[Classification]]="Assets",Table846[[#This Row],[Debit\]]-Table846[[#This Row],[Credit.]]),Table846[[#This Row],[Debit\]]-Table846[[#This Row],[Credit.]],""),"")</f>
        <v/>
      </c>
      <c r="AH181" s="34" t="str">
        <f>IFERROR(IF(AND(OR(Table846[[#This Row],[Classification]]="Liabilities",Table846[[#This Row],[Classification]]="Owner´s Equity"),Table846[[#This Row],[Credit.]]&gt;Table846[[#This Row],[Debit\]]),Table846[[#This Row],[Credit.]]-Table846[[#This Row],[Debit\]],""),"")</f>
        <v/>
      </c>
    </row>
    <row r="182" spans="2:34" hidden="1" x14ac:dyDescent="0.25">
      <c r="B182" s="34"/>
      <c r="C182" s="45"/>
      <c r="D182" s="34"/>
      <c r="E182" s="34"/>
      <c r="G182" s="39"/>
      <c r="H182" s="43"/>
      <c r="I182" s="41"/>
      <c r="J182" s="41"/>
      <c r="L182" s="34">
        <v>175</v>
      </c>
      <c r="M182" s="35"/>
      <c r="N182" s="35"/>
      <c r="O182" s="34">
        <f>IFERROR(SUMIF(Table443[,],Table645[[#This Row],[Accounts Name]],Table443[,3]),"")</f>
        <v>0</v>
      </c>
      <c r="P182" s="34">
        <f>IFERROR(SUMIF(Table443[,],Table645[[#This Row],[Accounts Name]],Table443[,2]),"")</f>
        <v>0</v>
      </c>
      <c r="S182" s="36">
        <f t="shared" si="2"/>
        <v>175</v>
      </c>
      <c r="T182" s="34"/>
      <c r="U182" s="37"/>
      <c r="V182" s="34">
        <f>IFERROR(SUMIF(Table645[Sub-Accounts],Table846[[#This Row],[Update your chart of accounts here]],Table645[Debit]),"")</f>
        <v>0</v>
      </c>
      <c r="W182" s="34">
        <f>IFERROR(SUMIF(Table645[Sub-Accounts],Table846[[#This Row],[Update your chart of accounts here]],Table645[Credit]),"")</f>
        <v>0</v>
      </c>
      <c r="X182" s="34"/>
      <c r="Y182" s="34"/>
      <c r="Z182" s="34"/>
      <c r="AA182" s="34"/>
      <c r="AB182" s="34">
        <f>MAX(Table846[[#This Row],[Debit]]+Table846[[#This Row],[Debit -]]-Table846[[#This Row],[Credit]]-Table846[[#This Row],[Credit +]],0)</f>
        <v>0</v>
      </c>
      <c r="AC182" s="34">
        <f>MAX(Table846[[#This Row],[Credit]]-Table846[[#This Row],[Debit]]+Table846[[#This Row],[Credit +]]-Table846[[#This Row],[Debit -]],0)</f>
        <v>0</v>
      </c>
      <c r="AD182" s="34" t="str">
        <f>IFERROR(IF(AND(OR(Table846[[#This Row],[Classification]]="Expense",Table846[[#This Row],[Classification]]="Cost of Goods Sold"),Table846[[#This Row],[Debit\]]&gt;Table846[[#This Row],[Credit.]]),Table846[[#This Row],[Debit\]]-Table846[[#This Row],[Credit.]],""),"")</f>
        <v/>
      </c>
      <c r="AE182" s="34" t="str">
        <f>IFERROR(IF(AND(OR(Table846[[#This Row],[Classification]]="Income",Table846[[#This Row],[Classification]]="Cost of Goods Sold"),Table846[[#This Row],[Credit.]]&gt;Table846[[#This Row],[Debit\]]),Table846[[#This Row],[Credit.]]-Table846[[#This Row],[Debit\]],""),"")</f>
        <v/>
      </c>
      <c r="AF182" s="34"/>
      <c r="AG182" s="34" t="str">
        <f>IFERROR(IF(AND(Table846[[#This Row],[Classification]]="Assets",Table846[[#This Row],[Debit\]]-Table846[[#This Row],[Credit.]]),Table846[[#This Row],[Debit\]]-Table846[[#This Row],[Credit.]],""),"")</f>
        <v/>
      </c>
      <c r="AH182" s="34" t="str">
        <f>IFERROR(IF(AND(OR(Table846[[#This Row],[Classification]]="Liabilities",Table846[[#This Row],[Classification]]="Owner´s Equity"),Table846[[#This Row],[Credit.]]&gt;Table846[[#This Row],[Debit\]]),Table846[[#This Row],[Credit.]]-Table846[[#This Row],[Debit\]],""),"")</f>
        <v/>
      </c>
    </row>
    <row r="183" spans="2:34" hidden="1" x14ac:dyDescent="0.25">
      <c r="B183" s="34"/>
      <c r="C183" s="45"/>
      <c r="D183" s="34"/>
      <c r="E183" s="34"/>
      <c r="G183" s="39"/>
      <c r="H183" s="40"/>
      <c r="I183" s="41"/>
      <c r="J183" s="41"/>
      <c r="L183" s="34">
        <v>176</v>
      </c>
      <c r="M183" s="35"/>
      <c r="N183" s="35"/>
      <c r="O183" s="34">
        <f>IFERROR(SUMIF(Table443[,],Table645[[#This Row],[Accounts Name]],Table443[,3]),"")</f>
        <v>0</v>
      </c>
      <c r="P183" s="34">
        <f>IFERROR(SUMIF(Table443[,],Table645[[#This Row],[Accounts Name]],Table443[,2]),"")</f>
        <v>0</v>
      </c>
      <c r="S183" s="36">
        <f t="shared" si="2"/>
        <v>176</v>
      </c>
      <c r="T183" s="34"/>
      <c r="U183" s="37"/>
      <c r="V183" s="34">
        <f>IFERROR(SUMIF(Table645[Sub-Accounts],Table846[[#This Row],[Update your chart of accounts here]],Table645[Debit]),"")</f>
        <v>0</v>
      </c>
      <c r="W183" s="34">
        <f>IFERROR(SUMIF(Table645[Sub-Accounts],Table846[[#This Row],[Update your chart of accounts here]],Table645[Credit]),"")</f>
        <v>0</v>
      </c>
      <c r="X183" s="34"/>
      <c r="Y183" s="34"/>
      <c r="Z183" s="34"/>
      <c r="AA183" s="34"/>
      <c r="AB183" s="34">
        <f>MAX(Table846[[#This Row],[Debit]]+Table846[[#This Row],[Debit -]]-Table846[[#This Row],[Credit]]-Table846[[#This Row],[Credit +]],0)</f>
        <v>0</v>
      </c>
      <c r="AC183" s="34">
        <f>MAX(Table846[[#This Row],[Credit]]-Table846[[#This Row],[Debit]]+Table846[[#This Row],[Credit +]]-Table846[[#This Row],[Debit -]],0)</f>
        <v>0</v>
      </c>
      <c r="AD183" s="34" t="str">
        <f>IFERROR(IF(AND(OR(Table846[[#This Row],[Classification]]="Expense",Table846[[#This Row],[Classification]]="Cost of Goods Sold"),Table846[[#This Row],[Debit\]]&gt;Table846[[#This Row],[Credit.]]),Table846[[#This Row],[Debit\]]-Table846[[#This Row],[Credit.]],""),"")</f>
        <v/>
      </c>
      <c r="AE183" s="34" t="str">
        <f>IFERROR(IF(AND(OR(Table846[[#This Row],[Classification]]="Income",Table846[[#This Row],[Classification]]="Cost of Goods Sold"),Table846[[#This Row],[Credit.]]&gt;Table846[[#This Row],[Debit\]]),Table846[[#This Row],[Credit.]]-Table846[[#This Row],[Debit\]],""),"")</f>
        <v/>
      </c>
      <c r="AF183" s="34"/>
      <c r="AG183" s="34" t="str">
        <f>IFERROR(IF(AND(Table846[[#This Row],[Classification]]="Assets",Table846[[#This Row],[Debit\]]-Table846[[#This Row],[Credit.]]),Table846[[#This Row],[Debit\]]-Table846[[#This Row],[Credit.]],""),"")</f>
        <v/>
      </c>
      <c r="AH183" s="34" t="str">
        <f>IFERROR(IF(AND(OR(Table846[[#This Row],[Classification]]="Liabilities",Table846[[#This Row],[Classification]]="Owner´s Equity"),Table846[[#This Row],[Credit.]]&gt;Table846[[#This Row],[Debit\]]),Table846[[#This Row],[Credit.]]-Table846[[#This Row],[Debit\]],""),"")</f>
        <v/>
      </c>
    </row>
    <row r="184" spans="2:34" hidden="1" x14ac:dyDescent="0.25">
      <c r="B184" s="34"/>
      <c r="C184" s="45"/>
      <c r="D184" s="34"/>
      <c r="E184" s="34"/>
      <c r="G184" s="39"/>
      <c r="H184" s="40"/>
      <c r="I184" s="41"/>
      <c r="J184" s="41"/>
      <c r="L184" s="34">
        <v>177</v>
      </c>
      <c r="M184" s="35"/>
      <c r="N184" s="35"/>
      <c r="O184" s="34">
        <f>IFERROR(SUMIF(Table443[,],Table645[[#This Row],[Accounts Name]],Table443[,3]),"")</f>
        <v>0</v>
      </c>
      <c r="P184" s="34">
        <f>IFERROR(SUMIF(Table443[,],Table645[[#This Row],[Accounts Name]],Table443[,2]),"")</f>
        <v>0</v>
      </c>
      <c r="S184" s="36">
        <f t="shared" si="2"/>
        <v>177</v>
      </c>
      <c r="T184" s="34"/>
      <c r="U184" s="37"/>
      <c r="V184" s="34">
        <f>IFERROR(SUMIF(Table645[Sub-Accounts],Table846[[#This Row],[Update your chart of accounts here]],Table645[Debit]),"")</f>
        <v>0</v>
      </c>
      <c r="W184" s="34">
        <f>IFERROR(SUMIF(Table645[Sub-Accounts],Table846[[#This Row],[Update your chart of accounts here]],Table645[Credit]),"")</f>
        <v>0</v>
      </c>
      <c r="X184" s="34"/>
      <c r="Y184" s="34"/>
      <c r="Z184" s="34"/>
      <c r="AA184" s="34"/>
      <c r="AB184" s="34">
        <f>MAX(Table846[[#This Row],[Debit]]+Table846[[#This Row],[Debit -]]-Table846[[#This Row],[Credit]]-Table846[[#This Row],[Credit +]],0)</f>
        <v>0</v>
      </c>
      <c r="AC184" s="34">
        <f>MAX(Table846[[#This Row],[Credit]]-Table846[[#This Row],[Debit]]+Table846[[#This Row],[Credit +]]-Table846[[#This Row],[Debit -]],0)</f>
        <v>0</v>
      </c>
      <c r="AD184" s="34" t="str">
        <f>IFERROR(IF(AND(OR(Table846[[#This Row],[Classification]]="Expense",Table846[[#This Row],[Classification]]="Cost of Goods Sold"),Table846[[#This Row],[Debit\]]&gt;Table846[[#This Row],[Credit.]]),Table846[[#This Row],[Debit\]]-Table846[[#This Row],[Credit.]],""),"")</f>
        <v/>
      </c>
      <c r="AE184" s="34" t="str">
        <f>IFERROR(IF(AND(OR(Table846[[#This Row],[Classification]]="Income",Table846[[#This Row],[Classification]]="Cost of Goods Sold"),Table846[[#This Row],[Credit.]]&gt;Table846[[#This Row],[Debit\]]),Table846[[#This Row],[Credit.]]-Table846[[#This Row],[Debit\]],""),"")</f>
        <v/>
      </c>
      <c r="AF184" s="34"/>
      <c r="AG184" s="34" t="str">
        <f>IFERROR(IF(AND(Table846[[#This Row],[Classification]]="Assets",Table846[[#This Row],[Debit\]]-Table846[[#This Row],[Credit.]]),Table846[[#This Row],[Debit\]]-Table846[[#This Row],[Credit.]],""),"")</f>
        <v/>
      </c>
      <c r="AH184" s="34" t="str">
        <f>IFERROR(IF(AND(OR(Table846[[#This Row],[Classification]]="Liabilities",Table846[[#This Row],[Classification]]="Owner´s Equity"),Table846[[#This Row],[Credit.]]&gt;Table846[[#This Row],[Debit\]]),Table846[[#This Row],[Credit.]]-Table846[[#This Row],[Debit\]],""),"")</f>
        <v/>
      </c>
    </row>
    <row r="185" spans="2:34" hidden="1" x14ac:dyDescent="0.25">
      <c r="B185" s="34"/>
      <c r="C185" s="45"/>
      <c r="D185" s="34"/>
      <c r="E185" s="34"/>
      <c r="G185" s="39"/>
      <c r="H185" s="43"/>
      <c r="I185" s="41"/>
      <c r="J185" s="41"/>
      <c r="L185" s="34">
        <v>178</v>
      </c>
      <c r="M185" s="35"/>
      <c r="N185" s="35"/>
      <c r="O185" s="34">
        <f>IFERROR(SUMIF(Table443[,],Table645[[#This Row],[Accounts Name]],Table443[,3]),"")</f>
        <v>0</v>
      </c>
      <c r="P185" s="34">
        <f>IFERROR(SUMIF(Table443[,],Table645[[#This Row],[Accounts Name]],Table443[,2]),"")</f>
        <v>0</v>
      </c>
      <c r="S185" s="36">
        <f t="shared" si="2"/>
        <v>178</v>
      </c>
      <c r="T185" s="34"/>
      <c r="U185" s="37"/>
      <c r="V185" s="34">
        <f>IFERROR(SUMIF(Table645[Sub-Accounts],Table846[[#This Row],[Update your chart of accounts here]],Table645[Debit]),"")</f>
        <v>0</v>
      </c>
      <c r="W185" s="34">
        <f>IFERROR(SUMIF(Table645[Sub-Accounts],Table846[[#This Row],[Update your chart of accounts here]],Table645[Credit]),"")</f>
        <v>0</v>
      </c>
      <c r="X185" s="34"/>
      <c r="Y185" s="34"/>
      <c r="Z185" s="34"/>
      <c r="AA185" s="34"/>
      <c r="AB185" s="34">
        <f>MAX(Table846[[#This Row],[Debit]]+Table846[[#This Row],[Debit -]]-Table846[[#This Row],[Credit]]-Table846[[#This Row],[Credit +]],0)</f>
        <v>0</v>
      </c>
      <c r="AC185" s="34">
        <f>MAX(Table846[[#This Row],[Credit]]-Table846[[#This Row],[Debit]]+Table846[[#This Row],[Credit +]]-Table846[[#This Row],[Debit -]],0)</f>
        <v>0</v>
      </c>
      <c r="AD185" s="34" t="str">
        <f>IFERROR(IF(AND(OR(Table846[[#This Row],[Classification]]="Expense",Table846[[#This Row],[Classification]]="Cost of Goods Sold"),Table846[[#This Row],[Debit\]]&gt;Table846[[#This Row],[Credit.]]),Table846[[#This Row],[Debit\]]-Table846[[#This Row],[Credit.]],""),"")</f>
        <v/>
      </c>
      <c r="AE185" s="34" t="str">
        <f>IFERROR(IF(AND(OR(Table846[[#This Row],[Classification]]="Income",Table846[[#This Row],[Classification]]="Cost of Goods Sold"),Table846[[#This Row],[Credit.]]&gt;Table846[[#This Row],[Debit\]]),Table846[[#This Row],[Credit.]]-Table846[[#This Row],[Debit\]],""),"")</f>
        <v/>
      </c>
      <c r="AF185" s="34"/>
      <c r="AG185" s="34" t="str">
        <f>IFERROR(IF(AND(Table846[[#This Row],[Classification]]="Assets",Table846[[#This Row],[Debit\]]-Table846[[#This Row],[Credit.]]),Table846[[#This Row],[Debit\]]-Table846[[#This Row],[Credit.]],""),"")</f>
        <v/>
      </c>
      <c r="AH185" s="34" t="str">
        <f>IFERROR(IF(AND(OR(Table846[[#This Row],[Classification]]="Liabilities",Table846[[#This Row],[Classification]]="Owner´s Equity"),Table846[[#This Row],[Credit.]]&gt;Table846[[#This Row],[Debit\]]),Table846[[#This Row],[Credit.]]-Table846[[#This Row],[Debit\]],""),"")</f>
        <v/>
      </c>
    </row>
    <row r="186" spans="2:34" hidden="1" x14ac:dyDescent="0.25">
      <c r="B186" s="34"/>
      <c r="C186" s="45"/>
      <c r="D186" s="34"/>
      <c r="E186" s="34"/>
      <c r="G186" s="39"/>
      <c r="H186" s="40"/>
      <c r="I186" s="41"/>
      <c r="J186" s="41"/>
      <c r="L186" s="34">
        <v>179</v>
      </c>
      <c r="M186" s="35"/>
      <c r="N186" s="35"/>
      <c r="O186" s="34">
        <f>IFERROR(SUMIF(Table443[,],Table645[[#This Row],[Accounts Name]],Table443[,3]),"")</f>
        <v>0</v>
      </c>
      <c r="P186" s="34">
        <f>IFERROR(SUMIF(Table443[,],Table645[[#This Row],[Accounts Name]],Table443[,2]),"")</f>
        <v>0</v>
      </c>
      <c r="S186" s="36">
        <f t="shared" si="2"/>
        <v>179</v>
      </c>
      <c r="T186" s="34"/>
      <c r="U186" s="37"/>
      <c r="V186" s="34">
        <f>IFERROR(SUMIF(Table645[Sub-Accounts],Table846[[#This Row],[Update your chart of accounts here]],Table645[Debit]),"")</f>
        <v>0</v>
      </c>
      <c r="W186" s="34">
        <f>IFERROR(SUMIF(Table645[Sub-Accounts],Table846[[#This Row],[Update your chart of accounts here]],Table645[Credit]),"")</f>
        <v>0</v>
      </c>
      <c r="X186" s="34"/>
      <c r="Y186" s="34"/>
      <c r="Z186" s="34"/>
      <c r="AA186" s="34"/>
      <c r="AB186" s="34">
        <f>MAX(Table846[[#This Row],[Debit]]+Table846[[#This Row],[Debit -]]-Table846[[#This Row],[Credit]]-Table846[[#This Row],[Credit +]],0)</f>
        <v>0</v>
      </c>
      <c r="AC186" s="34">
        <f>MAX(Table846[[#This Row],[Credit]]-Table846[[#This Row],[Debit]]+Table846[[#This Row],[Credit +]]-Table846[[#This Row],[Debit -]],0)</f>
        <v>0</v>
      </c>
      <c r="AD186" s="34" t="str">
        <f>IFERROR(IF(AND(OR(Table846[[#This Row],[Classification]]="Expense",Table846[[#This Row],[Classification]]="Cost of Goods Sold"),Table846[[#This Row],[Debit\]]&gt;Table846[[#This Row],[Credit.]]),Table846[[#This Row],[Debit\]]-Table846[[#This Row],[Credit.]],""),"")</f>
        <v/>
      </c>
      <c r="AE186" s="34" t="str">
        <f>IFERROR(IF(AND(OR(Table846[[#This Row],[Classification]]="Income",Table846[[#This Row],[Classification]]="Cost of Goods Sold"),Table846[[#This Row],[Credit.]]&gt;Table846[[#This Row],[Debit\]]),Table846[[#This Row],[Credit.]]-Table846[[#This Row],[Debit\]],""),"")</f>
        <v/>
      </c>
      <c r="AF186" s="34"/>
      <c r="AG186" s="34" t="str">
        <f>IFERROR(IF(AND(Table846[[#This Row],[Classification]]="Assets",Table846[[#This Row],[Debit\]]-Table846[[#This Row],[Credit.]]),Table846[[#This Row],[Debit\]]-Table846[[#This Row],[Credit.]],""),"")</f>
        <v/>
      </c>
      <c r="AH186" s="34" t="str">
        <f>IFERROR(IF(AND(OR(Table846[[#This Row],[Classification]]="Liabilities",Table846[[#This Row],[Classification]]="Owner´s Equity"),Table846[[#This Row],[Credit.]]&gt;Table846[[#This Row],[Debit\]]),Table846[[#This Row],[Credit.]]-Table846[[#This Row],[Debit\]],""),"")</f>
        <v/>
      </c>
    </row>
    <row r="187" spans="2:34" hidden="1" x14ac:dyDescent="0.25">
      <c r="B187" s="34"/>
      <c r="C187" s="45"/>
      <c r="D187" s="34"/>
      <c r="E187" s="34"/>
      <c r="G187" s="39"/>
      <c r="H187" s="40"/>
      <c r="I187" s="41"/>
      <c r="J187" s="41"/>
      <c r="L187" s="34">
        <v>180</v>
      </c>
      <c r="M187" s="35"/>
      <c r="N187" s="35"/>
      <c r="O187" s="34">
        <f>IFERROR(SUMIF(Table443[,],Table645[[#This Row],[Accounts Name]],Table443[,3]),"")</f>
        <v>0</v>
      </c>
      <c r="P187" s="34">
        <f>IFERROR(SUMIF(Table443[,],Table645[[#This Row],[Accounts Name]],Table443[,2]),"")</f>
        <v>0</v>
      </c>
      <c r="S187" s="36">
        <f t="shared" si="2"/>
        <v>180</v>
      </c>
      <c r="T187" s="34"/>
      <c r="U187" s="37"/>
      <c r="V187" s="34">
        <f>IFERROR(SUMIF(Table645[Sub-Accounts],Table846[[#This Row],[Update your chart of accounts here]],Table645[Debit]),"")</f>
        <v>0</v>
      </c>
      <c r="W187" s="34">
        <f>IFERROR(SUMIF(Table645[Sub-Accounts],Table846[[#This Row],[Update your chart of accounts here]],Table645[Credit]),"")</f>
        <v>0</v>
      </c>
      <c r="X187" s="34"/>
      <c r="Y187" s="34"/>
      <c r="Z187" s="34"/>
      <c r="AA187" s="34"/>
      <c r="AB187" s="34">
        <f>MAX(Table846[[#This Row],[Debit]]+Table846[[#This Row],[Debit -]]-Table846[[#This Row],[Credit]]-Table846[[#This Row],[Credit +]],0)</f>
        <v>0</v>
      </c>
      <c r="AC187" s="34">
        <f>MAX(Table846[[#This Row],[Credit]]-Table846[[#This Row],[Debit]]+Table846[[#This Row],[Credit +]]-Table846[[#This Row],[Debit -]],0)</f>
        <v>0</v>
      </c>
      <c r="AD187" s="34" t="str">
        <f>IFERROR(IF(AND(OR(Table846[[#This Row],[Classification]]="Expense",Table846[[#This Row],[Classification]]="Cost of Goods Sold"),Table846[[#This Row],[Debit\]]&gt;Table846[[#This Row],[Credit.]]),Table846[[#This Row],[Debit\]]-Table846[[#This Row],[Credit.]],""),"")</f>
        <v/>
      </c>
      <c r="AE187" s="34" t="str">
        <f>IFERROR(IF(AND(OR(Table846[[#This Row],[Classification]]="Income",Table846[[#This Row],[Classification]]="Cost of Goods Sold"),Table846[[#This Row],[Credit.]]&gt;Table846[[#This Row],[Debit\]]),Table846[[#This Row],[Credit.]]-Table846[[#This Row],[Debit\]],""),"")</f>
        <v/>
      </c>
      <c r="AF187" s="34"/>
      <c r="AG187" s="34" t="str">
        <f>IFERROR(IF(AND(Table846[[#This Row],[Classification]]="Assets",Table846[[#This Row],[Debit\]]-Table846[[#This Row],[Credit.]]),Table846[[#This Row],[Debit\]]-Table846[[#This Row],[Credit.]],""),"")</f>
        <v/>
      </c>
      <c r="AH187" s="34" t="str">
        <f>IFERROR(IF(AND(OR(Table846[[#This Row],[Classification]]="Liabilities",Table846[[#This Row],[Classification]]="Owner´s Equity"),Table846[[#This Row],[Credit.]]&gt;Table846[[#This Row],[Debit\]]),Table846[[#This Row],[Credit.]]-Table846[[#This Row],[Debit\]],""),"")</f>
        <v/>
      </c>
    </row>
    <row r="188" spans="2:34" hidden="1" x14ac:dyDescent="0.25">
      <c r="B188" s="34"/>
      <c r="C188" s="45"/>
      <c r="D188" s="34"/>
      <c r="E188" s="34"/>
      <c r="G188" s="39"/>
      <c r="H188" s="43"/>
      <c r="I188" s="41"/>
      <c r="J188" s="41"/>
      <c r="L188" s="34">
        <v>181</v>
      </c>
      <c r="M188" s="35"/>
      <c r="N188" s="35"/>
      <c r="O188" s="34">
        <f>IFERROR(SUMIF(Table443[,],Table645[[#This Row],[Accounts Name]],Table443[,3]),"")</f>
        <v>0</v>
      </c>
      <c r="P188" s="34">
        <f>IFERROR(SUMIF(Table443[,],Table645[[#This Row],[Accounts Name]],Table443[,2]),"")</f>
        <v>0</v>
      </c>
      <c r="S188" s="36">
        <f t="shared" si="2"/>
        <v>181</v>
      </c>
      <c r="T188" s="34"/>
      <c r="U188" s="37"/>
      <c r="V188" s="34">
        <f>IFERROR(SUMIF(Table645[Sub-Accounts],Table846[[#This Row],[Update your chart of accounts here]],Table645[Debit]),"")</f>
        <v>0</v>
      </c>
      <c r="W188" s="34">
        <f>IFERROR(SUMIF(Table645[Sub-Accounts],Table846[[#This Row],[Update your chart of accounts here]],Table645[Credit]),"")</f>
        <v>0</v>
      </c>
      <c r="X188" s="34"/>
      <c r="Y188" s="34"/>
      <c r="Z188" s="34"/>
      <c r="AA188" s="34"/>
      <c r="AB188" s="34">
        <f>MAX(Table846[[#This Row],[Debit]]+Table846[[#This Row],[Debit -]]-Table846[[#This Row],[Credit]]-Table846[[#This Row],[Credit +]],0)</f>
        <v>0</v>
      </c>
      <c r="AC188" s="34">
        <f>MAX(Table846[[#This Row],[Credit]]-Table846[[#This Row],[Debit]]+Table846[[#This Row],[Credit +]]-Table846[[#This Row],[Debit -]],0)</f>
        <v>0</v>
      </c>
      <c r="AD188" s="34" t="str">
        <f>IFERROR(IF(AND(OR(Table846[[#This Row],[Classification]]="Expense",Table846[[#This Row],[Classification]]="Cost of Goods Sold"),Table846[[#This Row],[Debit\]]&gt;Table846[[#This Row],[Credit.]]),Table846[[#This Row],[Debit\]]-Table846[[#This Row],[Credit.]],""),"")</f>
        <v/>
      </c>
      <c r="AE188" s="34" t="str">
        <f>IFERROR(IF(AND(OR(Table846[[#This Row],[Classification]]="Income",Table846[[#This Row],[Classification]]="Cost of Goods Sold"),Table846[[#This Row],[Credit.]]&gt;Table846[[#This Row],[Debit\]]),Table846[[#This Row],[Credit.]]-Table846[[#This Row],[Debit\]],""),"")</f>
        <v/>
      </c>
      <c r="AF188" s="34"/>
      <c r="AG188" s="34" t="str">
        <f>IFERROR(IF(AND(Table846[[#This Row],[Classification]]="Assets",Table846[[#This Row],[Debit\]]-Table846[[#This Row],[Credit.]]),Table846[[#This Row],[Debit\]]-Table846[[#This Row],[Credit.]],""),"")</f>
        <v/>
      </c>
      <c r="AH188" s="34" t="str">
        <f>IFERROR(IF(AND(OR(Table846[[#This Row],[Classification]]="Liabilities",Table846[[#This Row],[Classification]]="Owner´s Equity"),Table846[[#This Row],[Credit.]]&gt;Table846[[#This Row],[Debit\]]),Table846[[#This Row],[Credit.]]-Table846[[#This Row],[Debit\]],""),"")</f>
        <v/>
      </c>
    </row>
    <row r="189" spans="2:34" hidden="1" x14ac:dyDescent="0.25">
      <c r="B189" s="34"/>
      <c r="C189" s="45"/>
      <c r="D189" s="34"/>
      <c r="E189" s="34"/>
      <c r="G189" s="39"/>
      <c r="H189" s="40"/>
      <c r="I189" s="41"/>
      <c r="J189" s="41"/>
      <c r="L189" s="34">
        <v>182</v>
      </c>
      <c r="M189" s="35"/>
      <c r="N189" s="35"/>
      <c r="O189" s="34">
        <f>IFERROR(SUMIF(Table443[,],Table645[[#This Row],[Accounts Name]],Table443[,3]),"")</f>
        <v>0</v>
      </c>
      <c r="P189" s="34">
        <f>IFERROR(SUMIF(Table443[,],Table645[[#This Row],[Accounts Name]],Table443[,2]),"")</f>
        <v>0</v>
      </c>
      <c r="S189" s="36">
        <f t="shared" si="2"/>
        <v>182</v>
      </c>
      <c r="T189" s="34"/>
      <c r="U189" s="37"/>
      <c r="V189" s="34">
        <f>IFERROR(SUMIF(Table645[Sub-Accounts],Table846[[#This Row],[Update your chart of accounts here]],Table645[Debit]),"")</f>
        <v>0</v>
      </c>
      <c r="W189" s="34">
        <f>IFERROR(SUMIF(Table645[Sub-Accounts],Table846[[#This Row],[Update your chart of accounts here]],Table645[Credit]),"")</f>
        <v>0</v>
      </c>
      <c r="X189" s="34"/>
      <c r="Y189" s="34"/>
      <c r="Z189" s="34"/>
      <c r="AA189" s="34"/>
      <c r="AB189" s="34">
        <f>MAX(Table846[[#This Row],[Debit]]+Table846[[#This Row],[Debit -]]-Table846[[#This Row],[Credit]]-Table846[[#This Row],[Credit +]],0)</f>
        <v>0</v>
      </c>
      <c r="AC189" s="34">
        <f>MAX(Table846[[#This Row],[Credit]]-Table846[[#This Row],[Debit]]+Table846[[#This Row],[Credit +]]-Table846[[#This Row],[Debit -]],0)</f>
        <v>0</v>
      </c>
      <c r="AD189" s="34" t="str">
        <f>IFERROR(IF(AND(OR(Table846[[#This Row],[Classification]]="Expense",Table846[[#This Row],[Classification]]="Cost of Goods Sold"),Table846[[#This Row],[Debit\]]&gt;Table846[[#This Row],[Credit.]]),Table846[[#This Row],[Debit\]]-Table846[[#This Row],[Credit.]],""),"")</f>
        <v/>
      </c>
      <c r="AE189" s="34" t="str">
        <f>IFERROR(IF(AND(OR(Table846[[#This Row],[Classification]]="Income",Table846[[#This Row],[Classification]]="Cost of Goods Sold"),Table846[[#This Row],[Credit.]]&gt;Table846[[#This Row],[Debit\]]),Table846[[#This Row],[Credit.]]-Table846[[#This Row],[Debit\]],""),"")</f>
        <v/>
      </c>
      <c r="AF189" s="34"/>
      <c r="AG189" s="34" t="str">
        <f>IFERROR(IF(AND(Table846[[#This Row],[Classification]]="Assets",Table846[[#This Row],[Debit\]]-Table846[[#This Row],[Credit.]]),Table846[[#This Row],[Debit\]]-Table846[[#This Row],[Credit.]],""),"")</f>
        <v/>
      </c>
      <c r="AH189" s="34" t="str">
        <f>IFERROR(IF(AND(OR(Table846[[#This Row],[Classification]]="Liabilities",Table846[[#This Row],[Classification]]="Owner´s Equity"),Table846[[#This Row],[Credit.]]&gt;Table846[[#This Row],[Debit\]]),Table846[[#This Row],[Credit.]]-Table846[[#This Row],[Debit\]],""),"")</f>
        <v/>
      </c>
    </row>
    <row r="190" spans="2:34" hidden="1" x14ac:dyDescent="0.25">
      <c r="B190" s="34"/>
      <c r="C190" s="45"/>
      <c r="D190" s="34"/>
      <c r="E190" s="34"/>
      <c r="G190" s="39"/>
      <c r="H190" s="40"/>
      <c r="I190" s="41"/>
      <c r="J190" s="41"/>
      <c r="L190" s="34">
        <v>183</v>
      </c>
      <c r="M190" s="35"/>
      <c r="N190" s="35"/>
      <c r="O190" s="34">
        <f>IFERROR(SUMIF(Table443[,],Table645[[#This Row],[Accounts Name]],Table443[,3]),"")</f>
        <v>0</v>
      </c>
      <c r="P190" s="34">
        <f>IFERROR(SUMIF(Table443[,],Table645[[#This Row],[Accounts Name]],Table443[,2]),"")</f>
        <v>0</v>
      </c>
      <c r="S190" s="36">
        <f t="shared" si="2"/>
        <v>183</v>
      </c>
      <c r="T190" s="34"/>
      <c r="U190" s="37"/>
      <c r="V190" s="34">
        <f>IFERROR(SUMIF(Table645[Sub-Accounts],Table846[[#This Row],[Update your chart of accounts here]],Table645[Debit]),"")</f>
        <v>0</v>
      </c>
      <c r="W190" s="34">
        <f>IFERROR(SUMIF(Table645[Sub-Accounts],Table846[[#This Row],[Update your chart of accounts here]],Table645[Credit]),"")</f>
        <v>0</v>
      </c>
      <c r="X190" s="34"/>
      <c r="Y190" s="34"/>
      <c r="Z190" s="34"/>
      <c r="AA190" s="34"/>
      <c r="AB190" s="34">
        <f>MAX(Table846[[#This Row],[Debit]]+Table846[[#This Row],[Debit -]]-Table846[[#This Row],[Credit]]-Table846[[#This Row],[Credit +]],0)</f>
        <v>0</v>
      </c>
      <c r="AC190" s="34">
        <f>MAX(Table846[[#This Row],[Credit]]-Table846[[#This Row],[Debit]]+Table846[[#This Row],[Credit +]]-Table846[[#This Row],[Debit -]],0)</f>
        <v>0</v>
      </c>
      <c r="AD190" s="34" t="str">
        <f>IFERROR(IF(AND(OR(Table846[[#This Row],[Classification]]="Expense",Table846[[#This Row],[Classification]]="Cost of Goods Sold"),Table846[[#This Row],[Debit\]]&gt;Table846[[#This Row],[Credit.]]),Table846[[#This Row],[Debit\]]-Table846[[#This Row],[Credit.]],""),"")</f>
        <v/>
      </c>
      <c r="AE190" s="34" t="str">
        <f>IFERROR(IF(AND(OR(Table846[[#This Row],[Classification]]="Income",Table846[[#This Row],[Classification]]="Cost of Goods Sold"),Table846[[#This Row],[Credit.]]&gt;Table846[[#This Row],[Debit\]]),Table846[[#This Row],[Credit.]]-Table846[[#This Row],[Debit\]],""),"")</f>
        <v/>
      </c>
      <c r="AF190" s="34"/>
      <c r="AG190" s="34" t="str">
        <f>IFERROR(IF(AND(Table846[[#This Row],[Classification]]="Assets",Table846[[#This Row],[Debit\]]-Table846[[#This Row],[Credit.]]),Table846[[#This Row],[Debit\]]-Table846[[#This Row],[Credit.]],""),"")</f>
        <v/>
      </c>
      <c r="AH190" s="34" t="str">
        <f>IFERROR(IF(AND(OR(Table846[[#This Row],[Classification]]="Liabilities",Table846[[#This Row],[Classification]]="Owner´s Equity"),Table846[[#This Row],[Credit.]]&gt;Table846[[#This Row],[Debit\]]),Table846[[#This Row],[Credit.]]-Table846[[#This Row],[Debit\]],""),"")</f>
        <v/>
      </c>
    </row>
    <row r="191" spans="2:34" hidden="1" x14ac:dyDescent="0.25">
      <c r="B191" s="34"/>
      <c r="C191" s="45"/>
      <c r="D191" s="34"/>
      <c r="E191" s="34"/>
      <c r="G191" s="39"/>
      <c r="H191" s="43"/>
      <c r="I191" s="41"/>
      <c r="J191" s="41"/>
      <c r="L191" s="34">
        <v>184</v>
      </c>
      <c r="M191" s="35"/>
      <c r="N191" s="35"/>
      <c r="O191" s="34">
        <f>IFERROR(SUMIF(Table443[,],Table645[[#This Row],[Accounts Name]],Table443[,3]),"")</f>
        <v>0</v>
      </c>
      <c r="P191" s="34">
        <f>IFERROR(SUMIF(Table443[,],Table645[[#This Row],[Accounts Name]],Table443[,2]),"")</f>
        <v>0</v>
      </c>
      <c r="S191" s="36">
        <f t="shared" si="2"/>
        <v>184</v>
      </c>
      <c r="T191" s="34"/>
      <c r="U191" s="37"/>
      <c r="V191" s="34">
        <f>IFERROR(SUMIF(Table645[Sub-Accounts],Table846[[#This Row],[Update your chart of accounts here]],Table645[Debit]),"")</f>
        <v>0</v>
      </c>
      <c r="W191" s="34">
        <f>IFERROR(SUMIF(Table645[Sub-Accounts],Table846[[#This Row],[Update your chart of accounts here]],Table645[Credit]),"")</f>
        <v>0</v>
      </c>
      <c r="X191" s="34"/>
      <c r="Y191" s="34"/>
      <c r="Z191" s="34"/>
      <c r="AA191" s="34"/>
      <c r="AB191" s="34">
        <f>MAX(Table846[[#This Row],[Debit]]+Table846[[#This Row],[Debit -]]-Table846[[#This Row],[Credit]]-Table846[[#This Row],[Credit +]],0)</f>
        <v>0</v>
      </c>
      <c r="AC191" s="34">
        <f>MAX(Table846[[#This Row],[Credit]]-Table846[[#This Row],[Debit]]+Table846[[#This Row],[Credit +]]-Table846[[#This Row],[Debit -]],0)</f>
        <v>0</v>
      </c>
      <c r="AD191" s="34" t="str">
        <f>IFERROR(IF(AND(OR(Table846[[#This Row],[Classification]]="Expense",Table846[[#This Row],[Classification]]="Cost of Goods Sold"),Table846[[#This Row],[Debit\]]&gt;Table846[[#This Row],[Credit.]]),Table846[[#This Row],[Debit\]]-Table846[[#This Row],[Credit.]],""),"")</f>
        <v/>
      </c>
      <c r="AE191" s="34" t="str">
        <f>IFERROR(IF(AND(OR(Table846[[#This Row],[Classification]]="Income",Table846[[#This Row],[Classification]]="Cost of Goods Sold"),Table846[[#This Row],[Credit.]]&gt;Table846[[#This Row],[Debit\]]),Table846[[#This Row],[Credit.]]-Table846[[#This Row],[Debit\]],""),"")</f>
        <v/>
      </c>
      <c r="AF191" s="34"/>
      <c r="AG191" s="34" t="str">
        <f>IFERROR(IF(AND(Table846[[#This Row],[Classification]]="Assets",Table846[[#This Row],[Debit\]]-Table846[[#This Row],[Credit.]]),Table846[[#This Row],[Debit\]]-Table846[[#This Row],[Credit.]],""),"")</f>
        <v/>
      </c>
      <c r="AH191" s="34" t="str">
        <f>IFERROR(IF(AND(OR(Table846[[#This Row],[Classification]]="Liabilities",Table846[[#This Row],[Classification]]="Owner´s Equity"),Table846[[#This Row],[Credit.]]&gt;Table846[[#This Row],[Debit\]]),Table846[[#This Row],[Credit.]]-Table846[[#This Row],[Debit\]],""),"")</f>
        <v/>
      </c>
    </row>
    <row r="192" spans="2:34" hidden="1" x14ac:dyDescent="0.25">
      <c r="B192" s="34"/>
      <c r="C192" s="45"/>
      <c r="D192" s="34"/>
      <c r="E192" s="34"/>
      <c r="G192" s="39"/>
      <c r="H192" s="40"/>
      <c r="I192" s="41"/>
      <c r="J192" s="41"/>
      <c r="L192" s="34">
        <v>185</v>
      </c>
      <c r="M192" s="35"/>
      <c r="N192" s="35"/>
      <c r="O192" s="34">
        <f>IFERROR(SUMIF(Table443[,],Table645[[#This Row],[Accounts Name]],Table443[,3]),"")</f>
        <v>0</v>
      </c>
      <c r="P192" s="34">
        <f>IFERROR(SUMIF(Table443[,],Table645[[#This Row],[Accounts Name]],Table443[,2]),"")</f>
        <v>0</v>
      </c>
      <c r="S192" s="36">
        <f t="shared" si="2"/>
        <v>185</v>
      </c>
      <c r="T192" s="34"/>
      <c r="U192" s="37"/>
      <c r="V192" s="34">
        <f>IFERROR(SUMIF(Table645[Sub-Accounts],Table846[[#This Row],[Update your chart of accounts here]],Table645[Debit]),"")</f>
        <v>0</v>
      </c>
      <c r="W192" s="34">
        <f>IFERROR(SUMIF(Table645[Sub-Accounts],Table846[[#This Row],[Update your chart of accounts here]],Table645[Credit]),"")</f>
        <v>0</v>
      </c>
      <c r="X192" s="34"/>
      <c r="Y192" s="34"/>
      <c r="Z192" s="34"/>
      <c r="AA192" s="34"/>
      <c r="AB192" s="34">
        <f>MAX(Table846[[#This Row],[Debit]]+Table846[[#This Row],[Debit -]]-Table846[[#This Row],[Credit]]-Table846[[#This Row],[Credit +]],0)</f>
        <v>0</v>
      </c>
      <c r="AC192" s="34">
        <f>MAX(Table846[[#This Row],[Credit]]-Table846[[#This Row],[Debit]]+Table846[[#This Row],[Credit +]]-Table846[[#This Row],[Debit -]],0)</f>
        <v>0</v>
      </c>
      <c r="AD192" s="34" t="str">
        <f>IFERROR(IF(AND(OR(Table846[[#This Row],[Classification]]="Expense",Table846[[#This Row],[Classification]]="Cost of Goods Sold"),Table846[[#This Row],[Debit\]]&gt;Table846[[#This Row],[Credit.]]),Table846[[#This Row],[Debit\]]-Table846[[#This Row],[Credit.]],""),"")</f>
        <v/>
      </c>
      <c r="AE192" s="34" t="str">
        <f>IFERROR(IF(AND(OR(Table846[[#This Row],[Classification]]="Income",Table846[[#This Row],[Classification]]="Cost of Goods Sold"),Table846[[#This Row],[Credit.]]&gt;Table846[[#This Row],[Debit\]]),Table846[[#This Row],[Credit.]]-Table846[[#This Row],[Debit\]],""),"")</f>
        <v/>
      </c>
      <c r="AF192" s="34"/>
      <c r="AG192" s="34" t="str">
        <f>IFERROR(IF(AND(Table846[[#This Row],[Classification]]="Assets",Table846[[#This Row],[Debit\]]-Table846[[#This Row],[Credit.]]),Table846[[#This Row],[Debit\]]-Table846[[#This Row],[Credit.]],""),"")</f>
        <v/>
      </c>
      <c r="AH192" s="34" t="str">
        <f>IFERROR(IF(AND(OR(Table846[[#This Row],[Classification]]="Liabilities",Table846[[#This Row],[Classification]]="Owner´s Equity"),Table846[[#This Row],[Credit.]]&gt;Table846[[#This Row],[Debit\]]),Table846[[#This Row],[Credit.]]-Table846[[#This Row],[Debit\]],""),"")</f>
        <v/>
      </c>
    </row>
    <row r="193" spans="2:38" hidden="1" x14ac:dyDescent="0.25">
      <c r="B193" s="34"/>
      <c r="C193" s="45"/>
      <c r="D193" s="34"/>
      <c r="E193" s="34"/>
      <c r="G193" s="39"/>
      <c r="H193" s="40"/>
      <c r="I193" s="41"/>
      <c r="J193" s="41"/>
      <c r="L193" s="34">
        <v>186</v>
      </c>
      <c r="M193" s="35"/>
      <c r="N193" s="35"/>
      <c r="O193" s="34">
        <f>IFERROR(SUMIF(Table443[,],Table645[[#This Row],[Accounts Name]],Table443[,3]),"")</f>
        <v>0</v>
      </c>
      <c r="P193" s="34">
        <f>IFERROR(SUMIF(Table443[,],Table645[[#This Row],[Accounts Name]],Table443[,2]),"")</f>
        <v>0</v>
      </c>
      <c r="S193" s="36">
        <f t="shared" si="2"/>
        <v>186</v>
      </c>
      <c r="T193" s="34"/>
      <c r="U193" s="37"/>
      <c r="V193" s="34">
        <f>IFERROR(SUMIF(Table645[Sub-Accounts],Table846[[#This Row],[Update your chart of accounts here]],Table645[Debit]),"")</f>
        <v>0</v>
      </c>
      <c r="W193" s="34">
        <f>IFERROR(SUMIF(Table645[Sub-Accounts],Table846[[#This Row],[Update your chart of accounts here]],Table645[Credit]),"")</f>
        <v>0</v>
      </c>
      <c r="X193" s="34"/>
      <c r="Y193" s="34"/>
      <c r="Z193" s="34"/>
      <c r="AA193" s="34"/>
      <c r="AB193" s="34">
        <f>MAX(Table846[[#This Row],[Debit]]+Table846[[#This Row],[Debit -]]-Table846[[#This Row],[Credit]]-Table846[[#This Row],[Credit +]],0)</f>
        <v>0</v>
      </c>
      <c r="AC193" s="34">
        <f>MAX(Table846[[#This Row],[Credit]]-Table846[[#This Row],[Debit]]+Table846[[#This Row],[Credit +]]-Table846[[#This Row],[Debit -]],0)</f>
        <v>0</v>
      </c>
      <c r="AD193" s="34" t="str">
        <f>IFERROR(IF(AND(OR(Table846[[#This Row],[Classification]]="Expense",Table846[[#This Row],[Classification]]="Cost of Goods Sold"),Table846[[#This Row],[Debit\]]&gt;Table846[[#This Row],[Credit.]]),Table846[[#This Row],[Debit\]]-Table846[[#This Row],[Credit.]],""),"")</f>
        <v/>
      </c>
      <c r="AE193" s="34" t="str">
        <f>IFERROR(IF(AND(OR(Table846[[#This Row],[Classification]]="Income",Table846[[#This Row],[Classification]]="Cost of Goods Sold"),Table846[[#This Row],[Credit.]]&gt;Table846[[#This Row],[Debit\]]),Table846[[#This Row],[Credit.]]-Table846[[#This Row],[Debit\]],""),"")</f>
        <v/>
      </c>
      <c r="AF193" s="34"/>
      <c r="AG193" s="34" t="str">
        <f>IFERROR(IF(AND(Table846[[#This Row],[Classification]]="Assets",Table846[[#This Row],[Debit\]]-Table846[[#This Row],[Credit.]]),Table846[[#This Row],[Debit\]]-Table846[[#This Row],[Credit.]],""),"")</f>
        <v/>
      </c>
      <c r="AH193" s="34" t="str">
        <f>IFERROR(IF(AND(OR(Table846[[#This Row],[Classification]]="Liabilities",Table846[[#This Row],[Classification]]="Owner´s Equity"),Table846[[#This Row],[Credit.]]&gt;Table846[[#This Row],[Debit\]]),Table846[[#This Row],[Credit.]]-Table846[[#This Row],[Debit\]],""),"")</f>
        <v/>
      </c>
    </row>
    <row r="194" spans="2:38" hidden="1" x14ac:dyDescent="0.25">
      <c r="B194" s="34"/>
      <c r="C194" s="45"/>
      <c r="D194" s="34"/>
      <c r="E194" s="34"/>
      <c r="G194" s="39"/>
      <c r="H194" s="43"/>
      <c r="I194" s="41"/>
      <c r="J194" s="41"/>
      <c r="L194" s="34">
        <v>187</v>
      </c>
      <c r="M194" s="35"/>
      <c r="N194" s="35"/>
      <c r="O194" s="34">
        <f>IFERROR(SUMIF(Table443[,],Table645[[#This Row],[Accounts Name]],Table443[,3]),"")</f>
        <v>0</v>
      </c>
      <c r="P194" s="34">
        <f>IFERROR(SUMIF(Table443[,],Table645[[#This Row],[Accounts Name]],Table443[,2]),"")</f>
        <v>0</v>
      </c>
      <c r="S194" s="36">
        <f t="shared" si="2"/>
        <v>187</v>
      </c>
      <c r="T194" s="34"/>
      <c r="U194" s="37"/>
      <c r="V194" s="34">
        <f>IFERROR(SUMIF(Table645[Sub-Accounts],Table846[[#This Row],[Update your chart of accounts here]],Table645[Debit]),"")</f>
        <v>0</v>
      </c>
      <c r="W194" s="34">
        <f>IFERROR(SUMIF(Table645[Sub-Accounts],Table846[[#This Row],[Update your chart of accounts here]],Table645[Credit]),"")</f>
        <v>0</v>
      </c>
      <c r="X194" s="34"/>
      <c r="Y194" s="34"/>
      <c r="Z194" s="34"/>
      <c r="AA194" s="34"/>
      <c r="AB194" s="34">
        <f>MAX(Table846[[#This Row],[Debit]]+Table846[[#This Row],[Debit -]]-Table846[[#This Row],[Credit]]-Table846[[#This Row],[Credit +]],0)</f>
        <v>0</v>
      </c>
      <c r="AC194" s="34">
        <f>MAX(Table846[[#This Row],[Credit]]-Table846[[#This Row],[Debit]]+Table846[[#This Row],[Credit +]]-Table846[[#This Row],[Debit -]],0)</f>
        <v>0</v>
      </c>
      <c r="AD194" s="34" t="str">
        <f>IFERROR(IF(AND(OR(Table846[[#This Row],[Classification]]="Expense",Table846[[#This Row],[Classification]]="Cost of Goods Sold"),Table846[[#This Row],[Debit\]]&gt;Table846[[#This Row],[Credit.]]),Table846[[#This Row],[Debit\]]-Table846[[#This Row],[Credit.]],""),"")</f>
        <v/>
      </c>
      <c r="AE194" s="34" t="str">
        <f>IFERROR(IF(AND(OR(Table846[[#This Row],[Classification]]="Income",Table846[[#This Row],[Classification]]="Cost of Goods Sold"),Table846[[#This Row],[Credit.]]&gt;Table846[[#This Row],[Debit\]]),Table846[[#This Row],[Credit.]]-Table846[[#This Row],[Debit\]],""),"")</f>
        <v/>
      </c>
      <c r="AF194" s="34"/>
      <c r="AG194" s="34" t="str">
        <f>IFERROR(IF(AND(Table846[[#This Row],[Classification]]="Assets",Table846[[#This Row],[Debit\]]-Table846[[#This Row],[Credit.]]),Table846[[#This Row],[Debit\]]-Table846[[#This Row],[Credit.]],""),"")</f>
        <v/>
      </c>
      <c r="AH194" s="34" t="str">
        <f>IFERROR(IF(AND(OR(Table846[[#This Row],[Classification]]="Liabilities",Table846[[#This Row],[Classification]]="Owner´s Equity"),Table846[[#This Row],[Credit.]]&gt;Table846[[#This Row],[Debit\]]),Table846[[#This Row],[Credit.]]-Table846[[#This Row],[Debit\]],""),"")</f>
        <v/>
      </c>
    </row>
    <row r="195" spans="2:38" hidden="1" x14ac:dyDescent="0.25">
      <c r="B195" s="34"/>
      <c r="C195" s="45"/>
      <c r="D195" s="34"/>
      <c r="E195" s="34"/>
      <c r="G195" s="39"/>
      <c r="H195" s="40"/>
      <c r="I195" s="41"/>
      <c r="J195" s="41"/>
      <c r="L195" s="34">
        <v>188</v>
      </c>
      <c r="M195" s="35"/>
      <c r="N195" s="35"/>
      <c r="O195" s="34">
        <f>IFERROR(SUMIF(Table443[,],Table645[[#This Row],[Accounts Name]],Table443[,3]),"")</f>
        <v>0</v>
      </c>
      <c r="P195" s="34">
        <f>IFERROR(SUMIF(Table443[,],Table645[[#This Row],[Accounts Name]],Table443[,2]),"")</f>
        <v>0</v>
      </c>
      <c r="S195" s="36">
        <f t="shared" si="2"/>
        <v>188</v>
      </c>
      <c r="T195" s="34"/>
      <c r="U195" s="37"/>
      <c r="V195" s="34">
        <f>IFERROR(SUMIF(Table645[Sub-Accounts],Table846[[#This Row],[Update your chart of accounts here]],Table645[Debit]),"")</f>
        <v>0</v>
      </c>
      <c r="W195" s="34">
        <f>IFERROR(SUMIF(Table645[Sub-Accounts],Table846[[#This Row],[Update your chart of accounts here]],Table645[Credit]),"")</f>
        <v>0</v>
      </c>
      <c r="X195" s="34"/>
      <c r="Y195" s="34"/>
      <c r="Z195" s="34"/>
      <c r="AA195" s="34"/>
      <c r="AB195" s="34">
        <f>MAX(Table846[[#This Row],[Debit]]+Table846[[#This Row],[Debit -]]-Table846[[#This Row],[Credit]]-Table846[[#This Row],[Credit +]],0)</f>
        <v>0</v>
      </c>
      <c r="AC195" s="34">
        <f>MAX(Table846[[#This Row],[Credit]]-Table846[[#This Row],[Debit]]+Table846[[#This Row],[Credit +]]-Table846[[#This Row],[Debit -]],0)</f>
        <v>0</v>
      </c>
      <c r="AD195" s="34" t="str">
        <f>IFERROR(IF(AND(OR(Table846[[#This Row],[Classification]]="Expense",Table846[[#This Row],[Classification]]="Cost of Goods Sold"),Table846[[#This Row],[Debit\]]&gt;Table846[[#This Row],[Credit.]]),Table846[[#This Row],[Debit\]]-Table846[[#This Row],[Credit.]],""),"")</f>
        <v/>
      </c>
      <c r="AE195" s="34" t="str">
        <f>IFERROR(IF(AND(OR(Table846[[#This Row],[Classification]]="Income",Table846[[#This Row],[Classification]]="Cost of Goods Sold"),Table846[[#This Row],[Credit.]]&gt;Table846[[#This Row],[Debit\]]),Table846[[#This Row],[Credit.]]-Table846[[#This Row],[Debit\]],""),"")</f>
        <v/>
      </c>
      <c r="AF195" s="34"/>
      <c r="AG195" s="34" t="str">
        <f>IFERROR(IF(AND(Table846[[#This Row],[Classification]]="Assets",Table846[[#This Row],[Debit\]]-Table846[[#This Row],[Credit.]]),Table846[[#This Row],[Debit\]]-Table846[[#This Row],[Credit.]],""),"")</f>
        <v/>
      </c>
      <c r="AH195" s="34" t="str">
        <f>IFERROR(IF(AND(OR(Table846[[#This Row],[Classification]]="Liabilities",Table846[[#This Row],[Classification]]="Owner´s Equity"),Table846[[#This Row],[Credit.]]&gt;Table846[[#This Row],[Debit\]]),Table846[[#This Row],[Credit.]]-Table846[[#This Row],[Debit\]],""),"")</f>
        <v/>
      </c>
    </row>
    <row r="196" spans="2:38" hidden="1" x14ac:dyDescent="0.25">
      <c r="B196" s="34"/>
      <c r="C196" s="45"/>
      <c r="D196" s="34"/>
      <c r="E196" s="34"/>
      <c r="G196" s="39"/>
      <c r="H196" s="40"/>
      <c r="I196" s="41"/>
      <c r="J196" s="41"/>
      <c r="L196" s="34">
        <v>189</v>
      </c>
      <c r="M196" s="35"/>
      <c r="N196" s="35"/>
      <c r="O196" s="34">
        <f>IFERROR(SUMIF(Table443[,],Table645[[#This Row],[Accounts Name]],Table443[,3]),"")</f>
        <v>0</v>
      </c>
      <c r="P196" s="34">
        <f>IFERROR(SUMIF(Table443[,],Table645[[#This Row],[Accounts Name]],Table443[,2]),"")</f>
        <v>0</v>
      </c>
      <c r="S196" s="36">
        <f t="shared" si="2"/>
        <v>189</v>
      </c>
      <c r="T196" s="34"/>
      <c r="U196" s="37"/>
      <c r="V196" s="34">
        <f>IFERROR(SUMIF(Table645[Sub-Accounts],Table846[[#This Row],[Update your chart of accounts here]],Table645[Debit]),"")</f>
        <v>0</v>
      </c>
      <c r="W196" s="34">
        <f>IFERROR(SUMIF(Table645[Sub-Accounts],Table846[[#This Row],[Update your chart of accounts here]],Table645[Credit]),"")</f>
        <v>0</v>
      </c>
      <c r="X196" s="34"/>
      <c r="Y196" s="34"/>
      <c r="Z196" s="34"/>
      <c r="AA196" s="34"/>
      <c r="AB196" s="34">
        <f>MAX(Table846[[#This Row],[Debit]]+Table846[[#This Row],[Debit -]]-Table846[[#This Row],[Credit]]-Table846[[#This Row],[Credit +]],0)</f>
        <v>0</v>
      </c>
      <c r="AC196" s="34">
        <f>MAX(Table846[[#This Row],[Credit]]-Table846[[#This Row],[Debit]]+Table846[[#This Row],[Credit +]]-Table846[[#This Row],[Debit -]],0)</f>
        <v>0</v>
      </c>
      <c r="AD196" s="34" t="str">
        <f>IFERROR(IF(AND(OR(Table846[[#This Row],[Classification]]="Expense",Table846[[#This Row],[Classification]]="Cost of Goods Sold"),Table846[[#This Row],[Debit\]]&gt;Table846[[#This Row],[Credit.]]),Table846[[#This Row],[Debit\]]-Table846[[#This Row],[Credit.]],""),"")</f>
        <v/>
      </c>
      <c r="AE196" s="34" t="str">
        <f>IFERROR(IF(AND(OR(Table846[[#This Row],[Classification]]="Income",Table846[[#This Row],[Classification]]="Cost of Goods Sold"),Table846[[#This Row],[Credit.]]&gt;Table846[[#This Row],[Debit\]]),Table846[[#This Row],[Credit.]]-Table846[[#This Row],[Debit\]],""),"")</f>
        <v/>
      </c>
      <c r="AF196" s="34"/>
      <c r="AG196" s="34" t="str">
        <f>IFERROR(IF(AND(Table846[[#This Row],[Classification]]="Assets",Table846[[#This Row],[Debit\]]-Table846[[#This Row],[Credit.]]),Table846[[#This Row],[Debit\]]-Table846[[#This Row],[Credit.]],""),"")</f>
        <v/>
      </c>
      <c r="AH196" s="34" t="str">
        <f>IFERROR(IF(AND(OR(Table846[[#This Row],[Classification]]="Liabilities",Table846[[#This Row],[Classification]]="Owner´s Equity"),Table846[[#This Row],[Credit.]]&gt;Table846[[#This Row],[Debit\]]),Table846[[#This Row],[Credit.]]-Table846[[#This Row],[Debit\]],""),"")</f>
        <v/>
      </c>
    </row>
    <row r="197" spans="2:38" hidden="1" x14ac:dyDescent="0.25">
      <c r="B197" s="34"/>
      <c r="C197" s="45"/>
      <c r="D197" s="34"/>
      <c r="E197" s="34"/>
      <c r="G197" s="39"/>
      <c r="H197" s="43"/>
      <c r="I197" s="41"/>
      <c r="J197" s="41"/>
      <c r="L197" s="34">
        <v>190</v>
      </c>
      <c r="M197" s="35"/>
      <c r="N197" s="35"/>
      <c r="O197" s="34">
        <f>IFERROR(SUMIF(Table443[,],Table645[[#This Row],[Accounts Name]],Table443[,3]),"")</f>
        <v>0</v>
      </c>
      <c r="P197" s="34">
        <f>IFERROR(SUMIF(Table443[,],Table645[[#This Row],[Accounts Name]],Table443[,2]),"")</f>
        <v>0</v>
      </c>
      <c r="S197" s="36">
        <f t="shared" si="2"/>
        <v>190</v>
      </c>
      <c r="T197" s="34"/>
      <c r="U197" s="37"/>
      <c r="V197" s="34">
        <f>IFERROR(SUMIF(Table645[Sub-Accounts],Table846[[#This Row],[Update your chart of accounts here]],Table645[Debit]),"")</f>
        <v>0</v>
      </c>
      <c r="W197" s="34">
        <f>IFERROR(SUMIF(Table645[Sub-Accounts],Table846[[#This Row],[Update your chart of accounts here]],Table645[Credit]),"")</f>
        <v>0</v>
      </c>
      <c r="X197" s="34"/>
      <c r="Y197" s="34"/>
      <c r="Z197" s="34"/>
      <c r="AA197" s="34"/>
      <c r="AB197" s="34">
        <f>MAX(Table846[[#This Row],[Debit]]+Table846[[#This Row],[Debit -]]-Table846[[#This Row],[Credit]]-Table846[[#This Row],[Credit +]],0)</f>
        <v>0</v>
      </c>
      <c r="AC197" s="34">
        <f>MAX(Table846[[#This Row],[Credit]]-Table846[[#This Row],[Debit]]+Table846[[#This Row],[Credit +]]-Table846[[#This Row],[Debit -]],0)</f>
        <v>0</v>
      </c>
      <c r="AD197" s="34" t="str">
        <f>IFERROR(IF(AND(OR(Table846[[#This Row],[Classification]]="Expense",Table846[[#This Row],[Classification]]="Cost of Goods Sold"),Table846[[#This Row],[Debit\]]&gt;Table846[[#This Row],[Credit.]]),Table846[[#This Row],[Debit\]]-Table846[[#This Row],[Credit.]],""),"")</f>
        <v/>
      </c>
      <c r="AE197" s="34" t="str">
        <f>IFERROR(IF(AND(OR(Table846[[#This Row],[Classification]]="Income",Table846[[#This Row],[Classification]]="Cost of Goods Sold"),Table846[[#This Row],[Credit.]]&gt;Table846[[#This Row],[Debit\]]),Table846[[#This Row],[Credit.]]-Table846[[#This Row],[Debit\]],""),"")</f>
        <v/>
      </c>
      <c r="AF197" s="34"/>
      <c r="AG197" s="34" t="str">
        <f>IFERROR(IF(AND(Table846[[#This Row],[Classification]]="Assets",Table846[[#This Row],[Debit\]]-Table846[[#This Row],[Credit.]]),Table846[[#This Row],[Debit\]]-Table846[[#This Row],[Credit.]],""),"")</f>
        <v/>
      </c>
      <c r="AH197" s="34" t="str">
        <f>IFERROR(IF(AND(OR(Table846[[#This Row],[Classification]]="Liabilities",Table846[[#This Row],[Classification]]="Owner´s Equity"),Table846[[#This Row],[Credit.]]&gt;Table846[[#This Row],[Debit\]]),Table846[[#This Row],[Credit.]]-Table846[[#This Row],[Debit\]],""),"")</f>
        <v/>
      </c>
    </row>
    <row r="198" spans="2:38" hidden="1" x14ac:dyDescent="0.25">
      <c r="B198" s="34"/>
      <c r="C198" s="45"/>
      <c r="D198" s="34"/>
      <c r="E198" s="34"/>
      <c r="G198" s="39"/>
      <c r="H198" s="40"/>
      <c r="I198" s="41"/>
      <c r="J198" s="41"/>
      <c r="L198" s="34">
        <v>191</v>
      </c>
      <c r="M198" s="35"/>
      <c r="N198" s="35"/>
      <c r="O198" s="34">
        <f>IFERROR(SUMIF(Table443[,],Table645[[#This Row],[Accounts Name]],Table443[,3]),"")</f>
        <v>0</v>
      </c>
      <c r="P198" s="34">
        <f>IFERROR(SUMIF(Table443[,],Table645[[#This Row],[Accounts Name]],Table443[,2]),"")</f>
        <v>0</v>
      </c>
      <c r="S198" s="36">
        <f t="shared" si="2"/>
        <v>191</v>
      </c>
      <c r="T198" s="34"/>
      <c r="U198" s="37"/>
      <c r="V198" s="34">
        <f>IFERROR(SUMIF(Table645[Sub-Accounts],Table846[[#This Row],[Update your chart of accounts here]],Table645[Debit]),"")</f>
        <v>0</v>
      </c>
      <c r="W198" s="34">
        <f>IFERROR(SUMIF(Table645[Sub-Accounts],Table846[[#This Row],[Update your chart of accounts here]],Table645[Credit]),"")</f>
        <v>0</v>
      </c>
      <c r="X198" s="34"/>
      <c r="Y198" s="34"/>
      <c r="Z198" s="34"/>
      <c r="AA198" s="34"/>
      <c r="AB198" s="34">
        <f>MAX(Table846[[#This Row],[Debit]]+Table846[[#This Row],[Debit -]]-Table846[[#This Row],[Credit]]-Table846[[#This Row],[Credit +]],0)</f>
        <v>0</v>
      </c>
      <c r="AC198" s="34">
        <f>MAX(Table846[[#This Row],[Credit]]-Table846[[#This Row],[Debit]]+Table846[[#This Row],[Credit +]]-Table846[[#This Row],[Debit -]],0)</f>
        <v>0</v>
      </c>
      <c r="AD198" s="34" t="str">
        <f>IFERROR(IF(AND(OR(Table846[[#This Row],[Classification]]="Expense",Table846[[#This Row],[Classification]]="Cost of Goods Sold"),Table846[[#This Row],[Debit\]]&gt;Table846[[#This Row],[Credit.]]),Table846[[#This Row],[Debit\]]-Table846[[#This Row],[Credit.]],""),"")</f>
        <v/>
      </c>
      <c r="AE198" s="34" t="str">
        <f>IFERROR(IF(AND(OR(Table846[[#This Row],[Classification]]="Income",Table846[[#This Row],[Classification]]="Cost of Goods Sold"),Table846[[#This Row],[Credit.]]&gt;Table846[[#This Row],[Debit\]]),Table846[[#This Row],[Credit.]]-Table846[[#This Row],[Debit\]],""),"")</f>
        <v/>
      </c>
      <c r="AF198" s="34"/>
      <c r="AG198" s="34" t="str">
        <f>IFERROR(IF(AND(Table846[[#This Row],[Classification]]="Assets",Table846[[#This Row],[Debit\]]-Table846[[#This Row],[Credit.]]),Table846[[#This Row],[Debit\]]-Table846[[#This Row],[Credit.]],""),"")</f>
        <v/>
      </c>
      <c r="AH198" s="34" t="str">
        <f>IFERROR(IF(AND(OR(Table846[[#This Row],[Classification]]="Liabilities",Table846[[#This Row],[Classification]]="Owner´s Equity"),Table846[[#This Row],[Credit.]]&gt;Table846[[#This Row],[Debit\]]),Table846[[#This Row],[Credit.]]-Table846[[#This Row],[Debit\]],""),"")</f>
        <v/>
      </c>
    </row>
    <row r="199" spans="2:38" hidden="1" x14ac:dyDescent="0.25">
      <c r="B199" s="34"/>
      <c r="C199" s="45"/>
      <c r="D199" s="34"/>
      <c r="E199" s="34"/>
      <c r="G199" s="39"/>
      <c r="H199" s="40"/>
      <c r="I199" s="41"/>
      <c r="J199" s="41"/>
      <c r="L199" s="34">
        <v>192</v>
      </c>
      <c r="M199" s="35"/>
      <c r="N199" s="35"/>
      <c r="O199" s="34">
        <f>IFERROR(SUMIF(Table443[,],Table645[[#This Row],[Accounts Name]],Table443[,3]),"")</f>
        <v>0</v>
      </c>
      <c r="P199" s="34">
        <f>IFERROR(SUMIF(Table443[,],Table645[[#This Row],[Accounts Name]],Table443[,2]),"")</f>
        <v>0</v>
      </c>
      <c r="S199" s="36">
        <f t="shared" si="2"/>
        <v>192</v>
      </c>
      <c r="T199" s="34"/>
      <c r="U199" s="46"/>
      <c r="V199" s="34">
        <f>IFERROR(SUMIF(Table645[Sub-Accounts],Table846[[#This Row],[Update your chart of accounts here]],Table645[Debit]),"")</f>
        <v>0</v>
      </c>
      <c r="W199" s="34">
        <f>IFERROR(SUMIF(Table645[Sub-Accounts],Table846[[#This Row],[Update your chart of accounts here]],Table645[Credit]),"")</f>
        <v>0</v>
      </c>
      <c r="X199" s="34"/>
      <c r="Y199" s="34"/>
      <c r="Z199" s="34"/>
      <c r="AA199" s="34"/>
      <c r="AB199" s="34">
        <f>MAX(Table846[[#This Row],[Debit]]+Table846[[#This Row],[Debit -]]-Table846[[#This Row],[Credit]]-Table846[[#This Row],[Credit +]],0)</f>
        <v>0</v>
      </c>
      <c r="AC199" s="34">
        <f>MAX(Table846[[#This Row],[Credit]]-Table846[[#This Row],[Debit]]+Table846[[#This Row],[Credit +]]-Table846[[#This Row],[Debit -]],0)</f>
        <v>0</v>
      </c>
      <c r="AD199" s="34" t="str">
        <f>IFERROR(IF(AND(OR(Table846[[#This Row],[Classification]]="Expense",Table846[[#This Row],[Classification]]="Cost of Goods Sold"),Table846[[#This Row],[Debit\]]&gt;Table846[[#This Row],[Credit.]]),Table846[[#This Row],[Debit\]]-Table846[[#This Row],[Credit.]],""),"")</f>
        <v/>
      </c>
      <c r="AE199" s="34" t="str">
        <f>IFERROR(IF(AND(OR(Table846[[#This Row],[Classification]]="Income",Table846[[#This Row],[Classification]]="Cost of Goods Sold"),Table846[[#This Row],[Credit.]]&gt;Table846[[#This Row],[Debit\]]),Table846[[#This Row],[Credit.]]-Table846[[#This Row],[Debit\]],""),"")</f>
        <v/>
      </c>
      <c r="AF199" s="34"/>
      <c r="AG199" s="34" t="str">
        <f>IFERROR(IF(AND(Table846[[#This Row],[Classification]]="Assets",Table846[[#This Row],[Debit\]]-Table846[[#This Row],[Credit.]]),Table846[[#This Row],[Debit\]]-Table846[[#This Row],[Credit.]],""),"")</f>
        <v/>
      </c>
      <c r="AH199" s="34" t="str">
        <f>IFERROR(IF(AND(OR(Table846[[#This Row],[Classification]]="Liabilities",Table846[[#This Row],[Classification]]="Owner´s Equity"),Table846[[#This Row],[Credit.]]&gt;Table846[[#This Row],[Debit\]]),Table846[[#This Row],[Credit.]]-Table846[[#This Row],[Debit\]],""),"")</f>
        <v/>
      </c>
    </row>
    <row r="200" spans="2:38" hidden="1" x14ac:dyDescent="0.25">
      <c r="B200" s="34"/>
      <c r="C200" s="45"/>
      <c r="D200" s="34"/>
      <c r="E200" s="34"/>
      <c r="G200" s="39"/>
      <c r="H200" s="43"/>
      <c r="I200" s="41"/>
      <c r="J200" s="41"/>
      <c r="L200" s="34">
        <v>193</v>
      </c>
      <c r="M200" s="35"/>
      <c r="N200" s="35"/>
      <c r="O200" s="34">
        <f>IFERROR(SUMIF(Table443[,],Table645[[#This Row],[Accounts Name]],Table443[,3]),"")</f>
        <v>0</v>
      </c>
      <c r="P200" s="34">
        <f>IFERROR(SUMIF(Table443[,],Table645[[#This Row],[Accounts Name]],Table443[,2]),"")</f>
        <v>0</v>
      </c>
      <c r="S200" s="36">
        <f t="shared" si="2"/>
        <v>193</v>
      </c>
      <c r="T200" s="34"/>
      <c r="U200" s="47"/>
      <c r="V200" s="34">
        <f>IFERROR(SUMIF(Table645[Sub-Accounts],Table846[[#This Row],[Update your chart of accounts here]],Table645[Debit]),"")</f>
        <v>0</v>
      </c>
      <c r="W200" s="34">
        <f>IFERROR(SUMIF(Table645[Sub-Accounts],Table846[[#This Row],[Update your chart of accounts here]],Table645[Credit]),"")</f>
        <v>0</v>
      </c>
      <c r="X200" s="34"/>
      <c r="Y200" s="34"/>
      <c r="Z200" s="34"/>
      <c r="AA200" s="34"/>
      <c r="AB200" s="34">
        <f>MAX(Table846[[#This Row],[Debit]]+Table846[[#This Row],[Debit -]]-Table846[[#This Row],[Credit]]-Table846[[#This Row],[Credit +]],0)</f>
        <v>0</v>
      </c>
      <c r="AC200" s="34">
        <f>MAX(Table846[[#This Row],[Credit]]-Table846[[#This Row],[Debit]]+Table846[[#This Row],[Credit +]]-Table846[[#This Row],[Debit -]],0)</f>
        <v>0</v>
      </c>
      <c r="AD200" s="34" t="str">
        <f>IFERROR(IF(AND(OR(Table846[[#This Row],[Classification]]="Expense",Table846[[#This Row],[Classification]]="Cost of Goods Sold"),Table846[[#This Row],[Debit\]]&gt;Table846[[#This Row],[Credit.]]),Table846[[#This Row],[Debit\]]-Table846[[#This Row],[Credit.]],""),"")</f>
        <v/>
      </c>
      <c r="AE200" s="34" t="str">
        <f>IFERROR(IF(AND(OR(Table846[[#This Row],[Classification]]="Income",Table846[[#This Row],[Classification]]="Cost of Goods Sold"),Table846[[#This Row],[Credit.]]&gt;Table846[[#This Row],[Debit\]]),Table846[[#This Row],[Credit.]]-Table846[[#This Row],[Debit\]],""),"")</f>
        <v/>
      </c>
      <c r="AF200" s="34"/>
      <c r="AG200" s="34" t="str">
        <f>IFERROR(IF(AND(Table846[[#This Row],[Classification]]="Assets",Table846[[#This Row],[Debit\]]-Table846[[#This Row],[Credit.]]),Table846[[#This Row],[Debit\]]-Table846[[#This Row],[Credit.]],""),"")</f>
        <v/>
      </c>
      <c r="AH200" s="34" t="str">
        <f>IFERROR(IF(AND(OR(Table846[[#This Row],[Classification]]="Liabilities",Table846[[#This Row],[Classification]]="Owner´s Equity"),Table846[[#This Row],[Credit.]]&gt;Table846[[#This Row],[Debit\]]),Table846[[#This Row],[Credit.]]-Table846[[#This Row],[Debit\]],""),"")</f>
        <v/>
      </c>
      <c r="AI200" s="20" t="b">
        <f>Table846[[#Totals],[Debit .]]=Table846[[#Totals],[Credit'']]</f>
        <v>0</v>
      </c>
      <c r="AL200" s="20">
        <f>Table846[[#Totals],[Debit .]]-Table846[[#Totals],[Credit'']]</f>
        <v>0</v>
      </c>
    </row>
    <row r="201" spans="2:38" ht="15.75" thickBot="1" x14ac:dyDescent="0.3">
      <c r="B201" s="20" t="s">
        <v>60</v>
      </c>
      <c r="D201" s="57">
        <f>SUBTOTAL(109,Table443[,3])</f>
        <v>6373139.6100000003</v>
      </c>
      <c r="E201" s="57">
        <f>SUBTOTAL(109,Table443[,2])</f>
        <v>12625152.699999999</v>
      </c>
      <c r="G201" s="39"/>
      <c r="H201" s="40"/>
      <c r="I201" s="41"/>
      <c r="J201" s="41"/>
      <c r="L201" s="49" t="s">
        <v>60</v>
      </c>
      <c r="M201" s="35"/>
      <c r="N201" s="35"/>
      <c r="O201" s="48">
        <f>SUBTOTAL(109,Table645[Debit])</f>
        <v>8568388.6600000001</v>
      </c>
      <c r="P201" s="48">
        <f>SUBTOTAL(109,Table645[Credit])</f>
        <v>4047608.7</v>
      </c>
      <c r="S201" s="62" t="s">
        <v>60</v>
      </c>
      <c r="T201" s="63"/>
      <c r="U201" s="64"/>
      <c r="V201" s="63">
        <f>SUBTOTAL(109,Table846[Debit])</f>
        <v>33634688.240000002</v>
      </c>
      <c r="W201" s="63">
        <f>SUBTOTAL(109,Table846[Credit])</f>
        <v>33587719.600000001</v>
      </c>
      <c r="X201" s="63"/>
      <c r="Y201" s="63"/>
      <c r="Z201" s="63"/>
      <c r="AA201" s="63"/>
      <c r="AB201" s="63">
        <f>SUBTOTAL(109,Table846[Debit\])</f>
        <v>38476056.723225519</v>
      </c>
      <c r="AC201" s="63">
        <f>SUBTOTAL(109,Table846[Credit.])</f>
        <v>38476056.723225571</v>
      </c>
      <c r="AD201" s="63">
        <f>SUBTOTAL(109,Table846[[Debit ]])</f>
        <v>0</v>
      </c>
      <c r="AE201" s="63">
        <f>SUBTOTAL(109,Table846[Credit,])</f>
        <v>0</v>
      </c>
      <c r="AF201" s="63"/>
      <c r="AG201" s="63">
        <f>SUBTOTAL(109,Table846[Debit .])</f>
        <v>38476056.723225519</v>
      </c>
      <c r="AH201" s="63">
        <f>SUBTOTAL(109,Table846[Credit''])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42" priority="8">
      <formula>"Balanced"</formula>
    </cfRule>
  </conditionalFormatting>
  <dataValidations count="3">
    <dataValidation type="list" allowBlank="1" showInputMessage="1" showErrorMessage="1" sqref="T8:T200" xr:uid="{00000000-0002-0000-0F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F00-000001000000}">
      <formula1>P_LSub_Group</formula1>
    </dataValidation>
    <dataValidation type="list" allowBlank="1" showInputMessage="1" showErrorMessage="1" sqref="N8:N200" xr:uid="{00000000-0002-0000-0F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FE1E9103-83DD-445C-B5F9-0F0DE02328BF}">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780802E2-D539-47D7-BF92-3A58C2A23AAD}">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4011977A-F9DE-4558-B821-3D66671ABF3B}">
            <xm:f>NOT(ISERROR(SEARCH($T$407,T8)))</xm:f>
            <xm:f>$T$407</xm:f>
            <x14:dxf>
              <fill>
                <patternFill>
                  <bgColor rgb="FF7030A0"/>
                </patternFill>
              </fill>
            </x14:dxf>
          </x14:cfRule>
          <x14:cfRule type="containsText" priority="2" operator="containsText" id="{7EE57AC9-FAC0-4A5F-931D-B4604DB057F8}">
            <xm:f>NOT(ISERROR(SEARCH($T$406,T8)))</xm:f>
            <xm:f>$T$406</xm:f>
            <x14:dxf>
              <fill>
                <patternFill>
                  <bgColor rgb="FFFFFF00"/>
                </patternFill>
              </fill>
            </x14:dxf>
          </x14:cfRule>
          <x14:cfRule type="containsText" priority="3" operator="containsText" id="{80CDF372-2897-4309-91E8-4981C4F9C8A6}">
            <xm:f>NOT(ISERROR(SEARCH($T$405,T8)))</xm:f>
            <xm:f>$T$405</xm:f>
            <x14:dxf>
              <fill>
                <patternFill>
                  <bgColor rgb="FF00B050"/>
                </patternFill>
              </fill>
            </x14:dxf>
          </x14:cfRule>
          <x14:cfRule type="containsText" priority="4" operator="containsText" id="{7AAEF58B-6446-4DEB-812F-D312FC7E0D21}">
            <xm:f>NOT(ISERROR(SEARCH($T$404,T8)))</xm:f>
            <xm:f>$T$404</xm:f>
            <x14:dxf>
              <fill>
                <patternFill>
                  <bgColor theme="0"/>
                </patternFill>
              </fill>
            </x14:dxf>
          </x14:cfRule>
          <x14:cfRule type="containsText" priority="5" operator="containsText" id="{C005982D-D28B-4CDA-82E2-CDF15DD730C7}">
            <xm:f>NOT(ISERROR(SEARCH($T$403,T8)))</xm:f>
            <xm:f>$T$403</xm:f>
            <x14:dxf>
              <fill>
                <patternFill>
                  <bgColor rgb="FFFF0000"/>
                </patternFill>
              </fill>
            </x14:dxf>
          </x14:cfRule>
          <x14:cfRule type="containsText" priority="6" operator="containsText" id="{AE431EBD-E7F5-4ED6-B222-099C17F2B080}">
            <xm:f>NOT(ISERROR(SEARCH($T$402,T8)))</xm:f>
            <xm:f>$T$402</xm:f>
            <x14:dxf>
              <fill>
                <patternFill>
                  <bgColor theme="8" tint="-0.24994659260841701"/>
                </patternFill>
              </fill>
            </x14:dxf>
          </x14:cfRule>
          <xm:sqref>T8:T200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54"/>
  <sheetViews>
    <sheetView showGridLines="0" showRowColHeaders="0" zoomScaleNormal="100" workbookViewId="0">
      <selection activeCell="A69" sqref="A69"/>
    </sheetView>
  </sheetViews>
  <sheetFormatPr defaultRowHeight="17.25" customHeight="1" outlineLevelRow="1" x14ac:dyDescent="0.25"/>
  <cols>
    <col min="1" max="1" width="9.140625" style="20"/>
    <col min="2" max="2" width="34.5703125" style="20" customWidth="1"/>
    <col min="3" max="3" width="53.85546875" style="20" customWidth="1"/>
    <col min="4" max="4" width="53.7109375" style="20" customWidth="1"/>
    <col min="5" max="5" width="11" style="20" customWidth="1"/>
    <col min="6" max="6" width="19.42578125" style="20" bestFit="1" customWidth="1"/>
    <col min="7" max="7" width="19.7109375" style="20" customWidth="1"/>
    <col min="8" max="9" width="58.42578125" style="20" bestFit="1" customWidth="1"/>
    <col min="10" max="10" width="21.85546875" style="20" customWidth="1"/>
    <col min="11" max="11" width="21.5703125" style="20" customWidth="1"/>
    <col min="12" max="12" width="21.7109375" style="20" customWidth="1"/>
    <col min="13" max="16384" width="9.140625" style="20"/>
  </cols>
  <sheetData>
    <row r="1" spans="1:11" ht="15" x14ac:dyDescent="0.25">
      <c r="A1" s="73">
        <v>2021</v>
      </c>
    </row>
    <row r="2" spans="1:11" ht="15" hidden="1" outlineLevel="1" x14ac:dyDescent="0.25">
      <c r="H2" s="582"/>
      <c r="I2" s="582"/>
    </row>
    <row r="3" spans="1:11" ht="15" hidden="1" outlineLevel="1" x14ac:dyDescent="0.25">
      <c r="B3" s="592" t="s">
        <v>302</v>
      </c>
      <c r="C3" s="592"/>
      <c r="D3" s="592"/>
      <c r="E3" s="592"/>
    </row>
    <row r="4" spans="1:11" ht="15.75" hidden="1" outlineLevel="1" thickBot="1" x14ac:dyDescent="0.3"/>
    <row r="5" spans="1:11" ht="15.75" hidden="1" outlineLevel="1" thickTop="1" x14ac:dyDescent="0.25">
      <c r="B5" s="133"/>
      <c r="C5" s="134"/>
      <c r="D5" s="134"/>
      <c r="E5" s="135"/>
    </row>
    <row r="6" spans="1:11" ht="16.5" hidden="1" outlineLevel="1" x14ac:dyDescent="0.25">
      <c r="B6" s="593" t="s">
        <v>358</v>
      </c>
      <c r="C6" s="594"/>
      <c r="D6" s="594"/>
      <c r="E6" s="595"/>
    </row>
    <row r="7" spans="1:11" ht="15" hidden="1" outlineLevel="1" x14ac:dyDescent="0.25">
      <c r="B7" s="136"/>
      <c r="E7" s="137"/>
    </row>
    <row r="8" spans="1:11" ht="16.5" hidden="1" customHeight="1" outlineLevel="1" x14ac:dyDescent="0.25">
      <c r="B8" s="593" t="s">
        <v>359</v>
      </c>
      <c r="C8" s="594"/>
      <c r="D8" s="594"/>
      <c r="E8" s="595"/>
      <c r="F8" s="141"/>
      <c r="G8" s="141"/>
      <c r="H8" s="141"/>
      <c r="I8" s="141"/>
      <c r="J8" s="141"/>
      <c r="K8" s="141"/>
    </row>
    <row r="9" spans="1:11" ht="15" hidden="1" outlineLevel="1" x14ac:dyDescent="0.25">
      <c r="B9" s="136"/>
      <c r="E9" s="137"/>
    </row>
    <row r="10" spans="1:11" ht="16.5" hidden="1" outlineLevel="1" x14ac:dyDescent="0.25">
      <c r="B10" s="593" t="str">
        <f>"FOR THE YEAR ENDED 31ST DECEMBER "&amp;" "&amp;A1</f>
        <v>FOR THE YEAR ENDED 31ST DECEMBER  2021</v>
      </c>
      <c r="C10" s="594"/>
      <c r="D10" s="594"/>
      <c r="E10" s="595"/>
    </row>
    <row r="11" spans="1:11" ht="15" hidden="1" outlineLevel="1" x14ac:dyDescent="0.25">
      <c r="B11" s="596"/>
      <c r="C11" s="597"/>
      <c r="D11" s="597"/>
      <c r="E11" s="598"/>
    </row>
    <row r="12" spans="1:11" ht="15" hidden="1" outlineLevel="1" x14ac:dyDescent="0.25">
      <c r="B12" s="596"/>
      <c r="C12" s="597"/>
      <c r="D12" s="597"/>
      <c r="E12" s="598"/>
    </row>
    <row r="13" spans="1:11" ht="15" hidden="1" outlineLevel="1" x14ac:dyDescent="0.25">
      <c r="B13" s="596"/>
      <c r="C13" s="597"/>
      <c r="D13" s="597"/>
      <c r="E13" s="598"/>
    </row>
    <row r="14" spans="1:11" ht="15" hidden="1" outlineLevel="1" x14ac:dyDescent="0.25">
      <c r="B14" s="596"/>
      <c r="C14" s="597"/>
      <c r="D14" s="597"/>
      <c r="E14" s="598"/>
    </row>
    <row r="15" spans="1:11" ht="15" hidden="1" outlineLevel="1" x14ac:dyDescent="0.25">
      <c r="B15" s="596"/>
      <c r="C15" s="597"/>
      <c r="D15" s="597"/>
      <c r="E15" s="598"/>
    </row>
    <row r="16" spans="1:11" ht="15" hidden="1" outlineLevel="1" x14ac:dyDescent="0.25">
      <c r="B16" s="596"/>
      <c r="C16" s="597"/>
      <c r="D16" s="597"/>
      <c r="E16" s="598"/>
    </row>
    <row r="17" spans="2:5" ht="15" hidden="1" outlineLevel="1" x14ac:dyDescent="0.25">
      <c r="B17" s="596"/>
      <c r="C17" s="597"/>
      <c r="D17" s="597"/>
      <c r="E17" s="598"/>
    </row>
    <row r="18" spans="2:5" ht="15" hidden="1" outlineLevel="1" x14ac:dyDescent="0.25">
      <c r="B18" s="596"/>
      <c r="C18" s="597"/>
      <c r="D18" s="597"/>
      <c r="E18" s="598"/>
    </row>
    <row r="19" spans="2:5" ht="15" hidden="1" outlineLevel="1" x14ac:dyDescent="0.25">
      <c r="B19" s="596"/>
      <c r="C19" s="597"/>
      <c r="D19" s="597"/>
      <c r="E19" s="598"/>
    </row>
    <row r="20" spans="2:5" ht="15" hidden="1" outlineLevel="1" x14ac:dyDescent="0.25">
      <c r="B20" s="596"/>
      <c r="C20" s="597"/>
      <c r="D20" s="597"/>
      <c r="E20" s="598"/>
    </row>
    <row r="21" spans="2:5" ht="15" hidden="1" outlineLevel="1" x14ac:dyDescent="0.25">
      <c r="B21" s="596"/>
      <c r="C21" s="597"/>
      <c r="D21" s="597"/>
      <c r="E21" s="598"/>
    </row>
    <row r="22" spans="2:5" ht="15" hidden="1" outlineLevel="1" x14ac:dyDescent="0.25">
      <c r="B22" s="596"/>
      <c r="C22" s="597"/>
      <c r="D22" s="597"/>
      <c r="E22" s="598"/>
    </row>
    <row r="23" spans="2:5" ht="15" hidden="1" outlineLevel="1" x14ac:dyDescent="0.25">
      <c r="B23" s="596"/>
      <c r="C23" s="597"/>
      <c r="D23" s="597"/>
      <c r="E23" s="598"/>
    </row>
    <row r="24" spans="2:5" ht="15" hidden="1" outlineLevel="1" x14ac:dyDescent="0.25">
      <c r="B24" s="596"/>
      <c r="C24" s="597"/>
      <c r="D24" s="597"/>
      <c r="E24" s="598"/>
    </row>
    <row r="25" spans="2:5" ht="15" hidden="1" outlineLevel="1" x14ac:dyDescent="0.25">
      <c r="B25" s="596"/>
      <c r="C25" s="597"/>
      <c r="D25" s="597"/>
      <c r="E25" s="598"/>
    </row>
    <row r="26" spans="2:5" ht="15" hidden="1" outlineLevel="1" x14ac:dyDescent="0.25">
      <c r="B26" s="596"/>
      <c r="C26" s="597"/>
      <c r="D26" s="597"/>
      <c r="E26" s="598"/>
    </row>
    <row r="27" spans="2:5" ht="15" hidden="1" outlineLevel="1" x14ac:dyDescent="0.25">
      <c r="B27" s="596"/>
      <c r="C27" s="597"/>
      <c r="D27" s="597"/>
      <c r="E27" s="598"/>
    </row>
    <row r="28" spans="2:5" ht="15" hidden="1" outlineLevel="1" x14ac:dyDescent="0.25">
      <c r="B28" s="596"/>
      <c r="C28" s="597"/>
      <c r="D28" s="597"/>
      <c r="E28" s="598"/>
    </row>
    <row r="29" spans="2:5" ht="15" hidden="1" outlineLevel="1" x14ac:dyDescent="0.25">
      <c r="B29" s="596"/>
      <c r="C29" s="597"/>
      <c r="D29" s="597"/>
      <c r="E29" s="598"/>
    </row>
    <row r="30" spans="2:5" ht="15" hidden="1" outlineLevel="1" x14ac:dyDescent="0.25">
      <c r="B30" s="596"/>
      <c r="C30" s="597"/>
      <c r="D30" s="597"/>
      <c r="E30" s="598"/>
    </row>
    <row r="31" spans="2:5" ht="15" hidden="1" outlineLevel="1" x14ac:dyDescent="0.25">
      <c r="B31" s="596"/>
      <c r="C31" s="597"/>
      <c r="D31" s="597"/>
      <c r="E31" s="598"/>
    </row>
    <row r="32" spans="2:5" ht="15" hidden="1" outlineLevel="1" x14ac:dyDescent="0.25">
      <c r="B32" s="596"/>
      <c r="C32" s="597"/>
      <c r="D32" s="597"/>
      <c r="E32" s="598"/>
    </row>
    <row r="33" spans="2:5" ht="15" hidden="1" outlineLevel="1" x14ac:dyDescent="0.25">
      <c r="B33" s="596"/>
      <c r="C33" s="597"/>
      <c r="D33" s="597"/>
      <c r="E33" s="598"/>
    </row>
    <row r="34" spans="2:5" ht="15" hidden="1" outlineLevel="1" x14ac:dyDescent="0.25">
      <c r="B34" s="596"/>
      <c r="C34" s="597"/>
      <c r="D34" s="597"/>
      <c r="E34" s="598"/>
    </row>
    <row r="35" spans="2:5" ht="15" hidden="1" outlineLevel="1" x14ac:dyDescent="0.25">
      <c r="B35" s="596"/>
      <c r="C35" s="597"/>
      <c r="D35" s="597"/>
      <c r="E35" s="598"/>
    </row>
    <row r="36" spans="2:5" ht="15" hidden="1" outlineLevel="1" x14ac:dyDescent="0.25">
      <c r="B36" s="596"/>
      <c r="C36" s="597"/>
      <c r="D36" s="597"/>
      <c r="E36" s="598"/>
    </row>
    <row r="37" spans="2:5" ht="15" hidden="1" outlineLevel="1" x14ac:dyDescent="0.25">
      <c r="B37" s="596"/>
      <c r="C37" s="597"/>
      <c r="D37" s="597"/>
      <c r="E37" s="598"/>
    </row>
    <row r="38" spans="2:5" ht="15" hidden="1" outlineLevel="1" x14ac:dyDescent="0.25">
      <c r="B38" s="596"/>
      <c r="C38" s="597"/>
      <c r="D38" s="597"/>
      <c r="E38" s="598"/>
    </row>
    <row r="39" spans="2:5" ht="15" hidden="1" outlineLevel="1" x14ac:dyDescent="0.25">
      <c r="B39" s="596"/>
      <c r="C39" s="597"/>
      <c r="D39" s="597"/>
      <c r="E39" s="598"/>
    </row>
    <row r="40" spans="2:5" ht="15" hidden="1" outlineLevel="1" x14ac:dyDescent="0.25">
      <c r="B40" s="136"/>
      <c r="E40" s="137"/>
    </row>
    <row r="41" spans="2:5" ht="15" hidden="1" outlineLevel="1" x14ac:dyDescent="0.25">
      <c r="B41" s="136"/>
      <c r="E41" s="137"/>
    </row>
    <row r="42" spans="2:5" ht="15" hidden="1" outlineLevel="1" x14ac:dyDescent="0.25">
      <c r="B42" s="136"/>
      <c r="E42" s="137"/>
    </row>
    <row r="43" spans="2:5" ht="15" hidden="1" outlineLevel="1" x14ac:dyDescent="0.25">
      <c r="B43" s="136"/>
      <c r="E43" s="137"/>
    </row>
    <row r="44" spans="2:5" ht="15" hidden="1" outlineLevel="1" x14ac:dyDescent="0.25">
      <c r="B44" s="136"/>
      <c r="E44" s="137"/>
    </row>
    <row r="45" spans="2:5" ht="15" hidden="1" outlineLevel="1" x14ac:dyDescent="0.25">
      <c r="B45" s="136"/>
      <c r="E45" s="137"/>
    </row>
    <row r="46" spans="2:5" ht="15" hidden="1" outlineLevel="1" x14ac:dyDescent="0.25">
      <c r="B46" s="136"/>
      <c r="E46" s="137"/>
    </row>
    <row r="47" spans="2:5" ht="15" hidden="1" outlineLevel="1" x14ac:dyDescent="0.25">
      <c r="B47" s="136"/>
      <c r="E47" s="137"/>
    </row>
    <row r="48" spans="2:5" ht="15" hidden="1" outlineLevel="1" x14ac:dyDescent="0.25">
      <c r="B48" s="136"/>
      <c r="E48" s="137"/>
    </row>
    <row r="49" spans="2:12" ht="15" hidden="1" outlineLevel="1" x14ac:dyDescent="0.25">
      <c r="B49" s="136"/>
      <c r="E49" s="137"/>
    </row>
    <row r="50" spans="2:12" ht="15.75" hidden="1" outlineLevel="1" thickBot="1" x14ac:dyDescent="0.3">
      <c r="B50" s="138"/>
      <c r="C50" s="139"/>
      <c r="D50" s="139"/>
      <c r="E50" s="140"/>
    </row>
    <row r="51" spans="2:12" ht="15.75" hidden="1" outlineLevel="1" thickTop="1" x14ac:dyDescent="0.25"/>
    <row r="52" spans="2:12" ht="15" hidden="1" outlineLevel="1" x14ac:dyDescent="0.25"/>
    <row r="53" spans="2:12" ht="15" hidden="1" outlineLevel="1" x14ac:dyDescent="0.25"/>
    <row r="54" spans="2:12" ht="15" collapsed="1" x14ac:dyDescent="0.25"/>
    <row r="55" spans="2:12" ht="15.75" outlineLevel="1" thickBot="1" x14ac:dyDescent="0.3"/>
    <row r="56" spans="2:12" ht="26.25" customHeight="1" outlineLevel="1" x14ac:dyDescent="0.25">
      <c r="B56" s="583" t="s">
        <v>284</v>
      </c>
      <c r="C56" s="584"/>
      <c r="D56" s="584"/>
      <c r="E56" s="585"/>
      <c r="K56" s="72"/>
      <c r="L56" s="72"/>
    </row>
    <row r="57" spans="2:12" ht="19.5" outlineLevel="1" x14ac:dyDescent="0.25">
      <c r="B57" s="586" t="s">
        <v>285</v>
      </c>
      <c r="C57" s="587"/>
      <c r="D57" s="587"/>
      <c r="E57" s="588"/>
      <c r="K57" s="72"/>
      <c r="L57" s="72"/>
    </row>
    <row r="58" spans="2:12" ht="19.5" outlineLevel="1" x14ac:dyDescent="0.25">
      <c r="B58" s="589" t="str">
        <f>"For the year ended 31st December" &amp; " "&amp;A1</f>
        <v>For the year ended 31st December 2021</v>
      </c>
      <c r="C58" s="590"/>
      <c r="D58" s="590"/>
      <c r="E58" s="591"/>
      <c r="K58" s="72"/>
      <c r="L58" s="72"/>
    </row>
    <row r="59" spans="2:12" ht="17.25" customHeight="1" outlineLevel="1" x14ac:dyDescent="0.25">
      <c r="B59" s="78"/>
      <c r="E59" s="79"/>
      <c r="K59" s="74"/>
    </row>
    <row r="60" spans="2:12" ht="17.25" customHeight="1" outlineLevel="1" x14ac:dyDescent="0.25">
      <c r="B60" s="78"/>
      <c r="E60" s="79"/>
    </row>
    <row r="61" spans="2:12" ht="17.25" customHeight="1" outlineLevel="1" x14ac:dyDescent="0.25">
      <c r="B61" s="76"/>
      <c r="C61" s="89" t="s">
        <v>286</v>
      </c>
      <c r="D61" s="74"/>
      <c r="E61" s="90" t="s">
        <v>287</v>
      </c>
    </row>
    <row r="62" spans="2:12" ht="17.25" customHeight="1" outlineLevel="1" x14ac:dyDescent="0.25">
      <c r="B62" s="78"/>
      <c r="E62" s="83"/>
    </row>
    <row r="63" spans="2:12" ht="17.25" customHeight="1" outlineLevel="1" x14ac:dyDescent="0.25">
      <c r="B63" s="88">
        <v>1</v>
      </c>
      <c r="C63" s="94" t="s">
        <v>288</v>
      </c>
      <c r="E63" s="83">
        <v>1</v>
      </c>
    </row>
    <row r="64" spans="2:12" ht="17.25" customHeight="1" outlineLevel="1" x14ac:dyDescent="0.25">
      <c r="B64" s="88"/>
      <c r="C64" s="94"/>
      <c r="E64" s="83"/>
    </row>
    <row r="65" spans="2:6" ht="17.25" customHeight="1" outlineLevel="1" x14ac:dyDescent="0.25">
      <c r="B65" s="88">
        <v>2</v>
      </c>
      <c r="C65" s="94" t="s">
        <v>289</v>
      </c>
      <c r="E65" s="83">
        <v>2</v>
      </c>
    </row>
    <row r="66" spans="2:6" ht="17.25" customHeight="1" outlineLevel="1" x14ac:dyDescent="0.25">
      <c r="B66" s="88"/>
      <c r="C66" s="94"/>
      <c r="E66" s="83"/>
      <c r="F66" s="75"/>
    </row>
    <row r="67" spans="2:6" ht="17.25" customHeight="1" outlineLevel="1" x14ac:dyDescent="0.25">
      <c r="B67" s="88">
        <v>3</v>
      </c>
      <c r="C67" s="94" t="s">
        <v>290</v>
      </c>
      <c r="E67" s="83">
        <v>3</v>
      </c>
      <c r="F67" s="19"/>
    </row>
    <row r="68" spans="2:6" ht="17.25" customHeight="1" outlineLevel="1" x14ac:dyDescent="0.25">
      <c r="B68" s="88"/>
      <c r="C68" s="94"/>
      <c r="E68" s="83"/>
    </row>
    <row r="69" spans="2:6" ht="17.25" customHeight="1" outlineLevel="1" x14ac:dyDescent="0.25">
      <c r="B69" s="88">
        <v>4</v>
      </c>
      <c r="C69" s="94" t="s">
        <v>291</v>
      </c>
      <c r="E69" s="84" t="s">
        <v>297</v>
      </c>
    </row>
    <row r="70" spans="2:6" ht="17.25" customHeight="1" outlineLevel="1" x14ac:dyDescent="0.25">
      <c r="B70" s="88"/>
      <c r="C70" s="94"/>
      <c r="E70" s="77"/>
    </row>
    <row r="71" spans="2:6" ht="17.25" customHeight="1" outlineLevel="1" x14ac:dyDescent="0.25">
      <c r="B71" s="88">
        <v>5</v>
      </c>
      <c r="C71" s="94" t="s">
        <v>292</v>
      </c>
      <c r="E71" s="83">
        <v>6</v>
      </c>
    </row>
    <row r="72" spans="2:6" ht="17.25" customHeight="1" outlineLevel="1" x14ac:dyDescent="0.25">
      <c r="B72" s="88"/>
      <c r="C72" s="94"/>
      <c r="E72" s="77"/>
    </row>
    <row r="73" spans="2:6" ht="17.25" customHeight="1" outlineLevel="1" x14ac:dyDescent="0.25">
      <c r="B73" s="88">
        <v>6</v>
      </c>
      <c r="C73" s="95" t="s">
        <v>293</v>
      </c>
      <c r="E73" s="85">
        <v>7</v>
      </c>
    </row>
    <row r="74" spans="2:6" ht="17.25" customHeight="1" outlineLevel="1" x14ac:dyDescent="0.25">
      <c r="B74" s="88"/>
      <c r="C74" s="94"/>
      <c r="E74" s="77"/>
    </row>
    <row r="75" spans="2:6" ht="17.25" customHeight="1" outlineLevel="1" x14ac:dyDescent="0.25">
      <c r="B75" s="88">
        <v>7</v>
      </c>
      <c r="C75" s="94" t="s">
        <v>294</v>
      </c>
      <c r="E75" s="83">
        <v>8</v>
      </c>
    </row>
    <row r="76" spans="2:6" ht="17.25" customHeight="1" outlineLevel="1" x14ac:dyDescent="0.25">
      <c r="B76" s="88"/>
      <c r="C76" s="94"/>
      <c r="E76" s="83"/>
    </row>
    <row r="77" spans="2:6" ht="17.25" customHeight="1" outlineLevel="1" x14ac:dyDescent="0.25">
      <c r="B77" s="88">
        <v>8</v>
      </c>
      <c r="C77" s="95" t="s">
        <v>295</v>
      </c>
      <c r="E77" s="83">
        <v>9</v>
      </c>
    </row>
    <row r="78" spans="2:6" ht="17.25" customHeight="1" outlineLevel="1" x14ac:dyDescent="0.25">
      <c r="B78" s="88"/>
      <c r="C78" s="94"/>
      <c r="E78" s="83"/>
    </row>
    <row r="79" spans="2:6" ht="17.25" customHeight="1" outlineLevel="1" x14ac:dyDescent="0.25">
      <c r="B79" s="88">
        <v>9</v>
      </c>
      <c r="C79" s="95" t="s">
        <v>296</v>
      </c>
      <c r="E79" s="86" t="s">
        <v>298</v>
      </c>
    </row>
    <row r="80" spans="2:6" ht="17.25" customHeight="1" outlineLevel="1" x14ac:dyDescent="0.25">
      <c r="B80" s="87"/>
      <c r="E80" s="83"/>
    </row>
    <row r="81" spans="2:5" ht="17.25" customHeight="1" outlineLevel="1" x14ac:dyDescent="0.25">
      <c r="B81" s="599" t="s">
        <v>299</v>
      </c>
      <c r="C81" s="592"/>
      <c r="D81" s="592"/>
      <c r="E81" s="600"/>
    </row>
    <row r="82" spans="2:5" ht="17.25" customHeight="1" outlineLevel="1" x14ac:dyDescent="0.25">
      <c r="B82" s="601" t="s">
        <v>300</v>
      </c>
      <c r="C82" s="556"/>
      <c r="D82" s="556"/>
      <c r="E82" s="602"/>
    </row>
    <row r="83" spans="2:5" ht="17.25" customHeight="1" outlineLevel="1" x14ac:dyDescent="0.25">
      <c r="B83" s="599" t="s">
        <v>301</v>
      </c>
      <c r="C83" s="592"/>
      <c r="D83" s="592"/>
      <c r="E83" s="600"/>
    </row>
    <row r="84" spans="2:5" ht="17.25" customHeight="1" outlineLevel="1" x14ac:dyDescent="0.25">
      <c r="B84" s="78"/>
      <c r="E84" s="79"/>
    </row>
    <row r="85" spans="2:5" ht="17.25" customHeight="1" outlineLevel="1" x14ac:dyDescent="0.25">
      <c r="B85" s="78"/>
      <c r="E85" s="79"/>
    </row>
    <row r="86" spans="2:5" ht="17.25" customHeight="1" outlineLevel="1" x14ac:dyDescent="0.25">
      <c r="B86" s="78"/>
      <c r="E86" s="79"/>
    </row>
    <row r="87" spans="2:5" ht="17.25" customHeight="1" outlineLevel="1" x14ac:dyDescent="0.25">
      <c r="B87" s="78"/>
      <c r="E87" s="79"/>
    </row>
    <row r="88" spans="2:5" ht="17.25" customHeight="1" outlineLevel="1" x14ac:dyDescent="0.25">
      <c r="B88" s="78"/>
      <c r="E88" s="79"/>
    </row>
    <row r="89" spans="2:5" ht="17.25" customHeight="1" outlineLevel="1" x14ac:dyDescent="0.25">
      <c r="B89" s="78"/>
      <c r="E89" s="79"/>
    </row>
    <row r="90" spans="2:5" ht="17.25" customHeight="1" outlineLevel="1" x14ac:dyDescent="0.25">
      <c r="B90" s="78"/>
      <c r="E90" s="79"/>
    </row>
    <row r="91" spans="2:5" ht="17.25" customHeight="1" outlineLevel="1" x14ac:dyDescent="0.25">
      <c r="B91" s="78"/>
      <c r="E91" s="79"/>
    </row>
    <row r="92" spans="2:5" ht="17.25" customHeight="1" outlineLevel="1" x14ac:dyDescent="0.25">
      <c r="B92" s="78"/>
      <c r="E92" s="79"/>
    </row>
    <row r="93" spans="2:5" ht="17.25" customHeight="1" outlineLevel="1" thickBot="1" x14ac:dyDescent="0.3">
      <c r="B93" s="80"/>
      <c r="C93" s="81"/>
      <c r="D93" s="81"/>
      <c r="E93" s="82"/>
    </row>
    <row r="94" spans="2:5" ht="17.25" customHeight="1" outlineLevel="1" x14ac:dyDescent="0.25"/>
    <row r="95" spans="2:5" ht="17.25" customHeight="1" outlineLevel="1" x14ac:dyDescent="0.25"/>
    <row r="96" spans="2:5" ht="17.25" customHeight="1" outlineLevel="1" x14ac:dyDescent="0.25"/>
    <row r="98" spans="2:5" ht="17.25" hidden="1" customHeight="1" outlineLevel="1" thickBot="1" x14ac:dyDescent="0.3"/>
    <row r="99" spans="2:5" ht="17.25" hidden="1" customHeight="1" outlineLevel="1" x14ac:dyDescent="0.25">
      <c r="B99" s="557" t="s">
        <v>284</v>
      </c>
      <c r="C99" s="558"/>
      <c r="D99" s="558"/>
      <c r="E99" s="559"/>
    </row>
    <row r="100" spans="2:5" ht="17.25" hidden="1" customHeight="1" outlineLevel="1" x14ac:dyDescent="0.25">
      <c r="B100" s="560" t="s">
        <v>303</v>
      </c>
      <c r="C100" s="561"/>
      <c r="D100" s="561"/>
      <c r="E100" s="562"/>
    </row>
    <row r="101" spans="2:5" ht="17.25" hidden="1" customHeight="1" outlineLevel="1" x14ac:dyDescent="0.25">
      <c r="B101" s="553" t="str">
        <f>"For the year ended 31st December" &amp; " "&amp;F43</f>
        <v xml:space="preserve">For the year ended 31st December </v>
      </c>
      <c r="C101" s="554"/>
      <c r="D101" s="554"/>
      <c r="E101" s="555"/>
    </row>
    <row r="102" spans="2:5" ht="17.25" hidden="1" customHeight="1" outlineLevel="1" x14ac:dyDescent="0.25">
      <c r="B102" s="78"/>
      <c r="E102" s="79"/>
    </row>
    <row r="103" spans="2:5" ht="17.25" hidden="1" customHeight="1" outlineLevel="1" x14ac:dyDescent="0.25">
      <c r="B103" s="78"/>
      <c r="E103" s="79"/>
    </row>
    <row r="104" spans="2:5" ht="17.25" hidden="1" customHeight="1" outlineLevel="1" x14ac:dyDescent="0.25">
      <c r="B104" s="76">
        <v>1</v>
      </c>
      <c r="C104" s="96" t="s">
        <v>304</v>
      </c>
      <c r="D104" s="74"/>
      <c r="E104" s="90"/>
    </row>
    <row r="105" spans="2:5" ht="17.25" hidden="1" customHeight="1" outlineLevel="1" x14ac:dyDescent="0.25">
      <c r="B105" s="78"/>
      <c r="E105" s="83"/>
    </row>
    <row r="106" spans="2:5" ht="17.25" hidden="1" customHeight="1" outlineLevel="1" x14ac:dyDescent="0.25">
      <c r="B106" s="88"/>
      <c r="C106" s="94"/>
      <c r="E106" s="83"/>
    </row>
    <row r="107" spans="2:5" ht="17.25" hidden="1" customHeight="1" outlineLevel="1" x14ac:dyDescent="0.25">
      <c r="B107" s="88"/>
      <c r="C107" s="94"/>
      <c r="E107" s="83"/>
    </row>
    <row r="108" spans="2:5" ht="17.25" hidden="1" customHeight="1" outlineLevel="1" x14ac:dyDescent="0.25">
      <c r="B108" s="88"/>
      <c r="C108" s="94"/>
      <c r="E108" s="83"/>
    </row>
    <row r="109" spans="2:5" ht="17.25" hidden="1" customHeight="1" outlineLevel="1" x14ac:dyDescent="0.25">
      <c r="B109" s="88"/>
      <c r="C109" s="94"/>
      <c r="E109" s="83"/>
    </row>
    <row r="110" spans="2:5" ht="17.25" hidden="1" customHeight="1" outlineLevel="1" x14ac:dyDescent="0.25">
      <c r="B110" s="88"/>
      <c r="C110" s="94"/>
      <c r="E110" s="83"/>
    </row>
    <row r="111" spans="2:5" ht="17.25" hidden="1" customHeight="1" outlineLevel="1" x14ac:dyDescent="0.25">
      <c r="B111" s="88">
        <v>2</v>
      </c>
      <c r="C111" s="96" t="s">
        <v>305</v>
      </c>
      <c r="E111" s="83"/>
    </row>
    <row r="112" spans="2:5" ht="17.25" hidden="1" customHeight="1" outlineLevel="1" x14ac:dyDescent="0.25">
      <c r="B112" s="88"/>
      <c r="C112" s="94"/>
      <c r="D112" s="92"/>
      <c r="E112" s="84"/>
    </row>
    <row r="113" spans="2:5" ht="17.25" hidden="1" customHeight="1" outlineLevel="1" x14ac:dyDescent="0.25">
      <c r="B113" s="88"/>
      <c r="C113" s="94"/>
      <c r="D113" s="92"/>
      <c r="E113" s="77"/>
    </row>
    <row r="114" spans="2:5" ht="17.25" hidden="1" customHeight="1" outlineLevel="1" x14ac:dyDescent="0.25">
      <c r="B114" s="88"/>
      <c r="C114" s="94"/>
      <c r="E114" s="83"/>
    </row>
    <row r="115" spans="2:5" ht="17.25" hidden="1" customHeight="1" outlineLevel="1" x14ac:dyDescent="0.25">
      <c r="B115" s="88"/>
      <c r="C115" s="94"/>
      <c r="E115" s="77"/>
    </row>
    <row r="116" spans="2:5" ht="17.25" hidden="1" customHeight="1" outlineLevel="1" x14ac:dyDescent="0.25">
      <c r="B116" s="88"/>
      <c r="C116" s="95"/>
      <c r="E116" s="85"/>
    </row>
    <row r="117" spans="2:5" ht="17.25" hidden="1" customHeight="1" outlineLevel="1" x14ac:dyDescent="0.25">
      <c r="B117" s="88">
        <v>3</v>
      </c>
      <c r="C117" s="97" t="s">
        <v>306</v>
      </c>
      <c r="E117" s="77"/>
    </row>
    <row r="118" spans="2:5" ht="17.25" hidden="1" customHeight="1" outlineLevel="1" x14ac:dyDescent="0.25">
      <c r="B118" s="88"/>
      <c r="C118" s="94"/>
      <c r="E118" s="83"/>
    </row>
    <row r="119" spans="2:5" ht="17.25" hidden="1" customHeight="1" outlineLevel="1" x14ac:dyDescent="0.25">
      <c r="B119" s="88"/>
      <c r="C119" s="94"/>
      <c r="E119" s="83"/>
    </row>
    <row r="120" spans="2:5" ht="17.25" hidden="1" customHeight="1" outlineLevel="1" x14ac:dyDescent="0.25">
      <c r="B120" s="88"/>
      <c r="C120" s="95"/>
      <c r="E120" s="83"/>
    </row>
    <row r="121" spans="2:5" ht="17.25" hidden="1" customHeight="1" outlineLevel="1" x14ac:dyDescent="0.25">
      <c r="B121" s="88"/>
      <c r="C121" s="94"/>
      <c r="E121" s="83"/>
    </row>
    <row r="122" spans="2:5" ht="17.25" hidden="1" customHeight="1" outlineLevel="1" x14ac:dyDescent="0.25">
      <c r="B122" s="88"/>
      <c r="C122" s="95"/>
      <c r="E122" s="86"/>
    </row>
    <row r="123" spans="2:5" ht="17.25" hidden="1" customHeight="1" outlineLevel="1" x14ac:dyDescent="0.25">
      <c r="B123" s="88">
        <v>4</v>
      </c>
      <c r="C123" s="96" t="s">
        <v>307</v>
      </c>
      <c r="E123" s="83"/>
    </row>
    <row r="124" spans="2:5" ht="17.25" hidden="1" customHeight="1" outlineLevel="1" x14ac:dyDescent="0.25">
      <c r="B124" s="87"/>
      <c r="C124" s="556"/>
      <c r="D124" s="556"/>
      <c r="E124" s="79"/>
    </row>
    <row r="125" spans="2:5" ht="17.25" hidden="1" customHeight="1" outlineLevel="1" x14ac:dyDescent="0.25">
      <c r="B125" s="87"/>
      <c r="E125" s="83"/>
    </row>
    <row r="126" spans="2:5" ht="17.25" hidden="1" customHeight="1" outlineLevel="1" x14ac:dyDescent="0.25">
      <c r="B126" s="87"/>
      <c r="E126" s="79"/>
    </row>
    <row r="127" spans="2:5" ht="17.25" hidden="1" customHeight="1" outlineLevel="1" x14ac:dyDescent="0.25">
      <c r="B127" s="88">
        <v>5</v>
      </c>
      <c r="C127" s="96" t="s">
        <v>308</v>
      </c>
      <c r="E127" s="79"/>
    </row>
    <row r="128" spans="2:5" ht="17.25" hidden="1" customHeight="1" outlineLevel="1" x14ac:dyDescent="0.25">
      <c r="B128" s="78"/>
      <c r="E128" s="79"/>
    </row>
    <row r="129" spans="2:5" ht="17.25" hidden="1" customHeight="1" outlineLevel="1" x14ac:dyDescent="0.25">
      <c r="B129" s="78"/>
      <c r="E129" s="79"/>
    </row>
    <row r="130" spans="2:5" ht="17.25" hidden="1" customHeight="1" outlineLevel="1" x14ac:dyDescent="0.25">
      <c r="B130" s="78"/>
      <c r="E130" s="79"/>
    </row>
    <row r="131" spans="2:5" ht="17.25" hidden="1" customHeight="1" outlineLevel="1" x14ac:dyDescent="0.25">
      <c r="B131" s="78"/>
      <c r="E131" s="79"/>
    </row>
    <row r="132" spans="2:5" ht="17.25" hidden="1" customHeight="1" outlineLevel="1" x14ac:dyDescent="0.25">
      <c r="B132" s="78"/>
      <c r="E132" s="79"/>
    </row>
    <row r="133" spans="2:5" ht="17.25" hidden="1" customHeight="1" outlineLevel="1" x14ac:dyDescent="0.25">
      <c r="B133" s="78"/>
      <c r="E133" s="79"/>
    </row>
    <row r="134" spans="2:5" ht="17.25" hidden="1" customHeight="1" outlineLevel="1" x14ac:dyDescent="0.25">
      <c r="B134" s="78"/>
      <c r="E134" s="79"/>
    </row>
    <row r="135" spans="2:5" ht="17.25" hidden="1" customHeight="1" outlineLevel="1" x14ac:dyDescent="0.25">
      <c r="B135" s="78"/>
      <c r="E135" s="79"/>
    </row>
    <row r="136" spans="2:5" ht="17.25" hidden="1" customHeight="1" outlineLevel="1" x14ac:dyDescent="0.25">
      <c r="B136" s="78"/>
      <c r="E136" s="79"/>
    </row>
    <row r="137" spans="2:5" ht="17.25" hidden="1" customHeight="1" outlineLevel="1" x14ac:dyDescent="0.25">
      <c r="B137" s="78"/>
      <c r="E137" s="79"/>
    </row>
    <row r="138" spans="2:5" ht="17.25" hidden="1" customHeight="1" outlineLevel="1" x14ac:dyDescent="0.25">
      <c r="B138" s="78"/>
      <c r="E138" s="79"/>
    </row>
    <row r="139" spans="2:5" ht="17.25" hidden="1" customHeight="1" outlineLevel="1" x14ac:dyDescent="0.25">
      <c r="B139" s="78"/>
      <c r="E139" s="79"/>
    </row>
    <row r="140" spans="2:5" ht="17.25" hidden="1" customHeight="1" outlineLevel="1" x14ac:dyDescent="0.25">
      <c r="B140" s="78"/>
      <c r="E140" s="79"/>
    </row>
    <row r="141" spans="2:5" ht="17.25" hidden="1" customHeight="1" outlineLevel="1" x14ac:dyDescent="0.25">
      <c r="B141" s="78"/>
      <c r="E141" s="79"/>
    </row>
    <row r="142" spans="2:5" ht="17.25" hidden="1" customHeight="1" outlineLevel="1" x14ac:dyDescent="0.25">
      <c r="B142" s="78"/>
      <c r="E142" s="79"/>
    </row>
    <row r="143" spans="2:5" ht="17.25" hidden="1" customHeight="1" outlineLevel="1" x14ac:dyDescent="0.25">
      <c r="B143" s="78"/>
      <c r="E143" s="79"/>
    </row>
    <row r="144" spans="2:5" ht="17.25" hidden="1" customHeight="1" outlineLevel="1" x14ac:dyDescent="0.25">
      <c r="B144" s="88">
        <v>6</v>
      </c>
      <c r="C144" s="96" t="s">
        <v>309</v>
      </c>
      <c r="E144" s="79"/>
    </row>
    <row r="145" spans="2:5" ht="17.25" hidden="1" customHeight="1" outlineLevel="1" x14ac:dyDescent="0.25">
      <c r="B145" s="78"/>
      <c r="E145" s="79"/>
    </row>
    <row r="146" spans="2:5" ht="17.25" hidden="1" customHeight="1" outlineLevel="1" x14ac:dyDescent="0.25">
      <c r="B146" s="78"/>
      <c r="E146" s="79"/>
    </row>
    <row r="147" spans="2:5" ht="17.25" hidden="1" customHeight="1" outlineLevel="1" x14ac:dyDescent="0.25">
      <c r="B147" s="78"/>
      <c r="E147" s="79"/>
    </row>
    <row r="148" spans="2:5" ht="17.25" hidden="1" customHeight="1" outlineLevel="1" x14ac:dyDescent="0.25">
      <c r="B148" s="78"/>
      <c r="E148" s="79"/>
    </row>
    <row r="149" spans="2:5" ht="17.25" hidden="1" customHeight="1" outlineLevel="1" thickBot="1" x14ac:dyDescent="0.3">
      <c r="B149" s="80"/>
      <c r="C149" s="81"/>
      <c r="D149" s="81"/>
      <c r="E149" s="82"/>
    </row>
    <row r="150" spans="2:5" ht="17.25" hidden="1" customHeight="1" outlineLevel="1" x14ac:dyDescent="0.25"/>
    <row r="151" spans="2:5" ht="17.25" hidden="1" customHeight="1" outlineLevel="1" x14ac:dyDescent="0.25"/>
    <row r="152" spans="2:5" ht="17.25" hidden="1" customHeight="1" outlineLevel="1" x14ac:dyDescent="0.25"/>
    <row r="153" spans="2:5" ht="17.25" customHeight="1" collapsed="1" x14ac:dyDescent="0.25"/>
    <row r="154" spans="2:5" ht="17.25" hidden="1" customHeight="1" outlineLevel="1" thickBot="1" x14ac:dyDescent="0.3"/>
    <row r="155" spans="2:5" ht="17.25" hidden="1" customHeight="1" outlineLevel="1" x14ac:dyDescent="0.25">
      <c r="B155" s="557" t="s">
        <v>284</v>
      </c>
      <c r="C155" s="558"/>
      <c r="D155" s="558"/>
      <c r="E155" s="559"/>
    </row>
    <row r="156" spans="2:5" ht="17.25" hidden="1" customHeight="1" outlineLevel="1" x14ac:dyDescent="0.25">
      <c r="B156" s="560" t="s">
        <v>310</v>
      </c>
      <c r="C156" s="561"/>
      <c r="D156" s="561"/>
      <c r="E156" s="562"/>
    </row>
    <row r="157" spans="2:5" ht="17.25" hidden="1" customHeight="1" outlineLevel="1" x14ac:dyDescent="0.25">
      <c r="B157" s="553" t="str">
        <f>"For the year ended 31st December" &amp; " "&amp;F87</f>
        <v xml:space="preserve">For the year ended 31st December </v>
      </c>
      <c r="C157" s="554"/>
      <c r="D157" s="554"/>
      <c r="E157" s="555"/>
    </row>
    <row r="158" spans="2:5" ht="17.25" hidden="1" customHeight="1" outlineLevel="1" x14ac:dyDescent="0.25">
      <c r="B158" s="78"/>
      <c r="E158" s="79"/>
    </row>
    <row r="159" spans="2:5" ht="17.25" hidden="1" customHeight="1" outlineLevel="1" x14ac:dyDescent="0.25">
      <c r="B159" s="78"/>
      <c r="E159" s="79"/>
    </row>
    <row r="160" spans="2:5" ht="17.25" hidden="1" customHeight="1" outlineLevel="1" x14ac:dyDescent="0.25">
      <c r="B160" s="563" t="s">
        <v>342</v>
      </c>
      <c r="C160" s="564"/>
      <c r="D160" s="564"/>
      <c r="E160" s="565"/>
    </row>
    <row r="161" spans="2:5" ht="17.25" hidden="1" customHeight="1" outlineLevel="1" x14ac:dyDescent="0.25">
      <c r="B161" s="566"/>
      <c r="C161" s="564"/>
      <c r="D161" s="564"/>
      <c r="E161" s="565"/>
    </row>
    <row r="162" spans="2:5" ht="17.25" hidden="1" customHeight="1" outlineLevel="1" x14ac:dyDescent="0.25">
      <c r="B162" s="98"/>
      <c r="C162" s="99"/>
      <c r="D162" s="99"/>
      <c r="E162" s="100"/>
    </row>
    <row r="163" spans="2:5" ht="17.25" hidden="1" customHeight="1" outlineLevel="1" x14ac:dyDescent="0.25">
      <c r="B163" s="549" t="s">
        <v>311</v>
      </c>
      <c r="C163" s="550"/>
      <c r="D163" s="550"/>
      <c r="E163" s="551"/>
    </row>
    <row r="164" spans="2:5" ht="17.25" hidden="1" customHeight="1" outlineLevel="1" x14ac:dyDescent="0.25">
      <c r="B164" s="98"/>
      <c r="C164" s="99"/>
      <c r="D164" s="99"/>
      <c r="E164" s="100"/>
    </row>
    <row r="165" spans="2:5" ht="17.25" hidden="1" customHeight="1" outlineLevel="1" x14ac:dyDescent="0.25">
      <c r="B165" s="567" t="s">
        <v>360</v>
      </c>
      <c r="C165" s="568"/>
      <c r="D165" s="568"/>
      <c r="E165" s="569"/>
    </row>
    <row r="166" spans="2:5" ht="17.25" hidden="1" customHeight="1" outlineLevel="1" x14ac:dyDescent="0.25">
      <c r="B166" s="567"/>
      <c r="C166" s="568"/>
      <c r="D166" s="568"/>
      <c r="E166" s="569"/>
    </row>
    <row r="167" spans="2:5" ht="17.25" hidden="1" customHeight="1" outlineLevel="1" x14ac:dyDescent="0.25">
      <c r="B167" s="88"/>
      <c r="C167" s="94"/>
      <c r="E167" s="83"/>
    </row>
    <row r="168" spans="2:5" ht="17.25" hidden="1" customHeight="1" outlineLevel="1" x14ac:dyDescent="0.25">
      <c r="B168" s="101" t="s">
        <v>312</v>
      </c>
      <c r="C168" s="99"/>
      <c r="D168" s="99"/>
      <c r="E168" s="100"/>
    </row>
    <row r="169" spans="2:5" ht="17.25" hidden="1" customHeight="1" outlineLevel="1" x14ac:dyDescent="0.25">
      <c r="B169" s="98"/>
      <c r="C169" s="99"/>
      <c r="D169" s="99"/>
      <c r="E169" s="100"/>
    </row>
    <row r="170" spans="2:5" ht="17.25" hidden="1" customHeight="1" outlineLevel="1" x14ac:dyDescent="0.25">
      <c r="B170" s="576" t="s">
        <v>313</v>
      </c>
      <c r="C170" s="577"/>
      <c r="D170" s="577"/>
      <c r="E170" s="578"/>
    </row>
    <row r="171" spans="2:5" ht="17.25" hidden="1" customHeight="1" outlineLevel="1" x14ac:dyDescent="0.25">
      <c r="B171" s="98"/>
      <c r="C171" s="99"/>
      <c r="D171" s="99"/>
      <c r="E171" s="100"/>
    </row>
    <row r="172" spans="2:5" ht="17.25" hidden="1" customHeight="1" outlineLevel="1" x14ac:dyDescent="0.25">
      <c r="B172" s="101" t="s">
        <v>314</v>
      </c>
      <c r="C172" s="99"/>
      <c r="D172" s="99"/>
      <c r="E172" s="100"/>
    </row>
    <row r="173" spans="2:5" ht="17.25" hidden="1" customHeight="1" outlineLevel="1" x14ac:dyDescent="0.25">
      <c r="B173" s="98"/>
      <c r="C173" s="99"/>
      <c r="D173" s="99"/>
      <c r="E173" s="100"/>
    </row>
    <row r="174" spans="2:5" ht="17.25" hidden="1" customHeight="1" outlineLevel="1" x14ac:dyDescent="0.25">
      <c r="B174" s="563" t="s">
        <v>542</v>
      </c>
      <c r="C174" s="564"/>
      <c r="D174" s="564"/>
      <c r="E174" s="565"/>
    </row>
    <row r="175" spans="2:5" ht="17.25" hidden="1" customHeight="1" outlineLevel="1" x14ac:dyDescent="0.25">
      <c r="B175" s="566"/>
      <c r="C175" s="564"/>
      <c r="D175" s="564"/>
      <c r="E175" s="565"/>
    </row>
    <row r="176" spans="2:5" ht="17.25" hidden="1" customHeight="1" outlineLevel="1" x14ac:dyDescent="0.25">
      <c r="B176" s="88"/>
      <c r="C176" s="95"/>
      <c r="E176" s="83"/>
    </row>
    <row r="177" spans="2:5" ht="17.25" hidden="1" customHeight="1" outlineLevel="1" x14ac:dyDescent="0.25">
      <c r="B177" s="101" t="s">
        <v>315</v>
      </c>
      <c r="C177" s="99"/>
      <c r="D177" s="99"/>
      <c r="E177" s="100"/>
    </row>
    <row r="178" spans="2:5" ht="17.25" hidden="1" customHeight="1" outlineLevel="1" x14ac:dyDescent="0.25">
      <c r="B178" s="98"/>
      <c r="C178" s="99"/>
      <c r="D178" s="99"/>
      <c r="E178" s="100"/>
    </row>
    <row r="179" spans="2:5" ht="17.25" hidden="1" customHeight="1" outlineLevel="1" x14ac:dyDescent="0.25">
      <c r="B179" s="98" t="s">
        <v>316</v>
      </c>
      <c r="C179" s="99"/>
      <c r="D179" s="99"/>
      <c r="E179" s="100"/>
    </row>
    <row r="180" spans="2:5" ht="17.25" hidden="1" customHeight="1" outlineLevel="1" x14ac:dyDescent="0.25">
      <c r="B180" s="102"/>
      <c r="C180" s="99"/>
      <c r="D180" s="99"/>
      <c r="E180" s="100"/>
    </row>
    <row r="181" spans="2:5" ht="17.25" hidden="1" customHeight="1" outlineLevel="1" x14ac:dyDescent="0.25">
      <c r="B181" s="101" t="s">
        <v>317</v>
      </c>
      <c r="C181" s="99"/>
      <c r="D181" s="99"/>
      <c r="E181" s="100"/>
    </row>
    <row r="182" spans="2:5" ht="17.25" hidden="1" customHeight="1" outlineLevel="1" x14ac:dyDescent="0.25">
      <c r="B182" s="570" t="s">
        <v>339</v>
      </c>
      <c r="C182" s="571"/>
      <c r="D182" s="571"/>
      <c r="E182" s="572"/>
    </row>
    <row r="183" spans="2:5" ht="17.25" hidden="1" customHeight="1" outlineLevel="1" x14ac:dyDescent="0.25">
      <c r="B183" s="570"/>
      <c r="C183" s="571"/>
      <c r="D183" s="571"/>
      <c r="E183" s="572"/>
    </row>
    <row r="184" spans="2:5" ht="17.25" hidden="1" customHeight="1" outlineLevel="1" x14ac:dyDescent="0.25">
      <c r="B184" s="570"/>
      <c r="C184" s="571"/>
      <c r="D184" s="571"/>
      <c r="E184" s="572"/>
    </row>
    <row r="185" spans="2:5" ht="17.25" hidden="1" customHeight="1" outlineLevel="1" x14ac:dyDescent="0.25">
      <c r="B185" s="570"/>
      <c r="C185" s="571"/>
      <c r="D185" s="571"/>
      <c r="E185" s="572"/>
    </row>
    <row r="186" spans="2:5" ht="17.25" hidden="1" customHeight="1" outlineLevel="1" x14ac:dyDescent="0.25">
      <c r="B186" s="570"/>
      <c r="C186" s="571"/>
      <c r="D186" s="571"/>
      <c r="E186" s="572"/>
    </row>
    <row r="187" spans="2:5" ht="17.25" hidden="1" customHeight="1" outlineLevel="1" x14ac:dyDescent="0.25">
      <c r="B187" s="570"/>
      <c r="C187" s="571"/>
      <c r="D187" s="571"/>
      <c r="E187" s="572"/>
    </row>
    <row r="188" spans="2:5" ht="17.25" hidden="1" customHeight="1" outlineLevel="1" x14ac:dyDescent="0.25">
      <c r="B188" s="103"/>
      <c r="C188" s="104"/>
      <c r="D188" s="104"/>
      <c r="E188" s="105"/>
    </row>
    <row r="189" spans="2:5" ht="17.25" hidden="1" customHeight="1" outlineLevel="1" x14ac:dyDescent="0.25">
      <c r="B189" s="579" t="s">
        <v>318</v>
      </c>
      <c r="C189" s="580"/>
      <c r="D189" s="580"/>
      <c r="E189" s="581"/>
    </row>
    <row r="190" spans="2:5" ht="17.25" hidden="1" customHeight="1" outlineLevel="1" x14ac:dyDescent="0.25">
      <c r="B190" s="573" t="s">
        <v>543</v>
      </c>
      <c r="C190" s="574"/>
      <c r="D190" s="574"/>
      <c r="E190" s="575"/>
    </row>
    <row r="191" spans="2:5" ht="17.25" hidden="1" customHeight="1" outlineLevel="1" x14ac:dyDescent="0.25">
      <c r="B191" s="573"/>
      <c r="C191" s="574"/>
      <c r="D191" s="574"/>
      <c r="E191" s="575"/>
    </row>
    <row r="192" spans="2:5" ht="17.25" hidden="1" customHeight="1" outlineLevel="1" x14ac:dyDescent="0.25">
      <c r="B192" s="573"/>
      <c r="C192" s="574"/>
      <c r="D192" s="574"/>
      <c r="E192" s="575"/>
    </row>
    <row r="193" spans="2:5" ht="17.25" hidden="1" customHeight="1" outlineLevel="1" x14ac:dyDescent="0.25">
      <c r="B193" s="573"/>
      <c r="C193" s="574"/>
      <c r="D193" s="574"/>
      <c r="E193" s="575"/>
    </row>
    <row r="194" spans="2:5" ht="17.25" hidden="1" customHeight="1" outlineLevel="1" x14ac:dyDescent="0.25">
      <c r="B194" s="573"/>
      <c r="C194" s="574"/>
      <c r="D194" s="574"/>
      <c r="E194" s="575"/>
    </row>
    <row r="195" spans="2:5" ht="17.25" hidden="1" customHeight="1" outlineLevel="1" x14ac:dyDescent="0.25">
      <c r="B195" s="573"/>
      <c r="C195" s="574"/>
      <c r="D195" s="574"/>
      <c r="E195" s="575"/>
    </row>
    <row r="196" spans="2:5" ht="17.25" hidden="1" customHeight="1" outlineLevel="1" x14ac:dyDescent="0.25">
      <c r="B196" s="106"/>
      <c r="C196" s="104"/>
      <c r="D196" s="104"/>
      <c r="E196" s="105"/>
    </row>
    <row r="197" spans="2:5" ht="17.25" hidden="1" customHeight="1" outlineLevel="1" x14ac:dyDescent="0.25">
      <c r="B197" s="546" t="s">
        <v>319</v>
      </c>
      <c r="C197" s="547"/>
      <c r="D197" s="547"/>
      <c r="E197" s="548"/>
    </row>
    <row r="198" spans="2:5" ht="17.25" hidden="1" customHeight="1" outlineLevel="1" x14ac:dyDescent="0.25">
      <c r="B198" s="102"/>
      <c r="C198" s="99"/>
      <c r="D198" s="99"/>
      <c r="E198" s="100"/>
    </row>
    <row r="199" spans="2:5" ht="17.25" hidden="1" customHeight="1" outlineLevel="1" x14ac:dyDescent="0.25">
      <c r="B199" s="102"/>
      <c r="C199" s="99"/>
      <c r="D199" s="99"/>
      <c r="E199" s="100"/>
    </row>
    <row r="200" spans="2:5" ht="17.25" hidden="1" customHeight="1" outlineLevel="1" x14ac:dyDescent="0.25">
      <c r="B200" s="546" t="s">
        <v>320</v>
      </c>
      <c r="C200" s="547"/>
      <c r="D200" s="547"/>
      <c r="E200" s="548"/>
    </row>
    <row r="201" spans="2:5" ht="17.25" hidden="1" customHeight="1" outlineLevel="1" x14ac:dyDescent="0.25">
      <c r="B201" s="102"/>
      <c r="C201" s="99"/>
      <c r="D201" s="99"/>
      <c r="E201" s="100"/>
    </row>
    <row r="202" spans="2:5" ht="17.25" hidden="1" customHeight="1" outlineLevel="1" x14ac:dyDescent="0.25">
      <c r="B202" s="546" t="s">
        <v>321</v>
      </c>
      <c r="C202" s="547"/>
      <c r="D202" s="547"/>
      <c r="E202" s="548"/>
    </row>
    <row r="203" spans="2:5" ht="17.25" hidden="1" customHeight="1" outlineLevel="1" x14ac:dyDescent="0.25">
      <c r="B203" s="102"/>
      <c r="C203" s="99"/>
      <c r="D203" s="99"/>
      <c r="E203" s="100"/>
    </row>
    <row r="204" spans="2:5" ht="17.25" hidden="1" customHeight="1" outlineLevel="1" x14ac:dyDescent="0.25">
      <c r="B204" s="549" t="s">
        <v>322</v>
      </c>
      <c r="C204" s="550"/>
      <c r="D204" s="550"/>
      <c r="E204" s="551"/>
    </row>
    <row r="205" spans="2:5" ht="17.25" hidden="1" customHeight="1" outlineLevel="1" thickBot="1" x14ac:dyDescent="0.3">
      <c r="B205" s="80"/>
      <c r="C205" s="81"/>
      <c r="D205" s="81"/>
      <c r="E205" s="82"/>
    </row>
    <row r="206" spans="2:5" ht="17.25" hidden="1" customHeight="1" outlineLevel="1" x14ac:dyDescent="0.25"/>
    <row r="207" spans="2:5" ht="17.25" hidden="1" customHeight="1" outlineLevel="1" x14ac:dyDescent="0.25"/>
    <row r="208" spans="2:5" ht="17.25" hidden="1" customHeight="1" outlineLevel="1" x14ac:dyDescent="0.25"/>
    <row r="209" spans="2:5" ht="17.25" customHeight="1" collapsed="1" x14ac:dyDescent="0.25"/>
    <row r="210" spans="2:5" ht="17.25" hidden="1" customHeight="1" outlineLevel="1" thickBot="1" x14ac:dyDescent="0.3"/>
    <row r="211" spans="2:5" ht="17.25" hidden="1" customHeight="1" outlineLevel="1" x14ac:dyDescent="0.25">
      <c r="B211" s="557" t="s">
        <v>284</v>
      </c>
      <c r="C211" s="558"/>
      <c r="D211" s="558"/>
      <c r="E211" s="559"/>
    </row>
    <row r="212" spans="2:5" ht="17.25" hidden="1" customHeight="1" outlineLevel="1" x14ac:dyDescent="0.25">
      <c r="B212" s="560" t="s">
        <v>323</v>
      </c>
      <c r="C212" s="561"/>
      <c r="D212" s="561"/>
      <c r="E212" s="562"/>
    </row>
    <row r="213" spans="2:5" ht="17.25" hidden="1" customHeight="1" outlineLevel="1" x14ac:dyDescent="0.25">
      <c r="B213" s="553" t="str">
        <f>"For the year ended 31st December" &amp; " "&amp;F141</f>
        <v xml:space="preserve">For the year ended 31st December </v>
      </c>
      <c r="C213" s="554"/>
      <c r="D213" s="554"/>
      <c r="E213" s="555"/>
    </row>
    <row r="214" spans="2:5" ht="17.25" hidden="1" customHeight="1" outlineLevel="1" x14ac:dyDescent="0.25">
      <c r="B214" s="78"/>
      <c r="E214" s="79"/>
    </row>
    <row r="215" spans="2:5" ht="17.25" hidden="1" customHeight="1" outlineLevel="1" x14ac:dyDescent="0.25">
      <c r="B215" s="78"/>
      <c r="E215" s="79"/>
    </row>
    <row r="216" spans="2:5" ht="17.25" hidden="1" customHeight="1" outlineLevel="1" x14ac:dyDescent="0.25">
      <c r="B216" s="540" t="s">
        <v>362</v>
      </c>
      <c r="C216" s="541"/>
      <c r="D216" s="541"/>
      <c r="E216" s="542"/>
    </row>
    <row r="217" spans="2:5" ht="17.25" hidden="1" customHeight="1" outlineLevel="1" x14ac:dyDescent="0.25">
      <c r="B217" s="540"/>
      <c r="C217" s="541"/>
      <c r="D217" s="541"/>
      <c r="E217" s="542"/>
    </row>
    <row r="218" spans="2:5" ht="17.25" hidden="1" customHeight="1" outlineLevel="1" x14ac:dyDescent="0.25">
      <c r="B218" s="540"/>
      <c r="C218" s="541"/>
      <c r="D218" s="541"/>
      <c r="E218" s="542"/>
    </row>
    <row r="219" spans="2:5" ht="17.25" hidden="1" customHeight="1" outlineLevel="1" x14ac:dyDescent="0.25">
      <c r="B219" s="540"/>
      <c r="C219" s="541"/>
      <c r="D219" s="541"/>
      <c r="E219" s="542"/>
    </row>
    <row r="220" spans="2:5" ht="17.25" hidden="1" customHeight="1" outlineLevel="1" x14ac:dyDescent="0.25">
      <c r="B220" s="540"/>
      <c r="C220" s="541"/>
      <c r="D220" s="541"/>
      <c r="E220" s="542"/>
    </row>
    <row r="221" spans="2:5" ht="17.25" hidden="1" customHeight="1" outlineLevel="1" x14ac:dyDescent="0.25">
      <c r="B221" s="540"/>
      <c r="C221" s="541"/>
      <c r="D221" s="541"/>
      <c r="E221" s="542"/>
    </row>
    <row r="222" spans="2:5" ht="17.25" hidden="1" customHeight="1" outlineLevel="1" x14ac:dyDescent="0.25">
      <c r="B222" s="540"/>
      <c r="C222" s="541"/>
      <c r="D222" s="541"/>
      <c r="E222" s="542"/>
    </row>
    <row r="223" spans="2:5" ht="17.25" hidden="1" customHeight="1" outlineLevel="1" x14ac:dyDescent="0.25">
      <c r="B223" s="540"/>
      <c r="C223" s="541"/>
      <c r="D223" s="541"/>
      <c r="E223" s="542"/>
    </row>
    <row r="224" spans="2:5" ht="17.25" hidden="1" customHeight="1" outlineLevel="1" x14ac:dyDescent="0.25">
      <c r="B224" s="88"/>
      <c r="C224" s="94"/>
      <c r="E224" s="84"/>
    </row>
    <row r="225" spans="2:5" ht="17.25" hidden="1" customHeight="1" outlineLevel="1" x14ac:dyDescent="0.25">
      <c r="B225" s="543" t="s">
        <v>324</v>
      </c>
      <c r="C225" s="544"/>
      <c r="D225" s="544"/>
      <c r="E225" s="545"/>
    </row>
    <row r="226" spans="2:5" ht="17.25" hidden="1" customHeight="1" outlineLevel="1" x14ac:dyDescent="0.25">
      <c r="B226" s="543"/>
      <c r="C226" s="544"/>
      <c r="D226" s="544"/>
      <c r="E226" s="545"/>
    </row>
    <row r="227" spans="2:5" ht="17.25" hidden="1" customHeight="1" outlineLevel="1" x14ac:dyDescent="0.25">
      <c r="B227" s="543"/>
      <c r="C227" s="544"/>
      <c r="D227" s="544"/>
      <c r="E227" s="545"/>
    </row>
    <row r="228" spans="2:5" ht="17.25" hidden="1" customHeight="1" outlineLevel="1" x14ac:dyDescent="0.25">
      <c r="B228" s="88"/>
      <c r="C228" s="95"/>
      <c r="E228" s="85"/>
    </row>
    <row r="229" spans="2:5" ht="17.25" hidden="1" customHeight="1" outlineLevel="1" x14ac:dyDescent="0.25">
      <c r="B229" s="537" t="s">
        <v>325</v>
      </c>
      <c r="C229" s="538"/>
      <c r="D229" s="538"/>
      <c r="E229" s="539"/>
    </row>
    <row r="230" spans="2:5" ht="17.25" hidden="1" customHeight="1" outlineLevel="1" x14ac:dyDescent="0.25">
      <c r="B230" s="552" t="s">
        <v>341</v>
      </c>
      <c r="C230" s="538"/>
      <c r="D230" s="538"/>
      <c r="E230" s="539"/>
    </row>
    <row r="231" spans="2:5" ht="17.25" hidden="1" customHeight="1" outlineLevel="1" x14ac:dyDescent="0.25">
      <c r="B231" s="91" t="s">
        <v>326</v>
      </c>
      <c r="C231" s="107"/>
      <c r="D231" s="92"/>
      <c r="E231" s="93"/>
    </row>
    <row r="232" spans="2:5" ht="17.25" hidden="1" customHeight="1" outlineLevel="1" x14ac:dyDescent="0.25">
      <c r="B232" s="537" t="s">
        <v>327</v>
      </c>
      <c r="C232" s="538"/>
      <c r="D232" s="538"/>
      <c r="E232" s="539"/>
    </row>
    <row r="233" spans="2:5" ht="17.25" hidden="1" customHeight="1" outlineLevel="1" x14ac:dyDescent="0.25">
      <c r="B233" s="537" t="s">
        <v>328</v>
      </c>
      <c r="C233" s="538"/>
      <c r="D233" s="538"/>
      <c r="E233" s="539"/>
    </row>
    <row r="234" spans="2:5" ht="17.25" hidden="1" customHeight="1" outlineLevel="1" x14ac:dyDescent="0.25">
      <c r="B234" s="88"/>
      <c r="C234" s="95"/>
      <c r="E234" s="86"/>
    </row>
    <row r="235" spans="2:5" ht="17.25" hidden="1" customHeight="1" outlineLevel="1" x14ac:dyDescent="0.25">
      <c r="B235" s="87"/>
      <c r="E235" s="83"/>
    </row>
    <row r="236" spans="2:5" ht="17.25" hidden="1" customHeight="1" outlineLevel="1" x14ac:dyDescent="0.25">
      <c r="B236" s="613" t="s">
        <v>340</v>
      </c>
      <c r="C236" s="614"/>
      <c r="D236" s="614"/>
      <c r="E236" s="615"/>
    </row>
    <row r="237" spans="2:5" ht="17.25" hidden="1" customHeight="1" outlineLevel="1" x14ac:dyDescent="0.25">
      <c r="B237" s="616"/>
      <c r="C237" s="614"/>
      <c r="D237" s="614"/>
      <c r="E237" s="615"/>
    </row>
    <row r="238" spans="2:5" ht="17.25" hidden="1" customHeight="1" outlineLevel="1" x14ac:dyDescent="0.25">
      <c r="B238" s="108"/>
      <c r="E238" s="79"/>
    </row>
    <row r="239" spans="2:5" ht="17.25" hidden="1" customHeight="1" outlineLevel="1" x14ac:dyDescent="0.25">
      <c r="B239" s="617" t="s">
        <v>329</v>
      </c>
      <c r="C239" s="618"/>
      <c r="D239" s="618"/>
      <c r="E239" s="619"/>
    </row>
    <row r="240" spans="2:5" ht="17.25" hidden="1" customHeight="1" outlineLevel="1" x14ac:dyDescent="0.25">
      <c r="B240" s="617"/>
      <c r="C240" s="618"/>
      <c r="D240" s="618"/>
      <c r="E240" s="619"/>
    </row>
    <row r="241" spans="2:5" ht="17.25" hidden="1" customHeight="1" outlineLevel="1" x14ac:dyDescent="0.25">
      <c r="B241" s="617" t="s">
        <v>329</v>
      </c>
      <c r="C241" s="618"/>
      <c r="D241" s="618"/>
      <c r="E241" s="619"/>
    </row>
    <row r="242" spans="2:5" ht="17.25" hidden="1" customHeight="1" outlineLevel="1" x14ac:dyDescent="0.25">
      <c r="B242" s="617"/>
      <c r="C242" s="618"/>
      <c r="D242" s="618"/>
      <c r="E242" s="619"/>
    </row>
    <row r="243" spans="2:5" ht="17.25" hidden="1" customHeight="1" outlineLevel="1" x14ac:dyDescent="0.25">
      <c r="B243" s="109" t="s">
        <v>330</v>
      </c>
      <c r="E243" s="79"/>
    </row>
    <row r="244" spans="2:5" ht="17.25" hidden="1" customHeight="1" outlineLevel="1" x14ac:dyDescent="0.25">
      <c r="B244" s="78"/>
      <c r="E244" s="79"/>
    </row>
    <row r="245" spans="2:5" ht="17.25" hidden="1" customHeight="1" outlineLevel="1" x14ac:dyDescent="0.25">
      <c r="B245" s="78"/>
      <c r="E245" s="79"/>
    </row>
    <row r="246" spans="2:5" ht="17.25" hidden="1" customHeight="1" outlineLevel="1" x14ac:dyDescent="0.25">
      <c r="B246" s="110" t="s">
        <v>331</v>
      </c>
      <c r="D246" s="111" t="s">
        <v>331</v>
      </c>
      <c r="E246" s="79"/>
    </row>
    <row r="247" spans="2:5" ht="17.25" hidden="1" customHeight="1" outlineLevel="1" x14ac:dyDescent="0.25">
      <c r="B247" s="78"/>
      <c r="E247" s="79"/>
    </row>
    <row r="248" spans="2:5" ht="17.25" hidden="1" customHeight="1" outlineLevel="1" thickBot="1" x14ac:dyDescent="0.3">
      <c r="B248" s="80"/>
      <c r="C248" s="81"/>
      <c r="D248" s="81"/>
      <c r="E248" s="82"/>
    </row>
    <row r="249" spans="2:5" ht="17.25" hidden="1" customHeight="1" outlineLevel="1" x14ac:dyDescent="0.25"/>
    <row r="250" spans="2:5" ht="17.25" hidden="1" customHeight="1" outlineLevel="1" x14ac:dyDescent="0.25"/>
    <row r="251" spans="2:5" ht="17.25" hidden="1" customHeight="1" outlineLevel="1" x14ac:dyDescent="0.25"/>
    <row r="252" spans="2:5" ht="17.25" customHeight="1" collapsed="1" x14ac:dyDescent="0.25"/>
    <row r="253" spans="2:5" ht="17.25" hidden="1" customHeight="1" outlineLevel="1" thickBot="1" x14ac:dyDescent="0.3"/>
    <row r="254" spans="2:5" ht="17.25" hidden="1" customHeight="1" outlineLevel="1" x14ac:dyDescent="0.25">
      <c r="B254" s="557" t="s">
        <v>284</v>
      </c>
      <c r="C254" s="558"/>
      <c r="D254" s="558"/>
      <c r="E254" s="559"/>
    </row>
    <row r="255" spans="2:5" ht="17.25" hidden="1" customHeight="1" outlineLevel="1" x14ac:dyDescent="0.25">
      <c r="B255" s="560" t="s">
        <v>332</v>
      </c>
      <c r="C255" s="561"/>
      <c r="D255" s="561"/>
      <c r="E255" s="562"/>
    </row>
    <row r="256" spans="2:5" ht="17.25" hidden="1" customHeight="1" outlineLevel="1" x14ac:dyDescent="0.25">
      <c r="B256" s="553" t="str">
        <f>"For the year ended 31st December" &amp; " "&amp;F186</f>
        <v xml:space="preserve">For the year ended 31st December </v>
      </c>
      <c r="C256" s="554"/>
      <c r="D256" s="554"/>
      <c r="E256" s="555"/>
    </row>
    <row r="257" spans="2:5" ht="17.25" hidden="1" customHeight="1" outlineLevel="1" x14ac:dyDescent="0.25">
      <c r="B257" s="78"/>
      <c r="E257" s="79"/>
    </row>
    <row r="258" spans="2:5" ht="17.25" hidden="1" customHeight="1" outlineLevel="1" x14ac:dyDescent="0.25">
      <c r="B258" s="112" t="s">
        <v>333</v>
      </c>
      <c r="E258" s="79"/>
    </row>
    <row r="259" spans="2:5" ht="17.25" hidden="1" customHeight="1" outlineLevel="1" x14ac:dyDescent="0.25">
      <c r="B259" s="113"/>
      <c r="C259" s="114"/>
      <c r="D259" s="74"/>
      <c r="E259" s="90"/>
    </row>
    <row r="260" spans="2:5" ht="17.25" hidden="1" customHeight="1" outlineLevel="1" x14ac:dyDescent="0.25">
      <c r="B260" s="607" t="s">
        <v>361</v>
      </c>
      <c r="C260" s="608"/>
      <c r="D260" s="608"/>
      <c r="E260" s="609"/>
    </row>
    <row r="261" spans="2:5" ht="17.25" hidden="1" customHeight="1" outlineLevel="1" x14ac:dyDescent="0.25">
      <c r="B261" s="610"/>
      <c r="C261" s="608"/>
      <c r="D261" s="608"/>
      <c r="E261" s="609"/>
    </row>
    <row r="262" spans="2:5" ht="17.25" hidden="1" customHeight="1" outlineLevel="1" x14ac:dyDescent="0.25">
      <c r="B262" s="610"/>
      <c r="C262" s="608"/>
      <c r="D262" s="608"/>
      <c r="E262" s="609"/>
    </row>
    <row r="263" spans="2:5" ht="17.25" hidden="1" customHeight="1" outlineLevel="1" x14ac:dyDescent="0.25">
      <c r="B263" s="607" t="s">
        <v>334</v>
      </c>
      <c r="C263" s="608"/>
      <c r="D263" s="608"/>
      <c r="E263" s="609"/>
    </row>
    <row r="264" spans="2:5" ht="17.25" hidden="1" customHeight="1" outlineLevel="1" x14ac:dyDescent="0.25">
      <c r="B264" s="610"/>
      <c r="C264" s="608"/>
      <c r="D264" s="608"/>
      <c r="E264" s="609"/>
    </row>
    <row r="265" spans="2:5" ht="17.25" hidden="1" customHeight="1" outlineLevel="1" x14ac:dyDescent="0.25">
      <c r="B265" s="610"/>
      <c r="C265" s="608"/>
      <c r="D265" s="608"/>
      <c r="E265" s="609"/>
    </row>
    <row r="266" spans="2:5" ht="17.25" hidden="1" customHeight="1" outlineLevel="1" x14ac:dyDescent="0.25">
      <c r="B266" s="88"/>
      <c r="C266" s="115"/>
      <c r="E266" s="83"/>
    </row>
    <row r="267" spans="2:5" ht="17.25" hidden="1" customHeight="1" outlineLevel="1" x14ac:dyDescent="0.25">
      <c r="B267" s="611" t="s">
        <v>335</v>
      </c>
      <c r="C267" s="612"/>
      <c r="E267" s="84"/>
    </row>
    <row r="268" spans="2:5" ht="17.25" hidden="1" customHeight="1" outlineLevel="1" x14ac:dyDescent="0.25">
      <c r="B268" s="607" t="s">
        <v>343</v>
      </c>
      <c r="C268" s="620"/>
      <c r="D268" s="620"/>
      <c r="E268" s="621"/>
    </row>
    <row r="269" spans="2:5" ht="17.25" hidden="1" customHeight="1" outlineLevel="1" x14ac:dyDescent="0.25">
      <c r="B269" s="607"/>
      <c r="C269" s="620"/>
      <c r="D269" s="620"/>
      <c r="E269" s="621"/>
    </row>
    <row r="270" spans="2:5" ht="17.25" hidden="1" customHeight="1" outlineLevel="1" x14ac:dyDescent="0.25">
      <c r="B270" s="607"/>
      <c r="C270" s="620"/>
      <c r="D270" s="620"/>
      <c r="E270" s="621"/>
    </row>
    <row r="271" spans="2:5" ht="17.25" hidden="1" customHeight="1" outlineLevel="1" x14ac:dyDescent="0.25">
      <c r="B271" s="607"/>
      <c r="C271" s="620"/>
      <c r="D271" s="620"/>
      <c r="E271" s="621"/>
    </row>
    <row r="272" spans="2:5" ht="17.25" hidden="1" customHeight="1" outlineLevel="1" x14ac:dyDescent="0.25">
      <c r="B272" s="607"/>
      <c r="C272" s="620"/>
      <c r="D272" s="620"/>
      <c r="E272" s="621"/>
    </row>
    <row r="273" spans="2:5" ht="17.25" hidden="1" customHeight="1" outlineLevel="1" x14ac:dyDescent="0.25">
      <c r="B273" s="607"/>
      <c r="C273" s="620"/>
      <c r="D273" s="620"/>
      <c r="E273" s="621"/>
    </row>
    <row r="274" spans="2:5" ht="17.25" hidden="1" customHeight="1" outlineLevel="1" x14ac:dyDescent="0.25">
      <c r="B274" s="622" t="s">
        <v>336</v>
      </c>
      <c r="C274" s="623"/>
      <c r="D274" s="623"/>
      <c r="E274" s="116"/>
    </row>
    <row r="275" spans="2:5" ht="17.25" hidden="1" customHeight="1" outlineLevel="1" x14ac:dyDescent="0.25">
      <c r="B275" s="607" t="s">
        <v>363</v>
      </c>
      <c r="C275" s="608"/>
      <c r="D275" s="608"/>
      <c r="E275" s="609"/>
    </row>
    <row r="276" spans="2:5" ht="17.25" hidden="1" customHeight="1" outlineLevel="1" x14ac:dyDescent="0.25">
      <c r="B276" s="610"/>
      <c r="C276" s="608"/>
      <c r="D276" s="608"/>
      <c r="E276" s="609"/>
    </row>
    <row r="277" spans="2:5" ht="17.25" hidden="1" customHeight="1" outlineLevel="1" x14ac:dyDescent="0.25">
      <c r="B277" s="113"/>
      <c r="C277" s="117"/>
      <c r="D277" s="117"/>
      <c r="E277" s="116"/>
    </row>
    <row r="278" spans="2:5" ht="17.25" hidden="1" customHeight="1" outlineLevel="1" x14ac:dyDescent="0.25">
      <c r="B278" s="624" t="s">
        <v>337</v>
      </c>
      <c r="C278" s="625"/>
      <c r="D278" s="625"/>
      <c r="E278" s="626"/>
    </row>
    <row r="279" spans="2:5" ht="17.25" hidden="1" customHeight="1" outlineLevel="1" x14ac:dyDescent="0.25">
      <c r="B279" s="87"/>
      <c r="C279" s="538"/>
      <c r="D279" s="538"/>
      <c r="E279" s="79"/>
    </row>
    <row r="280" spans="2:5" ht="17.25" hidden="1" customHeight="1" outlineLevel="1" x14ac:dyDescent="0.25">
      <c r="B280" s="607" t="s">
        <v>364</v>
      </c>
      <c r="C280" s="608"/>
      <c r="D280" s="608"/>
      <c r="E280" s="609"/>
    </row>
    <row r="281" spans="2:5" ht="17.25" hidden="1" customHeight="1" outlineLevel="1" x14ac:dyDescent="0.25">
      <c r="B281" s="610"/>
      <c r="C281" s="608"/>
      <c r="D281" s="608"/>
      <c r="E281" s="609"/>
    </row>
    <row r="282" spans="2:5" ht="30" hidden="1" customHeight="1" outlineLevel="1" x14ac:dyDescent="0.25">
      <c r="B282" s="610"/>
      <c r="C282" s="608"/>
      <c r="D282" s="608"/>
      <c r="E282" s="609"/>
    </row>
    <row r="283" spans="2:5" ht="17.25" hidden="1" customHeight="1" outlineLevel="1" x14ac:dyDescent="0.25">
      <c r="B283" s="78"/>
      <c r="E283" s="79"/>
    </row>
    <row r="284" spans="2:5" ht="17.25" hidden="1" customHeight="1" outlineLevel="1" x14ac:dyDescent="0.25">
      <c r="B284" s="118" t="s">
        <v>338</v>
      </c>
      <c r="E284" s="79"/>
    </row>
    <row r="285" spans="2:5" ht="17.25" hidden="1" customHeight="1" outlineLevel="1" x14ac:dyDescent="0.25">
      <c r="B285" s="78"/>
      <c r="E285" s="79"/>
    </row>
    <row r="286" spans="2:5" ht="17.25" hidden="1" customHeight="1" outlineLevel="1" x14ac:dyDescent="0.25">
      <c r="B286" s="603" t="s">
        <v>344</v>
      </c>
      <c r="C286" s="604"/>
      <c r="D286" s="604"/>
      <c r="E286" s="605"/>
    </row>
    <row r="287" spans="2:5" ht="17.25" hidden="1" customHeight="1" outlineLevel="1" x14ac:dyDescent="0.25">
      <c r="B287" s="606"/>
      <c r="C287" s="604"/>
      <c r="D287" s="604"/>
      <c r="E287" s="605"/>
    </row>
    <row r="288" spans="2:5" ht="17.25" hidden="1" customHeight="1" outlineLevel="1" x14ac:dyDescent="0.25">
      <c r="B288" s="606"/>
      <c r="C288" s="604"/>
      <c r="D288" s="604"/>
      <c r="E288" s="605"/>
    </row>
    <row r="289" spans="2:5" ht="17.25" hidden="1" customHeight="1" outlineLevel="1" x14ac:dyDescent="0.25">
      <c r="B289" s="606"/>
      <c r="C289" s="604"/>
      <c r="D289" s="604"/>
      <c r="E289" s="605"/>
    </row>
    <row r="290" spans="2:5" ht="17.25" hidden="1" customHeight="1" outlineLevel="1" x14ac:dyDescent="0.25">
      <c r="B290" s="603" t="s">
        <v>365</v>
      </c>
      <c r="C290" s="627"/>
      <c r="D290" s="627"/>
      <c r="E290" s="628"/>
    </row>
    <row r="291" spans="2:5" ht="17.25" hidden="1" customHeight="1" outlineLevel="1" x14ac:dyDescent="0.25">
      <c r="B291" s="603"/>
      <c r="C291" s="627"/>
      <c r="D291" s="627"/>
      <c r="E291" s="628"/>
    </row>
    <row r="292" spans="2:5" ht="17.25" hidden="1" customHeight="1" outlineLevel="1" x14ac:dyDescent="0.25">
      <c r="B292" s="603"/>
      <c r="C292" s="627"/>
      <c r="D292" s="627"/>
      <c r="E292" s="628"/>
    </row>
    <row r="293" spans="2:5" ht="17.25" hidden="1" customHeight="1" outlineLevel="1" x14ac:dyDescent="0.3">
      <c r="B293" s="119"/>
      <c r="C293" s="120"/>
      <c r="D293" s="120"/>
      <c r="E293" s="121"/>
    </row>
    <row r="294" spans="2:5" ht="17.25" hidden="1" customHeight="1" outlineLevel="1" x14ac:dyDescent="0.25">
      <c r="B294" s="603" t="s">
        <v>345</v>
      </c>
      <c r="C294" s="604"/>
      <c r="D294" s="604"/>
      <c r="E294" s="605"/>
    </row>
    <row r="295" spans="2:5" ht="17.25" hidden="1" customHeight="1" outlineLevel="1" x14ac:dyDescent="0.25">
      <c r="B295" s="606"/>
      <c r="C295" s="604"/>
      <c r="D295" s="604"/>
      <c r="E295" s="605"/>
    </row>
    <row r="296" spans="2:5" ht="17.25" hidden="1" customHeight="1" outlineLevel="1" x14ac:dyDescent="0.25">
      <c r="B296" s="606"/>
      <c r="C296" s="604"/>
      <c r="D296" s="604"/>
      <c r="E296" s="605"/>
    </row>
    <row r="297" spans="2:5" ht="17.25" hidden="1" customHeight="1" outlineLevel="1" x14ac:dyDescent="0.25">
      <c r="B297" s="606"/>
      <c r="C297" s="604"/>
      <c r="D297" s="604"/>
      <c r="E297" s="605"/>
    </row>
    <row r="298" spans="2:5" ht="17.25" hidden="1" customHeight="1" outlineLevel="1" x14ac:dyDescent="0.25">
      <c r="B298" s="606"/>
      <c r="C298" s="604"/>
      <c r="D298" s="604"/>
      <c r="E298" s="605"/>
    </row>
    <row r="299" spans="2:5" ht="17.25" hidden="1" customHeight="1" outlineLevel="1" x14ac:dyDescent="0.25">
      <c r="B299" s="606"/>
      <c r="C299" s="604"/>
      <c r="D299" s="604"/>
      <c r="E299" s="605"/>
    </row>
    <row r="300" spans="2:5" ht="17.25" hidden="1" customHeight="1" outlineLevel="1" x14ac:dyDescent="0.25">
      <c r="B300" s="606"/>
      <c r="C300" s="604"/>
      <c r="D300" s="604"/>
      <c r="E300" s="605"/>
    </row>
    <row r="301" spans="2:5" ht="17.25" hidden="1" customHeight="1" outlineLevel="1" x14ac:dyDescent="0.25">
      <c r="B301" s="78"/>
      <c r="E301" s="79"/>
    </row>
    <row r="302" spans="2:5" ht="17.25" hidden="1" customHeight="1" outlineLevel="1" x14ac:dyDescent="0.25">
      <c r="B302" s="78"/>
      <c r="E302" s="79"/>
    </row>
    <row r="303" spans="2:5" ht="17.25" hidden="1" customHeight="1" outlineLevel="1" x14ac:dyDescent="0.25">
      <c r="B303" s="78"/>
      <c r="E303" s="79"/>
    </row>
    <row r="304" spans="2:5" ht="17.25" hidden="1" customHeight="1" outlineLevel="1" thickBot="1" x14ac:dyDescent="0.3">
      <c r="B304" s="80"/>
      <c r="C304" s="81"/>
      <c r="D304" s="81"/>
      <c r="E304" s="82"/>
    </row>
    <row r="305" spans="2:5" ht="17.25" hidden="1" customHeight="1" outlineLevel="1" x14ac:dyDescent="0.25"/>
    <row r="306" spans="2:5" ht="17.25" hidden="1" customHeight="1" outlineLevel="1" x14ac:dyDescent="0.25"/>
    <row r="307" spans="2:5" ht="17.25" hidden="1" customHeight="1" outlineLevel="1" x14ac:dyDescent="0.25"/>
    <row r="308" spans="2:5" ht="17.25" customHeight="1" collapsed="1" x14ac:dyDescent="0.25"/>
    <row r="309" spans="2:5" ht="17.25" customHeight="1" outlineLevel="1" thickBot="1" x14ac:dyDescent="0.3"/>
    <row r="310" spans="2:5" ht="17.25" customHeight="1" outlineLevel="1" x14ac:dyDescent="0.25">
      <c r="B310" s="583" t="s">
        <v>284</v>
      </c>
      <c r="C310" s="584"/>
      <c r="D310" s="584"/>
      <c r="E310" s="585"/>
    </row>
    <row r="311" spans="2:5" ht="17.25" customHeight="1" outlineLevel="1" x14ac:dyDescent="0.25">
      <c r="B311" s="586" t="s">
        <v>285</v>
      </c>
      <c r="C311" s="587"/>
      <c r="D311" s="587"/>
      <c r="E311" s="588"/>
    </row>
    <row r="312" spans="2:5" ht="17.25" customHeight="1" outlineLevel="1" x14ac:dyDescent="0.25">
      <c r="B312" s="589" t="str">
        <f>"For the year ended 31st December" &amp; " "&amp;A255</f>
        <v xml:space="preserve">For the year ended 31st December </v>
      </c>
      <c r="C312" s="590"/>
      <c r="D312" s="590"/>
      <c r="E312" s="591"/>
    </row>
    <row r="313" spans="2:5" ht="17.25" customHeight="1" outlineLevel="1" x14ac:dyDescent="0.25">
      <c r="B313" s="78"/>
      <c r="E313" s="79"/>
    </row>
    <row r="314" spans="2:5" ht="17.25" customHeight="1" outlineLevel="1" x14ac:dyDescent="0.25">
      <c r="B314" s="125" t="s">
        <v>346</v>
      </c>
      <c r="C314" s="126"/>
      <c r="E314" s="79"/>
    </row>
    <row r="315" spans="2:5" ht="17.25" customHeight="1" outlineLevel="1" x14ac:dyDescent="0.25">
      <c r="B315" s="125" t="s">
        <v>347</v>
      </c>
      <c r="C315" s="126"/>
      <c r="D315" s="74"/>
      <c r="E315" s="90"/>
    </row>
    <row r="316" spans="2:5" ht="17.25" customHeight="1" outlineLevel="1" x14ac:dyDescent="0.25">
      <c r="B316" s="125"/>
      <c r="C316" s="126"/>
      <c r="E316" s="83"/>
    </row>
    <row r="317" spans="2:5" ht="17.25" customHeight="1" outlineLevel="1" x14ac:dyDescent="0.25">
      <c r="B317" s="125"/>
      <c r="C317" s="126"/>
      <c r="E317" s="83"/>
    </row>
    <row r="318" spans="2:5" ht="17.25" customHeight="1" outlineLevel="1" x14ac:dyDescent="0.25">
      <c r="B318" s="125"/>
      <c r="C318" s="126"/>
      <c r="E318" s="83"/>
    </row>
    <row r="319" spans="2:5" ht="17.25" customHeight="1" outlineLevel="1" x14ac:dyDescent="0.25">
      <c r="B319" s="125"/>
      <c r="C319" s="126"/>
      <c r="E319" s="83"/>
    </row>
    <row r="320" spans="2:5" ht="17.25" customHeight="1" outlineLevel="1" x14ac:dyDescent="0.25">
      <c r="B320" s="629" t="s">
        <v>353</v>
      </c>
      <c r="C320" s="632"/>
      <c r="D320" s="632"/>
      <c r="E320" s="633"/>
    </row>
    <row r="321" spans="2:5" ht="17.25" customHeight="1" outlineLevel="1" x14ac:dyDescent="0.25">
      <c r="B321" s="634"/>
      <c r="C321" s="632"/>
      <c r="D321" s="632"/>
      <c r="E321" s="633"/>
    </row>
    <row r="322" spans="2:5" ht="17.25" customHeight="1" outlineLevel="1" x14ac:dyDescent="0.25">
      <c r="B322" s="634"/>
      <c r="C322" s="632"/>
      <c r="D322" s="632"/>
      <c r="E322" s="633"/>
    </row>
    <row r="323" spans="2:5" ht="17.25" customHeight="1" outlineLevel="1" x14ac:dyDescent="0.25">
      <c r="B323" s="634"/>
      <c r="C323" s="632"/>
      <c r="D323" s="632"/>
      <c r="E323" s="633"/>
    </row>
    <row r="324" spans="2:5" ht="17.25" customHeight="1" outlineLevel="1" x14ac:dyDescent="0.25">
      <c r="B324" s="629" t="s">
        <v>366</v>
      </c>
      <c r="C324" s="630"/>
      <c r="D324" s="630"/>
      <c r="E324" s="631"/>
    </row>
    <row r="325" spans="2:5" ht="17.25" customHeight="1" outlineLevel="1" x14ac:dyDescent="0.25">
      <c r="B325" s="629"/>
      <c r="C325" s="630"/>
      <c r="D325" s="630"/>
      <c r="E325" s="631"/>
    </row>
    <row r="326" spans="2:5" ht="17.25" customHeight="1" outlineLevel="1" x14ac:dyDescent="0.25">
      <c r="B326" s="127"/>
      <c r="C326" s="128"/>
      <c r="D326" s="128"/>
      <c r="E326" s="122"/>
    </row>
    <row r="327" spans="2:5" ht="17.25" customHeight="1" outlineLevel="1" x14ac:dyDescent="0.25">
      <c r="B327" s="629" t="s">
        <v>354</v>
      </c>
      <c r="C327" s="632"/>
      <c r="D327" s="632"/>
      <c r="E327" s="633"/>
    </row>
    <row r="328" spans="2:5" ht="17.25" customHeight="1" outlineLevel="1" x14ac:dyDescent="0.25">
      <c r="B328" s="634"/>
      <c r="C328" s="632"/>
      <c r="D328" s="632"/>
      <c r="E328" s="633"/>
    </row>
    <row r="329" spans="2:5" ht="17.25" customHeight="1" outlineLevel="1" x14ac:dyDescent="0.25">
      <c r="B329" s="629" t="s">
        <v>356</v>
      </c>
      <c r="C329" s="630"/>
      <c r="D329" s="630"/>
      <c r="E329" s="631"/>
    </row>
    <row r="330" spans="2:5" ht="17.25" customHeight="1" outlineLevel="1" x14ac:dyDescent="0.25">
      <c r="B330" s="629"/>
      <c r="C330" s="630"/>
      <c r="D330" s="630"/>
      <c r="E330" s="631"/>
    </row>
    <row r="331" spans="2:5" ht="17.25" customHeight="1" outlineLevel="1" x14ac:dyDescent="0.25">
      <c r="B331" s="629"/>
      <c r="C331" s="630"/>
      <c r="D331" s="630"/>
      <c r="E331" s="631"/>
    </row>
    <row r="332" spans="2:5" ht="17.25" customHeight="1" outlineLevel="1" x14ac:dyDescent="0.25">
      <c r="B332" s="629"/>
      <c r="C332" s="630"/>
      <c r="D332" s="630"/>
      <c r="E332" s="631"/>
    </row>
    <row r="333" spans="2:5" ht="17.25" customHeight="1" outlineLevel="1" x14ac:dyDescent="0.25">
      <c r="B333" s="125"/>
      <c r="E333" s="83"/>
    </row>
    <row r="334" spans="2:5" ht="17.25" customHeight="1" outlineLevel="1" x14ac:dyDescent="0.25">
      <c r="B334" s="629" t="s">
        <v>355</v>
      </c>
      <c r="C334" s="632"/>
      <c r="D334" s="632"/>
      <c r="E334" s="633"/>
    </row>
    <row r="335" spans="2:5" ht="17.25" customHeight="1" outlineLevel="1" x14ac:dyDescent="0.25">
      <c r="B335" s="634"/>
      <c r="C335" s="632"/>
      <c r="D335" s="632"/>
      <c r="E335" s="633"/>
    </row>
    <row r="336" spans="2:5" ht="17.25" customHeight="1" outlineLevel="1" x14ac:dyDescent="0.25">
      <c r="B336" s="629" t="s">
        <v>357</v>
      </c>
      <c r="C336" s="632"/>
      <c r="D336" s="632"/>
      <c r="E336" s="633"/>
    </row>
    <row r="337" spans="2:5" ht="17.25" customHeight="1" outlineLevel="1" x14ac:dyDescent="0.25">
      <c r="B337" s="634"/>
      <c r="C337" s="632"/>
      <c r="D337" s="632"/>
      <c r="E337" s="633"/>
    </row>
    <row r="338" spans="2:5" ht="17.25" customHeight="1" outlineLevel="1" x14ac:dyDescent="0.25">
      <c r="B338" s="129"/>
      <c r="C338" s="130"/>
      <c r="D338" s="130"/>
      <c r="E338" s="123"/>
    </row>
    <row r="339" spans="2:5" ht="17.25" customHeight="1" outlineLevel="1" x14ac:dyDescent="0.25">
      <c r="B339" s="125" t="s">
        <v>348</v>
      </c>
      <c r="C339" s="94"/>
      <c r="E339" s="77"/>
    </row>
    <row r="340" spans="2:5" ht="17.25" customHeight="1" outlineLevel="1" x14ac:dyDescent="0.25">
      <c r="B340" s="125"/>
      <c r="C340" s="94"/>
      <c r="E340" s="83"/>
    </row>
    <row r="341" spans="2:5" ht="17.25" customHeight="1" outlineLevel="1" x14ac:dyDescent="0.25">
      <c r="B341" s="125" t="s">
        <v>349</v>
      </c>
      <c r="C341" s="94"/>
      <c r="E341" s="77"/>
    </row>
    <row r="342" spans="2:5" ht="17.25" customHeight="1" outlineLevel="1" x14ac:dyDescent="0.25">
      <c r="B342" s="125"/>
      <c r="C342" s="95"/>
      <c r="E342" s="85"/>
    </row>
    <row r="343" spans="2:5" ht="17.25" customHeight="1" outlineLevel="1" x14ac:dyDescent="0.25">
      <c r="B343" s="125"/>
      <c r="C343" s="94"/>
      <c r="E343" s="77"/>
    </row>
    <row r="344" spans="2:5" ht="17.25" customHeight="1" outlineLevel="1" x14ac:dyDescent="0.25">
      <c r="B344" s="125"/>
      <c r="C344" s="94"/>
      <c r="E344" s="83"/>
    </row>
    <row r="345" spans="2:5" ht="17.25" customHeight="1" outlineLevel="1" x14ac:dyDescent="0.25">
      <c r="B345" s="125" t="s">
        <v>351</v>
      </c>
      <c r="C345" s="94"/>
      <c r="E345" s="83"/>
    </row>
    <row r="346" spans="2:5" ht="17.25" customHeight="1" outlineLevel="1" x14ac:dyDescent="0.25">
      <c r="B346" s="125" t="s">
        <v>352</v>
      </c>
      <c r="C346" s="95"/>
      <c r="E346" s="83"/>
    </row>
    <row r="347" spans="2:5" ht="17.25" customHeight="1" outlineLevel="1" x14ac:dyDescent="0.25">
      <c r="B347" s="125" t="s">
        <v>350</v>
      </c>
      <c r="C347" s="94"/>
      <c r="E347" s="83"/>
    </row>
    <row r="348" spans="2:5" ht="17.25" customHeight="1" outlineLevel="1" x14ac:dyDescent="0.25">
      <c r="B348" s="125" t="s">
        <v>322</v>
      </c>
      <c r="C348" s="95"/>
      <c r="E348" s="86"/>
    </row>
    <row r="349" spans="2:5" ht="17.25" customHeight="1" outlineLevel="1" x14ac:dyDescent="0.25">
      <c r="B349" s="125"/>
      <c r="E349" s="83"/>
    </row>
    <row r="350" spans="2:5" ht="17.25" customHeight="1" outlineLevel="1" x14ac:dyDescent="0.25">
      <c r="B350" s="125"/>
      <c r="C350" s="556"/>
      <c r="D350" s="556"/>
      <c r="E350" s="79"/>
    </row>
    <row r="351" spans="2:5" ht="17.25" customHeight="1" outlineLevel="1" thickBot="1" x14ac:dyDescent="0.3">
      <c r="B351" s="131"/>
      <c r="C351" s="81"/>
      <c r="D351" s="81"/>
      <c r="E351" s="132"/>
    </row>
    <row r="352" spans="2:5" ht="17.25" customHeight="1" outlineLevel="1" x14ac:dyDescent="0.25">
      <c r="B352" s="124"/>
    </row>
    <row r="353" spans="2:2" ht="17.25" customHeight="1" outlineLevel="1" x14ac:dyDescent="0.25">
      <c r="B353" s="124"/>
    </row>
    <row r="354" spans="2:2" ht="17.25" customHeight="1" outlineLevel="1" x14ac:dyDescent="0.25"/>
  </sheetData>
  <mergeCells count="68">
    <mergeCell ref="B312:E312"/>
    <mergeCell ref="C350:D350"/>
    <mergeCell ref="B294:E300"/>
    <mergeCell ref="B290:E292"/>
    <mergeCell ref="B310:E310"/>
    <mergeCell ref="B311:E311"/>
    <mergeCell ref="B329:E332"/>
    <mergeCell ref="B334:E335"/>
    <mergeCell ref="B336:E337"/>
    <mergeCell ref="B327:E328"/>
    <mergeCell ref="B320:E323"/>
    <mergeCell ref="B324:E325"/>
    <mergeCell ref="B286:E289"/>
    <mergeCell ref="B260:E262"/>
    <mergeCell ref="B263:E265"/>
    <mergeCell ref="B267:C267"/>
    <mergeCell ref="B236:E237"/>
    <mergeCell ref="B239:E240"/>
    <mergeCell ref="B241:E242"/>
    <mergeCell ref="B255:E255"/>
    <mergeCell ref="B256:E256"/>
    <mergeCell ref="C279:D279"/>
    <mergeCell ref="B254:E254"/>
    <mergeCell ref="B268:E273"/>
    <mergeCell ref="B274:D274"/>
    <mergeCell ref="B278:E278"/>
    <mergeCell ref="B275:E276"/>
    <mergeCell ref="B280:E282"/>
    <mergeCell ref="B155:E155"/>
    <mergeCell ref="B156:E156"/>
    <mergeCell ref="H2:I2"/>
    <mergeCell ref="B99:E99"/>
    <mergeCell ref="B56:E56"/>
    <mergeCell ref="B57:E57"/>
    <mergeCell ref="B58:E58"/>
    <mergeCell ref="B3:E3"/>
    <mergeCell ref="B6:E6"/>
    <mergeCell ref="B8:E8"/>
    <mergeCell ref="B10:E10"/>
    <mergeCell ref="B11:E39"/>
    <mergeCell ref="B81:E81"/>
    <mergeCell ref="B83:E83"/>
    <mergeCell ref="B82:E82"/>
    <mergeCell ref="B100:E100"/>
    <mergeCell ref="B101:E101"/>
    <mergeCell ref="C124:D124"/>
    <mergeCell ref="B211:E211"/>
    <mergeCell ref="B212:E212"/>
    <mergeCell ref="B213:E213"/>
    <mergeCell ref="B157:E157"/>
    <mergeCell ref="B202:E202"/>
    <mergeCell ref="B200:E200"/>
    <mergeCell ref="B160:E161"/>
    <mergeCell ref="B165:E166"/>
    <mergeCell ref="B174:E175"/>
    <mergeCell ref="B182:E187"/>
    <mergeCell ref="B190:E195"/>
    <mergeCell ref="B163:E163"/>
    <mergeCell ref="B170:E170"/>
    <mergeCell ref="B189:E189"/>
    <mergeCell ref="B232:E232"/>
    <mergeCell ref="B233:E233"/>
    <mergeCell ref="B216:E223"/>
    <mergeCell ref="B225:E227"/>
    <mergeCell ref="B197:E197"/>
    <mergeCell ref="B204:E204"/>
    <mergeCell ref="B229:E229"/>
    <mergeCell ref="B230:E230"/>
  </mergeCells>
  <dataValidations count="1">
    <dataValidation type="list" allowBlank="1" showInputMessage="1" showErrorMessage="1" sqref="A1" xr:uid="{00000000-0002-0000-1000-000000000000}">
      <formula1>Year</formula1>
    </dataValidation>
  </dataValidations>
  <pageMargins left="0.7" right="0.7" top="0.75" bottom="0.75" header="0.3" footer="0.3"/>
  <pageSetup scale="49" orientation="portrait" r:id="rId1"/>
  <rowBreaks count="4" manualBreakCount="4">
    <brk id="151" max="5" man="1"/>
    <brk id="207" max="5" man="1"/>
    <brk id="250" max="5" man="1"/>
    <brk id="306"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55"/>
  <sheetViews>
    <sheetView showGridLines="0" showRowColHeaders="0" zoomScaleNormal="100" zoomScaleSheetLayoutView="44" workbookViewId="0"/>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2021</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2021</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2021</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7.25" collapsed="1" thickBot="1" x14ac:dyDescent="0.35">
      <c r="C91" s="152"/>
      <c r="D91" s="220"/>
      <c r="E91" s="224"/>
      <c r="F91" s="224"/>
      <c r="G91" s="150"/>
      <c r="H91" s="153"/>
      <c r="I91" s="153"/>
    </row>
    <row r="92" spans="3:10" outlineLevel="1" x14ac:dyDescent="0.25">
      <c r="C92" s="257"/>
      <c r="D92" s="258"/>
      <c r="E92" s="258"/>
      <c r="F92" s="258"/>
      <c r="G92" s="258"/>
      <c r="H92" s="258"/>
      <c r="I92" s="259"/>
    </row>
    <row r="93" spans="3:10" ht="16.5" outlineLevel="1" x14ac:dyDescent="0.3">
      <c r="C93" s="638" t="s">
        <v>358</v>
      </c>
      <c r="D93" s="639"/>
      <c r="E93" s="639"/>
      <c r="F93" s="639"/>
      <c r="G93" s="639"/>
      <c r="H93" s="639"/>
      <c r="I93" s="640"/>
      <c r="J93" s="154"/>
    </row>
    <row r="94" spans="3:10" ht="16.5" outlineLevel="1" x14ac:dyDescent="0.3">
      <c r="C94" s="638" t="s">
        <v>378</v>
      </c>
      <c r="D94" s="639"/>
      <c r="E94" s="639"/>
      <c r="F94" s="639"/>
      <c r="G94" s="639"/>
      <c r="H94" s="639"/>
      <c r="I94" s="640"/>
      <c r="J94" s="154"/>
    </row>
    <row r="95" spans="3:10" ht="16.5" outlineLevel="1" x14ac:dyDescent="0.3">
      <c r="C95" s="650" t="str">
        <f>"FOR THE YEAR ENDED 31ST DECEMBER" &amp; " " &amp;$A$1</f>
        <v>FOR THE YEAR ENDED 31ST DECEMBER 2021</v>
      </c>
      <c r="D95" s="651"/>
      <c r="E95" s="651"/>
      <c r="F95" s="651"/>
      <c r="G95" s="651"/>
      <c r="H95" s="651"/>
      <c r="I95" s="652"/>
      <c r="J95" s="154"/>
    </row>
    <row r="96" spans="3:10" ht="16.5" outlineLevel="1" x14ac:dyDescent="0.3">
      <c r="C96" s="260" t="s">
        <v>379</v>
      </c>
      <c r="D96" s="155"/>
      <c r="E96" s="155"/>
      <c r="F96" s="155"/>
      <c r="G96" s="155"/>
      <c r="H96" s="155"/>
      <c r="I96" s="261"/>
      <c r="J96" s="155"/>
    </row>
    <row r="97" spans="3:10" ht="16.5" outlineLevel="1" x14ac:dyDescent="0.3">
      <c r="C97" s="262" t="s">
        <v>390</v>
      </c>
      <c r="D97" s="159" t="s">
        <v>391</v>
      </c>
      <c r="E97" s="242"/>
      <c r="F97" s="154"/>
      <c r="G97" s="154"/>
      <c r="H97" s="154"/>
      <c r="I97" s="263"/>
      <c r="J97" s="154"/>
    </row>
    <row r="98" spans="3:10" outlineLevel="1" x14ac:dyDescent="0.25">
      <c r="C98" s="216"/>
      <c r="D98" s="243"/>
      <c r="E98" s="156"/>
      <c r="F98" s="156"/>
      <c r="G98" s="156"/>
      <c r="H98" s="156"/>
      <c r="I98" s="264"/>
      <c r="J98" s="156"/>
    </row>
    <row r="99" spans="3:10" ht="30" outlineLevel="1" x14ac:dyDescent="0.25">
      <c r="C99" s="216"/>
      <c r="D99" s="159"/>
      <c r="E99" s="244" t="s">
        <v>392</v>
      </c>
      <c r="F99" s="244" t="s">
        <v>393</v>
      </c>
      <c r="G99" s="244" t="s">
        <v>376</v>
      </c>
      <c r="H99" s="245" t="s">
        <v>375</v>
      </c>
      <c r="I99" s="265" t="s">
        <v>60</v>
      </c>
    </row>
    <row r="100" spans="3:10" outlineLevel="1" x14ac:dyDescent="0.25">
      <c r="C100" s="266"/>
      <c r="D100" s="159"/>
      <c r="E100" s="246" t="s">
        <v>394</v>
      </c>
      <c r="F100" s="246" t="s">
        <v>394</v>
      </c>
      <c r="G100" s="246" t="s">
        <v>394</v>
      </c>
      <c r="H100" s="246" t="s">
        <v>394</v>
      </c>
      <c r="I100" s="267" t="s">
        <v>394</v>
      </c>
    </row>
    <row r="101" spans="3:10" outlineLevel="1" x14ac:dyDescent="0.25">
      <c r="C101" s="216"/>
      <c r="D101" s="159" t="s">
        <v>544</v>
      </c>
      <c r="E101" s="246"/>
      <c r="F101" s="246"/>
      <c r="G101" s="246"/>
      <c r="H101" s="246"/>
      <c r="I101" s="267"/>
    </row>
    <row r="102" spans="3:10" ht="16.5" outlineLevel="1" x14ac:dyDescent="0.3">
      <c r="C102" s="266"/>
      <c r="D102" s="213" t="s">
        <v>396</v>
      </c>
      <c r="E102" s="157">
        <v>676160</v>
      </c>
      <c r="F102" s="157">
        <v>483987</v>
      </c>
      <c r="G102" s="157">
        <v>975000</v>
      </c>
      <c r="H102" s="157">
        <v>375657</v>
      </c>
      <c r="I102" s="268">
        <f>SUM(E102:H102)</f>
        <v>2510804</v>
      </c>
    </row>
    <row r="103" spans="3:10" ht="16.5" outlineLevel="1" x14ac:dyDescent="0.3">
      <c r="C103" s="266"/>
      <c r="D103" s="213" t="s">
        <v>397</v>
      </c>
      <c r="E103" s="157">
        <v>-645785.29200000002</v>
      </c>
      <c r="F103" s="157">
        <v>-328179.919921875</v>
      </c>
      <c r="G103" s="157">
        <v>-243750</v>
      </c>
      <c r="H103" s="157">
        <v>-276379.9375</v>
      </c>
      <c r="I103" s="268">
        <v>-1140643.675</v>
      </c>
    </row>
    <row r="104" spans="3:10" ht="17.25"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outlineLevel="1" x14ac:dyDescent="0.3">
      <c r="C105" s="216"/>
      <c r="D105" s="159" t="s">
        <v>545</v>
      </c>
      <c r="E105" s="157"/>
      <c r="F105" s="157"/>
      <c r="G105" s="157"/>
      <c r="H105" s="157"/>
      <c r="I105" s="269"/>
    </row>
    <row r="106" spans="3:10" ht="16.5"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outlineLevel="1" x14ac:dyDescent="0.3">
      <c r="C107" s="270"/>
      <c r="D107" s="213" t="s">
        <v>401</v>
      </c>
      <c r="E107" s="157">
        <v>0</v>
      </c>
      <c r="F107" s="157">
        <v>0</v>
      </c>
      <c r="G107" s="157">
        <v>0</v>
      </c>
      <c r="H107" s="157">
        <v>0</v>
      </c>
      <c r="I107" s="268">
        <f>SUM(E107:H107)</f>
        <v>0</v>
      </c>
    </row>
    <row r="108" spans="3:10" ht="16.5"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outlineLevel="1" x14ac:dyDescent="0.3">
      <c r="C110" s="270"/>
      <c r="D110" s="159" t="s">
        <v>528</v>
      </c>
      <c r="E110" s="157"/>
      <c r="F110" s="157"/>
      <c r="G110" s="157"/>
      <c r="H110" s="157"/>
      <c r="I110" s="268"/>
    </row>
    <row r="111" spans="3:10" ht="16.5" outlineLevel="1" x14ac:dyDescent="0.3">
      <c r="C111" s="270"/>
      <c r="D111" s="213" t="s">
        <v>396</v>
      </c>
      <c r="E111" s="157">
        <f>E102</f>
        <v>676160</v>
      </c>
      <c r="F111" s="157">
        <f>F102</f>
        <v>483987</v>
      </c>
      <c r="G111" s="157">
        <f>G102</f>
        <v>975000</v>
      </c>
      <c r="H111" s="157">
        <f>H102</f>
        <v>375657</v>
      </c>
      <c r="I111" s="268">
        <f>SUM(E111:H111)</f>
        <v>2510804</v>
      </c>
    </row>
    <row r="112" spans="3:10" ht="16.5"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outlineLevel="1" x14ac:dyDescent="0.3">
      <c r="C114" s="216"/>
      <c r="D114" s="159" t="s">
        <v>547</v>
      </c>
      <c r="E114" s="157"/>
      <c r="F114" s="157"/>
      <c r="G114" s="157"/>
      <c r="H114" s="157"/>
      <c r="I114" s="269"/>
    </row>
    <row r="115" spans="3:9" ht="16.5"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outlineLevel="1" x14ac:dyDescent="0.3">
      <c r="C116" s="270"/>
      <c r="D116" s="213" t="s">
        <v>401</v>
      </c>
      <c r="E116" s="157">
        <v>0</v>
      </c>
      <c r="F116" s="157">
        <v>344748.28</v>
      </c>
      <c r="G116" s="157">
        <v>1500000</v>
      </c>
      <c r="H116" s="157">
        <v>0</v>
      </c>
      <c r="I116" s="268">
        <f>SUM(E116:H116)</f>
        <v>1844748.28</v>
      </c>
    </row>
    <row r="117" spans="3:9" ht="16.5" outlineLevel="1" x14ac:dyDescent="0.3">
      <c r="C117" s="270"/>
      <c r="D117" s="213" t="s">
        <v>405</v>
      </c>
      <c r="E117" s="157">
        <v>0</v>
      </c>
      <c r="F117" s="157">
        <v>0</v>
      </c>
      <c r="G117" s="157">
        <f>-975000</f>
        <v>-975000</v>
      </c>
      <c r="H117" s="157">
        <v>0</v>
      </c>
      <c r="I117" s="268">
        <f>SUM(E117:H117)</f>
        <v>-975000</v>
      </c>
    </row>
    <row r="118" spans="3:9" ht="16.5" outlineLevel="1" x14ac:dyDescent="0.3">
      <c r="C118" s="270"/>
      <c r="D118" s="213" t="s">
        <v>406</v>
      </c>
      <c r="E118" s="157">
        <v>0</v>
      </c>
      <c r="F118" s="157">
        <v>0</v>
      </c>
      <c r="G118" s="157">
        <v>426562.5</v>
      </c>
      <c r="H118" s="157">
        <v>0</v>
      </c>
      <c r="I118" s="268">
        <f>SUM(E118:H118)</f>
        <v>426562.5</v>
      </c>
    </row>
    <row r="119" spans="3:9" ht="16.5"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outlineLevel="1" x14ac:dyDescent="0.3">
      <c r="C121" s="270"/>
      <c r="D121" s="159" t="s">
        <v>548</v>
      </c>
      <c r="E121" s="157"/>
      <c r="F121" s="157"/>
      <c r="G121" s="157"/>
      <c r="H121" s="157"/>
      <c r="I121" s="268"/>
    </row>
    <row r="122" spans="3:9" ht="16.5"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outlineLevel="1" thickTop="1" x14ac:dyDescent="0.3">
      <c r="C125" s="270"/>
      <c r="D125" s="213"/>
      <c r="E125" s="158"/>
      <c r="F125" s="245"/>
      <c r="G125" s="245"/>
      <c r="H125" s="245"/>
      <c r="I125" s="265"/>
    </row>
    <row r="126" spans="3:9" ht="16.5" outlineLevel="1" x14ac:dyDescent="0.3">
      <c r="C126" s="270"/>
      <c r="D126" s="213"/>
      <c r="E126" s="154"/>
      <c r="F126" s="245"/>
      <c r="G126" s="245"/>
      <c r="H126" s="245" t="s">
        <v>394</v>
      </c>
      <c r="I126" s="265" t="s">
        <v>394</v>
      </c>
    </row>
    <row r="127" spans="3:9" ht="16.5" outlineLevel="1" x14ac:dyDescent="0.3">
      <c r="C127" s="271" t="s">
        <v>408</v>
      </c>
      <c r="D127" s="221" t="s">
        <v>409</v>
      </c>
      <c r="E127" s="154"/>
      <c r="F127" s="246"/>
      <c r="G127" s="246"/>
      <c r="H127" s="245"/>
      <c r="I127" s="267"/>
    </row>
    <row r="128" spans="3:9" ht="16.5" outlineLevel="1" x14ac:dyDescent="0.3">
      <c r="C128" s="272"/>
      <c r="D128" s="248" t="s">
        <v>410</v>
      </c>
      <c r="E128" s="154"/>
      <c r="F128" s="246"/>
      <c r="G128" s="246"/>
      <c r="H128" s="246"/>
      <c r="I128" s="263"/>
    </row>
    <row r="129" spans="3:9" ht="16.5" outlineLevel="1" x14ac:dyDescent="0.3">
      <c r="C129" s="272"/>
      <c r="D129" s="248" t="s">
        <v>411</v>
      </c>
      <c r="E129" s="159"/>
      <c r="F129" s="154"/>
      <c r="G129" s="154"/>
      <c r="H129" s="157">
        <f>-I119</f>
        <v>409278.51677448238</v>
      </c>
      <c r="I129" s="273">
        <v>223810.43022226563</v>
      </c>
    </row>
    <row r="130" spans="3:9" ht="16.5" outlineLevel="1" x14ac:dyDescent="0.3">
      <c r="C130" s="272"/>
      <c r="D130" s="248" t="s">
        <v>412</v>
      </c>
      <c r="E130" s="159"/>
      <c r="F130" s="157"/>
      <c r="G130" s="157"/>
      <c r="H130" s="249">
        <v>2500001</v>
      </c>
      <c r="I130" s="273">
        <v>2691143</v>
      </c>
    </row>
    <row r="131" spans="3:9" ht="18.75" outlineLevel="1" x14ac:dyDescent="0.45">
      <c r="C131" s="272"/>
      <c r="D131" s="248" t="s">
        <v>413</v>
      </c>
      <c r="E131" s="159"/>
      <c r="F131" s="250"/>
      <c r="G131" s="250"/>
      <c r="H131" s="249">
        <v>176009.84</v>
      </c>
      <c r="I131" s="273">
        <v>102278.42</v>
      </c>
    </row>
    <row r="132" spans="3:9" ht="18.75" outlineLevel="1" x14ac:dyDescent="0.45">
      <c r="C132" s="272"/>
      <c r="D132" s="248" t="s">
        <v>414</v>
      </c>
      <c r="E132" s="159"/>
      <c r="F132" s="251"/>
      <c r="G132" s="251"/>
      <c r="H132" s="252">
        <v>175000</v>
      </c>
      <c r="I132" s="274">
        <v>175000</v>
      </c>
    </row>
    <row r="133" spans="3:9" ht="16.5" outlineLevel="1" x14ac:dyDescent="0.3">
      <c r="C133" s="275" t="s">
        <v>415</v>
      </c>
      <c r="D133" s="253" t="s">
        <v>98</v>
      </c>
      <c r="E133" s="159"/>
      <c r="F133" s="154"/>
      <c r="G133" s="154"/>
      <c r="H133" s="154"/>
      <c r="I133" s="276"/>
    </row>
    <row r="134" spans="3:9" ht="16.5" outlineLevel="1" x14ac:dyDescent="0.3">
      <c r="C134" s="277"/>
      <c r="D134" s="253" t="s">
        <v>416</v>
      </c>
      <c r="E134" s="159"/>
      <c r="F134" s="247"/>
      <c r="G134" s="247"/>
      <c r="H134" s="154"/>
      <c r="I134" s="263"/>
    </row>
    <row r="135" spans="3:9" ht="18" outlineLevel="1" x14ac:dyDescent="0.4">
      <c r="C135" s="277"/>
      <c r="D135" s="254" t="s">
        <v>417</v>
      </c>
      <c r="E135" s="159"/>
      <c r="F135" s="157"/>
      <c r="G135" s="157"/>
      <c r="H135" s="255">
        <f>I135</f>
        <v>100000</v>
      </c>
      <c r="I135" s="278">
        <v>100000</v>
      </c>
    </row>
    <row r="136" spans="3:9" ht="18.75" outlineLevel="1" x14ac:dyDescent="0.45">
      <c r="C136" s="277"/>
      <c r="D136" s="253" t="s">
        <v>418</v>
      </c>
      <c r="E136" s="160"/>
      <c r="F136" s="250"/>
      <c r="G136" s="250"/>
      <c r="H136" s="157"/>
      <c r="I136" s="276"/>
    </row>
    <row r="137" spans="3:9" ht="17.25" outlineLevel="1" x14ac:dyDescent="0.4">
      <c r="C137" s="277"/>
      <c r="D137" s="254" t="s">
        <v>419</v>
      </c>
      <c r="E137" s="159"/>
      <c r="F137" s="255"/>
      <c r="G137" s="255"/>
      <c r="H137" s="255">
        <f>I137</f>
        <v>400</v>
      </c>
      <c r="I137" s="279">
        <v>400</v>
      </c>
    </row>
    <row r="138" spans="3:9" outlineLevel="1" x14ac:dyDescent="0.25">
      <c r="C138" s="231"/>
      <c r="I138" s="215"/>
    </row>
    <row r="139" spans="3:9" outlineLevel="1" x14ac:dyDescent="0.25">
      <c r="C139" s="231"/>
      <c r="I139" s="215"/>
    </row>
    <row r="140" spans="3:9" outlineLevel="1" x14ac:dyDescent="0.25">
      <c r="C140" s="231"/>
      <c r="I140" s="215"/>
    </row>
    <row r="141" spans="3:9" ht="15.75" outlineLevel="1" thickBot="1" x14ac:dyDescent="0.3">
      <c r="C141" s="202"/>
      <c r="D141" s="203"/>
      <c r="E141" s="203"/>
      <c r="F141" s="203"/>
      <c r="G141" s="203"/>
      <c r="H141" s="203"/>
      <c r="I141" s="204"/>
    </row>
    <row r="142" spans="3:9" outlineLevel="1" x14ac:dyDescent="0.25"/>
    <row r="143" spans="3:9" outlineLevel="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tr">
        <f>"FOR THE YEAR ENDED 31ST DECEMBER" &amp; " " &amp;$A$1</f>
        <v>FOR THE YEAR ENDED 31ST DECEMBER 2021</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c r="I174" s="180"/>
    </row>
    <row r="175" spans="3:9" ht="18.75" hidden="1" outlineLevel="1" x14ac:dyDescent="0.45">
      <c r="C175" s="280"/>
      <c r="D175" s="142" t="s">
        <v>440</v>
      </c>
      <c r="E175" s="142"/>
      <c r="F175" s="168">
        <f>SUM(F172:F174)</f>
        <v>214723.46028711041</v>
      </c>
      <c r="G175" s="169">
        <f>SUM(G172:G174)</f>
        <v>-173207.74004687136</v>
      </c>
      <c r="H175" s="165"/>
      <c r="I175" s="302"/>
    </row>
    <row r="176" spans="3:9" ht="16.5" hidden="1" outlineLevel="1" x14ac:dyDescent="0.3">
      <c r="C176" s="303" t="s">
        <v>441</v>
      </c>
      <c r="D176" s="304" t="s">
        <v>442</v>
      </c>
      <c r="E176" s="305"/>
      <c r="F176" s="305"/>
      <c r="G176" s="305"/>
      <c r="H176" s="165"/>
      <c r="I176" s="180"/>
    </row>
    <row r="177" spans="3:9" ht="33" hidden="1" outlineLevel="1" x14ac:dyDescent="0.3">
      <c r="C177" s="297"/>
      <c r="D177" s="305"/>
      <c r="E177" s="177"/>
      <c r="F177" s="306" t="s">
        <v>443</v>
      </c>
      <c r="G177" s="177"/>
      <c r="H177" s="165"/>
      <c r="I177" s="180"/>
    </row>
    <row r="178" spans="3:9" ht="16.5" hidden="1" outlineLevel="1" x14ac:dyDescent="0.3">
      <c r="C178" s="297"/>
      <c r="D178" s="305"/>
      <c r="E178" s="177" t="s">
        <v>394</v>
      </c>
      <c r="F178" s="306"/>
      <c r="G178" s="177" t="s">
        <v>394</v>
      </c>
      <c r="H178" s="165"/>
      <c r="I178" s="180"/>
    </row>
    <row r="179" spans="3:9" ht="16.5" hidden="1" outlineLevel="1" x14ac:dyDescent="0.3">
      <c r="C179" s="297"/>
      <c r="D179" s="176" t="s">
        <v>444</v>
      </c>
      <c r="E179" s="307">
        <v>219758.97</v>
      </c>
      <c r="F179" s="286">
        <f>E179-G179</f>
        <v>31222.97</v>
      </c>
      <c r="G179" s="308">
        <v>188536</v>
      </c>
      <c r="H179" s="309"/>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tr">
        <f>"FOR THE YEAR ENDED 31ST DECEMBER" &amp; " " &amp;$A$1</f>
        <v>FOR THE YEAR ENDED 31ST DECEMBER 2021</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tr">
        <f>"FOR THE YEAR ENDED 31ST DECEMBER" &amp; " " &amp;$A$1</f>
        <v>FOR THE YEAR ENDED 31ST DECEMBER 2021</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tr">
        <f>"FOR THE YEAR ENDED 31ST DECEMBER" &amp; " " &amp;$A$1</f>
        <v>FOR THE YEAR ENDED 31ST DECEMBER 2021</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546</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549</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550</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C227:I227"/>
    <mergeCell ref="D210:H213"/>
    <mergeCell ref="D215:H216"/>
    <mergeCell ref="C146:I146"/>
    <mergeCell ref="C147:I147"/>
    <mergeCell ref="C148:I148"/>
    <mergeCell ref="C225:I225"/>
    <mergeCell ref="C226:I226"/>
    <mergeCell ref="C5:G5"/>
    <mergeCell ref="C4:G4"/>
    <mergeCell ref="C6:G6"/>
    <mergeCell ref="D8:G9"/>
    <mergeCell ref="D11:G13"/>
    <mergeCell ref="D41:G43"/>
    <mergeCell ref="C52:G52"/>
    <mergeCell ref="C53:G53"/>
    <mergeCell ref="C54:G54"/>
    <mergeCell ref="D58:G59"/>
    <mergeCell ref="D18:G20"/>
    <mergeCell ref="D22:G24"/>
    <mergeCell ref="D30:G33"/>
    <mergeCell ref="D35:G37"/>
    <mergeCell ref="D39:G39"/>
    <mergeCell ref="C293:I293"/>
    <mergeCell ref="C294:I294"/>
    <mergeCell ref="C295:I295"/>
    <mergeCell ref="D63:G64"/>
    <mergeCell ref="D66:G69"/>
    <mergeCell ref="D70:G70"/>
    <mergeCell ref="D208:H208"/>
    <mergeCell ref="D73:G77"/>
    <mergeCell ref="D80:G81"/>
    <mergeCell ref="D83:G83"/>
    <mergeCell ref="C93:I93"/>
    <mergeCell ref="C191:I191"/>
    <mergeCell ref="C192:I192"/>
    <mergeCell ref="C193:I193"/>
    <mergeCell ref="C94:I94"/>
    <mergeCell ref="C95:I95"/>
  </mergeCells>
  <conditionalFormatting sqref="G207:H207">
    <cfRule type="cellIs" dxfId="535" priority="1" stopIfTrue="1" operator="greaterThan">
      <formula>0</formula>
    </cfRule>
    <cfRule type="cellIs" dxfId="534" priority="2" stopIfTrue="1" operator="equal">
      <formula>0</formula>
    </cfRule>
  </conditionalFormatting>
  <dataValidations count="1">
    <dataValidation type="list" allowBlank="1" showInputMessage="1" showErrorMessage="1" sqref="A1" xr:uid="{00000000-0002-0000-1100-000000000000}">
      <formula1>Year</formula1>
    </dataValidation>
  </dataValidations>
  <pageMargins left="0.9055118110236221" right="0.39370078740157483" top="1.3385826771653544" bottom="0.94488188976377963" header="0.31496062992125984" footer="0.31496062992125984"/>
  <pageSetup scale="43" orientation="landscape" r:id="rId1"/>
  <rowBreaks count="6" manualBreakCount="6">
    <brk id="50" max="9" man="1"/>
    <brk id="89" max="9" man="1"/>
    <brk id="143" max="9" man="1"/>
    <brk id="187" max="9" man="1"/>
    <brk id="222" max="9" man="1"/>
    <brk id="288"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D1:W283"/>
  <sheetViews>
    <sheetView showGridLines="0" topLeftCell="A105" zoomScaleNormal="100" zoomScaleSheetLayoutView="14" workbookViewId="0">
      <selection activeCell="D114" sqref="D114"/>
    </sheetView>
  </sheetViews>
  <sheetFormatPr defaultRowHeight="16.5" outlineLevelRow="1" x14ac:dyDescent="0.3"/>
  <cols>
    <col min="1" max="3" width="9.140625" style="345"/>
    <col min="4" max="4" width="49.5703125" style="345" bestFit="1" customWidth="1"/>
    <col min="5" max="5" width="11.5703125" style="345" bestFit="1" customWidth="1"/>
    <col min="6" max="6" width="14.85546875" style="345" customWidth="1"/>
    <col min="7" max="7" width="26.140625" style="345" customWidth="1"/>
    <col min="8" max="8" width="21.7109375" style="345" customWidth="1"/>
    <col min="9" max="9" width="36.140625" style="345" bestFit="1" customWidth="1"/>
    <col min="10" max="10" width="12.7109375" style="345" bestFit="1" customWidth="1"/>
    <col min="11" max="16" width="9.140625" style="345"/>
    <col min="17" max="17" width="57.85546875" style="345" bestFit="1" customWidth="1"/>
    <col min="18" max="18" width="24" style="345" bestFit="1" customWidth="1"/>
    <col min="19" max="19" width="22.28515625" style="356" customWidth="1"/>
    <col min="20" max="20" width="26.140625" style="356" bestFit="1" customWidth="1"/>
    <col min="21" max="21" width="21.7109375" style="345" bestFit="1" customWidth="1"/>
    <col min="22" max="22" width="35.28515625" style="356" customWidth="1"/>
    <col min="23" max="23" width="14.28515625" style="345" bestFit="1" customWidth="1"/>
    <col min="24" max="16384" width="9.140625" style="345"/>
  </cols>
  <sheetData>
    <row r="1" spans="4:23" outlineLevel="1" x14ac:dyDescent="0.3"/>
    <row r="2" spans="4:23" outlineLevel="1" x14ac:dyDescent="0.3"/>
    <row r="3" spans="4:23" outlineLevel="1" x14ac:dyDescent="0.3"/>
    <row r="4" spans="4:23" ht="21" outlineLevel="1" x14ac:dyDescent="0.3">
      <c r="D4" s="665" t="s">
        <v>520</v>
      </c>
      <c r="E4" s="665"/>
      <c r="Q4" s="665" t="s">
        <v>520</v>
      </c>
      <c r="R4" s="665"/>
      <c r="S4" s="665"/>
      <c r="T4" s="665"/>
      <c r="U4" s="665"/>
      <c r="V4" s="431"/>
    </row>
    <row r="5" spans="4:23" outlineLevel="1" x14ac:dyDescent="0.3">
      <c r="D5" s="666" t="s">
        <v>521</v>
      </c>
      <c r="E5" s="666"/>
      <c r="Q5" s="666" t="s">
        <v>521</v>
      </c>
      <c r="R5" s="666"/>
      <c r="S5" s="666"/>
      <c r="T5" s="666"/>
      <c r="U5" s="666"/>
      <c r="V5" s="432"/>
    </row>
    <row r="6" spans="4:23" outlineLevel="1" x14ac:dyDescent="0.3">
      <c r="D6" s="666" t="str">
        <f>"for the year ended December"&amp;" "&amp;E7</f>
        <v>for the year ended December 2020</v>
      </c>
      <c r="E6" s="666"/>
      <c r="Q6" s="666" t="s">
        <v>527</v>
      </c>
      <c r="R6" s="666"/>
      <c r="S6" s="666"/>
      <c r="T6" s="666"/>
      <c r="U6" s="666"/>
      <c r="V6" s="432"/>
    </row>
    <row r="7" spans="4:23" ht="17.25" outlineLevel="1" x14ac:dyDescent="0.3">
      <c r="D7" s="679" t="s">
        <v>46</v>
      </c>
      <c r="E7" s="674">
        <v>2020</v>
      </c>
      <c r="Q7" s="346"/>
      <c r="R7" s="373"/>
    </row>
    <row r="8" spans="4:23" outlineLevel="1" x14ac:dyDescent="0.3"/>
    <row r="9" spans="4:23" ht="17.25" outlineLevel="1" x14ac:dyDescent="0.35">
      <c r="D9" s="675" t="s">
        <v>59</v>
      </c>
      <c r="E9" s="676" t="s">
        <v>244</v>
      </c>
      <c r="Q9" s="374" t="s">
        <v>46</v>
      </c>
      <c r="R9" s="374" t="s">
        <v>526</v>
      </c>
      <c r="S9" s="374">
        <v>2021</v>
      </c>
      <c r="T9" s="374">
        <v>2020</v>
      </c>
      <c r="U9" s="374" t="str">
        <f>"% Changes"</f>
        <v>% Changes</v>
      </c>
      <c r="V9" s="346"/>
    </row>
    <row r="10" spans="4:23" ht="17.25" outlineLevel="1" x14ac:dyDescent="0.3">
      <c r="D10" s="677" t="s">
        <v>3</v>
      </c>
      <c r="E10" s="678">
        <v>231291153.24000001</v>
      </c>
      <c r="Q10" s="346"/>
      <c r="R10" s="346"/>
      <c r="S10" s="346" t="s">
        <v>244</v>
      </c>
      <c r="T10" s="346" t="s">
        <v>244</v>
      </c>
      <c r="U10" s="346"/>
      <c r="V10" s="444"/>
    </row>
    <row r="11" spans="4:23" ht="17.25" outlineLevel="1" thickBot="1" x14ac:dyDescent="0.35">
      <c r="D11" s="409" t="s">
        <v>6</v>
      </c>
      <c r="E11" s="410">
        <v>213590964.66</v>
      </c>
      <c r="Q11" s="347" t="s">
        <v>3</v>
      </c>
      <c r="R11" s="348"/>
      <c r="U11" s="356"/>
      <c r="V11" s="445"/>
    </row>
    <row r="12" spans="4:23" ht="17.25" outlineLevel="1" thickTop="1" x14ac:dyDescent="0.3">
      <c r="D12" s="677" t="s">
        <v>4</v>
      </c>
      <c r="E12" s="678">
        <v>23257798.000444531</v>
      </c>
      <c r="Q12" s="349" t="s">
        <v>62</v>
      </c>
      <c r="R12" s="348"/>
      <c r="S12" s="380">
        <v>332888352.44999999</v>
      </c>
      <c r="T12" s="380">
        <v>231291153.24000001</v>
      </c>
      <c r="U12" s="397">
        <f>IF(IFERROR(($S12-$T12)/$T12,"")=0,"",IFERROR(($S12-$T12)/$T12,""))</f>
        <v>0.43926106894619232</v>
      </c>
      <c r="V12" s="446">
        <f>S12+S13</f>
        <v>333139915.44999999</v>
      </c>
      <c r="W12" s="446">
        <f>T12+T13</f>
        <v>231291153.24000001</v>
      </c>
    </row>
    <row r="13" spans="4:23" outlineLevel="1" x14ac:dyDescent="0.3">
      <c r="D13" s="677" t="s">
        <v>276</v>
      </c>
      <c r="E13" s="678">
        <v>6071289.5797777465</v>
      </c>
      <c r="Q13" s="349" t="s">
        <v>216</v>
      </c>
      <c r="R13" s="348"/>
      <c r="S13" s="380">
        <v>251563</v>
      </c>
      <c r="T13" s="380"/>
      <c r="U13" s="397" t="str">
        <f t="shared" ref="U13:U54" si="0">IF(IFERROR(($S13-$T13)/$T13,"")=0,"",IFERROR(($S13-$T13)/$T13,""))</f>
        <v/>
      </c>
      <c r="V13" s="446">
        <f>V12-S19-S51</f>
        <v>8341041.1232255101</v>
      </c>
    </row>
    <row r="14" spans="4:23" ht="18" outlineLevel="1" thickBot="1" x14ac:dyDescent="0.4">
      <c r="D14" s="677" t="s">
        <v>277</v>
      </c>
      <c r="E14" s="678">
        <v>-1820215.25995313</v>
      </c>
      <c r="Q14" s="350" t="s">
        <v>235</v>
      </c>
      <c r="R14" s="351"/>
      <c r="S14" s="381">
        <f>SUM(S12:S13)</f>
        <v>333139915.44999999</v>
      </c>
      <c r="T14" s="381">
        <v>231291153.24000001</v>
      </c>
      <c r="U14" s="398">
        <f>IF(IFERROR(($S14-$T14)/$T14,"")=0,"",IFERROR(($S14-$T14)/$T14,""))</f>
        <v>0.44034871538867848</v>
      </c>
      <c r="V14" s="446"/>
    </row>
    <row r="15" spans="4:23" ht="18.75" outlineLevel="1" thickBot="1" x14ac:dyDescent="0.4">
      <c r="D15" s="411" t="s">
        <v>234</v>
      </c>
      <c r="E15" s="412">
        <v>4251074.3198246164</v>
      </c>
      <c r="Q15" s="347" t="s">
        <v>6</v>
      </c>
      <c r="R15" s="348"/>
      <c r="S15" s="380"/>
      <c r="T15" s="380"/>
      <c r="U15" s="397" t="str">
        <f t="shared" si="0"/>
        <v/>
      </c>
      <c r="V15" s="446"/>
    </row>
    <row r="16" spans="4:23" ht="17.25" outlineLevel="1" thickTop="1" x14ac:dyDescent="0.3">
      <c r="D16"/>
      <c r="E16"/>
      <c r="Q16" s="349" t="s">
        <v>142</v>
      </c>
      <c r="R16" s="348"/>
      <c r="S16" s="380">
        <v>3296400</v>
      </c>
      <c r="T16" s="380">
        <v>4303645</v>
      </c>
      <c r="U16" s="397">
        <f t="shared" si="0"/>
        <v>-0.23404462961048134</v>
      </c>
      <c r="V16" s="446"/>
    </row>
    <row r="17" spans="4:22" outlineLevel="1" x14ac:dyDescent="0.3">
      <c r="D17"/>
      <c r="E17"/>
      <c r="Q17" s="349" t="s">
        <v>147</v>
      </c>
      <c r="R17" s="348"/>
      <c r="S17" s="380">
        <v>317589719.63</v>
      </c>
      <c r="T17" s="380">
        <v>212583719.66</v>
      </c>
      <c r="U17" s="397">
        <f t="shared" si="0"/>
        <v>0.49395127782100828</v>
      </c>
      <c r="V17" s="446"/>
    </row>
    <row r="18" spans="4:22" outlineLevel="1" x14ac:dyDescent="0.3">
      <c r="D18"/>
      <c r="E18"/>
      <c r="Q18" s="349" t="s">
        <v>229</v>
      </c>
      <c r="R18" s="348"/>
      <c r="S18" s="380">
        <v>-10003059</v>
      </c>
      <c r="T18" s="380">
        <v>-3296400</v>
      </c>
      <c r="U18" s="397">
        <f>IF(IFERROR(($S18-$T18)/$T18,"")=0,"",IFERROR(($S18-$T18)/$T18,""))</f>
        <v>2.0345404077175102</v>
      </c>
      <c r="V18" s="446"/>
    </row>
    <row r="19" spans="4:22" ht="18" outlineLevel="1" thickBot="1" x14ac:dyDescent="0.4">
      <c r="D19"/>
      <c r="E19"/>
      <c r="Q19" s="350" t="s">
        <v>239</v>
      </c>
      <c r="R19" s="351"/>
      <c r="S19" s="381">
        <f>SUM(S16:S18)</f>
        <v>310883060.63</v>
      </c>
      <c r="T19" s="381">
        <v>213590964.66</v>
      </c>
      <c r="U19" s="398">
        <f t="shared" si="0"/>
        <v>0.45550660874102167</v>
      </c>
      <c r="V19" s="446"/>
    </row>
    <row r="20" spans="4:22" ht="17.25" outlineLevel="1" thickBot="1" x14ac:dyDescent="0.35">
      <c r="D20"/>
      <c r="E20"/>
      <c r="Q20" s="347" t="s">
        <v>4</v>
      </c>
      <c r="R20" s="348"/>
      <c r="S20" s="380"/>
      <c r="T20" s="380"/>
      <c r="U20" s="397" t="str">
        <f t="shared" si="0"/>
        <v/>
      </c>
      <c r="V20" s="446"/>
    </row>
    <row r="21" spans="4:22" outlineLevel="1" x14ac:dyDescent="0.3">
      <c r="D21"/>
      <c r="E21"/>
      <c r="Q21" s="349" t="s">
        <v>518</v>
      </c>
      <c r="R21" s="348"/>
      <c r="S21" s="380"/>
      <c r="T21" s="380">
        <v>600540</v>
      </c>
      <c r="U21" s="397">
        <f t="shared" si="0"/>
        <v>-1</v>
      </c>
      <c r="V21" s="446"/>
    </row>
    <row r="22" spans="4:22" outlineLevel="1" x14ac:dyDescent="0.3">
      <c r="D22"/>
      <c r="E22"/>
      <c r="Q22" s="349" t="s">
        <v>221</v>
      </c>
      <c r="R22" s="348"/>
      <c r="S22" s="380"/>
      <c r="T22" s="380">
        <v>10000</v>
      </c>
      <c r="U22" s="397">
        <f t="shared" si="0"/>
        <v>-1</v>
      </c>
      <c r="V22" s="446"/>
    </row>
    <row r="23" spans="4:22" outlineLevel="1" x14ac:dyDescent="0.3">
      <c r="D23"/>
      <c r="E23"/>
      <c r="Q23" s="349" t="s">
        <v>148</v>
      </c>
      <c r="R23" s="348"/>
      <c r="S23" s="380">
        <v>568965.54</v>
      </c>
      <c r="T23" s="380">
        <v>517241.4</v>
      </c>
      <c r="U23" s="397">
        <f t="shared" si="0"/>
        <v>0.10000000000000002</v>
      </c>
      <c r="V23" s="446"/>
    </row>
    <row r="24" spans="4:22" ht="17.25" outlineLevel="1" thickBot="1" x14ac:dyDescent="0.35">
      <c r="D24"/>
      <c r="E24"/>
      <c r="Q24" s="349" t="s">
        <v>160</v>
      </c>
      <c r="R24" s="348"/>
      <c r="S24" s="380">
        <v>145440</v>
      </c>
      <c r="T24" s="380"/>
      <c r="U24" s="397" t="str">
        <f t="shared" si="0"/>
        <v/>
      </c>
      <c r="V24" s="446"/>
    </row>
    <row r="25" spans="4:22" outlineLevel="1" x14ac:dyDescent="0.3">
      <c r="D25"/>
      <c r="E25"/>
      <c r="Q25" s="349" t="s">
        <v>158</v>
      </c>
      <c r="R25" s="348"/>
      <c r="S25" s="380">
        <v>436880</v>
      </c>
      <c r="T25" s="380">
        <v>587495.65</v>
      </c>
      <c r="U25" s="397">
        <f t="shared" si="0"/>
        <v>-0.25636896205103821</v>
      </c>
      <c r="V25" s="446"/>
    </row>
    <row r="26" spans="4:22" outlineLevel="1" x14ac:dyDescent="0.3">
      <c r="D26"/>
      <c r="E26"/>
      <c r="Q26" s="349" t="s">
        <v>149</v>
      </c>
      <c r="R26" s="348"/>
      <c r="S26" s="380">
        <v>175000</v>
      </c>
      <c r="T26" s="380">
        <v>175000</v>
      </c>
      <c r="U26" s="397" t="str">
        <f t="shared" si="0"/>
        <v/>
      </c>
      <c r="V26" s="446"/>
    </row>
    <row r="27" spans="4:22" outlineLevel="1" x14ac:dyDescent="0.3">
      <c r="D27"/>
      <c r="E27"/>
      <c r="Q27" s="349" t="s">
        <v>150</v>
      </c>
      <c r="R27" s="348"/>
      <c r="S27" s="380">
        <v>176009.84</v>
      </c>
      <c r="T27" s="380">
        <v>102278.42</v>
      </c>
      <c r="U27" s="397">
        <f t="shared" si="0"/>
        <v>0.72088931369882325</v>
      </c>
      <c r="V27" s="446"/>
    </row>
    <row r="28" spans="4:22" ht="18" outlineLevel="1" thickBot="1" x14ac:dyDescent="0.4">
      <c r="D28"/>
      <c r="E28"/>
      <c r="Q28" s="372" t="s">
        <v>237</v>
      </c>
      <c r="R28" s="351"/>
      <c r="S28" s="381">
        <f>SUM(S23:S27)</f>
        <v>1502295.3800000001</v>
      </c>
      <c r="T28" s="381">
        <v>1992555.47</v>
      </c>
      <c r="U28" s="398">
        <f t="shared" si="0"/>
        <v>-0.24604589301596702</v>
      </c>
      <c r="V28" s="446"/>
    </row>
    <row r="29" spans="4:22" ht="17.25" outlineLevel="1" x14ac:dyDescent="0.3">
      <c r="D29"/>
      <c r="E29"/>
      <c r="Q29" s="349" t="s">
        <v>175</v>
      </c>
      <c r="R29" s="348"/>
      <c r="S29" s="380">
        <v>845624</v>
      </c>
      <c r="T29" s="383"/>
      <c r="U29" s="397" t="str">
        <f t="shared" si="0"/>
        <v/>
      </c>
      <c r="V29" s="446"/>
    </row>
    <row r="30" spans="4:22" outlineLevel="1" x14ac:dyDescent="0.3">
      <c r="D30"/>
      <c r="E30"/>
      <c r="Q30" s="349" t="s">
        <v>171</v>
      </c>
      <c r="R30" s="348"/>
      <c r="S30" s="380">
        <v>409278.51677448238</v>
      </c>
      <c r="T30" s="380">
        <v>223810.430222266</v>
      </c>
      <c r="U30" s="397">
        <f>IF(IFERROR(($S30-$T30)/$T30,"")=0,"",IFERROR(($S30-$T30)/$T30,""))</f>
        <v>0.82868383912236854</v>
      </c>
      <c r="V30" s="446"/>
    </row>
    <row r="31" spans="4:22" outlineLevel="1" x14ac:dyDescent="0.3">
      <c r="D31"/>
      <c r="E31"/>
      <c r="Q31" s="349" t="s">
        <v>154</v>
      </c>
      <c r="R31" s="348"/>
      <c r="S31" s="380">
        <v>2500001</v>
      </c>
      <c r="T31" s="380">
        <v>2691143</v>
      </c>
      <c r="U31" s="397">
        <f t="shared" si="0"/>
        <v>-7.1026325988622685E-2</v>
      </c>
      <c r="V31" s="446"/>
    </row>
    <row r="32" spans="4:22" outlineLevel="1" x14ac:dyDescent="0.3">
      <c r="D32"/>
      <c r="E32"/>
      <c r="Q32" s="349" t="s">
        <v>162</v>
      </c>
      <c r="R32" s="348"/>
      <c r="S32" s="380">
        <v>268183.07</v>
      </c>
      <c r="T32" s="380">
        <v>280933.02</v>
      </c>
      <c r="U32" s="397">
        <f t="shared" si="0"/>
        <v>-4.5384305483207391E-2</v>
      </c>
      <c r="V32" s="446"/>
    </row>
    <row r="33" spans="4:22" outlineLevel="1" x14ac:dyDescent="0.3">
      <c r="D33"/>
      <c r="E33"/>
      <c r="Q33" s="349" t="s">
        <v>152</v>
      </c>
      <c r="R33" s="348"/>
      <c r="S33" s="380">
        <v>51948.32</v>
      </c>
      <c r="T33" s="380">
        <v>389076</v>
      </c>
      <c r="U33" s="397">
        <f t="shared" si="0"/>
        <v>-0.86648284653897956</v>
      </c>
      <c r="V33" s="446"/>
    </row>
    <row r="34" spans="4:22" outlineLevel="1" x14ac:dyDescent="0.3">
      <c r="D34"/>
      <c r="E34"/>
      <c r="Q34" s="349" t="s">
        <v>157</v>
      </c>
      <c r="R34" s="348"/>
      <c r="S34" s="380">
        <v>542263</v>
      </c>
      <c r="T34" s="380">
        <v>314437</v>
      </c>
      <c r="U34" s="397">
        <f t="shared" si="0"/>
        <v>0.72455213603996982</v>
      </c>
      <c r="V34" s="446"/>
    </row>
    <row r="35" spans="4:22" outlineLevel="1" x14ac:dyDescent="0.3">
      <c r="D35"/>
      <c r="E35"/>
      <c r="Q35" s="349" t="s">
        <v>161</v>
      </c>
      <c r="R35" s="348"/>
      <c r="S35" s="380">
        <v>77850</v>
      </c>
      <c r="T35" s="380">
        <v>220620</v>
      </c>
      <c r="U35" s="397">
        <f t="shared" si="0"/>
        <v>-0.64713081316290455</v>
      </c>
      <c r="V35" s="446"/>
    </row>
    <row r="36" spans="4:22" outlineLevel="1" x14ac:dyDescent="0.3">
      <c r="D36"/>
      <c r="E36"/>
      <c r="Q36" s="349" t="s">
        <v>153</v>
      </c>
      <c r="R36" s="348"/>
      <c r="S36" s="380">
        <v>233250</v>
      </c>
      <c r="T36" s="380">
        <v>112500</v>
      </c>
      <c r="U36" s="397">
        <f t="shared" si="0"/>
        <v>1.0733333333333333</v>
      </c>
      <c r="V36" s="446"/>
    </row>
    <row r="37" spans="4:22" outlineLevel="1" x14ac:dyDescent="0.3">
      <c r="D37"/>
      <c r="E37"/>
      <c r="Q37" s="349" t="s">
        <v>163</v>
      </c>
      <c r="R37" s="348"/>
      <c r="S37" s="380">
        <v>300</v>
      </c>
      <c r="T37" s="380">
        <v>1200</v>
      </c>
      <c r="U37" s="397">
        <f t="shared" si="0"/>
        <v>-0.75</v>
      </c>
      <c r="V37" s="446"/>
    </row>
    <row r="38" spans="4:22" ht="17.25" outlineLevel="1" thickBot="1" x14ac:dyDescent="0.35">
      <c r="D38"/>
      <c r="E38"/>
      <c r="Q38" s="349" t="s">
        <v>164</v>
      </c>
      <c r="R38" s="348"/>
      <c r="S38" s="380">
        <v>436840.42</v>
      </c>
      <c r="T38" s="380"/>
      <c r="U38" s="397" t="str">
        <f t="shared" si="0"/>
        <v/>
      </c>
      <c r="V38" s="446"/>
    </row>
    <row r="39" spans="4:22" ht="18" outlineLevel="1" thickBot="1" x14ac:dyDescent="0.4">
      <c r="D39"/>
      <c r="E39"/>
      <c r="Q39" s="349" t="s">
        <v>165</v>
      </c>
      <c r="R39" s="348"/>
      <c r="S39" s="380">
        <v>653656.38</v>
      </c>
      <c r="T39" s="380">
        <v>142448.57999999999</v>
      </c>
      <c r="U39" s="397">
        <f t="shared" si="0"/>
        <v>3.5887181184958115</v>
      </c>
      <c r="V39" s="446"/>
    </row>
    <row r="40" spans="4:22" outlineLevel="1" x14ac:dyDescent="0.3">
      <c r="D40"/>
      <c r="E40"/>
      <c r="Q40" s="349" t="s">
        <v>166</v>
      </c>
      <c r="R40" s="348"/>
      <c r="S40" s="380">
        <v>1409746.56</v>
      </c>
      <c r="T40" s="380">
        <v>2142689.66</v>
      </c>
      <c r="U40" s="397">
        <f t="shared" si="0"/>
        <v>-0.34206684882214816</v>
      </c>
      <c r="V40" s="446"/>
    </row>
    <row r="41" spans="4:22" outlineLevel="1" x14ac:dyDescent="0.3">
      <c r="D41"/>
      <c r="E41"/>
      <c r="Q41" s="349" t="s">
        <v>151</v>
      </c>
      <c r="R41" s="348"/>
      <c r="S41" s="380">
        <v>3516485</v>
      </c>
      <c r="T41" s="380">
        <v>1334941</v>
      </c>
      <c r="U41" s="397">
        <f t="shared" si="0"/>
        <v>1.6341875783274318</v>
      </c>
      <c r="V41" s="446"/>
    </row>
    <row r="42" spans="4:22" ht="18.75" outlineLevel="1" thickBot="1" x14ac:dyDescent="0.4">
      <c r="D42"/>
      <c r="E42"/>
      <c r="Q42" s="349" t="s">
        <v>168</v>
      </c>
      <c r="R42" s="348"/>
      <c r="S42" s="380">
        <v>302989.64</v>
      </c>
      <c r="T42" s="380">
        <v>283689.64</v>
      </c>
      <c r="U42" s="397">
        <f t="shared" si="0"/>
        <v>6.8032093100051164E-2</v>
      </c>
      <c r="V42" s="446"/>
    </row>
    <row r="43" spans="4:22" ht="17.25" outlineLevel="1" thickTop="1" x14ac:dyDescent="0.3">
      <c r="D43"/>
      <c r="E43"/>
      <c r="Q43" s="349" t="s">
        <v>167</v>
      </c>
      <c r="R43" s="348"/>
      <c r="S43" s="380">
        <v>721567.76</v>
      </c>
      <c r="T43" s="380">
        <v>237976.4</v>
      </c>
      <c r="U43" s="397">
        <f t="shared" si="0"/>
        <v>2.032097972740154</v>
      </c>
      <c r="V43" s="446"/>
    </row>
    <row r="44" spans="4:22" outlineLevel="1" x14ac:dyDescent="0.3">
      <c r="D44"/>
      <c r="E44"/>
      <c r="Q44" s="349" t="s">
        <v>169</v>
      </c>
      <c r="R44" s="348"/>
      <c r="S44" s="380">
        <v>2000</v>
      </c>
      <c r="T44" s="380"/>
      <c r="U44" s="397" t="str">
        <f t="shared" si="0"/>
        <v/>
      </c>
      <c r="V44" s="446"/>
    </row>
    <row r="45" spans="4:22" outlineLevel="1" x14ac:dyDescent="0.3">
      <c r="D45"/>
      <c r="E45"/>
      <c r="Q45" s="349" t="s">
        <v>170</v>
      </c>
      <c r="R45" s="348"/>
      <c r="S45" s="380">
        <v>13250</v>
      </c>
      <c r="T45" s="380">
        <v>14150</v>
      </c>
      <c r="U45" s="397">
        <f t="shared" si="0"/>
        <v>-6.3604240282685506E-2</v>
      </c>
      <c r="V45" s="446"/>
    </row>
    <row r="46" spans="4:22" ht="18.75" outlineLevel="1" thickBot="1" x14ac:dyDescent="0.4">
      <c r="D46"/>
      <c r="E46"/>
      <c r="Q46" s="349" t="s">
        <v>159</v>
      </c>
      <c r="R46" s="348"/>
      <c r="S46" s="380">
        <v>208578.65</v>
      </c>
      <c r="T46" s="380">
        <v>170482.24</v>
      </c>
      <c r="U46" s="397">
        <f t="shared" si="0"/>
        <v>0.2234626316500769</v>
      </c>
      <c r="V46" s="446"/>
    </row>
    <row r="47" spans="4:22" ht="17.25" outlineLevel="1" thickTop="1" x14ac:dyDescent="0.3">
      <c r="D47"/>
      <c r="E47"/>
      <c r="Q47" s="349" t="s">
        <v>156</v>
      </c>
      <c r="R47" s="348"/>
      <c r="S47" s="380">
        <v>219706</v>
      </c>
      <c r="T47" s="380">
        <v>36500</v>
      </c>
      <c r="U47" s="397">
        <f t="shared" si="0"/>
        <v>5.0193424657534242</v>
      </c>
      <c r="V47" s="446"/>
    </row>
    <row r="48" spans="4:22" outlineLevel="1" x14ac:dyDescent="0.3">
      <c r="D48"/>
      <c r="E48"/>
      <c r="Q48" s="349" t="s">
        <v>218</v>
      </c>
      <c r="R48" s="348"/>
      <c r="S48" s="380"/>
      <c r="T48" s="380">
        <v>39746.559999999998</v>
      </c>
      <c r="U48" s="397">
        <f t="shared" si="0"/>
        <v>-1</v>
      </c>
      <c r="V48" s="446"/>
    </row>
    <row r="49" spans="4:22" outlineLevel="1" x14ac:dyDescent="0.3">
      <c r="D49"/>
      <c r="E49"/>
      <c r="Q49" s="349" t="s">
        <v>155</v>
      </c>
      <c r="R49" s="348"/>
      <c r="S49" s="380"/>
      <c r="T49" s="380">
        <v>1000000</v>
      </c>
      <c r="U49" s="397">
        <f t="shared" si="0"/>
        <v>-1</v>
      </c>
      <c r="V49" s="446"/>
    </row>
    <row r="50" spans="4:22" ht="17.25" outlineLevel="1" x14ac:dyDescent="0.35">
      <c r="Q50" s="377" t="s">
        <v>236</v>
      </c>
      <c r="R50" s="378"/>
      <c r="S50" s="384">
        <f>SUM(S29:S47)</f>
        <v>12413518.316774482</v>
      </c>
      <c r="T50" s="395">
        <f>SUM(T29:T49)</f>
        <v>9636343.5302222669</v>
      </c>
      <c r="U50" s="399">
        <f t="shared" si="0"/>
        <v>0.28819798483130232</v>
      </c>
      <c r="V50" s="446"/>
    </row>
    <row r="51" spans="4:22" ht="18" outlineLevel="1" thickBot="1" x14ac:dyDescent="0.4">
      <c r="Q51" s="350" t="s">
        <v>240</v>
      </c>
      <c r="R51" s="351"/>
      <c r="S51" s="381">
        <f>S50+S28</f>
        <v>13915813.696774483</v>
      </c>
      <c r="T51" s="381">
        <v>21033987.5702223</v>
      </c>
      <c r="U51" s="398">
        <f t="shared" si="0"/>
        <v>-0.33841295425718404</v>
      </c>
      <c r="V51" s="446"/>
    </row>
    <row r="52" spans="4:22" outlineLevel="1" x14ac:dyDescent="0.3">
      <c r="Q52" s="347" t="s">
        <v>276</v>
      </c>
      <c r="R52" s="348"/>
      <c r="S52" s="380">
        <v>8341041.1232255697</v>
      </c>
      <c r="T52" s="380">
        <v>6071289.5797777474</v>
      </c>
      <c r="U52" s="397">
        <f t="shared" si="0"/>
        <v>0.37384998913705436</v>
      </c>
      <c r="V52" s="446"/>
    </row>
    <row r="53" spans="4:22" outlineLevel="1" x14ac:dyDescent="0.3">
      <c r="Q53" s="347" t="s">
        <v>277</v>
      </c>
      <c r="R53" s="348"/>
      <c r="S53" s="380">
        <v>-2508031.2003339818</v>
      </c>
      <c r="T53" s="380">
        <v>-1820215.25995313</v>
      </c>
      <c r="U53" s="397">
        <f t="shared" si="0"/>
        <v>0.37787615317463208</v>
      </c>
      <c r="V53" s="446"/>
    </row>
    <row r="54" spans="4:22" ht="18.75" outlineLevel="1" thickBot="1" x14ac:dyDescent="0.4">
      <c r="Q54" s="354" t="s">
        <v>234</v>
      </c>
      <c r="R54" s="355"/>
      <c r="S54" s="385">
        <f>S52+S53</f>
        <v>5833009.922891588</v>
      </c>
      <c r="T54" s="385">
        <v>4251074.3198246174</v>
      </c>
      <c r="U54" s="400">
        <f t="shared" si="0"/>
        <v>0.37212607544632037</v>
      </c>
    </row>
    <row r="55" spans="4:22" ht="17.25" outlineLevel="1" thickTop="1" x14ac:dyDescent="0.3"/>
    <row r="56" spans="4:22" outlineLevel="1" x14ac:dyDescent="0.3"/>
    <row r="57" spans="4:22" outlineLevel="1" x14ac:dyDescent="0.3"/>
    <row r="59" spans="4:22" hidden="1" outlineLevel="1" x14ac:dyDescent="0.3"/>
    <row r="60" spans="4:22" hidden="1" outlineLevel="1" x14ac:dyDescent="0.3"/>
    <row r="61" spans="4:22" hidden="1" outlineLevel="1" x14ac:dyDescent="0.3"/>
    <row r="62" spans="4:22" hidden="1" outlineLevel="1" x14ac:dyDescent="0.3"/>
    <row r="63" spans="4:22" hidden="1" outlineLevel="1" x14ac:dyDescent="0.3"/>
    <row r="64" spans="4:22" ht="21" hidden="1" outlineLevel="1" x14ac:dyDescent="0.3">
      <c r="D64" s="665" t="s">
        <v>520</v>
      </c>
      <c r="E64" s="665"/>
    </row>
    <row r="65" spans="4:22" ht="21" hidden="1" outlineLevel="1" x14ac:dyDescent="0.3">
      <c r="D65" s="666" t="s">
        <v>522</v>
      </c>
      <c r="E65" s="666"/>
      <c r="V65" s="431"/>
    </row>
    <row r="66" spans="4:22" ht="21" hidden="1" outlineLevel="1" x14ac:dyDescent="0.3">
      <c r="D66" s="666" t="str">
        <f>"As at 31st December"&amp;" "&amp;E67</f>
        <v>As at 31st December 2021</v>
      </c>
      <c r="E66" s="666"/>
      <c r="Q66" s="665" t="s">
        <v>520</v>
      </c>
      <c r="R66" s="665"/>
      <c r="S66" s="665"/>
      <c r="T66" s="665"/>
      <c r="U66" s="665"/>
      <c r="V66" s="432"/>
    </row>
    <row r="67" spans="4:22" hidden="1" outlineLevel="1" x14ac:dyDescent="0.3">
      <c r="D67" s="414" t="s">
        <v>46</v>
      </c>
      <c r="E67" s="415">
        <v>2021</v>
      </c>
      <c r="Q67" s="666" t="s">
        <v>522</v>
      </c>
      <c r="R67" s="666"/>
      <c r="S67" s="666"/>
      <c r="T67" s="666"/>
      <c r="U67" s="666"/>
      <c r="V67" s="432"/>
    </row>
    <row r="68" spans="4:22" hidden="1" outlineLevel="1" x14ac:dyDescent="0.3">
      <c r="Q68" s="666" t="s">
        <v>528</v>
      </c>
      <c r="R68" s="666"/>
      <c r="S68" s="666"/>
      <c r="T68" s="666"/>
      <c r="U68" s="666"/>
    </row>
    <row r="69" spans="4:22" ht="17.25" hidden="1" outlineLevel="1" x14ac:dyDescent="0.3">
      <c r="D69" s="413" t="s">
        <v>59</v>
      </c>
      <c r="E69" s="406" t="s">
        <v>243</v>
      </c>
      <c r="R69" s="346"/>
    </row>
    <row r="70" spans="4:22" ht="17.25" hidden="1" outlineLevel="1" x14ac:dyDescent="0.3">
      <c r="D70" s="407" t="s">
        <v>11</v>
      </c>
      <c r="E70" s="408">
        <v>36182748.723225519</v>
      </c>
      <c r="V70" s="346"/>
    </row>
    <row r="71" spans="4:22" ht="17.25" hidden="1" outlineLevel="1" x14ac:dyDescent="0.3">
      <c r="D71" s="407" t="s">
        <v>49</v>
      </c>
      <c r="E71" s="408">
        <v>36182749.12289153</v>
      </c>
      <c r="Q71" s="374" t="s">
        <v>46</v>
      </c>
      <c r="R71" s="374" t="s">
        <v>526</v>
      </c>
      <c r="S71" s="374">
        <v>2021</v>
      </c>
      <c r="T71" s="374">
        <v>2020</v>
      </c>
      <c r="U71" s="374" t="str">
        <f>"% Changes"</f>
        <v>% Changes</v>
      </c>
      <c r="V71" s="346"/>
    </row>
    <row r="72" spans="4:22" ht="17.25" hidden="1" outlineLevel="1" x14ac:dyDescent="0.3">
      <c r="D72"/>
      <c r="E72"/>
      <c r="Q72" s="346"/>
      <c r="R72" s="346"/>
      <c r="S72" s="346" t="s">
        <v>244</v>
      </c>
      <c r="T72" s="346" t="s">
        <v>244</v>
      </c>
      <c r="U72" s="346"/>
    </row>
    <row r="73" spans="4:22" hidden="1" outlineLevel="1" x14ac:dyDescent="0.3">
      <c r="D73"/>
      <c r="E73"/>
      <c r="Q73" s="347" t="s">
        <v>11</v>
      </c>
      <c r="U73" s="356"/>
    </row>
    <row r="74" spans="4:22" hidden="1" outlineLevel="1" x14ac:dyDescent="0.3">
      <c r="D74"/>
      <c r="E74"/>
      <c r="Q74" s="349" t="s">
        <v>14</v>
      </c>
      <c r="U74" s="356"/>
      <c r="V74" s="397"/>
    </row>
    <row r="75" spans="4:22" hidden="1" outlineLevel="1" x14ac:dyDescent="0.3">
      <c r="D75"/>
      <c r="E75"/>
      <c r="F75" s="348"/>
      <c r="Q75" s="357" t="s">
        <v>172</v>
      </c>
      <c r="R75" s="348"/>
      <c r="S75" s="380">
        <v>1679932.7632255179</v>
      </c>
      <c r="T75" s="380">
        <v>792898.42035585933</v>
      </c>
      <c r="U75" s="397">
        <f>IF(IFERROR(($S75-$T75)/$T75,"")=0,"",IFERROR(($S75-$T75)/$T75,""))</f>
        <v>1.1187238113950968</v>
      </c>
      <c r="V75" s="397"/>
    </row>
    <row r="76" spans="4:22" ht="18" hidden="1" outlineLevel="1" thickBot="1" x14ac:dyDescent="0.4">
      <c r="D76"/>
      <c r="E76"/>
      <c r="Q76" s="372" t="s">
        <v>245</v>
      </c>
      <c r="R76" s="351"/>
      <c r="S76" s="386">
        <v>1679932.7632255179</v>
      </c>
      <c r="T76" s="381">
        <v>792898.42035585933</v>
      </c>
      <c r="U76" s="398">
        <f t="shared" ref="U76:U94" si="1">IF(IFERROR(($S76-$T76)/$T76,"")=0,"",IFERROR(($S76-$T76)/$T76,""))</f>
        <v>1.1187238113950968</v>
      </c>
      <c r="V76" s="397"/>
    </row>
    <row r="77" spans="4:22" hidden="1" outlineLevel="1" x14ac:dyDescent="0.3">
      <c r="D77"/>
      <c r="E77"/>
      <c r="G77" s="348"/>
      <c r="Q77" s="349" t="s">
        <v>13</v>
      </c>
      <c r="U77" s="397" t="str">
        <f t="shared" si="1"/>
        <v/>
      </c>
      <c r="V77" s="397"/>
    </row>
    <row r="78" spans="4:22" hidden="1" outlineLevel="1" x14ac:dyDescent="0.3">
      <c r="D78"/>
      <c r="E78"/>
      <c r="Q78" s="357" t="s">
        <v>138</v>
      </c>
      <c r="R78" s="348"/>
      <c r="S78" s="380">
        <v>5942181.0100000007</v>
      </c>
      <c r="T78" s="380">
        <v>3489750.21</v>
      </c>
      <c r="U78" s="397">
        <f t="shared" si="1"/>
        <v>0.70275253311038577</v>
      </c>
      <c r="V78" s="397"/>
    </row>
    <row r="79" spans="4:22" hidden="1" outlineLevel="1" x14ac:dyDescent="0.3">
      <c r="D79"/>
      <c r="E79"/>
      <c r="Q79" s="357" t="s">
        <v>229</v>
      </c>
      <c r="R79" s="348"/>
      <c r="S79" s="380">
        <v>10003059</v>
      </c>
      <c r="T79" s="380">
        <v>3296400</v>
      </c>
      <c r="U79" s="397">
        <f t="shared" si="1"/>
        <v>2.0345404077175102</v>
      </c>
      <c r="V79" s="397"/>
    </row>
    <row r="80" spans="4:22" hidden="1" outlineLevel="1" x14ac:dyDescent="0.3">
      <c r="D80"/>
      <c r="E80"/>
      <c r="Q80" s="357" t="s">
        <v>140</v>
      </c>
      <c r="R80" s="348"/>
      <c r="S80" s="380">
        <v>18557575.949999999</v>
      </c>
      <c r="T80" s="380">
        <v>10836833.279999999</v>
      </c>
      <c r="U80" s="397">
        <f t="shared" si="1"/>
        <v>0.71245376490649492</v>
      </c>
      <c r="V80" s="397"/>
    </row>
    <row r="81" spans="4:22" hidden="1" outlineLevel="1" x14ac:dyDescent="0.3">
      <c r="D81"/>
      <c r="E81"/>
      <c r="Q81" s="357" t="s">
        <v>232</v>
      </c>
      <c r="R81" s="348"/>
      <c r="S81" s="380"/>
      <c r="T81" s="380">
        <v>173207.74004687136</v>
      </c>
      <c r="U81" s="397">
        <f t="shared" si="1"/>
        <v>-1</v>
      </c>
      <c r="V81" s="397"/>
    </row>
    <row r="82" spans="4:22" ht="18" hidden="1" outlineLevel="1" thickBot="1" x14ac:dyDescent="0.4">
      <c r="D82"/>
      <c r="E82"/>
      <c r="Q82" s="372" t="s">
        <v>246</v>
      </c>
      <c r="R82" s="351"/>
      <c r="S82" s="381">
        <f>SUM(S78:S81)</f>
        <v>34502815.960000001</v>
      </c>
      <c r="T82" s="381">
        <v>17796191.230046868</v>
      </c>
      <c r="U82" s="401">
        <f t="shared" si="1"/>
        <v>0.93877529826415185</v>
      </c>
      <c r="V82" s="397"/>
    </row>
    <row r="83" spans="4:22" ht="17.25" hidden="1" outlineLevel="1" thickBot="1" x14ac:dyDescent="0.35">
      <c r="D83"/>
      <c r="E83"/>
      <c r="Q83" s="352" t="s">
        <v>241</v>
      </c>
      <c r="R83" s="353"/>
      <c r="S83" s="382">
        <f>S82+S76</f>
        <v>36182748.723225519</v>
      </c>
      <c r="T83" s="396">
        <v>18589089.650402728</v>
      </c>
      <c r="U83" s="400">
        <f t="shared" si="1"/>
        <v>0.94645081624218363</v>
      </c>
      <c r="V83" s="397"/>
    </row>
    <row r="84" spans="4:22" ht="17.25" hidden="1" outlineLevel="1" thickTop="1" x14ac:dyDescent="0.3">
      <c r="D84"/>
      <c r="E84"/>
      <c r="Q84" s="347" t="s">
        <v>49</v>
      </c>
      <c r="U84" s="397" t="str">
        <f t="shared" si="1"/>
        <v/>
      </c>
      <c r="V84" s="397"/>
    </row>
    <row r="85" spans="4:22" hidden="1" outlineLevel="1" x14ac:dyDescent="0.3">
      <c r="D85"/>
      <c r="E85"/>
      <c r="Q85" s="349" t="s">
        <v>20</v>
      </c>
      <c r="U85" s="397" t="str">
        <f t="shared" si="1"/>
        <v/>
      </c>
      <c r="V85" s="397"/>
    </row>
    <row r="86" spans="4:22" hidden="1" outlineLevel="1" x14ac:dyDescent="0.3">
      <c r="D86"/>
      <c r="E86"/>
      <c r="Q86" s="357" t="s">
        <v>145</v>
      </c>
      <c r="R86" s="348"/>
      <c r="S86" s="380">
        <v>16685088.782891531</v>
      </c>
      <c r="T86" s="380">
        <v>11852074.454929359</v>
      </c>
      <c r="U86" s="397">
        <f t="shared" si="1"/>
        <v>0.4077779249819079</v>
      </c>
      <c r="V86" s="397"/>
    </row>
    <row r="87" spans="4:22" hidden="1" outlineLevel="1" x14ac:dyDescent="0.3">
      <c r="D87"/>
      <c r="E87"/>
      <c r="Q87" s="357" t="s">
        <v>146</v>
      </c>
      <c r="R87" s="348"/>
      <c r="S87" s="380">
        <v>400</v>
      </c>
      <c r="T87" s="380">
        <v>400</v>
      </c>
      <c r="U87" s="397" t="str">
        <f t="shared" si="1"/>
        <v/>
      </c>
      <c r="V87" s="397"/>
    </row>
    <row r="88" spans="4:22" ht="18" hidden="1" outlineLevel="1" thickBot="1" x14ac:dyDescent="0.4">
      <c r="D88"/>
      <c r="E88"/>
      <c r="Q88" s="372" t="s">
        <v>247</v>
      </c>
      <c r="R88" s="351"/>
      <c r="S88" s="381">
        <f>SUM(S86:S87)</f>
        <v>16685488.782891531</v>
      </c>
      <c r="T88" s="381">
        <v>11852474.454929359</v>
      </c>
      <c r="U88" s="398">
        <f t="shared" si="1"/>
        <v>0.40776416319987557</v>
      </c>
      <c r="V88" s="397"/>
    </row>
    <row r="89" spans="4:22" hidden="1" outlineLevel="1" x14ac:dyDescent="0.3">
      <c r="D89"/>
      <c r="E89"/>
      <c r="Q89" s="349" t="s">
        <v>17</v>
      </c>
      <c r="U89" s="397" t="str">
        <f t="shared" si="1"/>
        <v/>
      </c>
      <c r="V89" s="397"/>
    </row>
    <row r="90" spans="4:22" hidden="1" outlineLevel="1" x14ac:dyDescent="0.3">
      <c r="D90"/>
      <c r="E90"/>
      <c r="Q90" s="357" t="s">
        <v>139</v>
      </c>
      <c r="R90" s="348"/>
      <c r="S90" s="380">
        <v>3699952.7</v>
      </c>
      <c r="T90" s="380">
        <v>3692438.8</v>
      </c>
      <c r="U90" s="397">
        <f t="shared" si="1"/>
        <v>2.0349423259230113E-3</v>
      </c>
      <c r="V90" s="397"/>
    </row>
    <row r="91" spans="4:22" hidden="1" outlineLevel="1" x14ac:dyDescent="0.3">
      <c r="D91"/>
      <c r="E91"/>
      <c r="Q91" s="357" t="s">
        <v>529</v>
      </c>
      <c r="R91" s="348"/>
      <c r="S91" s="356">
        <v>214724</v>
      </c>
      <c r="T91" s="380"/>
      <c r="U91" s="397" t="str">
        <f t="shared" si="1"/>
        <v/>
      </c>
      <c r="V91" s="397"/>
    </row>
    <row r="92" spans="4:22" hidden="1" outlineLevel="1" x14ac:dyDescent="0.3">
      <c r="Q92" s="357" t="s">
        <v>141</v>
      </c>
      <c r="R92" s="348"/>
      <c r="S92" s="380">
        <v>15582583.640000001</v>
      </c>
      <c r="T92" s="380">
        <v>3044177</v>
      </c>
      <c r="U92" s="397">
        <f t="shared" si="1"/>
        <v>4.1188165602722844</v>
      </c>
      <c r="V92" s="397"/>
    </row>
    <row r="93" spans="4:22" ht="18" hidden="1" outlineLevel="1" thickBot="1" x14ac:dyDescent="0.4">
      <c r="E93" s="348"/>
      <c r="Q93" s="372" t="s">
        <v>248</v>
      </c>
      <c r="R93" s="351"/>
      <c r="S93" s="381">
        <f>SUM(S90:S92)</f>
        <v>19497260.34</v>
      </c>
      <c r="T93" s="381">
        <v>6736615.7999999998</v>
      </c>
      <c r="U93" s="401">
        <f t="shared" si="1"/>
        <v>1.8942218049602888</v>
      </c>
      <c r="V93" s="397"/>
    </row>
    <row r="94" spans="4:22" ht="17.25" hidden="1" outlineLevel="1" thickBot="1" x14ac:dyDescent="0.35">
      <c r="E94" s="348"/>
      <c r="Q94" s="352" t="s">
        <v>242</v>
      </c>
      <c r="R94" s="353"/>
      <c r="S94" s="382">
        <f>S88+S93</f>
        <v>36182749.12289153</v>
      </c>
      <c r="T94" s="396">
        <v>18589090.25492936</v>
      </c>
      <c r="U94" s="400">
        <f t="shared" si="1"/>
        <v>0.9464507744426478</v>
      </c>
    </row>
    <row r="95" spans="4:22" ht="17.25" hidden="1" outlineLevel="1" thickTop="1" x14ac:dyDescent="0.3"/>
    <row r="96" spans="4:22" hidden="1" outlineLevel="1" x14ac:dyDescent="0.3"/>
    <row r="97" spans="4:22" hidden="1" outlineLevel="1" x14ac:dyDescent="0.3"/>
    <row r="98" spans="4:22" hidden="1" outlineLevel="1" x14ac:dyDescent="0.3"/>
    <row r="99" spans="4:22" hidden="1" outlineLevel="1" x14ac:dyDescent="0.3"/>
    <row r="100" spans="4:22" collapsed="1" x14ac:dyDescent="0.3"/>
    <row r="101" spans="4:22" outlineLevel="1" x14ac:dyDescent="0.3"/>
    <row r="102" spans="4:22" outlineLevel="1" x14ac:dyDescent="0.3"/>
    <row r="103" spans="4:22" outlineLevel="1" x14ac:dyDescent="0.3"/>
    <row r="104" spans="4:22" outlineLevel="1" x14ac:dyDescent="0.3"/>
    <row r="105" spans="4:22" outlineLevel="1" x14ac:dyDescent="0.3"/>
    <row r="106" spans="4:22" outlineLevel="1" x14ac:dyDescent="0.3"/>
    <row r="107" spans="4:22" ht="21" outlineLevel="1" x14ac:dyDescent="0.3">
      <c r="D107" s="665" t="s">
        <v>520</v>
      </c>
      <c r="E107" s="665"/>
    </row>
    <row r="108" spans="4:22" outlineLevel="1" x14ac:dyDescent="0.3">
      <c r="D108" s="666" t="s">
        <v>523</v>
      </c>
      <c r="E108" s="666"/>
    </row>
    <row r="109" spans="4:22" outlineLevel="1" x14ac:dyDescent="0.3">
      <c r="D109" s="666" t="str">
        <f>"for the year ended 31st December"&amp;" "&amp;E110</f>
        <v>for the year ended 31st December 2021</v>
      </c>
      <c r="E109" s="666"/>
    </row>
    <row r="110" spans="4:22" ht="21" outlineLevel="1" x14ac:dyDescent="0.3">
      <c r="D110" s="679" t="s">
        <v>46</v>
      </c>
      <c r="E110" s="677">
        <v>2021</v>
      </c>
      <c r="Q110" s="665" t="s">
        <v>520</v>
      </c>
      <c r="R110" s="665"/>
      <c r="S110" s="665"/>
      <c r="T110" s="665"/>
      <c r="U110" s="665"/>
    </row>
    <row r="111" spans="4:22" outlineLevel="1" x14ac:dyDescent="0.3">
      <c r="Q111" s="666" t="s">
        <v>523</v>
      </c>
      <c r="R111" s="666"/>
      <c r="S111" s="666"/>
      <c r="T111" s="666"/>
      <c r="U111" s="666"/>
    </row>
    <row r="112" spans="4:22" ht="17.25" outlineLevel="1" x14ac:dyDescent="0.35">
      <c r="D112" s="675" t="s">
        <v>238</v>
      </c>
      <c r="E112" s="680" t="s">
        <v>244</v>
      </c>
      <c r="Q112" s="666" t="s">
        <v>530</v>
      </c>
      <c r="R112" s="666"/>
      <c r="S112" s="666"/>
      <c r="T112" s="666"/>
      <c r="U112" s="666"/>
      <c r="V112" s="346"/>
    </row>
    <row r="113" spans="4:22" ht="17.25" outlineLevel="1" x14ac:dyDescent="0.3">
      <c r="D113" s="677" t="s">
        <v>23</v>
      </c>
      <c r="E113" s="678">
        <v>8979333.2200001068</v>
      </c>
      <c r="Q113" s="374" t="s">
        <v>46</v>
      </c>
      <c r="R113" s="374" t="s">
        <v>526</v>
      </c>
      <c r="S113" s="374">
        <v>2021</v>
      </c>
      <c r="T113" s="374">
        <v>2020</v>
      </c>
      <c r="U113" s="374" t="str">
        <f>"% Changes"</f>
        <v>% Changes</v>
      </c>
    </row>
    <row r="114" spans="4:22" outlineLevel="1" x14ac:dyDescent="0.3">
      <c r="D114" s="677" t="s">
        <v>24</v>
      </c>
      <c r="E114" s="678">
        <v>-2089496.56</v>
      </c>
    </row>
    <row r="115" spans="4:22" ht="17.25" outlineLevel="1" x14ac:dyDescent="0.35">
      <c r="D115" s="677" t="s">
        <v>25</v>
      </c>
      <c r="E115" s="678">
        <v>-2000000</v>
      </c>
      <c r="Q115" s="376" t="s">
        <v>238</v>
      </c>
      <c r="R115" s="356"/>
      <c r="S115" s="346" t="s">
        <v>244</v>
      </c>
      <c r="T115" s="346" t="s">
        <v>244</v>
      </c>
      <c r="V115" s="380"/>
    </row>
    <row r="116" spans="4:22" outlineLevel="1" x14ac:dyDescent="0.3">
      <c r="D116" s="677" t="s">
        <v>32</v>
      </c>
      <c r="E116" s="678">
        <v>2444918.3300000532</v>
      </c>
      <c r="Q116" s="347" t="s">
        <v>23</v>
      </c>
      <c r="R116" s="348"/>
      <c r="S116" s="380"/>
      <c r="T116" s="380"/>
      <c r="U116" s="348"/>
      <c r="V116" s="380"/>
    </row>
    <row r="117" spans="4:22" outlineLevel="1" x14ac:dyDescent="0.3">
      <c r="D117" s="677" t="s">
        <v>33</v>
      </c>
      <c r="E117" s="678">
        <v>-202689.86489523016</v>
      </c>
      <c r="Q117" s="358" t="s">
        <v>26</v>
      </c>
      <c r="R117" s="359"/>
      <c r="S117" s="380"/>
      <c r="T117" s="380"/>
      <c r="U117" s="359"/>
      <c r="V117" s="397"/>
    </row>
    <row r="118" spans="4:22" ht="18.75" outlineLevel="1" thickBot="1" x14ac:dyDescent="0.4">
      <c r="D118" s="411" t="s">
        <v>34</v>
      </c>
      <c r="E118" s="412">
        <v>2242228.465104823</v>
      </c>
      <c r="Q118" s="360" t="s">
        <v>171</v>
      </c>
      <c r="R118" s="348"/>
      <c r="S118" s="380">
        <v>409278.51677448238</v>
      </c>
      <c r="T118" s="380">
        <v>223810.430222266</v>
      </c>
      <c r="U118" s="397">
        <f>IF(IFERROR(($S118-$T118)/$T118,"")=0,"",IFERROR(($S118-$T118)/$T118,""))</f>
        <v>0.82868383912236854</v>
      </c>
      <c r="V118" s="397"/>
    </row>
    <row r="119" spans="4:22" ht="17.25" outlineLevel="1" thickTop="1" x14ac:dyDescent="0.3">
      <c r="D119"/>
      <c r="E119"/>
      <c r="Q119" s="360" t="s">
        <v>249</v>
      </c>
      <c r="R119" s="348"/>
      <c r="S119" s="380">
        <v>-251563</v>
      </c>
      <c r="T119" s="380"/>
      <c r="U119" s="397" t="str">
        <f t="shared" ref="U119:U136" si="2">IF(IFERROR(($S119-$T119)/$T119,"")=0,"",IFERROR(($S119-$T119)/$T119,""))</f>
        <v/>
      </c>
      <c r="V119" s="397"/>
    </row>
    <row r="120" spans="4:22" outlineLevel="1" x14ac:dyDescent="0.3">
      <c r="D120"/>
      <c r="E120"/>
      <c r="Q120" s="360" t="s">
        <v>26</v>
      </c>
      <c r="R120" s="348"/>
      <c r="S120" s="380">
        <v>8341041.1232255697</v>
      </c>
      <c r="T120" s="380">
        <v>6071289.5797777502</v>
      </c>
      <c r="U120" s="397">
        <f t="shared" si="2"/>
        <v>0.37384998913705375</v>
      </c>
      <c r="V120" s="397"/>
    </row>
    <row r="121" spans="4:22" outlineLevel="1" x14ac:dyDescent="0.3">
      <c r="D121"/>
      <c r="E121"/>
      <c r="Q121" s="358" t="s">
        <v>27</v>
      </c>
      <c r="R121" s="359"/>
      <c r="S121" s="380"/>
      <c r="T121" s="380"/>
      <c r="U121" s="397" t="str">
        <f t="shared" si="2"/>
        <v/>
      </c>
      <c r="V121" s="397"/>
    </row>
    <row r="122" spans="4:22" ht="18.75" outlineLevel="1" thickBot="1" x14ac:dyDescent="0.4">
      <c r="D122"/>
      <c r="E122"/>
      <c r="Q122" s="360" t="s">
        <v>142</v>
      </c>
      <c r="R122" s="348"/>
      <c r="S122" s="380">
        <v>-6706659</v>
      </c>
      <c r="T122" s="380">
        <v>1007245</v>
      </c>
      <c r="U122" s="397">
        <f t="shared" si="2"/>
        <v>-7.6584187561119688</v>
      </c>
      <c r="V122" s="397"/>
    </row>
    <row r="123" spans="4:22" ht="17.25" outlineLevel="1" thickTop="1" x14ac:dyDescent="0.3">
      <c r="D123"/>
      <c r="E123"/>
      <c r="Q123" s="360" t="s">
        <v>141</v>
      </c>
      <c r="R123" s="348"/>
      <c r="S123" s="380">
        <v>12538411.640000001</v>
      </c>
      <c r="T123" s="380">
        <v>-11794430.57</v>
      </c>
      <c r="U123" s="397">
        <f t="shared" si="2"/>
        <v>-2.0630790156069398</v>
      </c>
      <c r="V123" s="397"/>
    </row>
    <row r="124" spans="4:22" outlineLevel="1" x14ac:dyDescent="0.3">
      <c r="D124"/>
      <c r="E124"/>
      <c r="Q124" s="360" t="s">
        <v>140</v>
      </c>
      <c r="R124" s="348"/>
      <c r="S124" s="380">
        <v>-7720742.6699999999</v>
      </c>
      <c r="T124" s="380">
        <v>13927484.049999999</v>
      </c>
      <c r="U124" s="397">
        <f t="shared" si="2"/>
        <v>-1.5543530074981491</v>
      </c>
      <c r="V124" s="397"/>
    </row>
    <row r="125" spans="4:22" outlineLevel="1" x14ac:dyDescent="0.3">
      <c r="D125"/>
      <c r="E125"/>
      <c r="Q125" s="349" t="s">
        <v>178</v>
      </c>
      <c r="R125" s="348"/>
      <c r="S125" s="380">
        <v>-2120100</v>
      </c>
      <c r="T125" s="380">
        <v>-2131001</v>
      </c>
      <c r="U125" s="397">
        <f t="shared" si="2"/>
        <v>-5.1154363606586766E-3</v>
      </c>
      <c r="V125" s="397"/>
    </row>
    <row r="126" spans="4:22" ht="18" outlineLevel="1" thickBot="1" x14ac:dyDescent="0.35">
      <c r="D126"/>
      <c r="E126"/>
      <c r="Q126" s="361" t="s">
        <v>29</v>
      </c>
      <c r="R126" s="362"/>
      <c r="S126" s="381">
        <f>SUM(S118:S125)</f>
        <v>4489666.6100000534</v>
      </c>
      <c r="T126" s="381">
        <v>7304397.490000017</v>
      </c>
      <c r="U126" s="398">
        <f t="shared" si="2"/>
        <v>-0.38534744088796252</v>
      </c>
      <c r="V126" s="397"/>
    </row>
    <row r="127" spans="4:22" outlineLevel="1" x14ac:dyDescent="0.3">
      <c r="D127"/>
      <c r="E127"/>
      <c r="Q127" s="347" t="s">
        <v>24</v>
      </c>
      <c r="R127" s="348"/>
      <c r="S127" s="380"/>
      <c r="T127" s="380"/>
      <c r="U127" s="397" t="str">
        <f t="shared" si="2"/>
        <v/>
      </c>
      <c r="V127" s="397"/>
    </row>
    <row r="128" spans="4:22" outlineLevel="1" x14ac:dyDescent="0.3">
      <c r="D128"/>
      <c r="E128"/>
      <c r="Q128" s="387" t="s">
        <v>251</v>
      </c>
      <c r="R128" s="348"/>
      <c r="S128" s="380">
        <v>800000</v>
      </c>
      <c r="T128" s="380"/>
      <c r="U128" s="397" t="str">
        <f t="shared" si="2"/>
        <v/>
      </c>
      <c r="V128" s="397"/>
    </row>
    <row r="129" spans="4:22" outlineLevel="1" x14ac:dyDescent="0.3">
      <c r="D129"/>
      <c r="E129"/>
      <c r="Q129" s="387" t="s">
        <v>252</v>
      </c>
      <c r="R129" s="348"/>
      <c r="S129" s="380">
        <v>-1844748.28</v>
      </c>
      <c r="T129" s="380"/>
      <c r="U129" s="397" t="str">
        <f t="shared" si="2"/>
        <v/>
      </c>
      <c r="V129" s="397"/>
    </row>
    <row r="130" spans="4:22" ht="18" outlineLevel="1" thickBot="1" x14ac:dyDescent="0.35">
      <c r="D130"/>
      <c r="E130"/>
      <c r="Q130" s="361" t="s">
        <v>31</v>
      </c>
      <c r="R130" s="362"/>
      <c r="S130" s="381">
        <f>SUM(S128:S129)</f>
        <v>-1044748.28</v>
      </c>
      <c r="T130" s="381">
        <v>0</v>
      </c>
      <c r="U130" s="398" t="str">
        <f t="shared" si="2"/>
        <v/>
      </c>
      <c r="V130" s="397"/>
    </row>
    <row r="131" spans="4:22" outlineLevel="1" x14ac:dyDescent="0.3">
      <c r="D131"/>
      <c r="E131"/>
      <c r="Q131" s="347" t="s">
        <v>25</v>
      </c>
      <c r="R131" s="348"/>
      <c r="S131" s="380"/>
      <c r="T131" s="380"/>
      <c r="U131" s="397" t="str">
        <f t="shared" si="2"/>
        <v/>
      </c>
      <c r="V131" s="397"/>
    </row>
    <row r="132" spans="4:22" outlineLevel="1" x14ac:dyDescent="0.3">
      <c r="D132"/>
      <c r="E132"/>
      <c r="Q132" s="387" t="s">
        <v>253</v>
      </c>
      <c r="R132" s="348"/>
      <c r="S132" s="380">
        <v>-1000000</v>
      </c>
      <c r="T132" s="380"/>
      <c r="U132" s="397" t="str">
        <f t="shared" si="2"/>
        <v/>
      </c>
      <c r="V132" s="397"/>
    </row>
    <row r="133" spans="4:22" ht="18" outlineLevel="1" thickBot="1" x14ac:dyDescent="0.35">
      <c r="D133"/>
      <c r="E133"/>
      <c r="Q133" s="361" t="s">
        <v>30</v>
      </c>
      <c r="R133" s="362"/>
      <c r="S133" s="381">
        <f>SUM(S132)</f>
        <v>-1000000</v>
      </c>
      <c r="T133" s="381">
        <v>0</v>
      </c>
      <c r="U133" s="398" t="str">
        <f t="shared" si="2"/>
        <v/>
      </c>
      <c r="V133" s="397"/>
    </row>
    <row r="134" spans="4:22" outlineLevel="1" x14ac:dyDescent="0.3">
      <c r="D134"/>
      <c r="E134"/>
      <c r="Q134" s="347" t="s">
        <v>32</v>
      </c>
      <c r="R134" s="348"/>
      <c r="S134" s="380">
        <f>S133+S130+S126</f>
        <v>2444918.3300000532</v>
      </c>
      <c r="T134" s="380">
        <v>7304397.490000017</v>
      </c>
      <c r="U134" s="397">
        <f t="shared" si="2"/>
        <v>-0.66528131398281176</v>
      </c>
      <c r="V134" s="397"/>
    </row>
    <row r="135" spans="4:22" outlineLevel="1" x14ac:dyDescent="0.3">
      <c r="Q135" s="347" t="s">
        <v>33</v>
      </c>
      <c r="R135" s="348"/>
      <c r="S135" s="380">
        <f>T136</f>
        <v>-202689.86489522271</v>
      </c>
      <c r="T135" s="380">
        <v>-7507087.3548952397</v>
      </c>
      <c r="U135" s="397">
        <f t="shared" si="2"/>
        <v>-0.97300019897023682</v>
      </c>
      <c r="V135" s="397"/>
    </row>
    <row r="136" spans="4:22" ht="18.75" outlineLevel="1" thickBot="1" x14ac:dyDescent="0.4">
      <c r="Q136" s="354" t="s">
        <v>34</v>
      </c>
      <c r="R136" s="355"/>
      <c r="S136" s="385">
        <f>SUM(S134:S135)</f>
        <v>2242228.4651048305</v>
      </c>
      <c r="T136" s="385">
        <v>-202689.86489522271</v>
      </c>
      <c r="U136" s="400">
        <f t="shared" si="2"/>
        <v>-12.062361042393089</v>
      </c>
    </row>
    <row r="137" spans="4:22" ht="17.25" outlineLevel="1" thickTop="1" x14ac:dyDescent="0.3"/>
    <row r="138" spans="4:22" outlineLevel="1" x14ac:dyDescent="0.3"/>
    <row r="139" spans="4:22" outlineLevel="1" x14ac:dyDescent="0.3"/>
    <row r="140" spans="4:22" outlineLevel="1" x14ac:dyDescent="0.3"/>
    <row r="141" spans="4:22" outlineLevel="1" x14ac:dyDescent="0.3"/>
    <row r="142" spans="4:22" outlineLevel="1" x14ac:dyDescent="0.3"/>
    <row r="143" spans="4:22" outlineLevel="1" x14ac:dyDescent="0.3"/>
    <row r="144" spans="4:22"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70" hidden="1" outlineLevel="1" x14ac:dyDescent="0.3"/>
    <row r="171" hidden="1" outlineLevel="1" x14ac:dyDescent="0.3"/>
    <row r="172" hidden="1" outlineLevel="1" x14ac:dyDescent="0.3"/>
    <row r="173" hidden="1" outlineLevel="1" x14ac:dyDescent="0.3"/>
    <row r="174" hidden="1" outlineLevel="1" x14ac:dyDescent="0.3"/>
    <row r="175" hidden="1" outlineLevel="1" x14ac:dyDescent="0.3"/>
    <row r="176" hidden="1" outlineLevel="1" x14ac:dyDescent="0.3"/>
    <row r="177" spans="4:22" hidden="1" outlineLevel="1" x14ac:dyDescent="0.3"/>
    <row r="178" spans="4:22" hidden="1" outlineLevel="1" x14ac:dyDescent="0.3"/>
    <row r="179" spans="4:22" hidden="1" outlineLevel="1" x14ac:dyDescent="0.3"/>
    <row r="180" spans="4:22" ht="21" hidden="1" customHeight="1" outlineLevel="1" x14ac:dyDescent="0.3">
      <c r="D180" s="665" t="s">
        <v>520</v>
      </c>
      <c r="E180" s="665"/>
      <c r="V180" s="417"/>
    </row>
    <row r="181" spans="4:22" ht="16.5" hidden="1" customHeight="1" outlineLevel="1" x14ac:dyDescent="0.3">
      <c r="D181" s="666" t="s">
        <v>524</v>
      </c>
      <c r="E181" s="666"/>
      <c r="Q181" s="417" t="s">
        <v>520</v>
      </c>
      <c r="R181" s="417"/>
      <c r="S181" s="417"/>
      <c r="T181" s="417"/>
      <c r="U181" s="417"/>
    </row>
    <row r="182" spans="4:22" ht="16.5" hidden="1" customHeight="1" outlineLevel="1" x14ac:dyDescent="0.3">
      <c r="D182" s="666" t="str">
        <f>"for the year ended 31st December"&amp;" "&amp;E183</f>
        <v>for the year ended 31st December 2021</v>
      </c>
      <c r="E182" s="666"/>
      <c r="Q182" s="356" t="s">
        <v>524</v>
      </c>
      <c r="R182" s="356"/>
      <c r="U182" s="356"/>
    </row>
    <row r="183" spans="4:22" hidden="1" outlineLevel="1" x14ac:dyDescent="0.3">
      <c r="D183" s="482" t="s">
        <v>22</v>
      </c>
      <c r="E183" s="345" t="s">
        <v>519</v>
      </c>
      <c r="Q183" s="356" t="s">
        <v>531</v>
      </c>
      <c r="R183" s="356"/>
      <c r="U183" s="356"/>
    </row>
    <row r="184" spans="4:22" ht="17.25" hidden="1" outlineLevel="1" x14ac:dyDescent="0.3">
      <c r="Q184" s="346"/>
      <c r="R184" s="346"/>
      <c r="S184" s="345"/>
      <c r="T184" s="345"/>
    </row>
    <row r="185" spans="4:22" hidden="1" outlineLevel="1" x14ac:dyDescent="0.3">
      <c r="D185" s="483" t="s">
        <v>273</v>
      </c>
      <c r="E185" s="483" t="s">
        <v>272</v>
      </c>
      <c r="S185" s="345"/>
      <c r="T185" s="345"/>
    </row>
    <row r="186" spans="4:22" ht="17.25" hidden="1" outlineLevel="1" x14ac:dyDescent="0.35">
      <c r="D186" s="484" t="s">
        <v>238</v>
      </c>
      <c r="E186" s="363" t="s">
        <v>270</v>
      </c>
      <c r="F186" s="363" t="s">
        <v>267</v>
      </c>
      <c r="G186" s="363" t="s">
        <v>265</v>
      </c>
      <c r="H186" s="363" t="s">
        <v>269</v>
      </c>
      <c r="I186" s="485" t="s">
        <v>274</v>
      </c>
      <c r="Q186" s="379" t="s">
        <v>273</v>
      </c>
      <c r="R186" s="379" t="s">
        <v>272</v>
      </c>
      <c r="S186" s="345"/>
      <c r="T186" s="345"/>
    </row>
    <row r="187" spans="4:22" ht="17.25" hidden="1" outlineLevel="1" x14ac:dyDescent="0.35">
      <c r="D187" s="347" t="s">
        <v>257</v>
      </c>
      <c r="E187" s="364">
        <v>21262.29559999999</v>
      </c>
      <c r="F187" s="364">
        <v>136331.19506835938</v>
      </c>
      <c r="G187" s="364">
        <v>548437.5</v>
      </c>
      <c r="H187" s="364">
        <v>86867.4296875</v>
      </c>
      <c r="I187" s="365">
        <v>792898.42035585933</v>
      </c>
      <c r="Q187" s="388" t="s">
        <v>238</v>
      </c>
      <c r="R187" s="363" t="s">
        <v>270</v>
      </c>
      <c r="S187" s="363" t="s">
        <v>267</v>
      </c>
      <c r="T187" s="363" t="s">
        <v>265</v>
      </c>
      <c r="U187" s="363" t="s">
        <v>269</v>
      </c>
      <c r="V187" s="369" t="s">
        <v>274</v>
      </c>
    </row>
    <row r="188" spans="4:22" hidden="1" outlineLevel="1" x14ac:dyDescent="0.3">
      <c r="D188" s="347" t="s">
        <v>258</v>
      </c>
      <c r="E188" s="364"/>
      <c r="F188" s="364">
        <v>344748.28</v>
      </c>
      <c r="G188" s="364">
        <v>1500000</v>
      </c>
      <c r="H188" s="364"/>
      <c r="I188" s="365">
        <v>1844748.28</v>
      </c>
      <c r="Q188" s="389" t="s">
        <v>257</v>
      </c>
      <c r="R188" s="364">
        <v>21262.29559999999</v>
      </c>
      <c r="S188" s="364">
        <v>136331.19506835938</v>
      </c>
      <c r="T188" s="364">
        <v>548437.5</v>
      </c>
      <c r="U188" s="364">
        <v>86867.4296875</v>
      </c>
      <c r="V188" s="402">
        <v>792898.42035585933</v>
      </c>
    </row>
    <row r="189" spans="4:22" hidden="1" outlineLevel="1" x14ac:dyDescent="0.3">
      <c r="D189" s="347" t="s">
        <v>259</v>
      </c>
      <c r="E189" s="364"/>
      <c r="F189" s="364"/>
      <c r="G189" s="364">
        <v>-975000</v>
      </c>
      <c r="H189" s="364"/>
      <c r="I189" s="365">
        <v>-975000</v>
      </c>
      <c r="Q189" s="390" t="s">
        <v>258</v>
      </c>
      <c r="R189" s="364"/>
      <c r="S189" s="364">
        <v>344748.28</v>
      </c>
      <c r="T189" s="364">
        <v>1500000</v>
      </c>
      <c r="U189" s="364"/>
      <c r="V189" s="402">
        <v>1844748.28</v>
      </c>
    </row>
    <row r="190" spans="4:22" hidden="1" outlineLevel="1" x14ac:dyDescent="0.3">
      <c r="D190" s="347" t="s">
        <v>271</v>
      </c>
      <c r="E190" s="364">
        <v>-654897.70440000005</v>
      </c>
      <c r="F190" s="364">
        <v>-347655.80493164063</v>
      </c>
      <c r="G190" s="364">
        <v>-426562.5</v>
      </c>
      <c r="H190" s="364">
        <v>-288789.5703125</v>
      </c>
      <c r="I190" s="365">
        <v>-1717905.5796441408</v>
      </c>
      <c r="Q190" s="390" t="s">
        <v>259</v>
      </c>
      <c r="R190" s="364"/>
      <c r="S190" s="364"/>
      <c r="T190" s="364">
        <v>-975000</v>
      </c>
      <c r="U190" s="364"/>
      <c r="V190" s="402">
        <v>-975000</v>
      </c>
    </row>
    <row r="191" spans="4:22" hidden="1" outlineLevel="1" x14ac:dyDescent="0.3">
      <c r="D191" s="347" t="s">
        <v>261</v>
      </c>
      <c r="E191" s="364">
        <v>-6378.6886799999857</v>
      </c>
      <c r="F191" s="364">
        <v>-17041.399383544922</v>
      </c>
      <c r="G191" s="364">
        <v>51562.5</v>
      </c>
      <c r="H191" s="364">
        <v>-10858.4287109375</v>
      </c>
      <c r="I191" s="365">
        <v>17283.983225517593</v>
      </c>
      <c r="Q191" s="390" t="s">
        <v>271</v>
      </c>
      <c r="R191" s="364">
        <v>-654897.70440000005</v>
      </c>
      <c r="S191" s="364">
        <v>-347655.80493164063</v>
      </c>
      <c r="T191" s="364">
        <v>-426562.5</v>
      </c>
      <c r="U191" s="364">
        <v>-288789.5703125</v>
      </c>
      <c r="V191" s="402">
        <v>-1717905.5796441408</v>
      </c>
    </row>
    <row r="192" spans="4:22" ht="18" hidden="1" outlineLevel="1" thickBot="1" x14ac:dyDescent="0.4">
      <c r="D192" s="486" t="s">
        <v>256</v>
      </c>
      <c r="E192" s="366">
        <v>14883.606920000006</v>
      </c>
      <c r="F192" s="366">
        <v>464038.07568481448</v>
      </c>
      <c r="G192" s="366">
        <v>1125000</v>
      </c>
      <c r="H192" s="366">
        <v>76009.0009765625</v>
      </c>
      <c r="I192" s="367">
        <v>1679930.6835813769</v>
      </c>
      <c r="Q192" s="390" t="s">
        <v>261</v>
      </c>
      <c r="R192" s="364">
        <v>-6378.6886799999857</v>
      </c>
      <c r="S192" s="364">
        <v>-17041.399383544922</v>
      </c>
      <c r="T192" s="364">
        <v>51562.5</v>
      </c>
      <c r="U192" s="364">
        <v>-10858.4287109375</v>
      </c>
      <c r="V192" s="402">
        <v>17283.983225517593</v>
      </c>
    </row>
    <row r="193" spans="17:22" ht="18.75" hidden="1" outlineLevel="1" thickTop="1" thickBot="1" x14ac:dyDescent="0.4">
      <c r="Q193" s="391" t="s">
        <v>256</v>
      </c>
      <c r="R193" s="366">
        <v>14883.606920000006</v>
      </c>
      <c r="S193" s="366">
        <v>464038.07568481448</v>
      </c>
      <c r="T193" s="366">
        <v>1125000</v>
      </c>
      <c r="U193" s="366">
        <v>76009.0009765625</v>
      </c>
      <c r="V193" s="403">
        <v>1679930.6835813769</v>
      </c>
    </row>
    <row r="194" spans="17:22" ht="17.25" hidden="1" outlineLevel="1" thickTop="1" x14ac:dyDescent="0.3"/>
    <row r="195" spans="17:22" hidden="1" outlineLevel="1" x14ac:dyDescent="0.3"/>
    <row r="196" spans="17:22" hidden="1" outlineLevel="1" x14ac:dyDescent="0.3"/>
    <row r="197" spans="17:22" hidden="1" outlineLevel="1" x14ac:dyDescent="0.3"/>
    <row r="198" spans="17:22" hidden="1" outlineLevel="1" x14ac:dyDescent="0.3"/>
    <row r="199" spans="17:22" hidden="1" outlineLevel="1" x14ac:dyDescent="0.3"/>
    <row r="200" spans="17:22" hidden="1" outlineLevel="1" x14ac:dyDescent="0.3"/>
    <row r="201" spans="17:22" hidden="1" outlineLevel="1" x14ac:dyDescent="0.3"/>
    <row r="202" spans="17:22" hidden="1" outlineLevel="1" x14ac:dyDescent="0.3"/>
    <row r="203" spans="17:22" hidden="1" outlineLevel="1" x14ac:dyDescent="0.3"/>
    <row r="204" spans="17:22" hidden="1" outlineLevel="1" x14ac:dyDescent="0.3"/>
    <row r="205" spans="17:22" hidden="1" outlineLevel="1" x14ac:dyDescent="0.3"/>
    <row r="206" spans="17:22" hidden="1" outlineLevel="1" x14ac:dyDescent="0.3"/>
    <row r="207" spans="17:22" hidden="1" outlineLevel="1" x14ac:dyDescent="0.3"/>
    <row r="208" spans="17:22" hidden="1" outlineLevel="1" x14ac:dyDescent="0.3"/>
    <row r="209" hidden="1" outlineLevel="1" x14ac:dyDescent="0.3"/>
    <row r="210" hidden="1" outlineLevel="1" x14ac:dyDescent="0.3"/>
    <row r="211" hidden="1" outlineLevel="1" x14ac:dyDescent="0.3"/>
    <row r="212" hidden="1" outlineLevel="1" x14ac:dyDescent="0.3"/>
    <row r="213" hidden="1" outlineLevel="1" x14ac:dyDescent="0.3"/>
    <row r="214" hidden="1" outlineLevel="1" x14ac:dyDescent="0.3"/>
    <row r="215" hidden="1" outlineLevel="1" x14ac:dyDescent="0.3"/>
    <row r="216" hidden="1" outlineLevel="1" x14ac:dyDescent="0.3"/>
    <row r="217" hidden="1" outlineLevel="1" x14ac:dyDescent="0.3"/>
    <row r="218" hidden="1" outlineLevel="1" x14ac:dyDescent="0.3"/>
    <row r="219" hidden="1" outlineLevel="1" x14ac:dyDescent="0.3"/>
    <row r="220" hidden="1" outlineLevel="1" x14ac:dyDescent="0.3"/>
    <row r="221" hidden="1" outlineLevel="1" x14ac:dyDescent="0.3"/>
    <row r="222" hidden="1" outlineLevel="1" x14ac:dyDescent="0.3"/>
    <row r="223" hidden="1" outlineLevel="1" x14ac:dyDescent="0.3"/>
    <row r="224" hidden="1" outlineLevel="1" x14ac:dyDescent="0.3"/>
    <row r="225" spans="4:20" hidden="1" outlineLevel="1" x14ac:dyDescent="0.3"/>
    <row r="226" spans="4:20" hidden="1" outlineLevel="1" x14ac:dyDescent="0.3"/>
    <row r="227" spans="4:20" collapsed="1" x14ac:dyDescent="0.3"/>
    <row r="229" spans="4:20" hidden="1" outlineLevel="1" x14ac:dyDescent="0.3"/>
    <row r="230" spans="4:20" hidden="1" outlineLevel="1" x14ac:dyDescent="0.3"/>
    <row r="231" spans="4:20" hidden="1" outlineLevel="1" x14ac:dyDescent="0.3"/>
    <row r="232" spans="4:20" hidden="1" outlineLevel="1" x14ac:dyDescent="0.3"/>
    <row r="233" spans="4:20" hidden="1" outlineLevel="1" x14ac:dyDescent="0.3"/>
    <row r="234" spans="4:20" hidden="1" outlineLevel="1" x14ac:dyDescent="0.3"/>
    <row r="235" spans="4:20" ht="21" hidden="1" outlineLevel="1" x14ac:dyDescent="0.3">
      <c r="D235" s="665" t="s">
        <v>520</v>
      </c>
      <c r="E235" s="665"/>
    </row>
    <row r="236" spans="4:20" ht="21" hidden="1" outlineLevel="1" x14ac:dyDescent="0.3">
      <c r="D236" s="666" t="s">
        <v>525</v>
      </c>
      <c r="E236" s="666"/>
      <c r="Q236" s="665" t="s">
        <v>520</v>
      </c>
      <c r="R236" s="665"/>
      <c r="S236" s="665"/>
      <c r="T236" s="665"/>
    </row>
    <row r="237" spans="4:20" hidden="1" outlineLevel="1" x14ac:dyDescent="0.3">
      <c r="D237" s="666" t="str">
        <f>"for the year ended 31st December"&amp;" "&amp;E238</f>
        <v>for the year ended 31st December 2021</v>
      </c>
      <c r="E237" s="666"/>
      <c r="Q237" s="666" t="s">
        <v>525</v>
      </c>
      <c r="R237" s="666"/>
      <c r="S237" s="666"/>
      <c r="T237" s="666"/>
    </row>
    <row r="238" spans="4:20" hidden="1" outlineLevel="1" x14ac:dyDescent="0.3">
      <c r="D238" s="491" t="s">
        <v>22</v>
      </c>
      <c r="E238" s="347">
        <v>2021</v>
      </c>
      <c r="Q238" s="666" t="s">
        <v>531</v>
      </c>
      <c r="R238" s="666"/>
      <c r="S238" s="666"/>
      <c r="T238" s="666"/>
    </row>
    <row r="239" spans="4:20" ht="17.25" hidden="1" outlineLevel="1" x14ac:dyDescent="0.35">
      <c r="Q239" s="346"/>
      <c r="R239" s="375"/>
      <c r="S239" s="345"/>
      <c r="T239" s="345"/>
    </row>
    <row r="240" spans="4:20" hidden="1" outlineLevel="1" x14ac:dyDescent="0.3">
      <c r="D240" s="489" t="s">
        <v>59</v>
      </c>
      <c r="E240" s="489" t="s">
        <v>38</v>
      </c>
      <c r="S240" s="345"/>
      <c r="T240" s="345"/>
    </row>
    <row r="241" spans="4:20" ht="17.25" hidden="1" outlineLevel="1" x14ac:dyDescent="0.3">
      <c r="D241" s="490" t="s">
        <v>59</v>
      </c>
      <c r="E241" s="368" t="s">
        <v>145</v>
      </c>
      <c r="F241" s="368" t="s">
        <v>146</v>
      </c>
      <c r="G241" s="369" t="s">
        <v>283</v>
      </c>
      <c r="Q241" s="392" t="s">
        <v>59</v>
      </c>
      <c r="R241" s="392" t="s">
        <v>38</v>
      </c>
      <c r="S241" s="345"/>
      <c r="T241" s="345"/>
    </row>
    <row r="242" spans="4:20" ht="17.25" hidden="1" outlineLevel="1" x14ac:dyDescent="0.3">
      <c r="D242" s="347" t="s">
        <v>280</v>
      </c>
      <c r="E242" s="370">
        <v>11852074.454929359</v>
      </c>
      <c r="F242" s="370">
        <v>400</v>
      </c>
      <c r="G242" s="371">
        <v>11852474.454929359</v>
      </c>
      <c r="Q242" s="393" t="s">
        <v>59</v>
      </c>
      <c r="R242" s="368" t="s">
        <v>145</v>
      </c>
      <c r="S242" s="368" t="s">
        <v>146</v>
      </c>
      <c r="T242" s="369" t="s">
        <v>283</v>
      </c>
    </row>
    <row r="243" spans="4:20" hidden="1" outlineLevel="1" x14ac:dyDescent="0.3">
      <c r="D243" s="349" t="s">
        <v>146</v>
      </c>
      <c r="E243" s="364"/>
      <c r="F243" s="364">
        <v>400</v>
      </c>
      <c r="G243" s="365">
        <v>400</v>
      </c>
      <c r="H243" s="348"/>
      <c r="Q243" s="389" t="s">
        <v>280</v>
      </c>
      <c r="R243" s="370">
        <v>11852074.454929359</v>
      </c>
      <c r="S243" s="370">
        <v>400</v>
      </c>
      <c r="T243" s="371">
        <v>11852474.454929359</v>
      </c>
    </row>
    <row r="244" spans="4:20" hidden="1" outlineLevel="1" x14ac:dyDescent="0.3">
      <c r="D244" s="349" t="s">
        <v>145</v>
      </c>
      <c r="E244" s="364">
        <v>11852074.454929359</v>
      </c>
      <c r="F244" s="364"/>
      <c r="G244" s="365">
        <v>11852074.454929359</v>
      </c>
      <c r="I244" s="348"/>
      <c r="Q244" s="394" t="s">
        <v>145</v>
      </c>
      <c r="R244" s="364">
        <v>11852074.454929359</v>
      </c>
      <c r="S244" s="364"/>
      <c r="T244" s="365">
        <v>11852074.454929359</v>
      </c>
    </row>
    <row r="245" spans="4:20" hidden="1" outlineLevel="1" x14ac:dyDescent="0.3">
      <c r="D245" s="347" t="s">
        <v>282</v>
      </c>
      <c r="E245" s="370">
        <v>4833009.4228915265</v>
      </c>
      <c r="F245" s="370"/>
      <c r="G245" s="371">
        <v>4833009.4228915265</v>
      </c>
      <c r="Q245" s="394" t="s">
        <v>146</v>
      </c>
      <c r="R245" s="364"/>
      <c r="S245" s="364">
        <v>400</v>
      </c>
      <c r="T245" s="365">
        <v>400</v>
      </c>
    </row>
    <row r="246" spans="4:20" hidden="1" outlineLevel="1" x14ac:dyDescent="0.3">
      <c r="D246" s="349" t="s">
        <v>253</v>
      </c>
      <c r="E246" s="364">
        <v>-1000000</v>
      </c>
      <c r="F246" s="364"/>
      <c r="G246" s="365">
        <v>-1000000</v>
      </c>
      <c r="Q246" s="390" t="s">
        <v>282</v>
      </c>
      <c r="R246" s="370">
        <v>4833009.4228915265</v>
      </c>
      <c r="S246" s="370"/>
      <c r="T246" s="371">
        <v>4833009.4228915265</v>
      </c>
    </row>
    <row r="247" spans="4:20" hidden="1" outlineLevel="1" x14ac:dyDescent="0.3">
      <c r="D247" s="349" t="s">
        <v>207</v>
      </c>
      <c r="E247" s="364">
        <v>5833009.4228915265</v>
      </c>
      <c r="F247" s="364"/>
      <c r="G247" s="365">
        <v>5833009.4228915265</v>
      </c>
      <c r="Q247" s="394" t="s">
        <v>253</v>
      </c>
      <c r="R247" s="364">
        <v>-1000000</v>
      </c>
      <c r="S247" s="364"/>
      <c r="T247" s="365">
        <v>-1000000</v>
      </c>
    </row>
    <row r="248" spans="4:20" ht="18" hidden="1" outlineLevel="1" thickBot="1" x14ac:dyDescent="0.4">
      <c r="D248" s="486" t="s">
        <v>283</v>
      </c>
      <c r="E248" s="366">
        <v>16685083.877820887</v>
      </c>
      <c r="F248" s="366">
        <v>400</v>
      </c>
      <c r="G248" s="367">
        <v>16685483.877820887</v>
      </c>
      <c r="Q248" s="394" t="s">
        <v>207</v>
      </c>
      <c r="R248" s="364">
        <v>5833009.4228915265</v>
      </c>
      <c r="S248" s="364"/>
      <c r="T248" s="365">
        <v>5833009.4228915265</v>
      </c>
    </row>
    <row r="249" spans="4:20" ht="18.75" hidden="1" outlineLevel="1" thickTop="1" thickBot="1" x14ac:dyDescent="0.4">
      <c r="Q249" s="391" t="s">
        <v>283</v>
      </c>
      <c r="R249" s="366">
        <v>16685083.877820887</v>
      </c>
      <c r="S249" s="366">
        <v>400</v>
      </c>
      <c r="T249" s="367">
        <v>16685483.877820887</v>
      </c>
    </row>
    <row r="250" spans="4:20" ht="17.25" hidden="1" outlineLevel="1" thickTop="1" x14ac:dyDescent="0.3"/>
    <row r="251" spans="4:20" hidden="1" outlineLevel="1" x14ac:dyDescent="0.3">
      <c r="R251" s="348"/>
    </row>
    <row r="252" spans="4:20" hidden="1" outlineLevel="1" x14ac:dyDescent="0.3"/>
    <row r="253" spans="4:20" hidden="1" outlineLevel="1" x14ac:dyDescent="0.3"/>
    <row r="254" spans="4:20" hidden="1" outlineLevel="1" x14ac:dyDescent="0.3"/>
    <row r="255" spans="4:20" hidden="1" outlineLevel="1" x14ac:dyDescent="0.3"/>
    <row r="256" spans="4:20" hidden="1" outlineLevel="1" x14ac:dyDescent="0.3"/>
    <row r="257" hidden="1" outlineLevel="1" x14ac:dyDescent="0.3"/>
    <row r="258" hidden="1" outlineLevel="1" x14ac:dyDescent="0.3"/>
    <row r="259" hidden="1" outlineLevel="1" x14ac:dyDescent="0.3"/>
    <row r="260" hidden="1" outlineLevel="1" x14ac:dyDescent="0.3"/>
    <row r="261" hidden="1" outlineLevel="1" x14ac:dyDescent="0.3"/>
    <row r="262" hidden="1" outlineLevel="1" x14ac:dyDescent="0.3"/>
    <row r="263" hidden="1" outlineLevel="1" x14ac:dyDescent="0.3"/>
    <row r="264" hidden="1" outlineLevel="1" x14ac:dyDescent="0.3"/>
    <row r="265" hidden="1" outlineLevel="1" x14ac:dyDescent="0.3"/>
    <row r="266" hidden="1" outlineLevel="1" x14ac:dyDescent="0.3"/>
    <row r="267" hidden="1" outlineLevel="1" x14ac:dyDescent="0.3"/>
    <row r="268" hidden="1" outlineLevel="1" x14ac:dyDescent="0.3"/>
    <row r="269" hidden="1" outlineLevel="1" x14ac:dyDescent="0.3"/>
    <row r="270" hidden="1" outlineLevel="1" x14ac:dyDescent="0.3"/>
    <row r="271" hidden="1" outlineLevel="1" x14ac:dyDescent="0.3"/>
    <row r="272" hidden="1" outlineLevel="1" x14ac:dyDescent="0.3"/>
    <row r="273" hidden="1" outlineLevel="1" x14ac:dyDescent="0.3"/>
    <row r="274" hidden="1" outlineLevel="1" x14ac:dyDescent="0.3"/>
    <row r="275" hidden="1" outlineLevel="1" x14ac:dyDescent="0.3"/>
    <row r="276" hidden="1" outlineLevel="1" x14ac:dyDescent="0.3"/>
    <row r="277" hidden="1" outlineLevel="1" x14ac:dyDescent="0.3"/>
    <row r="278" hidden="1" outlineLevel="1" x14ac:dyDescent="0.3"/>
    <row r="279" hidden="1" outlineLevel="1" x14ac:dyDescent="0.3"/>
    <row r="280" hidden="1" outlineLevel="1" x14ac:dyDescent="0.3"/>
    <row r="281" hidden="1" outlineLevel="1" x14ac:dyDescent="0.3"/>
    <row r="282" hidden="1" outlineLevel="1" x14ac:dyDescent="0.3"/>
    <row r="283" collapsed="1" x14ac:dyDescent="0.3"/>
  </sheetData>
  <mergeCells count="27">
    <mergeCell ref="D66:E66"/>
    <mergeCell ref="Q68:U68"/>
    <mergeCell ref="D4:E4"/>
    <mergeCell ref="D5:E5"/>
    <mergeCell ref="D6:E6"/>
    <mergeCell ref="D64:E64"/>
    <mergeCell ref="D65:E65"/>
    <mergeCell ref="Q4:U4"/>
    <mergeCell ref="Q5:U5"/>
    <mergeCell ref="Q6:U6"/>
    <mergeCell ref="Q66:U66"/>
    <mergeCell ref="Q67:U67"/>
    <mergeCell ref="Q236:T236"/>
    <mergeCell ref="Q237:T237"/>
    <mergeCell ref="Q238:T238"/>
    <mergeCell ref="Q110:U110"/>
    <mergeCell ref="Q111:U111"/>
    <mergeCell ref="Q112:U112"/>
    <mergeCell ref="D235:E235"/>
    <mergeCell ref="D236:E236"/>
    <mergeCell ref="D237:E237"/>
    <mergeCell ref="D107:E107"/>
    <mergeCell ref="D108:E108"/>
    <mergeCell ref="D109:E109"/>
    <mergeCell ref="D180:E180"/>
    <mergeCell ref="D181:E181"/>
    <mergeCell ref="D182:E182"/>
  </mergeCells>
  <pageMargins left="0.7" right="0.7" top="0.75" bottom="0.75" header="0.3" footer="0.3"/>
  <pageSetup scale="33" orientation="portrait" r:id="rId6"/>
  <rowBreaks count="5" manualBreakCount="5">
    <brk id="57" max="186" man="1"/>
    <brk id="100" max="186" man="1"/>
    <brk id="168" max="186" man="1"/>
    <brk id="227" max="186" man="1"/>
    <brk id="283" max="186" man="1"/>
  </rowBreaks>
  <colBreaks count="1" manualBreakCount="1">
    <brk id="15" max="2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A1:Z2001"/>
  <sheetViews>
    <sheetView showGridLines="0" showRowColHeaders="0" workbookViewId="0">
      <pane ySplit="3" topLeftCell="A4" activePane="bottomLeft" state="frozen"/>
      <selection activeCell="D1" sqref="D1"/>
      <selection pane="bottomLeft" activeCell="D1" sqref="D1"/>
    </sheetView>
  </sheetViews>
  <sheetFormatPr defaultRowHeight="15.75" outlineLevelCol="2" x14ac:dyDescent="0.25"/>
  <cols>
    <col min="1" max="1" width="44.140625" style="1" customWidth="1" outlineLevel="1"/>
    <col min="2" max="2" width="51.42578125" style="1" customWidth="1" outlineLevel="1"/>
    <col min="3" max="3" width="49.7109375" style="1" customWidth="1" outlineLevel="1"/>
    <col min="4" max="4" width="9.140625" style="1"/>
    <col min="5" max="5" width="21.28515625" style="1" hidden="1" customWidth="1" outlineLevel="1"/>
    <col min="6" max="6" width="22.42578125" style="1" hidden="1" customWidth="1" outlineLevel="1"/>
    <col min="7" max="7" width="32.28515625" style="1" hidden="1" customWidth="1" outlineLevel="1"/>
    <col min="8" max="8" width="19.7109375" style="1" hidden="1" customWidth="1" outlineLevel="2"/>
    <col min="9" max="9" width="21.7109375" style="1" hidden="1" customWidth="1" outlineLevel="1" collapsed="1"/>
    <col min="10" max="10" width="9.140625" style="1" collapsed="1"/>
    <col min="11" max="25" width="9.140625" style="1"/>
    <col min="26" max="26" width="0" style="20" hidden="1" customWidth="1"/>
    <col min="27" max="16384" width="9.140625" style="1"/>
  </cols>
  <sheetData>
    <row r="1" spans="1:26" ht="30" customHeight="1" x14ac:dyDescent="0.25">
      <c r="A1" s="522" t="s">
        <v>0</v>
      </c>
      <c r="B1" s="523"/>
      <c r="C1" s="524"/>
      <c r="E1" s="525" t="s">
        <v>551</v>
      </c>
      <c r="F1" s="526"/>
      <c r="G1" s="526"/>
      <c r="H1" s="526"/>
      <c r="I1" s="526"/>
      <c r="Z1" s="19" t="s">
        <v>22</v>
      </c>
    </row>
    <row r="2" spans="1:26" x14ac:dyDescent="0.25">
      <c r="A2" s="20"/>
      <c r="B2" s="20"/>
      <c r="C2" s="20"/>
      <c r="Z2" s="21">
        <v>2001</v>
      </c>
    </row>
    <row r="3" spans="1:26" x14ac:dyDescent="0.25">
      <c r="A3" s="7" t="s">
        <v>46</v>
      </c>
      <c r="B3" s="7" t="s">
        <v>51</v>
      </c>
      <c r="C3" s="7" t="s">
        <v>47</v>
      </c>
      <c r="E3" s="7" t="s">
        <v>22</v>
      </c>
      <c r="F3" s="8" t="s">
        <v>9</v>
      </c>
      <c r="G3" s="8" t="s">
        <v>2</v>
      </c>
      <c r="H3" s="8" t="s">
        <v>1</v>
      </c>
      <c r="I3" s="8" t="s">
        <v>517</v>
      </c>
      <c r="Z3" s="21">
        <f t="shared" ref="Z3:Z34" si="0">Z2+1</f>
        <v>2002</v>
      </c>
    </row>
    <row r="4" spans="1:26" x14ac:dyDescent="0.25">
      <c r="A4" s="9" t="s">
        <v>11</v>
      </c>
      <c r="B4" s="22" t="s">
        <v>532</v>
      </c>
      <c r="C4" s="23" t="s">
        <v>7</v>
      </c>
      <c r="E4" s="2">
        <v>2021</v>
      </c>
      <c r="F4" s="23" t="s">
        <v>6</v>
      </c>
      <c r="G4" s="23" t="s">
        <v>142</v>
      </c>
      <c r="H4" s="23"/>
      <c r="I4" s="4">
        <v>3296400</v>
      </c>
      <c r="Z4" s="21">
        <f t="shared" si="0"/>
        <v>2003</v>
      </c>
    </row>
    <row r="5" spans="1:26" x14ac:dyDescent="0.25">
      <c r="A5" s="9" t="s">
        <v>49</v>
      </c>
      <c r="B5" s="22" t="s">
        <v>533</v>
      </c>
      <c r="C5" s="23" t="s">
        <v>8</v>
      </c>
      <c r="E5" s="2">
        <v>2021</v>
      </c>
      <c r="F5" s="23" t="s">
        <v>6</v>
      </c>
      <c r="G5" s="23" t="s">
        <v>147</v>
      </c>
      <c r="H5" s="23"/>
      <c r="I5" s="4">
        <v>317589719.63</v>
      </c>
      <c r="Z5" s="21">
        <f t="shared" si="0"/>
        <v>2004</v>
      </c>
    </row>
    <row r="6" spans="1:26" x14ac:dyDescent="0.25">
      <c r="A6" s="9" t="s">
        <v>6</v>
      </c>
      <c r="B6" s="22" t="s">
        <v>540</v>
      </c>
      <c r="C6" s="23" t="s">
        <v>6</v>
      </c>
      <c r="E6" s="2">
        <v>2021</v>
      </c>
      <c r="F6" s="23" t="s">
        <v>6</v>
      </c>
      <c r="G6" s="23" t="s">
        <v>229</v>
      </c>
      <c r="H6" s="23"/>
      <c r="I6" s="4">
        <v>-10003059</v>
      </c>
      <c r="Z6" s="21">
        <f t="shared" si="0"/>
        <v>2005</v>
      </c>
    </row>
    <row r="7" spans="1:26" x14ac:dyDescent="0.25">
      <c r="A7" s="9" t="s">
        <v>4</v>
      </c>
      <c r="B7" s="22" t="s">
        <v>66</v>
      </c>
      <c r="C7" s="23" t="s">
        <v>19</v>
      </c>
      <c r="E7" s="2">
        <v>2021</v>
      </c>
      <c r="F7" s="23" t="s">
        <v>4</v>
      </c>
      <c r="G7" s="23" t="s">
        <v>151</v>
      </c>
      <c r="H7" s="23"/>
      <c r="I7" s="4">
        <v>3516485</v>
      </c>
      <c r="Z7" s="21">
        <f t="shared" si="0"/>
        <v>2006</v>
      </c>
    </row>
    <row r="8" spans="1:26" x14ac:dyDescent="0.25">
      <c r="A8" s="9" t="s">
        <v>25</v>
      </c>
      <c r="B8" s="22" t="s">
        <v>534</v>
      </c>
      <c r="C8" s="23" t="s">
        <v>14</v>
      </c>
      <c r="E8" s="2">
        <v>2021</v>
      </c>
      <c r="F8" s="23" t="s">
        <v>4</v>
      </c>
      <c r="G8" s="23" t="s">
        <v>167</v>
      </c>
      <c r="H8" s="23"/>
      <c r="I8" s="4">
        <v>721567.76</v>
      </c>
      <c r="Z8" s="21">
        <f t="shared" si="0"/>
        <v>2007</v>
      </c>
    </row>
    <row r="9" spans="1:26" x14ac:dyDescent="0.25">
      <c r="A9" s="9" t="s">
        <v>3</v>
      </c>
      <c r="B9" s="22" t="s">
        <v>538</v>
      </c>
      <c r="C9" s="23" t="s">
        <v>5</v>
      </c>
      <c r="E9" s="2">
        <v>2021</v>
      </c>
      <c r="F9" s="23" t="s">
        <v>4</v>
      </c>
      <c r="G9" s="23" t="s">
        <v>166</v>
      </c>
      <c r="H9" s="23"/>
      <c r="I9" s="4">
        <v>1409746.56</v>
      </c>
      <c r="Z9" s="21">
        <f t="shared" si="0"/>
        <v>2008</v>
      </c>
    </row>
    <row r="10" spans="1:26" x14ac:dyDescent="0.25">
      <c r="A10" s="9" t="s">
        <v>24</v>
      </c>
      <c r="B10" s="22" t="s">
        <v>539</v>
      </c>
      <c r="C10" s="23" t="s">
        <v>15</v>
      </c>
      <c r="E10" s="2">
        <v>2021</v>
      </c>
      <c r="F10" s="23" t="s">
        <v>4</v>
      </c>
      <c r="G10" s="23" t="s">
        <v>175</v>
      </c>
      <c r="H10" s="23"/>
      <c r="I10" s="4">
        <v>845624</v>
      </c>
      <c r="Z10" s="21">
        <f t="shared" si="0"/>
        <v>2009</v>
      </c>
    </row>
    <row r="11" spans="1:26" x14ac:dyDescent="0.25">
      <c r="A11" s="9" t="s">
        <v>23</v>
      </c>
      <c r="B11" s="22" t="s">
        <v>70</v>
      </c>
      <c r="C11" s="23" t="s">
        <v>16</v>
      </c>
      <c r="E11" s="2">
        <v>2021</v>
      </c>
      <c r="F11" s="23" t="s">
        <v>4</v>
      </c>
      <c r="G11" s="23" t="s">
        <v>154</v>
      </c>
      <c r="H11" s="23"/>
      <c r="I11" s="4">
        <v>2500001</v>
      </c>
      <c r="Z11" s="21">
        <f t="shared" si="0"/>
        <v>2010</v>
      </c>
    </row>
    <row r="12" spans="1:26" x14ac:dyDescent="0.25">
      <c r="A12" s="9" t="s">
        <v>234</v>
      </c>
      <c r="B12" s="22" t="s">
        <v>71</v>
      </c>
      <c r="C12" s="23" t="s">
        <v>13</v>
      </c>
      <c r="E12" s="2">
        <v>2021</v>
      </c>
      <c r="F12" s="23" t="s">
        <v>4</v>
      </c>
      <c r="G12" s="23" t="s">
        <v>161</v>
      </c>
      <c r="H12" s="23"/>
      <c r="I12" s="4">
        <v>77850</v>
      </c>
      <c r="Z12" s="21">
        <f t="shared" si="0"/>
        <v>2011</v>
      </c>
    </row>
    <row r="13" spans="1:26" x14ac:dyDescent="0.25">
      <c r="A13" s="9" t="s">
        <v>6</v>
      </c>
      <c r="B13" s="22" t="s">
        <v>72</v>
      </c>
      <c r="C13" s="23" t="s">
        <v>17</v>
      </c>
      <c r="E13" s="2">
        <v>2021</v>
      </c>
      <c r="F13" s="23" t="s">
        <v>4</v>
      </c>
      <c r="G13" s="23" t="s">
        <v>162</v>
      </c>
      <c r="H13" s="23"/>
      <c r="I13" s="4">
        <v>268183.07</v>
      </c>
      <c r="Z13" s="21">
        <f t="shared" si="0"/>
        <v>2012</v>
      </c>
    </row>
    <row r="14" spans="1:26" x14ac:dyDescent="0.25">
      <c r="A14" s="9" t="s">
        <v>235</v>
      </c>
      <c r="B14" s="22" t="s">
        <v>73</v>
      </c>
      <c r="C14" s="23" t="s">
        <v>18</v>
      </c>
      <c r="E14" s="2">
        <v>2021</v>
      </c>
      <c r="F14" s="23" t="s">
        <v>4</v>
      </c>
      <c r="G14" s="23" t="s">
        <v>165</v>
      </c>
      <c r="H14" s="23"/>
      <c r="I14" s="4">
        <v>653656.38</v>
      </c>
      <c r="Z14" s="21">
        <f t="shared" si="0"/>
        <v>2013</v>
      </c>
    </row>
    <row r="15" spans="1:26" x14ac:dyDescent="0.25">
      <c r="A15" s="9" t="s">
        <v>236</v>
      </c>
      <c r="B15" s="22" t="s">
        <v>74</v>
      </c>
      <c r="C15" s="23" t="s">
        <v>20</v>
      </c>
      <c r="E15" s="2">
        <v>2021</v>
      </c>
      <c r="F15" s="23" t="s">
        <v>4</v>
      </c>
      <c r="G15" s="23" t="s">
        <v>159</v>
      </c>
      <c r="H15" s="23"/>
      <c r="I15" s="4">
        <v>208578.65</v>
      </c>
      <c r="Z15" s="21">
        <f t="shared" si="0"/>
        <v>2014</v>
      </c>
    </row>
    <row r="16" spans="1:26" x14ac:dyDescent="0.25">
      <c r="A16" s="9" t="s">
        <v>237</v>
      </c>
      <c r="B16" s="22" t="s">
        <v>75</v>
      </c>
      <c r="C16" s="23" t="s">
        <v>21</v>
      </c>
      <c r="E16" s="2">
        <v>2021</v>
      </c>
      <c r="F16" s="23" t="s">
        <v>4</v>
      </c>
      <c r="G16" s="23" t="s">
        <v>157</v>
      </c>
      <c r="H16" s="23"/>
      <c r="I16" s="4">
        <v>542263</v>
      </c>
      <c r="Z16" s="21">
        <f t="shared" si="0"/>
        <v>2015</v>
      </c>
    </row>
    <row r="17" spans="1:26" x14ac:dyDescent="0.25">
      <c r="A17" s="9" t="s">
        <v>32</v>
      </c>
      <c r="B17" s="22" t="s">
        <v>76</v>
      </c>
      <c r="C17" s="23" t="s">
        <v>26</v>
      </c>
      <c r="E17" s="2">
        <v>2021</v>
      </c>
      <c r="F17" s="23" t="s">
        <v>4</v>
      </c>
      <c r="G17" s="23" t="s">
        <v>168</v>
      </c>
      <c r="H17" s="23"/>
      <c r="I17" s="4">
        <v>302989.64</v>
      </c>
      <c r="Z17" s="21">
        <f t="shared" si="0"/>
        <v>2016</v>
      </c>
    </row>
    <row r="18" spans="1:26" x14ac:dyDescent="0.25">
      <c r="A18" s="9" t="s">
        <v>33</v>
      </c>
      <c r="B18" s="22" t="s">
        <v>77</v>
      </c>
      <c r="C18" s="23" t="s">
        <v>27</v>
      </c>
      <c r="E18" s="2">
        <v>2021</v>
      </c>
      <c r="F18" s="23" t="s">
        <v>4</v>
      </c>
      <c r="G18" s="23" t="s">
        <v>153</v>
      </c>
      <c r="H18" s="23"/>
      <c r="I18" s="4">
        <v>233250</v>
      </c>
      <c r="Z18" s="21">
        <f t="shared" si="0"/>
        <v>2017</v>
      </c>
    </row>
    <row r="19" spans="1:26" x14ac:dyDescent="0.25">
      <c r="A19" s="9" t="s">
        <v>34</v>
      </c>
      <c r="B19" s="22" t="s">
        <v>78</v>
      </c>
      <c r="C19" s="23" t="s">
        <v>28</v>
      </c>
      <c r="E19" s="2">
        <v>2021</v>
      </c>
      <c r="F19" s="23" t="s">
        <v>4</v>
      </c>
      <c r="G19" s="23" t="s">
        <v>152</v>
      </c>
      <c r="H19" s="23"/>
      <c r="I19" s="4">
        <v>51948.32</v>
      </c>
      <c r="Z19" s="21">
        <f t="shared" si="0"/>
        <v>2018</v>
      </c>
    </row>
    <row r="20" spans="1:26" x14ac:dyDescent="0.25">
      <c r="A20" s="9" t="s">
        <v>277</v>
      </c>
      <c r="B20" s="22" t="s">
        <v>79</v>
      </c>
      <c r="C20" s="23" t="s">
        <v>29</v>
      </c>
      <c r="E20" s="2">
        <v>2021</v>
      </c>
      <c r="F20" s="23" t="s">
        <v>4</v>
      </c>
      <c r="G20" s="23" t="s">
        <v>156</v>
      </c>
      <c r="H20" s="23"/>
      <c r="I20" s="4">
        <v>219706</v>
      </c>
      <c r="Z20" s="21">
        <f t="shared" si="0"/>
        <v>2019</v>
      </c>
    </row>
    <row r="21" spans="1:26" x14ac:dyDescent="0.25">
      <c r="A21" s="9" t="s">
        <v>276</v>
      </c>
      <c r="B21" s="22" t="s">
        <v>80</v>
      </c>
      <c r="C21" s="23" t="s">
        <v>31</v>
      </c>
      <c r="E21" s="2">
        <v>2021</v>
      </c>
      <c r="F21" s="23" t="s">
        <v>4</v>
      </c>
      <c r="G21" s="23" t="s">
        <v>163</v>
      </c>
      <c r="H21" s="23"/>
      <c r="I21" s="4">
        <v>300</v>
      </c>
      <c r="Z21" s="21">
        <f t="shared" si="0"/>
        <v>2020</v>
      </c>
    </row>
    <row r="22" spans="1:26" x14ac:dyDescent="0.25">
      <c r="A22" s="9"/>
      <c r="B22" s="22" t="s">
        <v>81</v>
      </c>
      <c r="C22" s="23" t="s">
        <v>30</v>
      </c>
      <c r="E22" s="2">
        <v>2021</v>
      </c>
      <c r="F22" s="23" t="s">
        <v>4</v>
      </c>
      <c r="G22" s="23" t="s">
        <v>164</v>
      </c>
      <c r="H22" s="23"/>
      <c r="I22" s="4">
        <v>436840.42</v>
      </c>
      <c r="Z22" s="21">
        <f t="shared" si="0"/>
        <v>2021</v>
      </c>
    </row>
    <row r="23" spans="1:26" x14ac:dyDescent="0.25">
      <c r="A23" s="9"/>
      <c r="B23" s="22" t="s">
        <v>82</v>
      </c>
      <c r="C23" s="23" t="s">
        <v>32</v>
      </c>
      <c r="E23" s="2">
        <v>2021</v>
      </c>
      <c r="F23" s="23" t="s">
        <v>4</v>
      </c>
      <c r="G23" s="23" t="s">
        <v>169</v>
      </c>
      <c r="H23" s="23"/>
      <c r="I23" s="4">
        <v>2000</v>
      </c>
      <c r="Z23" s="21">
        <f t="shared" si="0"/>
        <v>2022</v>
      </c>
    </row>
    <row r="24" spans="1:26" x14ac:dyDescent="0.25">
      <c r="A24" s="9"/>
      <c r="B24" s="22" t="s">
        <v>83</v>
      </c>
      <c r="C24" s="23" t="s">
        <v>33</v>
      </c>
      <c r="E24" s="2">
        <v>2021</v>
      </c>
      <c r="F24" s="23" t="s">
        <v>4</v>
      </c>
      <c r="G24" s="23" t="s">
        <v>170</v>
      </c>
      <c r="H24" s="23"/>
      <c r="I24" s="4">
        <v>13250</v>
      </c>
      <c r="Z24" s="21">
        <f t="shared" si="0"/>
        <v>2023</v>
      </c>
    </row>
    <row r="25" spans="1:26" x14ac:dyDescent="0.25">
      <c r="A25" s="9"/>
      <c r="B25" s="22" t="s">
        <v>84</v>
      </c>
      <c r="C25" s="23" t="s">
        <v>34</v>
      </c>
      <c r="E25" s="2">
        <v>2021</v>
      </c>
      <c r="F25" s="23" t="s">
        <v>4</v>
      </c>
      <c r="G25" s="23" t="s">
        <v>171</v>
      </c>
      <c r="H25" s="23"/>
      <c r="I25" s="4">
        <v>409278.51677448238</v>
      </c>
      <c r="Z25" s="21">
        <f t="shared" si="0"/>
        <v>2024</v>
      </c>
    </row>
    <row r="26" spans="1:26" x14ac:dyDescent="0.25">
      <c r="A26" s="9"/>
      <c r="B26" s="22" t="s">
        <v>85</v>
      </c>
      <c r="C26" s="23" t="s">
        <v>229</v>
      </c>
      <c r="E26" s="66">
        <v>2021</v>
      </c>
      <c r="F26" s="67" t="s">
        <v>4</v>
      </c>
      <c r="G26" s="67" t="s">
        <v>236</v>
      </c>
      <c r="H26" s="67"/>
      <c r="I26" s="69">
        <f>SUM(I7:I25)</f>
        <v>12413518.316774486</v>
      </c>
      <c r="Z26" s="21">
        <f t="shared" si="0"/>
        <v>2025</v>
      </c>
    </row>
    <row r="27" spans="1:26" x14ac:dyDescent="0.25">
      <c r="A27" s="9"/>
      <c r="B27" s="22" t="s">
        <v>86</v>
      </c>
      <c r="C27" s="23" t="s">
        <v>138</v>
      </c>
      <c r="E27" s="66">
        <v>2021</v>
      </c>
      <c r="F27" s="67" t="s">
        <v>4</v>
      </c>
      <c r="G27" s="67" t="s">
        <v>148</v>
      </c>
      <c r="H27" s="67"/>
      <c r="I27" s="68">
        <v>568965.54</v>
      </c>
      <c r="Z27" s="21">
        <f t="shared" si="0"/>
        <v>2026</v>
      </c>
    </row>
    <row r="28" spans="1:26" x14ac:dyDescent="0.25">
      <c r="A28" s="9"/>
      <c r="B28" s="22" t="s">
        <v>87</v>
      </c>
      <c r="C28" s="23" t="s">
        <v>139</v>
      </c>
      <c r="E28" s="66">
        <v>2021</v>
      </c>
      <c r="F28" s="67" t="s">
        <v>4</v>
      </c>
      <c r="G28" s="67" t="s">
        <v>158</v>
      </c>
      <c r="H28" s="67"/>
      <c r="I28" s="68">
        <v>436880</v>
      </c>
      <c r="Z28" s="21">
        <f t="shared" si="0"/>
        <v>2027</v>
      </c>
    </row>
    <row r="29" spans="1:26" x14ac:dyDescent="0.25">
      <c r="A29" s="9"/>
      <c r="B29" s="22" t="s">
        <v>88</v>
      </c>
      <c r="C29" s="23" t="s">
        <v>140</v>
      </c>
      <c r="E29" s="66">
        <v>2021</v>
      </c>
      <c r="F29" s="67" t="s">
        <v>4</v>
      </c>
      <c r="G29" s="67" t="s">
        <v>149</v>
      </c>
      <c r="H29" s="67"/>
      <c r="I29" s="68">
        <v>175000</v>
      </c>
      <c r="Z29" s="21">
        <f t="shared" si="0"/>
        <v>2028</v>
      </c>
    </row>
    <row r="30" spans="1:26" x14ac:dyDescent="0.25">
      <c r="A30" s="9"/>
      <c r="B30" s="22" t="s">
        <v>89</v>
      </c>
      <c r="C30" s="23" t="s">
        <v>141</v>
      </c>
      <c r="E30" s="66">
        <v>2021</v>
      </c>
      <c r="F30" s="67" t="s">
        <v>4</v>
      </c>
      <c r="G30" s="67" t="s">
        <v>160</v>
      </c>
      <c r="H30" s="67"/>
      <c r="I30" s="68">
        <v>145440</v>
      </c>
      <c r="Z30" s="21">
        <f t="shared" si="0"/>
        <v>2029</v>
      </c>
    </row>
    <row r="31" spans="1:26" x14ac:dyDescent="0.25">
      <c r="A31" s="9"/>
      <c r="B31" s="22" t="s">
        <v>90</v>
      </c>
      <c r="C31" s="23" t="s">
        <v>142</v>
      </c>
      <c r="E31" s="66">
        <v>2021</v>
      </c>
      <c r="F31" s="67" t="s">
        <v>4</v>
      </c>
      <c r="G31" s="67" t="s">
        <v>150</v>
      </c>
      <c r="H31" s="67"/>
      <c r="I31" s="68">
        <v>176009.84</v>
      </c>
      <c r="Z31" s="21">
        <f t="shared" si="0"/>
        <v>2030</v>
      </c>
    </row>
    <row r="32" spans="1:26" x14ac:dyDescent="0.25">
      <c r="A32" s="9"/>
      <c r="B32" s="22" t="s">
        <v>91</v>
      </c>
      <c r="C32" s="23" t="s">
        <v>143</v>
      </c>
      <c r="E32" s="66">
        <v>2021</v>
      </c>
      <c r="F32" s="67" t="s">
        <v>4</v>
      </c>
      <c r="G32" s="67" t="s">
        <v>237</v>
      </c>
      <c r="H32" s="67"/>
      <c r="I32" s="69">
        <f>SUM(I27:I31)</f>
        <v>1502295.3800000001</v>
      </c>
      <c r="Z32" s="21">
        <f t="shared" si="0"/>
        <v>2031</v>
      </c>
    </row>
    <row r="33" spans="1:26" x14ac:dyDescent="0.25">
      <c r="A33" s="9"/>
      <c r="B33" s="22" t="s">
        <v>92</v>
      </c>
      <c r="C33" s="23" t="s">
        <v>144</v>
      </c>
      <c r="E33" s="2">
        <v>2021</v>
      </c>
      <c r="F33" s="23" t="s">
        <v>3</v>
      </c>
      <c r="G33" s="23" t="s">
        <v>62</v>
      </c>
      <c r="H33" s="23"/>
      <c r="I33" s="5">
        <v>332888352.44999999</v>
      </c>
      <c r="Z33" s="21">
        <f t="shared" si="0"/>
        <v>2032</v>
      </c>
    </row>
    <row r="34" spans="1:26" x14ac:dyDescent="0.25">
      <c r="A34" s="9"/>
      <c r="B34" s="22" t="s">
        <v>93</v>
      </c>
      <c r="C34" s="23" t="s">
        <v>145</v>
      </c>
      <c r="E34" s="2">
        <v>2021</v>
      </c>
      <c r="F34" s="23" t="s">
        <v>3</v>
      </c>
      <c r="G34" s="23" t="s">
        <v>216</v>
      </c>
      <c r="H34" s="23"/>
      <c r="I34" s="5">
        <v>251563</v>
      </c>
      <c r="Z34" s="21">
        <f t="shared" si="0"/>
        <v>2033</v>
      </c>
    </row>
    <row r="35" spans="1:26" x14ac:dyDescent="0.25">
      <c r="A35" s="9"/>
      <c r="B35" s="22" t="s">
        <v>535</v>
      </c>
      <c r="C35" s="23" t="s">
        <v>146</v>
      </c>
      <c r="E35" s="66">
        <v>2021</v>
      </c>
      <c r="F35" s="67" t="s">
        <v>276</v>
      </c>
      <c r="G35" s="67" t="s">
        <v>276</v>
      </c>
      <c r="H35" s="67"/>
      <c r="I35" s="69">
        <v>8341041.1232255697</v>
      </c>
      <c r="Z35" s="21">
        <f t="shared" ref="Z35:Z66" si="1">Z34+1</f>
        <v>2034</v>
      </c>
    </row>
    <row r="36" spans="1:26" x14ac:dyDescent="0.25">
      <c r="A36" s="9"/>
      <c r="B36" s="22" t="s">
        <v>536</v>
      </c>
      <c r="C36" s="23" t="s">
        <v>62</v>
      </c>
      <c r="E36" s="2">
        <v>2021</v>
      </c>
      <c r="F36" s="23" t="s">
        <v>277</v>
      </c>
      <c r="G36" s="23" t="s">
        <v>278</v>
      </c>
      <c r="H36" s="23"/>
      <c r="I36" s="5">
        <v>-2508031.2003339818</v>
      </c>
      <c r="Z36" s="21">
        <f t="shared" si="1"/>
        <v>2035</v>
      </c>
    </row>
    <row r="37" spans="1:26" x14ac:dyDescent="0.25">
      <c r="A37" s="9"/>
      <c r="B37" s="22" t="s">
        <v>541</v>
      </c>
      <c r="C37" s="23" t="s">
        <v>147</v>
      </c>
      <c r="E37" s="2">
        <v>2021</v>
      </c>
      <c r="F37" s="23" t="s">
        <v>234</v>
      </c>
      <c r="G37" s="23" t="s">
        <v>275</v>
      </c>
      <c r="H37" s="67"/>
      <c r="I37" s="68">
        <f>SUM(I35:I36)</f>
        <v>5833009.922891588</v>
      </c>
      <c r="Z37" s="21">
        <f t="shared" si="1"/>
        <v>2036</v>
      </c>
    </row>
    <row r="38" spans="1:26" x14ac:dyDescent="0.25">
      <c r="A38" s="9"/>
      <c r="B38" s="22" t="s">
        <v>97</v>
      </c>
      <c r="C38" s="23" t="s">
        <v>148</v>
      </c>
      <c r="E38" s="66">
        <v>2020</v>
      </c>
      <c r="F38" s="23" t="s">
        <v>6</v>
      </c>
      <c r="G38" s="23" t="s">
        <v>142</v>
      </c>
      <c r="H38" s="67"/>
      <c r="I38" s="68">
        <v>4303645</v>
      </c>
      <c r="Z38" s="21">
        <f t="shared" si="1"/>
        <v>2037</v>
      </c>
    </row>
    <row r="39" spans="1:26" x14ac:dyDescent="0.25">
      <c r="A39" s="9"/>
      <c r="B39" s="22" t="s">
        <v>98</v>
      </c>
      <c r="C39" s="23" t="s">
        <v>149</v>
      </c>
      <c r="E39" s="66">
        <v>2020</v>
      </c>
      <c r="F39" s="23" t="s">
        <v>6</v>
      </c>
      <c r="G39" s="23" t="s">
        <v>147</v>
      </c>
      <c r="H39" s="67"/>
      <c r="I39" s="68">
        <v>212583719.66</v>
      </c>
      <c r="Z39" s="21">
        <f t="shared" si="1"/>
        <v>2038</v>
      </c>
    </row>
    <row r="40" spans="1:26" x14ac:dyDescent="0.25">
      <c r="A40" s="9"/>
      <c r="B40" s="22" t="s">
        <v>537</v>
      </c>
      <c r="C40" s="23" t="s">
        <v>150</v>
      </c>
      <c r="E40" s="66">
        <v>2020</v>
      </c>
      <c r="F40" s="23" t="s">
        <v>6</v>
      </c>
      <c r="G40" s="23" t="s">
        <v>229</v>
      </c>
      <c r="H40" s="23"/>
      <c r="I40" s="4">
        <v>-3296400</v>
      </c>
      <c r="Z40" s="21">
        <f t="shared" si="1"/>
        <v>2039</v>
      </c>
    </row>
    <row r="41" spans="1:26" x14ac:dyDescent="0.25">
      <c r="A41" s="9"/>
      <c r="B41" s="22" t="s">
        <v>100</v>
      </c>
      <c r="C41" s="23" t="s">
        <v>151</v>
      </c>
      <c r="E41" s="66">
        <v>2020</v>
      </c>
      <c r="F41" s="23" t="s">
        <v>4</v>
      </c>
      <c r="G41" s="23" t="s">
        <v>151</v>
      </c>
      <c r="H41" s="23"/>
      <c r="I41" s="4">
        <v>1334941</v>
      </c>
      <c r="Z41" s="21">
        <f t="shared" si="1"/>
        <v>2040</v>
      </c>
    </row>
    <row r="42" spans="1:26" x14ac:dyDescent="0.25">
      <c r="A42" s="9"/>
      <c r="B42" s="22" t="s">
        <v>101</v>
      </c>
      <c r="C42" s="23" t="s">
        <v>152</v>
      </c>
      <c r="E42" s="66">
        <v>2020</v>
      </c>
      <c r="F42" s="23" t="s">
        <v>4</v>
      </c>
      <c r="G42" s="23" t="s">
        <v>167</v>
      </c>
      <c r="H42" s="23"/>
      <c r="I42" s="4">
        <v>237976.4</v>
      </c>
      <c r="Z42" s="21">
        <f t="shared" si="1"/>
        <v>2041</v>
      </c>
    </row>
    <row r="43" spans="1:26" x14ac:dyDescent="0.25">
      <c r="A43" s="9"/>
      <c r="B43" s="22" t="s">
        <v>102</v>
      </c>
      <c r="C43" s="23" t="s">
        <v>153</v>
      </c>
      <c r="E43" s="66">
        <v>2020</v>
      </c>
      <c r="F43" s="23" t="s">
        <v>4</v>
      </c>
      <c r="G43" s="23" t="s">
        <v>166</v>
      </c>
      <c r="H43" s="23"/>
      <c r="I43" s="4">
        <v>2142689.66</v>
      </c>
      <c r="Z43" s="21">
        <f t="shared" si="1"/>
        <v>2042</v>
      </c>
    </row>
    <row r="44" spans="1:26" x14ac:dyDescent="0.25">
      <c r="A44" s="9"/>
      <c r="B44" s="22" t="s">
        <v>103</v>
      </c>
      <c r="C44" s="23" t="s">
        <v>154</v>
      </c>
      <c r="E44" s="66">
        <v>2020</v>
      </c>
      <c r="F44" s="23" t="s">
        <v>4</v>
      </c>
      <c r="G44" s="23" t="s">
        <v>218</v>
      </c>
      <c r="H44" s="23"/>
      <c r="I44" s="4">
        <v>39746.559999999998</v>
      </c>
      <c r="Z44" s="21">
        <f t="shared" si="1"/>
        <v>2043</v>
      </c>
    </row>
    <row r="45" spans="1:26" x14ac:dyDescent="0.25">
      <c r="A45" s="9"/>
      <c r="B45" s="22" t="s">
        <v>104</v>
      </c>
      <c r="C45" s="23" t="s">
        <v>155</v>
      </c>
      <c r="E45" s="66">
        <v>2020</v>
      </c>
      <c r="F45" s="23" t="s">
        <v>4</v>
      </c>
      <c r="G45" s="23" t="s">
        <v>154</v>
      </c>
      <c r="H45" s="23"/>
      <c r="I45" s="4">
        <v>2691143</v>
      </c>
      <c r="Z45" s="21">
        <f t="shared" si="1"/>
        <v>2044</v>
      </c>
    </row>
    <row r="46" spans="1:26" x14ac:dyDescent="0.25">
      <c r="A46" s="9"/>
      <c r="B46" s="22" t="s">
        <v>105</v>
      </c>
      <c r="C46" s="23" t="s">
        <v>156</v>
      </c>
      <c r="E46" s="66">
        <v>2020</v>
      </c>
      <c r="F46" s="23" t="s">
        <v>4</v>
      </c>
      <c r="G46" s="23" t="s">
        <v>161</v>
      </c>
      <c r="H46" s="23"/>
      <c r="I46" s="4">
        <v>220620</v>
      </c>
      <c r="Z46" s="21">
        <f t="shared" si="1"/>
        <v>2045</v>
      </c>
    </row>
    <row r="47" spans="1:26" x14ac:dyDescent="0.25">
      <c r="A47" s="9"/>
      <c r="B47" s="22" t="s">
        <v>106</v>
      </c>
      <c r="C47" s="23" t="s">
        <v>157</v>
      </c>
      <c r="E47" s="66">
        <v>2020</v>
      </c>
      <c r="F47" s="23" t="s">
        <v>4</v>
      </c>
      <c r="G47" s="23" t="s">
        <v>162</v>
      </c>
      <c r="H47" s="23"/>
      <c r="I47" s="4">
        <v>280933.02</v>
      </c>
      <c r="Z47" s="21">
        <f t="shared" si="1"/>
        <v>2046</v>
      </c>
    </row>
    <row r="48" spans="1:26" x14ac:dyDescent="0.25">
      <c r="A48" s="9"/>
      <c r="B48" s="22" t="s">
        <v>107</v>
      </c>
      <c r="C48" s="23" t="s">
        <v>158</v>
      </c>
      <c r="E48" s="66">
        <v>2020</v>
      </c>
      <c r="F48" s="23" t="s">
        <v>4</v>
      </c>
      <c r="G48" s="23" t="s">
        <v>165</v>
      </c>
      <c r="H48" s="23"/>
      <c r="I48" s="4">
        <v>142448.57999999999</v>
      </c>
      <c r="Z48" s="21">
        <f t="shared" si="1"/>
        <v>2047</v>
      </c>
    </row>
    <row r="49" spans="1:26" x14ac:dyDescent="0.25">
      <c r="A49" s="9"/>
      <c r="B49" s="22" t="s">
        <v>108</v>
      </c>
      <c r="C49" s="23" t="s">
        <v>159</v>
      </c>
      <c r="E49" s="66">
        <v>2020</v>
      </c>
      <c r="F49" s="23" t="s">
        <v>4</v>
      </c>
      <c r="G49" s="23" t="s">
        <v>159</v>
      </c>
      <c r="H49" s="23"/>
      <c r="I49" s="4">
        <v>170482.24</v>
      </c>
      <c r="Z49" s="21">
        <f t="shared" si="1"/>
        <v>2048</v>
      </c>
    </row>
    <row r="50" spans="1:26" x14ac:dyDescent="0.25">
      <c r="A50" s="9"/>
      <c r="B50" s="22" t="s">
        <v>109</v>
      </c>
      <c r="C50" s="23" t="s">
        <v>160</v>
      </c>
      <c r="E50" s="66">
        <v>2020</v>
      </c>
      <c r="F50" s="23" t="s">
        <v>4</v>
      </c>
      <c r="G50" s="23" t="s">
        <v>157</v>
      </c>
      <c r="H50" s="23"/>
      <c r="I50" s="4">
        <v>314437</v>
      </c>
      <c r="Z50" s="21">
        <f t="shared" si="1"/>
        <v>2049</v>
      </c>
    </row>
    <row r="51" spans="1:26" x14ac:dyDescent="0.25">
      <c r="A51" s="9"/>
      <c r="B51" s="22" t="s">
        <v>110</v>
      </c>
      <c r="C51" s="23" t="s">
        <v>161</v>
      </c>
      <c r="E51" s="66">
        <v>2020</v>
      </c>
      <c r="F51" s="23" t="s">
        <v>4</v>
      </c>
      <c r="G51" s="23" t="s">
        <v>168</v>
      </c>
      <c r="H51" s="23"/>
      <c r="I51" s="4">
        <v>283689.64</v>
      </c>
      <c r="Z51" s="21">
        <f t="shared" si="1"/>
        <v>2050</v>
      </c>
    </row>
    <row r="52" spans="1:26" x14ac:dyDescent="0.25">
      <c r="A52" s="9"/>
      <c r="B52" s="22" t="s">
        <v>111</v>
      </c>
      <c r="C52" s="23" t="s">
        <v>162</v>
      </c>
      <c r="E52" s="66">
        <v>2020</v>
      </c>
      <c r="F52" s="23" t="s">
        <v>4</v>
      </c>
      <c r="G52" s="23" t="s">
        <v>153</v>
      </c>
      <c r="H52" s="23"/>
      <c r="I52" s="4">
        <v>112500</v>
      </c>
      <c r="Z52" s="21">
        <f t="shared" si="1"/>
        <v>2051</v>
      </c>
    </row>
    <row r="53" spans="1:26" x14ac:dyDescent="0.25">
      <c r="A53" s="9"/>
      <c r="B53" s="22" t="s">
        <v>112</v>
      </c>
      <c r="C53" s="23" t="s">
        <v>163</v>
      </c>
      <c r="E53" s="66">
        <v>2020</v>
      </c>
      <c r="F53" s="23" t="s">
        <v>4</v>
      </c>
      <c r="G53" s="23" t="s">
        <v>152</v>
      </c>
      <c r="H53" s="23"/>
      <c r="I53" s="4">
        <v>389076</v>
      </c>
      <c r="Z53" s="21">
        <f t="shared" si="1"/>
        <v>2052</v>
      </c>
    </row>
    <row r="54" spans="1:26" x14ac:dyDescent="0.25">
      <c r="A54" s="9"/>
      <c r="B54" s="22" t="s">
        <v>113</v>
      </c>
      <c r="C54" s="23" t="s">
        <v>164</v>
      </c>
      <c r="E54" s="66">
        <v>2020</v>
      </c>
      <c r="F54" s="23" t="s">
        <v>4</v>
      </c>
      <c r="G54" s="23" t="s">
        <v>156</v>
      </c>
      <c r="H54" s="23"/>
      <c r="I54" s="4">
        <v>36500</v>
      </c>
      <c r="Z54" s="21">
        <f t="shared" si="1"/>
        <v>2053</v>
      </c>
    </row>
    <row r="55" spans="1:26" x14ac:dyDescent="0.25">
      <c r="A55" s="9"/>
      <c r="B55" s="22" t="s">
        <v>114</v>
      </c>
      <c r="C55" s="23" t="s">
        <v>165</v>
      </c>
      <c r="E55" s="66">
        <v>2020</v>
      </c>
      <c r="F55" s="23" t="s">
        <v>4</v>
      </c>
      <c r="G55" s="23" t="s">
        <v>163</v>
      </c>
      <c r="H55" s="23"/>
      <c r="I55" s="4">
        <v>1200</v>
      </c>
      <c r="Z55" s="21">
        <f t="shared" si="1"/>
        <v>2054</v>
      </c>
    </row>
    <row r="56" spans="1:26" x14ac:dyDescent="0.25">
      <c r="A56" s="9"/>
      <c r="B56" s="22" t="s">
        <v>115</v>
      </c>
      <c r="C56" s="23" t="s">
        <v>166</v>
      </c>
      <c r="E56" s="66">
        <v>2020</v>
      </c>
      <c r="F56" s="67" t="s">
        <v>4</v>
      </c>
      <c r="G56" s="67" t="s">
        <v>170</v>
      </c>
      <c r="H56" s="23"/>
      <c r="I56" s="68">
        <v>14150</v>
      </c>
      <c r="Z56" s="21">
        <f t="shared" si="1"/>
        <v>2055</v>
      </c>
    </row>
    <row r="57" spans="1:26" x14ac:dyDescent="0.25">
      <c r="A57" s="9"/>
      <c r="B57" s="22" t="s">
        <v>116</v>
      </c>
      <c r="C57" s="23" t="s">
        <v>167</v>
      </c>
      <c r="E57" s="66">
        <v>2020</v>
      </c>
      <c r="F57" s="67" t="s">
        <v>4</v>
      </c>
      <c r="G57" s="67" t="s">
        <v>171</v>
      </c>
      <c r="H57" s="67"/>
      <c r="I57" s="68">
        <v>223810.430222266</v>
      </c>
      <c r="Z57" s="21">
        <f t="shared" si="1"/>
        <v>2056</v>
      </c>
    </row>
    <row r="58" spans="1:26" x14ac:dyDescent="0.25">
      <c r="A58" s="9"/>
      <c r="B58" s="22" t="s">
        <v>117</v>
      </c>
      <c r="C58" s="23" t="s">
        <v>168</v>
      </c>
      <c r="E58" s="66">
        <v>2020</v>
      </c>
      <c r="F58" s="67" t="s">
        <v>4</v>
      </c>
      <c r="G58" s="67" t="s">
        <v>155</v>
      </c>
      <c r="H58" s="67"/>
      <c r="I58" s="68">
        <v>1000000</v>
      </c>
      <c r="Z58" s="21">
        <f t="shared" si="1"/>
        <v>2057</v>
      </c>
    </row>
    <row r="59" spans="1:26" x14ac:dyDescent="0.25">
      <c r="A59" s="9"/>
      <c r="B59" s="22" t="s">
        <v>118</v>
      </c>
      <c r="C59" s="23" t="s">
        <v>169</v>
      </c>
      <c r="E59" s="66">
        <v>2020</v>
      </c>
      <c r="F59" s="67" t="s">
        <v>4</v>
      </c>
      <c r="G59" s="67" t="s">
        <v>236</v>
      </c>
      <c r="H59" s="67"/>
      <c r="I59" s="69">
        <f>SUM(I41:I58)</f>
        <v>9636343.5302222669</v>
      </c>
      <c r="Z59" s="21">
        <f t="shared" si="1"/>
        <v>2058</v>
      </c>
    </row>
    <row r="60" spans="1:26" x14ac:dyDescent="0.25">
      <c r="A60" s="9"/>
      <c r="B60" s="22" t="s">
        <v>119</v>
      </c>
      <c r="C60" s="23" t="s">
        <v>170</v>
      </c>
      <c r="E60" s="66">
        <v>2020</v>
      </c>
      <c r="F60" s="67" t="s">
        <v>4</v>
      </c>
      <c r="G60" s="67" t="s">
        <v>148</v>
      </c>
      <c r="H60" s="67"/>
      <c r="I60" s="68">
        <v>517241.4</v>
      </c>
      <c r="Z60" s="21">
        <f t="shared" si="1"/>
        <v>2059</v>
      </c>
    </row>
    <row r="61" spans="1:26" x14ac:dyDescent="0.25">
      <c r="A61" s="9"/>
      <c r="B61" s="22" t="s">
        <v>120</v>
      </c>
      <c r="C61" s="23" t="s">
        <v>171</v>
      </c>
      <c r="E61" s="66">
        <v>2020</v>
      </c>
      <c r="F61" s="67" t="s">
        <v>4</v>
      </c>
      <c r="G61" s="67" t="s">
        <v>158</v>
      </c>
      <c r="H61" s="67"/>
      <c r="I61" s="68">
        <v>587495.65</v>
      </c>
      <c r="Z61" s="21">
        <f t="shared" si="1"/>
        <v>2060</v>
      </c>
    </row>
    <row r="62" spans="1:26" x14ac:dyDescent="0.25">
      <c r="A62" s="9"/>
      <c r="B62" s="22" t="s">
        <v>121</v>
      </c>
      <c r="C62" s="23" t="s">
        <v>173</v>
      </c>
      <c r="E62" s="66">
        <v>2020</v>
      </c>
      <c r="F62" s="67" t="s">
        <v>4</v>
      </c>
      <c r="G62" s="67" t="s">
        <v>149</v>
      </c>
      <c r="H62" s="67"/>
      <c r="I62" s="68">
        <v>175000</v>
      </c>
      <c r="Z62" s="21">
        <f t="shared" si="1"/>
        <v>2061</v>
      </c>
    </row>
    <row r="63" spans="1:26" x14ac:dyDescent="0.25">
      <c r="A63" s="9"/>
      <c r="B63" s="22" t="s">
        <v>122</v>
      </c>
      <c r="C63" s="23" t="s">
        <v>174</v>
      </c>
      <c r="E63" s="66">
        <v>2020</v>
      </c>
      <c r="F63" s="67" t="s">
        <v>4</v>
      </c>
      <c r="G63" s="67" t="s">
        <v>518</v>
      </c>
      <c r="H63" s="67"/>
      <c r="I63" s="68">
        <v>600540</v>
      </c>
      <c r="Z63" s="21">
        <f t="shared" si="1"/>
        <v>2062</v>
      </c>
    </row>
    <row r="64" spans="1:26" x14ac:dyDescent="0.25">
      <c r="A64" s="9"/>
      <c r="B64" s="22" t="s">
        <v>123</v>
      </c>
      <c r="C64" s="24" t="s">
        <v>175</v>
      </c>
      <c r="E64" s="66">
        <v>2020</v>
      </c>
      <c r="F64" s="67" t="s">
        <v>4</v>
      </c>
      <c r="G64" s="67" t="s">
        <v>221</v>
      </c>
      <c r="H64" s="67"/>
      <c r="I64" s="68">
        <v>10000</v>
      </c>
      <c r="Z64" s="21">
        <f t="shared" si="1"/>
        <v>2063</v>
      </c>
    </row>
    <row r="65" spans="1:26" x14ac:dyDescent="0.25">
      <c r="A65" s="9"/>
      <c r="B65" s="22" t="s">
        <v>124</v>
      </c>
      <c r="C65" s="24" t="s">
        <v>176</v>
      </c>
      <c r="E65" s="66">
        <v>2020</v>
      </c>
      <c r="F65" s="67" t="s">
        <v>4</v>
      </c>
      <c r="G65" s="67" t="s">
        <v>150</v>
      </c>
      <c r="H65" s="67"/>
      <c r="I65" s="68">
        <v>102278.42</v>
      </c>
      <c r="Z65" s="21">
        <f t="shared" si="1"/>
        <v>2064</v>
      </c>
    </row>
    <row r="66" spans="1:26" x14ac:dyDescent="0.25">
      <c r="A66" s="9"/>
      <c r="B66" s="22" t="s">
        <v>125</v>
      </c>
      <c r="C66" s="24" t="s">
        <v>177</v>
      </c>
      <c r="E66" s="66">
        <v>2020</v>
      </c>
      <c r="F66" s="67" t="s">
        <v>4</v>
      </c>
      <c r="G66" s="67" t="s">
        <v>237</v>
      </c>
      <c r="H66" s="67"/>
      <c r="I66" s="69">
        <f>SUM(I60:I65)</f>
        <v>1992555.47</v>
      </c>
      <c r="Z66" s="21">
        <f t="shared" si="1"/>
        <v>2065</v>
      </c>
    </row>
    <row r="67" spans="1:26" x14ac:dyDescent="0.25">
      <c r="A67" s="9"/>
      <c r="B67" s="22" t="s">
        <v>126</v>
      </c>
      <c r="C67" s="24" t="s">
        <v>178</v>
      </c>
      <c r="E67" s="66">
        <v>2020</v>
      </c>
      <c r="F67" s="67" t="s">
        <v>3</v>
      </c>
      <c r="G67" s="67" t="s">
        <v>62</v>
      </c>
      <c r="H67" s="67"/>
      <c r="I67" s="68">
        <v>231291153.24000001</v>
      </c>
      <c r="Z67" s="21">
        <f t="shared" ref="Z67:Z101" si="2">Z66+1</f>
        <v>2066</v>
      </c>
    </row>
    <row r="68" spans="1:26" x14ac:dyDescent="0.25">
      <c r="A68" s="9"/>
      <c r="B68" s="22" t="s">
        <v>127</v>
      </c>
      <c r="C68" s="24" t="s">
        <v>179</v>
      </c>
      <c r="E68" s="66">
        <v>2020</v>
      </c>
      <c r="F68" s="67" t="s">
        <v>276</v>
      </c>
      <c r="G68" s="67" t="s">
        <v>276</v>
      </c>
      <c r="H68" s="67"/>
      <c r="I68" s="69">
        <f>I67-I40-I38-I39-I59-I66</f>
        <v>6071289.5797777465</v>
      </c>
      <c r="Z68" s="21">
        <f t="shared" si="2"/>
        <v>2067</v>
      </c>
    </row>
    <row r="69" spans="1:26" x14ac:dyDescent="0.25">
      <c r="A69" s="9"/>
      <c r="B69" s="22" t="s">
        <v>128</v>
      </c>
      <c r="C69" s="23" t="s">
        <v>186</v>
      </c>
      <c r="E69" s="2">
        <v>2020</v>
      </c>
      <c r="F69" s="23" t="s">
        <v>277</v>
      </c>
      <c r="G69" s="23" t="s">
        <v>278</v>
      </c>
      <c r="H69" s="67"/>
      <c r="I69" s="68">
        <v>-1820215.25995313</v>
      </c>
      <c r="Z69" s="21">
        <f t="shared" si="2"/>
        <v>2068</v>
      </c>
    </row>
    <row r="70" spans="1:26" x14ac:dyDescent="0.25">
      <c r="A70" s="9"/>
      <c r="B70" s="22" t="s">
        <v>129</v>
      </c>
      <c r="C70" s="23" t="s">
        <v>276</v>
      </c>
      <c r="E70" s="2">
        <v>2020</v>
      </c>
      <c r="F70" s="23" t="s">
        <v>234</v>
      </c>
      <c r="G70" s="23" t="s">
        <v>275</v>
      </c>
      <c r="H70" s="67"/>
      <c r="I70" s="68">
        <f>SUM(I68:I69)</f>
        <v>4251074.3198246164</v>
      </c>
      <c r="Z70" s="21">
        <f t="shared" si="2"/>
        <v>2069</v>
      </c>
    </row>
    <row r="71" spans="1:26" x14ac:dyDescent="0.25">
      <c r="A71" s="9"/>
      <c r="B71" s="22" t="s">
        <v>130</v>
      </c>
      <c r="C71" s="23" t="s">
        <v>275</v>
      </c>
      <c r="E71" s="2"/>
      <c r="F71" s="23"/>
      <c r="G71" s="23"/>
      <c r="H71" s="67"/>
      <c r="I71" s="68"/>
      <c r="Z71" s="21">
        <f t="shared" si="2"/>
        <v>2070</v>
      </c>
    </row>
    <row r="72" spans="1:26" x14ac:dyDescent="0.25">
      <c r="A72" s="9"/>
      <c r="B72" s="22" t="s">
        <v>131</v>
      </c>
      <c r="C72" s="23" t="s">
        <v>207</v>
      </c>
      <c r="E72" s="2"/>
      <c r="F72" s="23"/>
      <c r="G72" s="23"/>
      <c r="H72" s="67"/>
      <c r="I72" s="68"/>
      <c r="Z72" s="21">
        <f t="shared" si="2"/>
        <v>2071</v>
      </c>
    </row>
    <row r="73" spans="1:26" x14ac:dyDescent="0.25">
      <c r="A73" s="9"/>
      <c r="B73" s="22" t="s">
        <v>132</v>
      </c>
      <c r="C73" s="23" t="s">
        <v>232</v>
      </c>
      <c r="E73" s="66"/>
      <c r="F73" s="67"/>
      <c r="G73" s="67"/>
      <c r="H73" s="67"/>
      <c r="I73" s="68"/>
      <c r="Z73" s="21">
        <f t="shared" si="2"/>
        <v>2072</v>
      </c>
    </row>
    <row r="74" spans="1:26" x14ac:dyDescent="0.25">
      <c r="A74" s="9"/>
      <c r="B74" s="22" t="s">
        <v>133</v>
      </c>
      <c r="C74" s="23" t="s">
        <v>235</v>
      </c>
      <c r="E74" s="2"/>
      <c r="F74" s="23"/>
      <c r="G74" s="23"/>
      <c r="H74" s="23"/>
      <c r="I74" s="4"/>
      <c r="Z74" s="21">
        <f t="shared" si="2"/>
        <v>2073</v>
      </c>
    </row>
    <row r="75" spans="1:26" x14ac:dyDescent="0.25">
      <c r="A75" s="9"/>
      <c r="B75" s="22" t="s">
        <v>134</v>
      </c>
      <c r="C75" s="23" t="s">
        <v>249</v>
      </c>
      <c r="E75" s="2"/>
      <c r="F75" s="23"/>
      <c r="G75" s="23"/>
      <c r="H75" s="23"/>
      <c r="I75" s="4"/>
      <c r="Z75" s="21">
        <f t="shared" si="2"/>
        <v>2074</v>
      </c>
    </row>
    <row r="76" spans="1:26" x14ac:dyDescent="0.25">
      <c r="A76" s="9"/>
      <c r="B76" s="22" t="s">
        <v>135</v>
      </c>
      <c r="C76" s="23" t="s">
        <v>250</v>
      </c>
      <c r="E76" s="2"/>
      <c r="F76" s="23"/>
      <c r="G76" s="23"/>
      <c r="H76" s="23"/>
      <c r="I76" s="4"/>
      <c r="Z76" s="21">
        <f t="shared" si="2"/>
        <v>2075</v>
      </c>
    </row>
    <row r="77" spans="1:26" x14ac:dyDescent="0.25">
      <c r="A77" s="9"/>
      <c r="B77" s="22" t="s">
        <v>136</v>
      </c>
      <c r="C77" s="23" t="s">
        <v>251</v>
      </c>
      <c r="E77" s="2"/>
      <c r="F77" s="23"/>
      <c r="G77" s="23"/>
      <c r="H77" s="23"/>
      <c r="I77" s="4"/>
      <c r="Z77" s="21">
        <f t="shared" si="2"/>
        <v>2076</v>
      </c>
    </row>
    <row r="78" spans="1:26" x14ac:dyDescent="0.25">
      <c r="A78" s="9"/>
      <c r="B78" s="22" t="s">
        <v>137</v>
      </c>
      <c r="C78" s="23" t="s">
        <v>252</v>
      </c>
      <c r="E78" s="2"/>
      <c r="F78" s="23"/>
      <c r="G78" s="23"/>
      <c r="H78" s="23"/>
      <c r="I78" s="4"/>
      <c r="Z78" s="21">
        <f t="shared" si="2"/>
        <v>2077</v>
      </c>
    </row>
    <row r="79" spans="1:26" x14ac:dyDescent="0.25">
      <c r="A79" s="9"/>
      <c r="B79" s="22"/>
      <c r="C79" s="23" t="s">
        <v>253</v>
      </c>
      <c r="E79" s="2"/>
      <c r="F79" s="23"/>
      <c r="G79" s="23"/>
      <c r="H79" s="23"/>
      <c r="I79" s="4"/>
      <c r="Z79" s="21">
        <f t="shared" si="2"/>
        <v>2078</v>
      </c>
    </row>
    <row r="80" spans="1:26" x14ac:dyDescent="0.25">
      <c r="A80" s="9"/>
      <c r="B80" s="22"/>
      <c r="C80" s="23" t="s">
        <v>265</v>
      </c>
      <c r="E80" s="2"/>
      <c r="F80" s="23"/>
      <c r="G80" s="23"/>
      <c r="H80" s="23"/>
      <c r="I80" s="4"/>
      <c r="Z80" s="21">
        <f t="shared" si="2"/>
        <v>2079</v>
      </c>
    </row>
    <row r="81" spans="1:26" x14ac:dyDescent="0.25">
      <c r="A81" s="9"/>
      <c r="B81" s="22"/>
      <c r="C81" s="23" t="s">
        <v>266</v>
      </c>
      <c r="E81" s="2"/>
      <c r="F81" s="23"/>
      <c r="G81" s="23"/>
      <c r="H81" s="23"/>
      <c r="I81" s="4"/>
      <c r="Z81" s="21">
        <f t="shared" si="2"/>
        <v>2080</v>
      </c>
    </row>
    <row r="82" spans="1:26" x14ac:dyDescent="0.25">
      <c r="A82" s="9"/>
      <c r="B82" s="22"/>
      <c r="C82" s="23" t="s">
        <v>267</v>
      </c>
      <c r="E82" s="2"/>
      <c r="F82" s="23"/>
      <c r="G82" s="23"/>
      <c r="H82" s="23"/>
      <c r="I82" s="4"/>
      <c r="Z82" s="21">
        <f t="shared" si="2"/>
        <v>2081</v>
      </c>
    </row>
    <row r="83" spans="1:26" x14ac:dyDescent="0.25">
      <c r="A83" s="9"/>
      <c r="B83" s="22"/>
      <c r="C83" s="23" t="s">
        <v>268</v>
      </c>
      <c r="E83" s="2"/>
      <c r="F83" s="23"/>
      <c r="G83" s="23"/>
      <c r="H83" s="23"/>
      <c r="I83" s="4"/>
      <c r="Z83" s="21">
        <f t="shared" si="2"/>
        <v>2082</v>
      </c>
    </row>
    <row r="84" spans="1:26" x14ac:dyDescent="0.25">
      <c r="A84" s="9"/>
      <c r="B84" s="22"/>
      <c r="C84" s="23" t="s">
        <v>269</v>
      </c>
      <c r="E84" s="2"/>
      <c r="F84" s="23"/>
      <c r="G84" s="23"/>
      <c r="H84" s="23"/>
      <c r="I84" s="4"/>
      <c r="Z84" s="21">
        <f t="shared" si="2"/>
        <v>2083</v>
      </c>
    </row>
    <row r="85" spans="1:26" x14ac:dyDescent="0.25">
      <c r="A85" s="9"/>
      <c r="B85" s="23"/>
      <c r="C85" s="23" t="s">
        <v>278</v>
      </c>
      <c r="E85" s="2"/>
      <c r="F85" s="23"/>
      <c r="G85" s="23"/>
      <c r="H85" s="23"/>
      <c r="I85" s="4"/>
      <c r="Z85" s="21">
        <f t="shared" si="2"/>
        <v>2084</v>
      </c>
    </row>
    <row r="86" spans="1:26" x14ac:dyDescent="0.25">
      <c r="A86" s="9"/>
      <c r="B86" s="23"/>
      <c r="C86" s="23" t="s">
        <v>218</v>
      </c>
      <c r="E86" s="2"/>
      <c r="F86" s="23"/>
      <c r="G86" s="23"/>
      <c r="H86" s="23"/>
      <c r="I86" s="4"/>
      <c r="Z86" s="21">
        <f t="shared" si="2"/>
        <v>2085</v>
      </c>
    </row>
    <row r="87" spans="1:26" x14ac:dyDescent="0.25">
      <c r="A87" s="9"/>
      <c r="B87" s="23"/>
      <c r="C87" s="23" t="s">
        <v>221</v>
      </c>
      <c r="E87" s="2"/>
      <c r="F87" s="23"/>
      <c r="G87" s="23"/>
      <c r="H87" s="23"/>
      <c r="I87" s="4"/>
      <c r="Z87" s="21">
        <f t="shared" si="2"/>
        <v>2086</v>
      </c>
    </row>
    <row r="88" spans="1:26" x14ac:dyDescent="0.25">
      <c r="A88" s="9"/>
      <c r="B88" s="23"/>
      <c r="C88" s="23" t="s">
        <v>518</v>
      </c>
      <c r="E88" s="2"/>
      <c r="F88" s="23"/>
      <c r="G88" s="23"/>
      <c r="H88" s="23"/>
      <c r="I88" s="4"/>
      <c r="Z88" s="21">
        <f t="shared" si="2"/>
        <v>2087</v>
      </c>
    </row>
    <row r="89" spans="1:26" x14ac:dyDescent="0.25">
      <c r="A89" s="9"/>
      <c r="B89" s="23"/>
      <c r="C89" s="23" t="s">
        <v>155</v>
      </c>
      <c r="E89" s="2"/>
      <c r="F89" s="23"/>
      <c r="G89" s="23"/>
      <c r="H89" s="23"/>
      <c r="I89" s="4"/>
      <c r="Z89" s="21">
        <f t="shared" si="2"/>
        <v>2088</v>
      </c>
    </row>
    <row r="90" spans="1:26" x14ac:dyDescent="0.25">
      <c r="A90" s="9"/>
      <c r="B90" s="23"/>
      <c r="C90" s="23"/>
      <c r="E90" s="2"/>
      <c r="F90" s="23"/>
      <c r="G90" s="23"/>
      <c r="H90" s="23"/>
      <c r="I90" s="4"/>
      <c r="Z90" s="21">
        <f t="shared" si="2"/>
        <v>2089</v>
      </c>
    </row>
    <row r="91" spans="1:26" x14ac:dyDescent="0.25">
      <c r="A91" s="9"/>
      <c r="B91" s="23"/>
      <c r="C91" s="23"/>
      <c r="E91" s="2"/>
      <c r="F91" s="23"/>
      <c r="G91" s="23"/>
      <c r="H91" s="23"/>
      <c r="I91" s="4"/>
      <c r="Z91" s="21">
        <f t="shared" si="2"/>
        <v>2090</v>
      </c>
    </row>
    <row r="92" spans="1:26" x14ac:dyDescent="0.25">
      <c r="A92" s="9"/>
      <c r="B92" s="23"/>
      <c r="C92" s="23"/>
      <c r="E92" s="2"/>
      <c r="F92" s="23"/>
      <c r="G92" s="23"/>
      <c r="H92" s="23"/>
      <c r="I92" s="4"/>
      <c r="Z92" s="21">
        <f t="shared" si="2"/>
        <v>2091</v>
      </c>
    </row>
    <row r="93" spans="1:26" x14ac:dyDescent="0.25">
      <c r="A93" s="9"/>
      <c r="B93" s="23"/>
      <c r="C93" s="23"/>
      <c r="E93" s="2"/>
      <c r="F93" s="23"/>
      <c r="G93" s="23"/>
      <c r="H93" s="23"/>
      <c r="I93" s="4"/>
      <c r="Z93" s="21">
        <f t="shared" si="2"/>
        <v>2092</v>
      </c>
    </row>
    <row r="94" spans="1:26" x14ac:dyDescent="0.25">
      <c r="A94" s="9"/>
      <c r="B94" s="23"/>
      <c r="C94" s="23"/>
      <c r="E94" s="2"/>
      <c r="F94" s="23"/>
      <c r="G94" s="23"/>
      <c r="H94" s="23"/>
      <c r="I94" s="4"/>
      <c r="Z94" s="21">
        <f t="shared" si="2"/>
        <v>2093</v>
      </c>
    </row>
    <row r="95" spans="1:26" x14ac:dyDescent="0.25">
      <c r="A95" s="9"/>
      <c r="B95" s="23"/>
      <c r="C95" s="23"/>
      <c r="E95" s="2"/>
      <c r="F95" s="23"/>
      <c r="G95" s="23"/>
      <c r="H95" s="23"/>
      <c r="I95" s="4"/>
      <c r="Z95" s="21">
        <f t="shared" si="2"/>
        <v>2094</v>
      </c>
    </row>
    <row r="96" spans="1:26" x14ac:dyDescent="0.25">
      <c r="A96" s="9"/>
      <c r="B96" s="23"/>
      <c r="C96" s="23"/>
      <c r="E96" s="2"/>
      <c r="F96" s="23"/>
      <c r="G96" s="23"/>
      <c r="H96" s="23"/>
      <c r="I96" s="4"/>
      <c r="Z96" s="21">
        <f t="shared" si="2"/>
        <v>2095</v>
      </c>
    </row>
    <row r="97" spans="1:26" x14ac:dyDescent="0.25">
      <c r="A97" s="9"/>
      <c r="B97" s="23"/>
      <c r="C97" s="23"/>
      <c r="E97" s="2"/>
      <c r="F97" s="23"/>
      <c r="G97" s="23"/>
      <c r="H97" s="23"/>
      <c r="I97" s="4"/>
      <c r="Z97" s="21">
        <f t="shared" si="2"/>
        <v>2096</v>
      </c>
    </row>
    <row r="98" spans="1:26" x14ac:dyDescent="0.25">
      <c r="A98" s="9"/>
      <c r="B98" s="23"/>
      <c r="C98" s="23"/>
      <c r="E98" s="2"/>
      <c r="F98" s="23"/>
      <c r="G98" s="23"/>
      <c r="H98" s="23"/>
      <c r="I98" s="4"/>
      <c r="Z98" s="21">
        <f t="shared" si="2"/>
        <v>2097</v>
      </c>
    </row>
    <row r="99" spans="1:26" x14ac:dyDescent="0.25">
      <c r="A99" s="9"/>
      <c r="B99" s="23"/>
      <c r="C99" s="23"/>
      <c r="E99" s="2"/>
      <c r="F99" s="23"/>
      <c r="G99" s="23"/>
      <c r="H99" s="23"/>
      <c r="I99" s="4"/>
      <c r="Z99" s="21">
        <f t="shared" si="2"/>
        <v>2098</v>
      </c>
    </row>
    <row r="100" spans="1:26" x14ac:dyDescent="0.25">
      <c r="A100" s="9"/>
      <c r="B100" s="23"/>
      <c r="C100" s="23"/>
      <c r="E100" s="2"/>
      <c r="F100" s="23"/>
      <c r="G100" s="23"/>
      <c r="H100" s="23"/>
      <c r="I100" s="4"/>
      <c r="Z100" s="21">
        <f t="shared" si="2"/>
        <v>2099</v>
      </c>
    </row>
    <row r="101" spans="1:26" x14ac:dyDescent="0.25">
      <c r="A101" s="9"/>
      <c r="B101" s="23"/>
      <c r="C101" s="23"/>
      <c r="E101" s="2"/>
      <c r="F101" s="23"/>
      <c r="G101" s="23"/>
      <c r="H101" s="23"/>
      <c r="I101" s="4"/>
      <c r="Z101" s="21">
        <f t="shared" si="2"/>
        <v>2100</v>
      </c>
    </row>
    <row r="102" spans="1:26" x14ac:dyDescent="0.25">
      <c r="A102" s="9"/>
      <c r="B102" s="23"/>
      <c r="C102" s="23"/>
      <c r="E102" s="2"/>
      <c r="F102" s="23"/>
      <c r="G102" s="23"/>
      <c r="H102" s="23"/>
      <c r="I102" s="4"/>
    </row>
    <row r="103" spans="1:26" x14ac:dyDescent="0.25">
      <c r="A103" s="9"/>
      <c r="B103" s="23"/>
      <c r="C103" s="23"/>
      <c r="E103" s="2"/>
      <c r="F103" s="23"/>
      <c r="G103" s="23"/>
      <c r="H103" s="23"/>
      <c r="I103" s="4"/>
    </row>
    <row r="104" spans="1:26" x14ac:dyDescent="0.25">
      <c r="A104" s="9"/>
      <c r="B104" s="23"/>
      <c r="C104" s="23"/>
      <c r="E104" s="2"/>
      <c r="F104" s="23"/>
      <c r="G104" s="23"/>
      <c r="H104" s="23"/>
      <c r="I104" s="4"/>
    </row>
    <row r="105" spans="1:26" x14ac:dyDescent="0.25">
      <c r="A105" s="9"/>
      <c r="B105" s="23"/>
      <c r="C105" s="23"/>
      <c r="E105" s="2"/>
      <c r="F105" s="23"/>
      <c r="G105" s="23"/>
      <c r="H105" s="23"/>
      <c r="I105" s="4"/>
    </row>
    <row r="106" spans="1:26" x14ac:dyDescent="0.25">
      <c r="A106" s="9"/>
      <c r="B106" s="23"/>
      <c r="C106" s="23"/>
      <c r="E106" s="2"/>
      <c r="F106" s="23"/>
      <c r="G106" s="23"/>
      <c r="H106" s="23"/>
      <c r="I106" s="4"/>
    </row>
    <row r="107" spans="1:26" x14ac:dyDescent="0.25">
      <c r="A107" s="9"/>
      <c r="B107" s="23"/>
      <c r="C107" s="23"/>
      <c r="E107" s="2"/>
      <c r="F107" s="23"/>
      <c r="G107" s="23"/>
      <c r="H107" s="23"/>
      <c r="I107" s="4"/>
    </row>
    <row r="108" spans="1:26" x14ac:dyDescent="0.25">
      <c r="A108" s="9"/>
      <c r="B108" s="23"/>
      <c r="C108" s="23"/>
      <c r="E108" s="2"/>
      <c r="F108" s="23"/>
      <c r="G108" s="23"/>
      <c r="H108" s="23"/>
      <c r="I108" s="4"/>
    </row>
    <row r="109" spans="1:26" x14ac:dyDescent="0.25">
      <c r="A109" s="9"/>
      <c r="B109" s="23"/>
      <c r="C109" s="23"/>
      <c r="E109" s="2"/>
      <c r="F109" s="23"/>
      <c r="G109" s="23"/>
      <c r="H109" s="23"/>
      <c r="I109" s="4"/>
    </row>
    <row r="110" spans="1:26" x14ac:dyDescent="0.25">
      <c r="A110" s="9"/>
      <c r="B110" s="23"/>
      <c r="C110" s="23"/>
      <c r="E110" s="2"/>
      <c r="F110" s="23"/>
      <c r="G110" s="23"/>
      <c r="H110" s="23"/>
      <c r="I110" s="4"/>
    </row>
    <row r="111" spans="1:26" x14ac:dyDescent="0.25">
      <c r="A111" s="9"/>
      <c r="B111" s="23"/>
      <c r="C111" s="23"/>
      <c r="E111" s="2"/>
      <c r="F111" s="23"/>
      <c r="G111" s="23"/>
      <c r="H111" s="23"/>
      <c r="I111" s="4"/>
    </row>
    <row r="112" spans="1:26" x14ac:dyDescent="0.25">
      <c r="A112" s="9"/>
      <c r="B112" s="23"/>
      <c r="C112" s="23"/>
      <c r="E112" s="2"/>
      <c r="F112" s="23"/>
      <c r="G112" s="23"/>
      <c r="H112" s="23"/>
      <c r="I112" s="4"/>
    </row>
    <row r="113" spans="1:9" x14ac:dyDescent="0.25">
      <c r="A113" s="9"/>
      <c r="B113" s="23"/>
      <c r="C113" s="23"/>
      <c r="E113" s="2"/>
      <c r="F113" s="23"/>
      <c r="G113" s="23"/>
      <c r="H113" s="23"/>
      <c r="I113" s="4"/>
    </row>
    <row r="114" spans="1:9" x14ac:dyDescent="0.25">
      <c r="A114" s="9"/>
      <c r="B114" s="23"/>
      <c r="C114" s="23"/>
      <c r="E114" s="2"/>
      <c r="F114" s="23"/>
      <c r="G114" s="23"/>
      <c r="H114" s="23"/>
      <c r="I114" s="4"/>
    </row>
    <row r="115" spans="1:9" x14ac:dyDescent="0.25">
      <c r="A115" s="9"/>
      <c r="B115" s="23"/>
      <c r="C115" s="23"/>
      <c r="E115" s="2"/>
      <c r="F115" s="23"/>
      <c r="G115" s="23"/>
      <c r="H115" s="23"/>
      <c r="I115" s="4"/>
    </row>
    <row r="116" spans="1:9" x14ac:dyDescent="0.25">
      <c r="A116" s="9"/>
      <c r="B116" s="23"/>
      <c r="C116" s="23"/>
      <c r="E116" s="2"/>
      <c r="F116" s="23"/>
      <c r="G116" s="23"/>
      <c r="H116" s="23"/>
      <c r="I116" s="4"/>
    </row>
    <row r="117" spans="1:9" x14ac:dyDescent="0.25">
      <c r="A117" s="9"/>
      <c r="B117" s="23"/>
      <c r="C117" s="23"/>
      <c r="E117" s="2"/>
      <c r="F117" s="23"/>
      <c r="G117" s="23"/>
      <c r="H117" s="23"/>
      <c r="I117" s="4"/>
    </row>
    <row r="118" spans="1:9" x14ac:dyDescent="0.25">
      <c r="A118" s="9"/>
      <c r="B118" s="23"/>
      <c r="C118" s="23"/>
      <c r="E118" s="2"/>
      <c r="F118" s="23"/>
      <c r="G118" s="23"/>
      <c r="H118" s="23"/>
      <c r="I118" s="4"/>
    </row>
    <row r="119" spans="1:9" x14ac:dyDescent="0.25">
      <c r="A119" s="9"/>
      <c r="B119" s="23"/>
      <c r="C119" s="23"/>
      <c r="E119" s="2"/>
      <c r="F119" s="23"/>
      <c r="G119" s="23"/>
      <c r="H119" s="23"/>
      <c r="I119" s="4"/>
    </row>
    <row r="120" spans="1:9" x14ac:dyDescent="0.25">
      <c r="A120" s="9"/>
      <c r="B120" s="23"/>
      <c r="C120" s="23"/>
      <c r="E120" s="2"/>
      <c r="F120" s="23"/>
      <c r="G120" s="23"/>
      <c r="H120" s="23"/>
      <c r="I120" s="4"/>
    </row>
    <row r="121" spans="1:9" x14ac:dyDescent="0.25">
      <c r="A121" s="9"/>
      <c r="B121" s="23"/>
      <c r="C121" s="23"/>
      <c r="E121" s="2"/>
      <c r="F121" s="23"/>
      <c r="G121" s="23"/>
      <c r="H121" s="23"/>
      <c r="I121" s="4"/>
    </row>
    <row r="122" spans="1:9" x14ac:dyDescent="0.25">
      <c r="A122" s="9"/>
      <c r="B122" s="23"/>
      <c r="C122" s="23"/>
      <c r="E122" s="2"/>
      <c r="F122" s="23"/>
      <c r="G122" s="23"/>
      <c r="H122" s="23"/>
      <c r="I122" s="4"/>
    </row>
    <row r="123" spans="1:9" x14ac:dyDescent="0.25">
      <c r="A123" s="9"/>
      <c r="B123" s="23"/>
      <c r="C123" s="23"/>
      <c r="E123" s="2"/>
      <c r="F123" s="23"/>
      <c r="G123" s="23"/>
      <c r="H123" s="23"/>
      <c r="I123" s="4"/>
    </row>
    <row r="124" spans="1:9" x14ac:dyDescent="0.25">
      <c r="A124" s="9"/>
      <c r="B124" s="23"/>
      <c r="C124" s="23"/>
      <c r="E124" s="2"/>
      <c r="F124" s="23"/>
      <c r="G124" s="23"/>
      <c r="H124" s="23"/>
      <c r="I124" s="4"/>
    </row>
    <row r="125" spans="1:9" x14ac:dyDescent="0.25">
      <c r="A125" s="9"/>
      <c r="B125" s="23"/>
      <c r="C125" s="23"/>
      <c r="E125" s="2"/>
      <c r="F125" s="23"/>
      <c r="G125" s="23"/>
      <c r="H125" s="23"/>
      <c r="I125" s="4"/>
    </row>
    <row r="126" spans="1:9" x14ac:dyDescent="0.25">
      <c r="A126" s="9"/>
      <c r="B126" s="23"/>
      <c r="C126" s="23"/>
      <c r="E126" s="2"/>
      <c r="F126" s="23"/>
      <c r="G126" s="23"/>
      <c r="H126" s="23"/>
      <c r="I126" s="4"/>
    </row>
    <row r="127" spans="1:9" x14ac:dyDescent="0.25">
      <c r="A127" s="9"/>
      <c r="B127" s="23"/>
      <c r="C127" s="23"/>
      <c r="E127" s="2"/>
      <c r="F127" s="23"/>
      <c r="G127" s="23"/>
      <c r="H127" s="23"/>
      <c r="I127" s="4"/>
    </row>
    <row r="128" spans="1:9" x14ac:dyDescent="0.25">
      <c r="A128" s="9"/>
      <c r="B128" s="23"/>
      <c r="C128" s="23"/>
      <c r="E128" s="2"/>
      <c r="F128" s="23"/>
      <c r="G128" s="23"/>
      <c r="H128" s="23"/>
      <c r="I128" s="4"/>
    </row>
    <row r="129" spans="1:9" x14ac:dyDescent="0.25">
      <c r="A129" s="9"/>
      <c r="B129" s="23"/>
      <c r="C129" s="23"/>
      <c r="E129" s="2"/>
      <c r="F129" s="23"/>
      <c r="G129" s="23"/>
      <c r="H129" s="23"/>
      <c r="I129" s="4"/>
    </row>
    <row r="130" spans="1:9" x14ac:dyDescent="0.25">
      <c r="A130" s="9"/>
      <c r="B130" s="23"/>
      <c r="C130" s="23"/>
      <c r="E130" s="2"/>
      <c r="F130" s="23"/>
      <c r="G130" s="23"/>
      <c r="H130" s="23"/>
      <c r="I130" s="4"/>
    </row>
    <row r="131" spans="1:9" x14ac:dyDescent="0.25">
      <c r="A131" s="9"/>
      <c r="B131" s="23"/>
      <c r="C131" s="23"/>
      <c r="E131" s="2"/>
      <c r="F131" s="23"/>
      <c r="G131" s="23"/>
      <c r="H131" s="23"/>
      <c r="I131" s="4"/>
    </row>
    <row r="132" spans="1:9" x14ac:dyDescent="0.25">
      <c r="A132" s="9"/>
      <c r="B132" s="23"/>
      <c r="C132" s="23"/>
      <c r="E132" s="2"/>
      <c r="F132" s="23"/>
      <c r="G132" s="23"/>
      <c r="H132" s="23"/>
      <c r="I132" s="4"/>
    </row>
    <row r="133" spans="1:9" x14ac:dyDescent="0.25">
      <c r="A133" s="9"/>
      <c r="B133" s="23"/>
      <c r="C133" s="23"/>
      <c r="E133" s="2"/>
      <c r="F133" s="23"/>
      <c r="G133" s="23"/>
      <c r="H133" s="23"/>
      <c r="I133" s="4"/>
    </row>
    <row r="134" spans="1:9" x14ac:dyDescent="0.25">
      <c r="A134" s="9"/>
      <c r="B134" s="23"/>
      <c r="C134" s="23"/>
      <c r="E134" s="2"/>
      <c r="F134" s="23"/>
      <c r="G134" s="23"/>
      <c r="H134" s="23"/>
      <c r="I134" s="4"/>
    </row>
    <row r="135" spans="1:9" x14ac:dyDescent="0.25">
      <c r="A135" s="9"/>
      <c r="B135" s="23"/>
      <c r="C135" s="23"/>
      <c r="E135" s="2"/>
      <c r="F135" s="23"/>
      <c r="G135" s="23"/>
      <c r="H135" s="23"/>
      <c r="I135" s="4"/>
    </row>
    <row r="136" spans="1:9" x14ac:dyDescent="0.25">
      <c r="A136" s="9"/>
      <c r="B136" s="23"/>
      <c r="C136" s="23"/>
      <c r="E136" s="2"/>
      <c r="F136" s="23"/>
      <c r="G136" s="23"/>
      <c r="H136" s="23"/>
      <c r="I136" s="4"/>
    </row>
    <row r="137" spans="1:9" x14ac:dyDescent="0.25">
      <c r="A137" s="9"/>
      <c r="B137" s="23"/>
      <c r="C137" s="23"/>
      <c r="E137" s="2"/>
      <c r="F137" s="23"/>
      <c r="G137" s="23"/>
      <c r="H137" s="23"/>
      <c r="I137" s="4"/>
    </row>
    <row r="138" spans="1:9" x14ac:dyDescent="0.25">
      <c r="A138" s="9"/>
      <c r="B138" s="23"/>
      <c r="C138" s="23"/>
      <c r="E138" s="2"/>
      <c r="F138" s="23"/>
      <c r="G138" s="23"/>
      <c r="H138" s="23"/>
      <c r="I138" s="4"/>
    </row>
    <row r="139" spans="1:9" x14ac:dyDescent="0.25">
      <c r="A139" s="9"/>
      <c r="B139" s="23"/>
      <c r="C139" s="23"/>
      <c r="E139" s="2"/>
      <c r="F139" s="23"/>
      <c r="G139" s="23"/>
      <c r="H139" s="23"/>
      <c r="I139" s="4"/>
    </row>
    <row r="140" spans="1:9" x14ac:dyDescent="0.25">
      <c r="A140" s="9"/>
      <c r="B140" s="23"/>
      <c r="C140" s="23"/>
      <c r="E140" s="2"/>
      <c r="F140" s="23"/>
      <c r="G140" s="23"/>
      <c r="H140" s="23"/>
      <c r="I140" s="4"/>
    </row>
    <row r="141" spans="1:9" x14ac:dyDescent="0.25">
      <c r="A141" s="9"/>
      <c r="B141" s="23"/>
      <c r="C141" s="23"/>
      <c r="E141" s="2"/>
      <c r="F141" s="23"/>
      <c r="G141" s="23"/>
      <c r="H141" s="23"/>
      <c r="I141" s="4"/>
    </row>
    <row r="142" spans="1:9" x14ac:dyDescent="0.25">
      <c r="A142" s="9"/>
      <c r="B142" s="23"/>
      <c r="C142" s="23"/>
      <c r="E142" s="2"/>
      <c r="F142" s="23"/>
      <c r="G142" s="23"/>
      <c r="H142" s="23"/>
      <c r="I142" s="4"/>
    </row>
    <row r="143" spans="1:9" x14ac:dyDescent="0.25">
      <c r="A143" s="9"/>
      <c r="B143" s="23"/>
      <c r="C143" s="23"/>
      <c r="E143" s="2"/>
      <c r="F143" s="23"/>
      <c r="G143" s="23"/>
      <c r="H143" s="23"/>
      <c r="I143" s="4"/>
    </row>
    <row r="144" spans="1:9" x14ac:dyDescent="0.25">
      <c r="A144" s="9"/>
      <c r="B144" s="23"/>
      <c r="C144" s="23"/>
      <c r="E144" s="2"/>
      <c r="F144" s="23"/>
      <c r="G144" s="23"/>
      <c r="H144" s="23"/>
      <c r="I144" s="4"/>
    </row>
    <row r="145" spans="1:9" x14ac:dyDescent="0.25">
      <c r="A145" s="9"/>
      <c r="B145" s="23"/>
      <c r="C145" s="23"/>
      <c r="E145" s="2"/>
      <c r="F145" s="23"/>
      <c r="G145" s="23"/>
      <c r="H145" s="23"/>
      <c r="I145" s="4"/>
    </row>
    <row r="146" spans="1:9" x14ac:dyDescent="0.25">
      <c r="A146" s="9"/>
      <c r="B146" s="23"/>
      <c r="C146" s="23"/>
      <c r="E146" s="2"/>
      <c r="F146" s="23"/>
      <c r="G146" s="23"/>
      <c r="H146" s="23"/>
      <c r="I146" s="4"/>
    </row>
    <row r="147" spans="1:9" x14ac:dyDescent="0.25">
      <c r="A147" s="9"/>
      <c r="B147" s="23"/>
      <c r="C147" s="23"/>
      <c r="E147" s="2"/>
      <c r="F147" s="23"/>
      <c r="G147" s="23"/>
      <c r="H147" s="23"/>
      <c r="I147" s="4"/>
    </row>
    <row r="148" spans="1:9" x14ac:dyDescent="0.25">
      <c r="A148" s="9"/>
      <c r="B148" s="23"/>
      <c r="C148" s="23"/>
      <c r="E148" s="2"/>
      <c r="F148" s="23"/>
      <c r="G148" s="23"/>
      <c r="H148" s="23"/>
      <c r="I148" s="4"/>
    </row>
    <row r="149" spans="1:9" x14ac:dyDescent="0.25">
      <c r="A149" s="9"/>
      <c r="B149" s="23"/>
      <c r="C149" s="23"/>
      <c r="E149" s="2"/>
      <c r="F149" s="23"/>
      <c r="G149" s="23"/>
      <c r="H149" s="23"/>
      <c r="I149" s="4"/>
    </row>
    <row r="150" spans="1:9" x14ac:dyDescent="0.25">
      <c r="A150" s="9"/>
      <c r="B150" s="23"/>
      <c r="C150" s="23"/>
      <c r="E150" s="2"/>
      <c r="F150" s="23"/>
      <c r="G150" s="23"/>
      <c r="H150" s="23"/>
      <c r="I150" s="4"/>
    </row>
    <row r="151" spans="1:9" x14ac:dyDescent="0.25">
      <c r="A151" s="9"/>
      <c r="B151" s="23"/>
      <c r="C151" s="23"/>
      <c r="E151" s="2"/>
      <c r="F151" s="23"/>
      <c r="G151" s="23"/>
      <c r="H151" s="23"/>
      <c r="I151" s="4"/>
    </row>
    <row r="152" spans="1:9" x14ac:dyDescent="0.25">
      <c r="A152" s="9"/>
      <c r="B152" s="23"/>
      <c r="C152" s="23"/>
      <c r="E152" s="2"/>
      <c r="F152" s="23"/>
      <c r="G152" s="23"/>
      <c r="H152" s="23"/>
      <c r="I152" s="4"/>
    </row>
    <row r="153" spans="1:9" x14ac:dyDescent="0.25">
      <c r="A153" s="9"/>
      <c r="B153" s="23"/>
      <c r="C153" s="23"/>
      <c r="E153" s="2"/>
      <c r="F153" s="23"/>
      <c r="G153" s="23"/>
      <c r="H153" s="23"/>
      <c r="I153" s="4"/>
    </row>
    <row r="154" spans="1:9" x14ac:dyDescent="0.25">
      <c r="A154" s="9"/>
      <c r="B154" s="23"/>
      <c r="C154" s="23"/>
      <c r="E154" s="2"/>
      <c r="F154" s="23"/>
      <c r="G154" s="23"/>
      <c r="H154" s="23"/>
      <c r="I154" s="4"/>
    </row>
    <row r="155" spans="1:9" x14ac:dyDescent="0.25">
      <c r="A155" s="9"/>
      <c r="B155" s="23"/>
      <c r="C155" s="23"/>
      <c r="E155" s="2"/>
      <c r="F155" s="23"/>
      <c r="G155" s="23"/>
      <c r="H155" s="23"/>
      <c r="I155" s="4"/>
    </row>
    <row r="156" spans="1:9" x14ac:dyDescent="0.25">
      <c r="A156" s="9"/>
      <c r="B156" s="23"/>
      <c r="C156" s="23"/>
      <c r="E156" s="2"/>
      <c r="F156" s="23"/>
      <c r="G156" s="23"/>
      <c r="H156" s="23"/>
      <c r="I156" s="4"/>
    </row>
    <row r="157" spans="1:9" x14ac:dyDescent="0.25">
      <c r="A157" s="9"/>
      <c r="B157" s="23"/>
      <c r="C157" s="23"/>
      <c r="E157" s="2"/>
      <c r="F157" s="23"/>
      <c r="G157" s="23"/>
      <c r="H157" s="23"/>
      <c r="I157" s="4"/>
    </row>
    <row r="158" spans="1:9" x14ac:dyDescent="0.25">
      <c r="A158" s="9"/>
      <c r="B158" s="23"/>
      <c r="C158" s="23"/>
      <c r="E158" s="2"/>
      <c r="F158" s="23"/>
      <c r="G158" s="23"/>
      <c r="H158" s="23"/>
      <c r="I158" s="4"/>
    </row>
    <row r="159" spans="1:9" x14ac:dyDescent="0.25">
      <c r="A159" s="9"/>
      <c r="B159" s="23"/>
      <c r="C159" s="23"/>
      <c r="E159" s="2"/>
      <c r="F159" s="23"/>
      <c r="G159" s="23"/>
      <c r="H159" s="23"/>
      <c r="I159" s="4"/>
    </row>
    <row r="160" spans="1:9" x14ac:dyDescent="0.25">
      <c r="A160" s="9"/>
      <c r="B160" s="23"/>
      <c r="C160" s="23"/>
      <c r="E160" s="2"/>
      <c r="F160" s="23"/>
      <c r="G160" s="23"/>
      <c r="H160" s="23"/>
      <c r="I160" s="4"/>
    </row>
    <row r="161" spans="1:9" x14ac:dyDescent="0.25">
      <c r="A161" s="9"/>
      <c r="B161" s="23"/>
      <c r="C161" s="23"/>
      <c r="E161" s="2"/>
      <c r="F161" s="23"/>
      <c r="G161" s="23"/>
      <c r="H161" s="23"/>
      <c r="I161" s="4"/>
    </row>
    <row r="162" spans="1:9" x14ac:dyDescent="0.25">
      <c r="A162" s="9"/>
      <c r="B162" s="23"/>
      <c r="C162" s="23"/>
      <c r="E162" s="2"/>
      <c r="F162" s="23"/>
      <c r="G162" s="23"/>
      <c r="H162" s="23"/>
      <c r="I162" s="4"/>
    </row>
    <row r="163" spans="1:9" x14ac:dyDescent="0.25">
      <c r="A163" s="9"/>
      <c r="B163" s="23"/>
      <c r="C163" s="23"/>
      <c r="E163" s="2"/>
      <c r="F163" s="23"/>
      <c r="G163" s="23"/>
      <c r="H163" s="23"/>
      <c r="I163" s="4"/>
    </row>
    <row r="164" spans="1:9" x14ac:dyDescent="0.25">
      <c r="A164" s="9"/>
      <c r="B164" s="23"/>
      <c r="C164" s="23"/>
      <c r="E164" s="2"/>
      <c r="F164" s="23"/>
      <c r="G164" s="23"/>
      <c r="H164" s="23"/>
      <c r="I164" s="4"/>
    </row>
    <row r="165" spans="1:9" x14ac:dyDescent="0.25">
      <c r="A165" s="9"/>
      <c r="B165" s="23"/>
      <c r="C165" s="23"/>
      <c r="E165" s="2"/>
      <c r="F165" s="23"/>
      <c r="G165" s="23"/>
      <c r="H165" s="23"/>
      <c r="I165" s="4"/>
    </row>
    <row r="166" spans="1:9" x14ac:dyDescent="0.25">
      <c r="A166" s="9"/>
      <c r="B166" s="23"/>
      <c r="C166" s="23"/>
      <c r="E166" s="2"/>
      <c r="F166" s="23"/>
      <c r="G166" s="23"/>
      <c r="H166" s="23"/>
      <c r="I166" s="4"/>
    </row>
    <row r="167" spans="1:9" x14ac:dyDescent="0.25">
      <c r="A167" s="9"/>
      <c r="B167" s="23"/>
      <c r="C167" s="23"/>
      <c r="E167" s="2"/>
      <c r="F167" s="23"/>
      <c r="G167" s="23"/>
      <c r="H167" s="23"/>
      <c r="I167" s="4"/>
    </row>
    <row r="168" spans="1:9" x14ac:dyDescent="0.25">
      <c r="A168" s="9"/>
      <c r="B168" s="23"/>
      <c r="C168" s="23"/>
      <c r="E168" s="2"/>
      <c r="F168" s="23"/>
      <c r="G168" s="23"/>
      <c r="H168" s="23"/>
      <c r="I168" s="4"/>
    </row>
    <row r="169" spans="1:9" x14ac:dyDescent="0.25">
      <c r="A169" s="9"/>
      <c r="B169" s="23"/>
      <c r="C169" s="23"/>
      <c r="E169" s="2"/>
      <c r="F169" s="23"/>
      <c r="G169" s="23"/>
      <c r="H169" s="23"/>
      <c r="I169" s="4"/>
    </row>
    <row r="170" spans="1:9" x14ac:dyDescent="0.25">
      <c r="A170" s="9"/>
      <c r="B170" s="23"/>
      <c r="C170" s="23"/>
      <c r="E170" s="2"/>
      <c r="F170" s="23"/>
      <c r="G170" s="23"/>
      <c r="H170" s="23"/>
      <c r="I170" s="4"/>
    </row>
    <row r="171" spans="1:9" x14ac:dyDescent="0.25">
      <c r="A171" s="9"/>
      <c r="B171" s="23"/>
      <c r="C171" s="23"/>
      <c r="E171" s="2"/>
      <c r="F171" s="23"/>
      <c r="G171" s="23"/>
      <c r="H171" s="23"/>
      <c r="I171" s="4"/>
    </row>
    <row r="172" spans="1:9" x14ac:dyDescent="0.25">
      <c r="A172" s="9"/>
      <c r="B172" s="23"/>
      <c r="C172" s="23"/>
      <c r="E172" s="2"/>
      <c r="F172" s="23"/>
      <c r="G172" s="23"/>
      <c r="H172" s="23"/>
      <c r="I172" s="4"/>
    </row>
    <row r="173" spans="1:9" x14ac:dyDescent="0.25">
      <c r="A173" s="9"/>
      <c r="B173" s="23"/>
      <c r="C173" s="23"/>
      <c r="E173" s="2"/>
      <c r="F173" s="23"/>
      <c r="G173" s="23"/>
      <c r="H173" s="23"/>
      <c r="I173" s="4"/>
    </row>
    <row r="174" spans="1:9" x14ac:dyDescent="0.25">
      <c r="A174" s="9"/>
      <c r="B174" s="23"/>
      <c r="C174" s="23"/>
      <c r="E174" s="2"/>
      <c r="F174" s="23"/>
      <c r="G174" s="23"/>
      <c r="H174" s="23"/>
      <c r="I174" s="4"/>
    </row>
    <row r="175" spans="1:9" x14ac:dyDescent="0.25">
      <c r="A175" s="9"/>
      <c r="B175" s="23"/>
      <c r="C175" s="23"/>
      <c r="E175" s="2"/>
      <c r="F175" s="23"/>
      <c r="G175" s="23"/>
      <c r="H175" s="23"/>
      <c r="I175" s="4"/>
    </row>
    <row r="176" spans="1:9" x14ac:dyDescent="0.25">
      <c r="A176" s="9"/>
      <c r="B176" s="23"/>
      <c r="C176" s="23"/>
      <c r="E176" s="2"/>
      <c r="F176" s="23"/>
      <c r="G176" s="23"/>
      <c r="H176" s="23"/>
      <c r="I176" s="4"/>
    </row>
    <row r="177" spans="1:9" x14ac:dyDescent="0.25">
      <c r="A177" s="9"/>
      <c r="B177" s="23"/>
      <c r="C177" s="23"/>
      <c r="E177" s="2"/>
      <c r="F177" s="23"/>
      <c r="G177" s="23"/>
      <c r="H177" s="23"/>
      <c r="I177" s="4"/>
    </row>
    <row r="178" spans="1:9" x14ac:dyDescent="0.25">
      <c r="A178" s="9"/>
      <c r="B178" s="23"/>
      <c r="C178" s="23"/>
      <c r="E178" s="2"/>
      <c r="F178" s="23"/>
      <c r="G178" s="23"/>
      <c r="H178" s="23"/>
      <c r="I178" s="4"/>
    </row>
    <row r="179" spans="1:9" x14ac:dyDescent="0.25">
      <c r="A179" s="9"/>
      <c r="B179" s="23"/>
      <c r="C179" s="23"/>
      <c r="E179" s="2"/>
      <c r="F179" s="23"/>
      <c r="G179" s="23"/>
      <c r="H179" s="23"/>
      <c r="I179" s="4"/>
    </row>
    <row r="180" spans="1:9" x14ac:dyDescent="0.25">
      <c r="A180" s="9"/>
      <c r="B180" s="23"/>
      <c r="C180" s="23"/>
      <c r="E180" s="2"/>
      <c r="F180" s="23"/>
      <c r="G180" s="23"/>
      <c r="H180" s="23"/>
      <c r="I180" s="4"/>
    </row>
    <row r="181" spans="1:9" x14ac:dyDescent="0.25">
      <c r="A181" s="9"/>
      <c r="B181" s="23"/>
      <c r="C181" s="23"/>
      <c r="E181" s="2"/>
      <c r="F181" s="23"/>
      <c r="G181" s="23"/>
      <c r="H181" s="23"/>
      <c r="I181" s="4"/>
    </row>
    <row r="182" spans="1:9" x14ac:dyDescent="0.25">
      <c r="A182" s="9"/>
      <c r="B182" s="23"/>
      <c r="C182" s="23"/>
      <c r="E182" s="2"/>
      <c r="F182" s="23"/>
      <c r="G182" s="23"/>
      <c r="H182" s="23"/>
      <c r="I182" s="4"/>
    </row>
    <row r="183" spans="1:9" x14ac:dyDescent="0.25">
      <c r="A183" s="9"/>
      <c r="B183" s="23"/>
      <c r="C183" s="23"/>
      <c r="E183" s="2"/>
      <c r="F183" s="23"/>
      <c r="G183" s="23"/>
      <c r="H183" s="23"/>
      <c r="I183" s="4"/>
    </row>
    <row r="184" spans="1:9" x14ac:dyDescent="0.25">
      <c r="A184" s="9"/>
      <c r="B184" s="23"/>
      <c r="C184" s="23"/>
      <c r="E184" s="2"/>
      <c r="F184" s="23"/>
      <c r="G184" s="23"/>
      <c r="H184" s="23"/>
      <c r="I184" s="4"/>
    </row>
    <row r="185" spans="1:9" x14ac:dyDescent="0.25">
      <c r="A185" s="9"/>
      <c r="B185" s="23"/>
      <c r="C185" s="23"/>
      <c r="E185" s="2"/>
      <c r="F185" s="23"/>
      <c r="G185" s="23"/>
      <c r="H185" s="23"/>
      <c r="I185" s="4"/>
    </row>
    <row r="186" spans="1:9" x14ac:dyDescent="0.25">
      <c r="A186" s="9"/>
      <c r="B186" s="23"/>
      <c r="C186" s="23"/>
      <c r="E186" s="2"/>
      <c r="F186" s="23"/>
      <c r="G186" s="23"/>
      <c r="H186" s="23"/>
      <c r="I186" s="4"/>
    </row>
    <row r="187" spans="1:9" x14ac:dyDescent="0.25">
      <c r="A187" s="9"/>
      <c r="B187" s="23"/>
      <c r="C187" s="23"/>
      <c r="E187" s="2"/>
      <c r="F187" s="23"/>
      <c r="G187" s="23"/>
      <c r="H187" s="23"/>
      <c r="I187" s="4"/>
    </row>
    <row r="188" spans="1:9" x14ac:dyDescent="0.25">
      <c r="A188" s="9"/>
      <c r="B188" s="23"/>
      <c r="C188" s="23"/>
      <c r="E188" s="2"/>
      <c r="F188" s="23"/>
      <c r="G188" s="23"/>
      <c r="H188" s="23"/>
      <c r="I188" s="4"/>
    </row>
    <row r="189" spans="1:9" x14ac:dyDescent="0.25">
      <c r="A189" s="9"/>
      <c r="B189" s="23"/>
      <c r="C189" s="23"/>
      <c r="E189" s="2"/>
      <c r="F189" s="23"/>
      <c r="G189" s="23"/>
      <c r="H189" s="23"/>
      <c r="I189" s="4"/>
    </row>
    <row r="190" spans="1:9" x14ac:dyDescent="0.25">
      <c r="A190" s="9"/>
      <c r="B190" s="23"/>
      <c r="C190" s="23"/>
      <c r="E190" s="2"/>
      <c r="F190" s="23"/>
      <c r="G190" s="23"/>
      <c r="H190" s="23"/>
      <c r="I190" s="4"/>
    </row>
    <row r="191" spans="1:9" x14ac:dyDescent="0.25">
      <c r="A191" s="9"/>
      <c r="B191" s="23"/>
      <c r="C191" s="23"/>
      <c r="E191" s="2"/>
      <c r="F191" s="23"/>
      <c r="G191" s="23"/>
      <c r="H191" s="23"/>
      <c r="I191" s="4"/>
    </row>
    <row r="192" spans="1:9" x14ac:dyDescent="0.25">
      <c r="A192" s="9"/>
      <c r="B192" s="23"/>
      <c r="C192" s="23"/>
      <c r="E192" s="2"/>
      <c r="F192" s="23"/>
      <c r="G192" s="23"/>
      <c r="H192" s="23"/>
      <c r="I192" s="4"/>
    </row>
    <row r="193" spans="1:9" x14ac:dyDescent="0.25">
      <c r="A193" s="9"/>
      <c r="B193" s="23"/>
      <c r="C193" s="23"/>
      <c r="E193" s="2"/>
      <c r="F193" s="23"/>
      <c r="G193" s="23"/>
      <c r="H193" s="23"/>
      <c r="I193" s="4"/>
    </row>
    <row r="194" spans="1:9" x14ac:dyDescent="0.25">
      <c r="A194" s="9"/>
      <c r="B194" s="23"/>
      <c r="C194" s="23"/>
      <c r="E194" s="2"/>
      <c r="F194" s="23"/>
      <c r="G194" s="23"/>
      <c r="H194" s="23"/>
      <c r="I194" s="4"/>
    </row>
    <row r="195" spans="1:9" x14ac:dyDescent="0.25">
      <c r="A195" s="9"/>
      <c r="B195" s="23"/>
      <c r="C195" s="23"/>
      <c r="E195" s="2"/>
      <c r="F195" s="23"/>
      <c r="G195" s="23"/>
      <c r="H195" s="23"/>
      <c r="I195" s="4"/>
    </row>
    <row r="196" spans="1:9" x14ac:dyDescent="0.25">
      <c r="A196" s="9"/>
      <c r="B196" s="23"/>
      <c r="C196" s="23"/>
      <c r="E196" s="2"/>
      <c r="F196" s="23"/>
      <c r="G196" s="23"/>
      <c r="H196" s="23"/>
      <c r="I196" s="4"/>
    </row>
    <row r="197" spans="1:9" x14ac:dyDescent="0.25">
      <c r="A197" s="9"/>
      <c r="B197" s="23"/>
      <c r="C197" s="23"/>
      <c r="E197" s="2"/>
      <c r="F197" s="23"/>
      <c r="G197" s="23"/>
      <c r="H197" s="23"/>
      <c r="I197" s="4"/>
    </row>
    <row r="198" spans="1:9" x14ac:dyDescent="0.25">
      <c r="A198" s="9"/>
      <c r="B198" s="23"/>
      <c r="C198" s="23"/>
      <c r="E198" s="2"/>
      <c r="F198" s="23"/>
      <c r="G198" s="23"/>
      <c r="H198" s="23"/>
      <c r="I198" s="4"/>
    </row>
    <row r="199" spans="1:9" x14ac:dyDescent="0.25">
      <c r="A199" s="9"/>
      <c r="B199" s="23"/>
      <c r="C199" s="23"/>
      <c r="E199" s="2"/>
      <c r="F199" s="23"/>
      <c r="G199" s="23"/>
      <c r="H199" s="23"/>
      <c r="I199" s="4"/>
    </row>
    <row r="200" spans="1:9" x14ac:dyDescent="0.25">
      <c r="A200" s="9"/>
      <c r="B200" s="23"/>
      <c r="C200" s="23"/>
      <c r="E200" s="2"/>
      <c r="F200" s="23"/>
      <c r="G200" s="23"/>
      <c r="H200" s="23"/>
      <c r="I200" s="4"/>
    </row>
    <row r="201" spans="1:9" x14ac:dyDescent="0.25">
      <c r="A201" s="9"/>
      <c r="B201" s="23"/>
      <c r="C201" s="23"/>
      <c r="E201" s="2"/>
      <c r="F201" s="23"/>
      <c r="G201" s="23"/>
      <c r="H201" s="23"/>
      <c r="I201" s="4"/>
    </row>
    <row r="202" spans="1:9" x14ac:dyDescent="0.25">
      <c r="A202" s="9"/>
      <c r="B202" s="23"/>
      <c r="C202" s="23"/>
      <c r="E202" s="2"/>
      <c r="F202" s="23"/>
      <c r="G202" s="23"/>
      <c r="H202" s="23"/>
      <c r="I202" s="4"/>
    </row>
    <row r="203" spans="1:9" x14ac:dyDescent="0.25">
      <c r="A203" s="9"/>
      <c r="B203" s="23"/>
      <c r="C203" s="23"/>
      <c r="E203" s="2"/>
      <c r="F203" s="23"/>
      <c r="G203" s="23"/>
      <c r="H203" s="23"/>
      <c r="I203" s="4"/>
    </row>
    <row r="204" spans="1:9" x14ac:dyDescent="0.25">
      <c r="A204" s="9"/>
      <c r="B204" s="23"/>
      <c r="C204" s="23"/>
      <c r="E204" s="2"/>
      <c r="F204" s="23"/>
      <c r="G204" s="23"/>
      <c r="H204" s="23"/>
      <c r="I204" s="4"/>
    </row>
    <row r="205" spans="1:9" x14ac:dyDescent="0.25">
      <c r="A205" s="9"/>
      <c r="B205" s="23"/>
      <c r="C205" s="23"/>
      <c r="E205" s="2"/>
      <c r="F205" s="23"/>
      <c r="G205" s="23"/>
      <c r="H205" s="23"/>
      <c r="I205" s="4"/>
    </row>
    <row r="206" spans="1:9" x14ac:dyDescent="0.25">
      <c r="A206" s="9"/>
      <c r="B206" s="23"/>
      <c r="C206" s="23"/>
      <c r="E206" s="2"/>
      <c r="F206" s="23"/>
      <c r="G206" s="23"/>
      <c r="H206" s="23"/>
      <c r="I206" s="4"/>
    </row>
    <row r="207" spans="1:9" x14ac:dyDescent="0.25">
      <c r="A207" s="9"/>
      <c r="B207" s="23"/>
      <c r="C207" s="23"/>
      <c r="E207" s="2"/>
      <c r="F207" s="23"/>
      <c r="G207" s="23"/>
      <c r="H207" s="23"/>
      <c r="I207" s="4"/>
    </row>
    <row r="208" spans="1:9" x14ac:dyDescent="0.25">
      <c r="A208" s="9"/>
      <c r="B208" s="23"/>
      <c r="C208" s="23"/>
      <c r="E208" s="2"/>
      <c r="F208" s="23"/>
      <c r="G208" s="23"/>
      <c r="H208" s="23"/>
      <c r="I208" s="4"/>
    </row>
    <row r="209" spans="1:9" x14ac:dyDescent="0.25">
      <c r="A209" s="9"/>
      <c r="B209" s="23"/>
      <c r="C209" s="23"/>
      <c r="E209" s="2"/>
      <c r="F209" s="23"/>
      <c r="G209" s="23"/>
      <c r="H209" s="23"/>
      <c r="I209" s="4"/>
    </row>
    <row r="210" spans="1:9" x14ac:dyDescent="0.25">
      <c r="A210" s="9"/>
      <c r="B210" s="23"/>
      <c r="C210" s="23"/>
      <c r="E210" s="2"/>
      <c r="F210" s="23"/>
      <c r="G210" s="23"/>
      <c r="H210" s="23"/>
      <c r="I210" s="4"/>
    </row>
    <row r="211" spans="1:9" x14ac:dyDescent="0.25">
      <c r="A211" s="9"/>
      <c r="B211" s="23"/>
      <c r="C211" s="23"/>
      <c r="E211" s="2"/>
      <c r="F211" s="23"/>
      <c r="G211" s="23"/>
      <c r="H211" s="23"/>
      <c r="I211" s="4"/>
    </row>
    <row r="212" spans="1:9" x14ac:dyDescent="0.25">
      <c r="A212" s="9"/>
      <c r="B212" s="23"/>
      <c r="C212" s="23"/>
      <c r="E212" s="2"/>
      <c r="F212" s="23"/>
      <c r="G212" s="23"/>
      <c r="H212" s="23"/>
      <c r="I212" s="4"/>
    </row>
    <row r="213" spans="1:9" x14ac:dyDescent="0.25">
      <c r="A213" s="9"/>
      <c r="B213" s="23"/>
      <c r="C213" s="23"/>
      <c r="E213" s="2"/>
      <c r="F213" s="23"/>
      <c r="G213" s="23"/>
      <c r="H213" s="23"/>
      <c r="I213" s="4"/>
    </row>
    <row r="214" spans="1:9" x14ac:dyDescent="0.25">
      <c r="A214" s="9"/>
      <c r="B214" s="23"/>
      <c r="C214" s="23"/>
      <c r="E214" s="2"/>
      <c r="F214" s="23"/>
      <c r="G214" s="23"/>
      <c r="H214" s="23"/>
      <c r="I214" s="4"/>
    </row>
    <row r="215" spans="1:9" x14ac:dyDescent="0.25">
      <c r="A215" s="9"/>
      <c r="B215" s="23"/>
      <c r="C215" s="23"/>
      <c r="E215" s="2"/>
      <c r="F215" s="23"/>
      <c r="G215" s="23"/>
      <c r="H215" s="23"/>
      <c r="I215" s="4"/>
    </row>
    <row r="216" spans="1:9" x14ac:dyDescent="0.25">
      <c r="A216" s="9"/>
      <c r="B216" s="23"/>
      <c r="C216" s="23"/>
      <c r="E216" s="2"/>
      <c r="F216" s="23"/>
      <c r="G216" s="23"/>
      <c r="H216" s="23"/>
      <c r="I216" s="4"/>
    </row>
    <row r="217" spans="1:9" x14ac:dyDescent="0.25">
      <c r="A217" s="9"/>
      <c r="B217" s="23"/>
      <c r="C217" s="23"/>
      <c r="E217" s="2"/>
      <c r="F217" s="23"/>
      <c r="G217" s="23"/>
      <c r="H217" s="23"/>
      <c r="I217" s="4"/>
    </row>
    <row r="218" spans="1:9" x14ac:dyDescent="0.25">
      <c r="A218" s="9"/>
      <c r="B218" s="23"/>
      <c r="C218" s="23"/>
      <c r="E218" s="2"/>
      <c r="F218" s="23"/>
      <c r="G218" s="23"/>
      <c r="H218" s="23"/>
      <c r="I218" s="4"/>
    </row>
    <row r="219" spans="1:9" x14ac:dyDescent="0.25">
      <c r="A219" s="9"/>
      <c r="B219" s="23"/>
      <c r="C219" s="23"/>
      <c r="E219" s="2"/>
      <c r="F219" s="23"/>
      <c r="G219" s="23"/>
      <c r="H219" s="23"/>
      <c r="I219" s="4"/>
    </row>
    <row r="220" spans="1:9" x14ac:dyDescent="0.25">
      <c r="A220" s="9"/>
      <c r="B220" s="23"/>
      <c r="C220" s="23"/>
      <c r="E220" s="2"/>
      <c r="F220" s="23"/>
      <c r="G220" s="23"/>
      <c r="H220" s="23"/>
      <c r="I220" s="4"/>
    </row>
    <row r="221" spans="1:9" x14ac:dyDescent="0.25">
      <c r="A221" s="9"/>
      <c r="B221" s="23"/>
      <c r="C221" s="23"/>
      <c r="E221" s="2"/>
      <c r="F221" s="23"/>
      <c r="G221" s="23"/>
      <c r="H221" s="23"/>
      <c r="I221" s="4"/>
    </row>
    <row r="222" spans="1:9" x14ac:dyDescent="0.25">
      <c r="A222" s="9"/>
      <c r="B222" s="23"/>
      <c r="C222" s="23"/>
      <c r="E222" s="2"/>
      <c r="F222" s="23"/>
      <c r="G222" s="23"/>
      <c r="H222" s="23"/>
      <c r="I222" s="4"/>
    </row>
    <row r="223" spans="1:9" x14ac:dyDescent="0.25">
      <c r="A223" s="9"/>
      <c r="B223" s="23"/>
      <c r="C223" s="23"/>
      <c r="E223" s="2"/>
      <c r="F223" s="23"/>
      <c r="G223" s="23"/>
      <c r="H223" s="23"/>
      <c r="I223" s="4"/>
    </row>
    <row r="224" spans="1:9" x14ac:dyDescent="0.25">
      <c r="A224" s="9"/>
      <c r="B224" s="23"/>
      <c r="C224" s="23"/>
      <c r="E224" s="2"/>
      <c r="F224" s="23"/>
      <c r="G224" s="23"/>
      <c r="H224" s="23"/>
      <c r="I224" s="4"/>
    </row>
    <row r="225" spans="1:9" x14ac:dyDescent="0.25">
      <c r="A225" s="9"/>
      <c r="B225" s="23"/>
      <c r="C225" s="23"/>
      <c r="E225" s="2"/>
      <c r="F225" s="23"/>
      <c r="G225" s="23"/>
      <c r="H225" s="23"/>
      <c r="I225" s="4"/>
    </row>
    <row r="226" spans="1:9" x14ac:dyDescent="0.25">
      <c r="A226" s="9"/>
      <c r="B226" s="23"/>
      <c r="C226" s="23"/>
      <c r="E226" s="2"/>
      <c r="F226" s="23"/>
      <c r="G226" s="23"/>
      <c r="H226" s="23"/>
      <c r="I226" s="4"/>
    </row>
    <row r="227" spans="1:9" x14ac:dyDescent="0.25">
      <c r="A227" s="9"/>
      <c r="B227" s="23"/>
      <c r="C227" s="23"/>
      <c r="E227" s="2"/>
      <c r="F227" s="23"/>
      <c r="G227" s="23"/>
      <c r="H227" s="23"/>
      <c r="I227" s="4"/>
    </row>
    <row r="228" spans="1:9" x14ac:dyDescent="0.25">
      <c r="A228" s="9"/>
      <c r="B228" s="23"/>
      <c r="C228" s="23"/>
      <c r="E228" s="2"/>
      <c r="F228" s="23"/>
      <c r="G228" s="23"/>
      <c r="H228" s="23"/>
      <c r="I228" s="4"/>
    </row>
    <row r="229" spans="1:9" x14ac:dyDescent="0.25">
      <c r="A229" s="9"/>
      <c r="B229" s="23"/>
      <c r="C229" s="23"/>
      <c r="E229" s="2"/>
      <c r="F229" s="23"/>
      <c r="G229" s="23"/>
      <c r="H229" s="23"/>
      <c r="I229" s="4"/>
    </row>
    <row r="230" spans="1:9" x14ac:dyDescent="0.25">
      <c r="A230" s="9"/>
      <c r="B230" s="23"/>
      <c r="C230" s="23"/>
      <c r="E230" s="2"/>
      <c r="F230" s="23"/>
      <c r="G230" s="23"/>
      <c r="H230" s="23"/>
      <c r="I230" s="4"/>
    </row>
    <row r="231" spans="1:9" x14ac:dyDescent="0.25">
      <c r="A231" s="9"/>
      <c r="B231" s="23"/>
      <c r="C231" s="23"/>
      <c r="E231" s="2"/>
      <c r="F231" s="23"/>
      <c r="G231" s="23"/>
      <c r="H231" s="23"/>
      <c r="I231" s="4"/>
    </row>
    <row r="232" spans="1:9" x14ac:dyDescent="0.25">
      <c r="A232" s="9"/>
      <c r="B232" s="23"/>
      <c r="C232" s="23"/>
      <c r="E232" s="2"/>
      <c r="F232" s="23"/>
      <c r="G232" s="23"/>
      <c r="H232" s="23"/>
      <c r="I232" s="4"/>
    </row>
    <row r="233" spans="1:9" x14ac:dyDescent="0.25">
      <c r="A233" s="9"/>
      <c r="B233" s="23"/>
      <c r="C233" s="23"/>
      <c r="E233" s="2"/>
      <c r="F233" s="23"/>
      <c r="G233" s="23"/>
      <c r="H233" s="23"/>
      <c r="I233" s="4"/>
    </row>
    <row r="234" spans="1:9" x14ac:dyDescent="0.25">
      <c r="A234" s="9"/>
      <c r="B234" s="23"/>
      <c r="C234" s="23"/>
      <c r="E234" s="2"/>
      <c r="F234" s="23"/>
      <c r="G234" s="23"/>
      <c r="H234" s="23"/>
      <c r="I234" s="4"/>
    </row>
    <row r="235" spans="1:9" x14ac:dyDescent="0.25">
      <c r="A235" s="9"/>
      <c r="B235" s="23"/>
      <c r="C235" s="23"/>
      <c r="E235" s="2"/>
      <c r="F235" s="23"/>
      <c r="G235" s="23"/>
      <c r="H235" s="23"/>
      <c r="I235" s="4"/>
    </row>
    <row r="236" spans="1:9" x14ac:dyDescent="0.25">
      <c r="A236" s="9"/>
      <c r="B236" s="23"/>
      <c r="C236" s="23"/>
      <c r="E236" s="2"/>
      <c r="F236" s="23"/>
      <c r="G236" s="23"/>
      <c r="H236" s="23"/>
      <c r="I236" s="4"/>
    </row>
    <row r="237" spans="1:9" x14ac:dyDescent="0.25">
      <c r="A237" s="9"/>
      <c r="B237" s="23"/>
      <c r="C237" s="23"/>
      <c r="E237" s="2"/>
      <c r="F237" s="23"/>
      <c r="G237" s="23"/>
      <c r="H237" s="23"/>
      <c r="I237" s="4"/>
    </row>
    <row r="238" spans="1:9" x14ac:dyDescent="0.25">
      <c r="A238" s="9"/>
      <c r="B238" s="23"/>
      <c r="C238" s="23"/>
      <c r="E238" s="2"/>
      <c r="F238" s="23"/>
      <c r="G238" s="23"/>
      <c r="H238" s="23"/>
      <c r="I238" s="4"/>
    </row>
    <row r="239" spans="1:9" x14ac:dyDescent="0.25">
      <c r="A239" s="9"/>
      <c r="B239" s="23"/>
      <c r="C239" s="23"/>
      <c r="E239" s="2"/>
      <c r="F239" s="23"/>
      <c r="G239" s="23"/>
      <c r="H239" s="23"/>
      <c r="I239" s="4"/>
    </row>
    <row r="240" spans="1:9" x14ac:dyDescent="0.25">
      <c r="A240" s="9"/>
      <c r="B240" s="23"/>
      <c r="C240" s="23"/>
      <c r="E240" s="2"/>
      <c r="F240" s="23"/>
      <c r="G240" s="23"/>
      <c r="H240" s="23"/>
      <c r="I240" s="4"/>
    </row>
    <row r="241" spans="1:9" x14ac:dyDescent="0.25">
      <c r="A241" s="9"/>
      <c r="B241" s="23"/>
      <c r="C241" s="23"/>
      <c r="E241" s="2"/>
      <c r="F241" s="23"/>
      <c r="G241" s="23"/>
      <c r="H241" s="23"/>
      <c r="I241" s="4"/>
    </row>
    <row r="242" spans="1:9" x14ac:dyDescent="0.25">
      <c r="A242" s="9"/>
      <c r="B242" s="23"/>
      <c r="C242" s="23"/>
      <c r="E242" s="2"/>
      <c r="F242" s="23"/>
      <c r="G242" s="23"/>
      <c r="H242" s="23"/>
      <c r="I242" s="4"/>
    </row>
    <row r="243" spans="1:9" x14ac:dyDescent="0.25">
      <c r="A243" s="9"/>
      <c r="B243" s="23"/>
      <c r="C243" s="23"/>
      <c r="E243" s="2"/>
      <c r="F243" s="23"/>
      <c r="G243" s="23"/>
      <c r="H243" s="23"/>
      <c r="I243" s="4"/>
    </row>
    <row r="244" spans="1:9" x14ac:dyDescent="0.25">
      <c r="A244" s="9"/>
      <c r="B244" s="23"/>
      <c r="C244" s="23"/>
      <c r="E244" s="2"/>
      <c r="F244" s="23"/>
      <c r="G244" s="23"/>
      <c r="H244" s="23"/>
      <c r="I244" s="4"/>
    </row>
    <row r="245" spans="1:9" x14ac:dyDescent="0.25">
      <c r="A245" s="9"/>
      <c r="B245" s="23"/>
      <c r="C245" s="23"/>
      <c r="E245" s="2"/>
      <c r="F245" s="23"/>
      <c r="G245" s="23"/>
      <c r="H245" s="23"/>
      <c r="I245" s="4"/>
    </row>
    <row r="246" spans="1:9" x14ac:dyDescent="0.25">
      <c r="A246" s="9"/>
      <c r="B246" s="23"/>
      <c r="C246" s="23"/>
      <c r="E246" s="2"/>
      <c r="F246" s="23"/>
      <c r="G246" s="23"/>
      <c r="H246" s="23"/>
      <c r="I246" s="4"/>
    </row>
    <row r="247" spans="1:9" x14ac:dyDescent="0.25">
      <c r="A247" s="9"/>
      <c r="B247" s="23"/>
      <c r="C247" s="23"/>
      <c r="E247" s="2"/>
      <c r="F247" s="23"/>
      <c r="G247" s="23"/>
      <c r="H247" s="23"/>
      <c r="I247" s="4"/>
    </row>
    <row r="248" spans="1:9" x14ac:dyDescent="0.25">
      <c r="A248" s="9"/>
      <c r="B248" s="23"/>
      <c r="C248" s="23"/>
      <c r="E248" s="2"/>
      <c r="F248" s="23"/>
      <c r="G248" s="23"/>
      <c r="H248" s="23"/>
      <c r="I248" s="4"/>
    </row>
    <row r="249" spans="1:9" x14ac:dyDescent="0.25">
      <c r="A249" s="9"/>
      <c r="B249" s="23"/>
      <c r="C249" s="23"/>
      <c r="E249" s="2"/>
      <c r="F249" s="23"/>
      <c r="G249" s="23"/>
      <c r="H249" s="23"/>
      <c r="I249" s="4"/>
    </row>
    <row r="250" spans="1:9" x14ac:dyDescent="0.25">
      <c r="A250" s="9"/>
      <c r="B250" s="23"/>
      <c r="C250" s="23"/>
      <c r="E250" s="2"/>
      <c r="F250" s="23"/>
      <c r="G250" s="23"/>
      <c r="H250" s="23"/>
      <c r="I250" s="4"/>
    </row>
    <row r="251" spans="1:9" x14ac:dyDescent="0.25">
      <c r="A251" s="9"/>
      <c r="B251" s="23"/>
      <c r="C251" s="23"/>
      <c r="E251" s="2"/>
      <c r="F251" s="23"/>
      <c r="G251" s="23"/>
      <c r="H251" s="23"/>
      <c r="I251" s="4"/>
    </row>
    <row r="252" spans="1:9" x14ac:dyDescent="0.25">
      <c r="A252" s="9"/>
      <c r="B252" s="23"/>
      <c r="C252" s="23"/>
      <c r="E252" s="2"/>
      <c r="F252" s="23"/>
      <c r="G252" s="23"/>
      <c r="H252" s="23"/>
      <c r="I252" s="4"/>
    </row>
    <row r="253" spans="1:9" x14ac:dyDescent="0.25">
      <c r="A253" s="9"/>
      <c r="B253" s="23"/>
      <c r="C253" s="23"/>
      <c r="E253" s="2"/>
      <c r="F253" s="23"/>
      <c r="G253" s="23"/>
      <c r="H253" s="23"/>
      <c r="I253" s="4"/>
    </row>
    <row r="254" spans="1:9" x14ac:dyDescent="0.25">
      <c r="A254" s="9"/>
      <c r="B254" s="23"/>
      <c r="C254" s="23"/>
      <c r="E254" s="2"/>
      <c r="F254" s="23"/>
      <c r="G254" s="23"/>
      <c r="H254" s="23"/>
      <c r="I254" s="4"/>
    </row>
    <row r="255" spans="1:9" x14ac:dyDescent="0.25">
      <c r="A255" s="9"/>
      <c r="B255" s="23"/>
      <c r="C255" s="23"/>
      <c r="E255" s="2"/>
      <c r="F255" s="23"/>
      <c r="G255" s="23"/>
      <c r="H255" s="23"/>
      <c r="I255" s="4"/>
    </row>
    <row r="256" spans="1:9" x14ac:dyDescent="0.25">
      <c r="A256" s="9"/>
      <c r="B256" s="23"/>
      <c r="C256" s="23"/>
      <c r="E256" s="2"/>
      <c r="F256" s="23"/>
      <c r="G256" s="23"/>
      <c r="H256" s="23"/>
      <c r="I256" s="4"/>
    </row>
    <row r="257" spans="1:9" x14ac:dyDescent="0.25">
      <c r="A257" s="9"/>
      <c r="B257" s="23"/>
      <c r="C257" s="23"/>
      <c r="E257" s="2"/>
      <c r="F257" s="23"/>
      <c r="G257" s="23"/>
      <c r="H257" s="23"/>
      <c r="I257" s="4"/>
    </row>
    <row r="258" spans="1:9" x14ac:dyDescent="0.25">
      <c r="A258" s="9"/>
      <c r="B258" s="23"/>
      <c r="C258" s="23"/>
      <c r="E258" s="2"/>
      <c r="F258" s="23"/>
      <c r="G258" s="23"/>
      <c r="H258" s="23"/>
      <c r="I258" s="4"/>
    </row>
    <row r="259" spans="1:9" x14ac:dyDescent="0.25">
      <c r="A259" s="9"/>
      <c r="B259" s="23"/>
      <c r="C259" s="23"/>
      <c r="E259" s="2"/>
      <c r="F259" s="23"/>
      <c r="G259" s="23"/>
      <c r="H259" s="23"/>
      <c r="I259" s="4"/>
    </row>
    <row r="260" spans="1:9" x14ac:dyDescent="0.25">
      <c r="A260" s="9"/>
      <c r="B260" s="23"/>
      <c r="C260" s="23"/>
      <c r="E260" s="2"/>
      <c r="F260" s="23"/>
      <c r="G260" s="23"/>
      <c r="H260" s="23"/>
      <c r="I260" s="4"/>
    </row>
    <row r="261" spans="1:9" x14ac:dyDescent="0.25">
      <c r="A261" s="9"/>
      <c r="B261" s="23"/>
      <c r="C261" s="23"/>
      <c r="E261" s="2"/>
      <c r="F261" s="23"/>
      <c r="G261" s="23"/>
      <c r="H261" s="23"/>
      <c r="I261" s="4"/>
    </row>
    <row r="262" spans="1:9" x14ac:dyDescent="0.25">
      <c r="A262" s="9"/>
      <c r="B262" s="23"/>
      <c r="C262" s="23"/>
      <c r="E262" s="2"/>
      <c r="F262" s="23"/>
      <c r="G262" s="23"/>
      <c r="H262" s="23"/>
      <c r="I262" s="4"/>
    </row>
    <row r="263" spans="1:9" x14ac:dyDescent="0.25">
      <c r="A263" s="9"/>
      <c r="B263" s="23"/>
      <c r="C263" s="23"/>
      <c r="E263" s="2"/>
      <c r="F263" s="23"/>
      <c r="G263" s="23"/>
      <c r="H263" s="23"/>
      <c r="I263" s="4"/>
    </row>
    <row r="264" spans="1:9" x14ac:dyDescent="0.25">
      <c r="A264" s="9"/>
      <c r="B264" s="23"/>
      <c r="C264" s="23"/>
      <c r="E264" s="2"/>
      <c r="F264" s="23"/>
      <c r="G264" s="23"/>
      <c r="H264" s="23"/>
      <c r="I264" s="4"/>
    </row>
    <row r="265" spans="1:9" x14ac:dyDescent="0.25">
      <c r="A265" s="9"/>
      <c r="B265" s="23"/>
      <c r="C265" s="23"/>
      <c r="E265" s="2"/>
      <c r="F265" s="23"/>
      <c r="G265" s="23"/>
      <c r="H265" s="23"/>
      <c r="I265" s="4"/>
    </row>
    <row r="266" spans="1:9" x14ac:dyDescent="0.25">
      <c r="A266" s="9"/>
      <c r="B266" s="23"/>
      <c r="C266" s="23"/>
      <c r="E266" s="2"/>
      <c r="F266" s="23"/>
      <c r="G266" s="23"/>
      <c r="H266" s="23"/>
      <c r="I266" s="4"/>
    </row>
    <row r="267" spans="1:9" x14ac:dyDescent="0.25">
      <c r="A267" s="9"/>
      <c r="B267" s="23"/>
      <c r="C267" s="23"/>
      <c r="E267" s="2"/>
      <c r="F267" s="23"/>
      <c r="G267" s="23"/>
      <c r="H267" s="23"/>
      <c r="I267" s="4"/>
    </row>
    <row r="268" spans="1:9" x14ac:dyDescent="0.25">
      <c r="A268" s="9"/>
      <c r="B268" s="23"/>
      <c r="C268" s="23"/>
      <c r="E268" s="2"/>
      <c r="F268" s="23"/>
      <c r="G268" s="23"/>
      <c r="H268" s="23"/>
      <c r="I268" s="4"/>
    </row>
    <row r="269" spans="1:9" x14ac:dyDescent="0.25">
      <c r="A269" s="9"/>
      <c r="B269" s="23"/>
      <c r="C269" s="23"/>
      <c r="E269" s="2"/>
      <c r="F269" s="23"/>
      <c r="G269" s="23"/>
      <c r="H269" s="23"/>
      <c r="I269" s="4"/>
    </row>
    <row r="270" spans="1:9" x14ac:dyDescent="0.25">
      <c r="A270" s="9"/>
      <c r="B270" s="23"/>
      <c r="C270" s="23"/>
      <c r="E270" s="2"/>
      <c r="F270" s="23"/>
      <c r="G270" s="23"/>
      <c r="H270" s="23"/>
      <c r="I270" s="4"/>
    </row>
    <row r="271" spans="1:9" x14ac:dyDescent="0.25">
      <c r="A271" s="9"/>
      <c r="B271" s="23"/>
      <c r="C271" s="23"/>
      <c r="E271" s="2"/>
      <c r="F271" s="23"/>
      <c r="G271" s="23"/>
      <c r="H271" s="23"/>
      <c r="I271" s="4"/>
    </row>
    <row r="272" spans="1:9" x14ac:dyDescent="0.25">
      <c r="A272" s="9"/>
      <c r="B272" s="23"/>
      <c r="C272" s="23"/>
      <c r="E272" s="2"/>
      <c r="F272" s="23"/>
      <c r="G272" s="23"/>
      <c r="H272" s="23"/>
      <c r="I272" s="4"/>
    </row>
    <row r="273" spans="1:9" x14ac:dyDescent="0.25">
      <c r="A273" s="9"/>
      <c r="B273" s="23"/>
      <c r="C273" s="23"/>
      <c r="E273" s="2"/>
      <c r="F273" s="23"/>
      <c r="G273" s="23"/>
      <c r="H273" s="23"/>
      <c r="I273" s="4"/>
    </row>
    <row r="274" spans="1:9" x14ac:dyDescent="0.25">
      <c r="A274" s="9"/>
      <c r="B274" s="23"/>
      <c r="C274" s="23"/>
      <c r="E274" s="2"/>
      <c r="F274" s="23"/>
      <c r="G274" s="23"/>
      <c r="H274" s="23"/>
      <c r="I274" s="4"/>
    </row>
    <row r="275" spans="1:9" x14ac:dyDescent="0.25">
      <c r="A275" s="9"/>
      <c r="B275" s="23"/>
      <c r="C275" s="23"/>
      <c r="E275" s="2"/>
      <c r="F275" s="23"/>
      <c r="G275" s="23"/>
      <c r="H275" s="23"/>
      <c r="I275" s="4"/>
    </row>
    <row r="276" spans="1:9" x14ac:dyDescent="0.25">
      <c r="A276" s="9"/>
      <c r="B276" s="23"/>
      <c r="C276" s="23"/>
      <c r="E276" s="2"/>
      <c r="F276" s="23"/>
      <c r="G276" s="23"/>
      <c r="H276" s="23"/>
      <c r="I276" s="4"/>
    </row>
    <row r="277" spans="1:9" x14ac:dyDescent="0.25">
      <c r="A277" s="9"/>
      <c r="B277" s="23"/>
      <c r="C277" s="23"/>
      <c r="E277" s="2"/>
      <c r="F277" s="23"/>
      <c r="G277" s="23"/>
      <c r="H277" s="23"/>
      <c r="I277" s="4"/>
    </row>
    <row r="278" spans="1:9" x14ac:dyDescent="0.25">
      <c r="A278" s="9"/>
      <c r="B278" s="23"/>
      <c r="C278" s="23"/>
      <c r="E278" s="2"/>
      <c r="F278" s="23"/>
      <c r="G278" s="23"/>
      <c r="H278" s="23"/>
      <c r="I278" s="4"/>
    </row>
    <row r="279" spans="1:9" x14ac:dyDescent="0.25">
      <c r="A279" s="9"/>
      <c r="B279" s="23"/>
      <c r="C279" s="23"/>
      <c r="E279" s="2"/>
      <c r="F279" s="23"/>
      <c r="G279" s="23"/>
      <c r="H279" s="23"/>
      <c r="I279" s="4"/>
    </row>
    <row r="280" spans="1:9" x14ac:dyDescent="0.25">
      <c r="A280" s="9"/>
      <c r="B280" s="23"/>
      <c r="C280" s="23"/>
      <c r="E280" s="2"/>
      <c r="F280" s="23"/>
      <c r="G280" s="23"/>
      <c r="H280" s="23"/>
      <c r="I280" s="4"/>
    </row>
    <row r="281" spans="1:9" x14ac:dyDescent="0.25">
      <c r="A281" s="9"/>
      <c r="B281" s="23"/>
      <c r="C281" s="23"/>
      <c r="E281" s="2"/>
      <c r="F281" s="23"/>
      <c r="G281" s="23"/>
      <c r="H281" s="23"/>
      <c r="I281" s="4"/>
    </row>
    <row r="282" spans="1:9" x14ac:dyDescent="0.25">
      <c r="A282" s="9"/>
      <c r="B282" s="23"/>
      <c r="C282" s="23"/>
      <c r="E282" s="2"/>
      <c r="F282" s="23"/>
      <c r="G282" s="23"/>
      <c r="H282" s="23"/>
      <c r="I282" s="4"/>
    </row>
    <row r="283" spans="1:9" x14ac:dyDescent="0.25">
      <c r="A283" s="9"/>
      <c r="B283" s="23"/>
      <c r="C283" s="23"/>
      <c r="E283" s="2"/>
      <c r="F283" s="23"/>
      <c r="G283" s="23"/>
      <c r="H283" s="23"/>
      <c r="I283" s="4"/>
    </row>
    <row r="284" spans="1:9" x14ac:dyDescent="0.25">
      <c r="A284" s="9"/>
      <c r="B284" s="23"/>
      <c r="C284" s="23"/>
      <c r="E284" s="2"/>
      <c r="F284" s="23"/>
      <c r="G284" s="23"/>
      <c r="H284" s="23"/>
      <c r="I284" s="4"/>
    </row>
    <row r="285" spans="1:9" x14ac:dyDescent="0.25">
      <c r="A285" s="9"/>
      <c r="B285" s="23"/>
      <c r="C285" s="23"/>
      <c r="E285" s="2"/>
      <c r="F285" s="23"/>
      <c r="G285" s="23"/>
      <c r="H285" s="23"/>
      <c r="I285" s="4"/>
    </row>
    <row r="286" spans="1:9" x14ac:dyDescent="0.25">
      <c r="A286" s="9"/>
      <c r="B286" s="23"/>
      <c r="C286" s="23"/>
      <c r="E286" s="2"/>
      <c r="F286" s="23"/>
      <c r="G286" s="23"/>
      <c r="H286" s="23"/>
      <c r="I286" s="4"/>
    </row>
    <row r="287" spans="1:9" x14ac:dyDescent="0.25">
      <c r="A287" s="9"/>
      <c r="B287" s="23"/>
      <c r="C287" s="23"/>
      <c r="E287" s="2"/>
      <c r="F287" s="23"/>
      <c r="G287" s="23"/>
      <c r="H287" s="23"/>
      <c r="I287" s="4"/>
    </row>
    <row r="288" spans="1:9" x14ac:dyDescent="0.25">
      <c r="A288" s="9"/>
      <c r="B288" s="23"/>
      <c r="C288" s="23"/>
      <c r="E288" s="2"/>
      <c r="F288" s="23"/>
      <c r="G288" s="23"/>
      <c r="H288" s="23"/>
      <c r="I288" s="4"/>
    </row>
    <row r="289" spans="1:9" x14ac:dyDescent="0.25">
      <c r="A289" s="9"/>
      <c r="B289" s="23"/>
      <c r="C289" s="23"/>
      <c r="E289" s="2"/>
      <c r="F289" s="23"/>
      <c r="G289" s="23"/>
      <c r="H289" s="23"/>
      <c r="I289" s="4"/>
    </row>
    <row r="290" spans="1:9" x14ac:dyDescent="0.25">
      <c r="A290" s="9"/>
      <c r="B290" s="23"/>
      <c r="C290" s="23"/>
      <c r="E290" s="2"/>
      <c r="F290" s="23"/>
      <c r="G290" s="23"/>
      <c r="H290" s="23"/>
      <c r="I290" s="4"/>
    </row>
    <row r="291" spans="1:9" x14ac:dyDescent="0.25">
      <c r="A291" s="9"/>
      <c r="B291" s="23"/>
      <c r="C291" s="23"/>
      <c r="E291" s="2"/>
      <c r="F291" s="23"/>
      <c r="G291" s="23"/>
      <c r="H291" s="23"/>
      <c r="I291" s="4"/>
    </row>
    <row r="292" spans="1:9" x14ac:dyDescent="0.25">
      <c r="A292" s="9"/>
      <c r="B292" s="23"/>
      <c r="C292" s="23"/>
      <c r="E292" s="2"/>
      <c r="F292" s="23"/>
      <c r="G292" s="23"/>
      <c r="H292" s="23"/>
      <c r="I292" s="4"/>
    </row>
    <row r="293" spans="1:9" x14ac:dyDescent="0.25">
      <c r="A293" s="9"/>
      <c r="B293" s="23"/>
      <c r="C293" s="23"/>
      <c r="E293" s="2"/>
      <c r="F293" s="23"/>
      <c r="G293" s="23"/>
      <c r="H293" s="23"/>
      <c r="I293" s="4"/>
    </row>
    <row r="294" spans="1:9" x14ac:dyDescent="0.25">
      <c r="A294" s="9"/>
      <c r="B294" s="23"/>
      <c r="C294" s="23"/>
      <c r="E294" s="2"/>
      <c r="F294" s="23"/>
      <c r="G294" s="23"/>
      <c r="H294" s="23"/>
      <c r="I294" s="4"/>
    </row>
    <row r="295" spans="1:9" x14ac:dyDescent="0.25">
      <c r="A295" s="9"/>
      <c r="B295" s="23"/>
      <c r="C295" s="23"/>
      <c r="E295" s="2"/>
      <c r="F295" s="23"/>
      <c r="G295" s="23"/>
      <c r="H295" s="23"/>
      <c r="I295" s="4"/>
    </row>
    <row r="296" spans="1:9" x14ac:dyDescent="0.25">
      <c r="A296" s="9"/>
      <c r="B296" s="23"/>
      <c r="C296" s="23"/>
      <c r="E296" s="2"/>
      <c r="F296" s="23"/>
      <c r="G296" s="23"/>
      <c r="H296" s="23"/>
      <c r="I296" s="4"/>
    </row>
    <row r="297" spans="1:9" x14ac:dyDescent="0.25">
      <c r="A297" s="9"/>
      <c r="B297" s="23"/>
      <c r="C297" s="23"/>
      <c r="E297" s="2"/>
      <c r="F297" s="23"/>
      <c r="G297" s="23"/>
      <c r="H297" s="23"/>
      <c r="I297" s="4"/>
    </row>
    <row r="298" spans="1:9" x14ac:dyDescent="0.25">
      <c r="A298" s="9"/>
      <c r="B298" s="23"/>
      <c r="C298" s="23"/>
      <c r="E298" s="2"/>
      <c r="F298" s="23"/>
      <c r="G298" s="23"/>
      <c r="H298" s="23"/>
      <c r="I298" s="4"/>
    </row>
    <row r="299" spans="1:9" x14ac:dyDescent="0.25">
      <c r="A299" s="9"/>
      <c r="B299" s="23"/>
      <c r="C299" s="23"/>
      <c r="E299" s="2"/>
      <c r="F299" s="23"/>
      <c r="G299" s="23"/>
      <c r="H299" s="23"/>
      <c r="I299" s="4"/>
    </row>
    <row r="300" spans="1:9" x14ac:dyDescent="0.25">
      <c r="A300" s="9"/>
      <c r="B300" s="23"/>
      <c r="C300" s="23"/>
      <c r="E300" s="2"/>
      <c r="F300" s="23"/>
      <c r="G300" s="23"/>
      <c r="H300" s="23"/>
      <c r="I300" s="4"/>
    </row>
    <row r="301" spans="1:9" x14ac:dyDescent="0.25">
      <c r="A301" s="9"/>
      <c r="B301" s="23"/>
      <c r="C301" s="23"/>
      <c r="E301" s="2"/>
      <c r="F301" s="23"/>
      <c r="G301" s="23"/>
      <c r="H301" s="23"/>
      <c r="I301" s="4"/>
    </row>
    <row r="302" spans="1:9" x14ac:dyDescent="0.25">
      <c r="A302" s="9"/>
      <c r="B302" s="23"/>
      <c r="C302" s="23"/>
      <c r="E302" s="2"/>
      <c r="F302" s="23"/>
      <c r="G302" s="23"/>
      <c r="H302" s="23"/>
      <c r="I302" s="4"/>
    </row>
    <row r="303" spans="1:9" x14ac:dyDescent="0.25">
      <c r="A303" s="9"/>
      <c r="B303" s="23"/>
      <c r="C303" s="23"/>
      <c r="E303" s="2"/>
      <c r="F303" s="23"/>
      <c r="G303" s="23"/>
      <c r="H303" s="23"/>
      <c r="I303" s="4"/>
    </row>
    <row r="304" spans="1:9" x14ac:dyDescent="0.25">
      <c r="A304" s="9"/>
      <c r="B304" s="23"/>
      <c r="C304" s="23"/>
      <c r="E304" s="2"/>
      <c r="F304" s="23"/>
      <c r="G304" s="23"/>
      <c r="H304" s="23"/>
      <c r="I304" s="4"/>
    </row>
    <row r="305" spans="1:9" x14ac:dyDescent="0.25">
      <c r="A305" s="9"/>
      <c r="B305" s="23"/>
      <c r="C305" s="23"/>
      <c r="E305" s="2"/>
      <c r="F305" s="23"/>
      <c r="G305" s="23"/>
      <c r="H305" s="23"/>
      <c r="I305" s="4"/>
    </row>
    <row r="306" spans="1:9" x14ac:dyDescent="0.25">
      <c r="A306" s="9"/>
      <c r="B306" s="23"/>
      <c r="C306" s="23"/>
      <c r="E306" s="2"/>
      <c r="F306" s="23"/>
      <c r="G306" s="23"/>
      <c r="H306" s="23"/>
      <c r="I306" s="4"/>
    </row>
    <row r="307" spans="1:9" x14ac:dyDescent="0.25">
      <c r="A307" s="9"/>
      <c r="B307" s="23"/>
      <c r="C307" s="23"/>
      <c r="E307" s="2"/>
      <c r="F307" s="23"/>
      <c r="G307" s="23"/>
      <c r="H307" s="23"/>
      <c r="I307" s="4"/>
    </row>
    <row r="308" spans="1:9" x14ac:dyDescent="0.25">
      <c r="A308" s="9"/>
      <c r="B308" s="23"/>
      <c r="C308" s="23"/>
      <c r="E308" s="2"/>
      <c r="F308" s="23"/>
      <c r="G308" s="23"/>
      <c r="H308" s="23"/>
      <c r="I308" s="4"/>
    </row>
    <row r="309" spans="1:9" x14ac:dyDescent="0.25">
      <c r="A309" s="9"/>
      <c r="B309" s="23"/>
      <c r="C309" s="23"/>
      <c r="E309" s="2"/>
      <c r="F309" s="23"/>
      <c r="G309" s="23"/>
      <c r="H309" s="23"/>
      <c r="I309" s="4"/>
    </row>
    <row r="310" spans="1:9" x14ac:dyDescent="0.25">
      <c r="A310" s="9"/>
      <c r="B310" s="23"/>
      <c r="C310" s="23"/>
      <c r="E310" s="2"/>
      <c r="F310" s="23"/>
      <c r="G310" s="23"/>
      <c r="H310" s="23"/>
      <c r="I310" s="4"/>
    </row>
    <row r="311" spans="1:9" x14ac:dyDescent="0.25">
      <c r="A311" s="9"/>
      <c r="B311" s="23"/>
      <c r="C311" s="23"/>
      <c r="E311" s="2"/>
      <c r="F311" s="23"/>
      <c r="G311" s="23"/>
      <c r="H311" s="23"/>
      <c r="I311" s="4"/>
    </row>
    <row r="312" spans="1:9" x14ac:dyDescent="0.25">
      <c r="A312" s="9"/>
      <c r="B312" s="23"/>
      <c r="C312" s="23"/>
      <c r="E312" s="2"/>
      <c r="F312" s="23"/>
      <c r="G312" s="23"/>
      <c r="H312" s="23"/>
      <c r="I312" s="4"/>
    </row>
    <row r="313" spans="1:9" x14ac:dyDescent="0.25">
      <c r="A313" s="9"/>
      <c r="B313" s="23"/>
      <c r="C313" s="23"/>
      <c r="E313" s="2"/>
      <c r="F313" s="23"/>
      <c r="G313" s="23"/>
      <c r="H313" s="23"/>
      <c r="I313" s="4"/>
    </row>
    <row r="314" spans="1:9" x14ac:dyDescent="0.25">
      <c r="A314" s="9"/>
      <c r="B314" s="23"/>
      <c r="C314" s="23"/>
      <c r="E314" s="2"/>
      <c r="F314" s="23"/>
      <c r="G314" s="23"/>
      <c r="H314" s="23"/>
      <c r="I314" s="4"/>
    </row>
    <row r="315" spans="1:9" x14ac:dyDescent="0.25">
      <c r="A315" s="9"/>
      <c r="B315" s="23"/>
      <c r="C315" s="23"/>
      <c r="E315" s="2"/>
      <c r="F315" s="23"/>
      <c r="G315" s="23"/>
      <c r="H315" s="23"/>
      <c r="I315" s="4"/>
    </row>
    <row r="316" spans="1:9" x14ac:dyDescent="0.25">
      <c r="A316" s="9"/>
      <c r="B316" s="23"/>
      <c r="C316" s="23"/>
      <c r="E316" s="2"/>
      <c r="F316" s="23"/>
      <c r="G316" s="23"/>
      <c r="H316" s="23"/>
      <c r="I316" s="4"/>
    </row>
    <row r="317" spans="1:9" x14ac:dyDescent="0.25">
      <c r="A317" s="9"/>
      <c r="B317" s="23"/>
      <c r="C317" s="23"/>
      <c r="E317" s="2"/>
      <c r="F317" s="23"/>
      <c r="G317" s="23"/>
      <c r="H317" s="23"/>
      <c r="I317" s="4"/>
    </row>
    <row r="318" spans="1:9" x14ac:dyDescent="0.25">
      <c r="A318" s="9"/>
      <c r="B318" s="23"/>
      <c r="C318" s="23"/>
      <c r="E318" s="2"/>
      <c r="F318" s="23"/>
      <c r="G318" s="23"/>
      <c r="H318" s="23"/>
      <c r="I318" s="4"/>
    </row>
    <row r="319" spans="1:9" x14ac:dyDescent="0.25">
      <c r="A319" s="9"/>
      <c r="B319" s="23"/>
      <c r="C319" s="23"/>
      <c r="E319" s="2"/>
      <c r="F319" s="23"/>
      <c r="G319" s="23"/>
      <c r="H319" s="23"/>
      <c r="I319" s="4"/>
    </row>
    <row r="320" spans="1:9" x14ac:dyDescent="0.25">
      <c r="A320" s="9"/>
      <c r="B320" s="23"/>
      <c r="C320" s="23"/>
      <c r="E320" s="2"/>
      <c r="F320" s="23"/>
      <c r="G320" s="23"/>
      <c r="H320" s="23"/>
      <c r="I320" s="4"/>
    </row>
    <row r="321" spans="1:9" x14ac:dyDescent="0.25">
      <c r="A321" s="9"/>
      <c r="B321" s="23"/>
      <c r="C321" s="23"/>
      <c r="E321" s="2"/>
      <c r="F321" s="23"/>
      <c r="G321" s="23"/>
      <c r="H321" s="23"/>
      <c r="I321" s="4"/>
    </row>
    <row r="322" spans="1:9" x14ac:dyDescent="0.25">
      <c r="A322" s="9"/>
      <c r="B322" s="23"/>
      <c r="C322" s="23"/>
      <c r="E322" s="2"/>
      <c r="F322" s="23"/>
      <c r="G322" s="23"/>
      <c r="H322" s="23"/>
      <c r="I322" s="4"/>
    </row>
    <row r="323" spans="1:9" x14ac:dyDescent="0.25">
      <c r="A323" s="9"/>
      <c r="B323" s="23"/>
      <c r="C323" s="23"/>
      <c r="E323" s="2"/>
      <c r="F323" s="23"/>
      <c r="G323" s="23"/>
      <c r="H323" s="23"/>
      <c r="I323" s="4"/>
    </row>
    <row r="324" spans="1:9" x14ac:dyDescent="0.25">
      <c r="A324" s="9"/>
      <c r="B324" s="23"/>
      <c r="C324" s="23"/>
      <c r="E324" s="2"/>
      <c r="F324" s="23"/>
      <c r="G324" s="23"/>
      <c r="H324" s="23"/>
      <c r="I324" s="4"/>
    </row>
    <row r="325" spans="1:9" x14ac:dyDescent="0.25">
      <c r="A325" s="9"/>
      <c r="B325" s="23"/>
      <c r="C325" s="23"/>
      <c r="E325" s="2"/>
      <c r="F325" s="23"/>
      <c r="G325" s="23"/>
      <c r="H325" s="23"/>
      <c r="I325" s="4"/>
    </row>
    <row r="326" spans="1:9" x14ac:dyDescent="0.25">
      <c r="A326" s="9"/>
      <c r="B326" s="23"/>
      <c r="C326" s="23"/>
      <c r="E326" s="2"/>
      <c r="F326" s="23"/>
      <c r="G326" s="23"/>
      <c r="H326" s="23"/>
      <c r="I326" s="4"/>
    </row>
    <row r="327" spans="1:9" x14ac:dyDescent="0.25">
      <c r="A327" s="9"/>
      <c r="B327" s="23"/>
      <c r="C327" s="23"/>
      <c r="E327" s="2"/>
      <c r="F327" s="23"/>
      <c r="G327" s="23"/>
      <c r="H327" s="23"/>
      <c r="I327" s="4"/>
    </row>
    <row r="328" spans="1:9" x14ac:dyDescent="0.25">
      <c r="A328" s="9"/>
      <c r="B328" s="23"/>
      <c r="C328" s="23"/>
      <c r="E328" s="2"/>
      <c r="F328" s="23"/>
      <c r="G328" s="23"/>
      <c r="H328" s="23"/>
      <c r="I328" s="4"/>
    </row>
    <row r="329" spans="1:9" x14ac:dyDescent="0.25">
      <c r="A329" s="9"/>
      <c r="B329" s="23"/>
      <c r="C329" s="23"/>
      <c r="E329" s="2"/>
      <c r="F329" s="23"/>
      <c r="G329" s="23"/>
      <c r="H329" s="23"/>
      <c r="I329" s="4"/>
    </row>
    <row r="330" spans="1:9" x14ac:dyDescent="0.25">
      <c r="A330" s="9"/>
      <c r="B330" s="23"/>
      <c r="C330" s="23"/>
      <c r="E330" s="2"/>
      <c r="F330" s="23"/>
      <c r="G330" s="23"/>
      <c r="H330" s="23"/>
      <c r="I330" s="4"/>
    </row>
    <row r="331" spans="1:9" x14ac:dyDescent="0.25">
      <c r="A331" s="9"/>
      <c r="B331" s="23"/>
      <c r="C331" s="23"/>
      <c r="E331" s="2"/>
      <c r="F331" s="23"/>
      <c r="G331" s="23"/>
      <c r="H331" s="23"/>
      <c r="I331" s="4"/>
    </row>
    <row r="332" spans="1:9" x14ac:dyDescent="0.25">
      <c r="A332" s="9"/>
      <c r="B332" s="23"/>
      <c r="C332" s="23"/>
      <c r="E332" s="2"/>
      <c r="F332" s="23"/>
      <c r="G332" s="23"/>
      <c r="H332" s="23"/>
      <c r="I332" s="4"/>
    </row>
    <row r="333" spans="1:9" x14ac:dyDescent="0.25">
      <c r="A333" s="9"/>
      <c r="B333" s="23"/>
      <c r="C333" s="23"/>
      <c r="E333" s="2"/>
      <c r="F333" s="23"/>
      <c r="G333" s="23"/>
      <c r="H333" s="23"/>
      <c r="I333" s="4"/>
    </row>
    <row r="334" spans="1:9" x14ac:dyDescent="0.25">
      <c r="A334" s="9"/>
      <c r="B334" s="23"/>
      <c r="C334" s="23"/>
      <c r="E334" s="2"/>
      <c r="F334" s="23"/>
      <c r="G334" s="23"/>
      <c r="H334" s="23"/>
      <c r="I334" s="4"/>
    </row>
    <row r="335" spans="1:9" x14ac:dyDescent="0.25">
      <c r="A335" s="9"/>
      <c r="B335" s="23"/>
      <c r="C335" s="23"/>
      <c r="E335" s="2"/>
      <c r="F335" s="23"/>
      <c r="G335" s="23"/>
      <c r="H335" s="23"/>
      <c r="I335" s="4"/>
    </row>
    <row r="336" spans="1:9" x14ac:dyDescent="0.25">
      <c r="A336" s="9"/>
      <c r="B336" s="23"/>
      <c r="C336" s="23"/>
      <c r="E336" s="2"/>
      <c r="F336" s="23"/>
      <c r="G336" s="23"/>
      <c r="H336" s="23"/>
      <c r="I336" s="4"/>
    </row>
    <row r="337" spans="1:9" x14ac:dyDescent="0.25">
      <c r="A337" s="9"/>
      <c r="B337" s="23"/>
      <c r="C337" s="23"/>
      <c r="E337" s="2"/>
      <c r="F337" s="23"/>
      <c r="G337" s="23"/>
      <c r="H337" s="23"/>
      <c r="I337" s="4"/>
    </row>
    <row r="338" spans="1:9" x14ac:dyDescent="0.25">
      <c r="A338" s="9"/>
      <c r="B338" s="23"/>
      <c r="C338" s="23"/>
      <c r="E338" s="2"/>
      <c r="F338" s="23"/>
      <c r="G338" s="23"/>
      <c r="H338" s="23"/>
      <c r="I338" s="4"/>
    </row>
    <row r="339" spans="1:9" x14ac:dyDescent="0.25">
      <c r="A339" s="9"/>
      <c r="B339" s="23"/>
      <c r="C339" s="23"/>
      <c r="E339" s="2"/>
      <c r="F339" s="23"/>
      <c r="G339" s="23"/>
      <c r="H339" s="23"/>
      <c r="I339" s="4"/>
    </row>
    <row r="340" spans="1:9" x14ac:dyDescent="0.25">
      <c r="A340" s="9"/>
      <c r="B340" s="23"/>
      <c r="C340" s="23"/>
      <c r="E340" s="2"/>
      <c r="F340" s="23"/>
      <c r="G340" s="23"/>
      <c r="H340" s="23"/>
      <c r="I340" s="4"/>
    </row>
    <row r="341" spans="1:9" x14ac:dyDescent="0.25">
      <c r="A341" s="9"/>
      <c r="B341" s="23"/>
      <c r="C341" s="23"/>
      <c r="E341" s="2"/>
      <c r="F341" s="23"/>
      <c r="G341" s="23"/>
      <c r="H341" s="23"/>
      <c r="I341" s="4"/>
    </row>
    <row r="342" spans="1:9" x14ac:dyDescent="0.25">
      <c r="A342" s="9"/>
      <c r="B342" s="23"/>
      <c r="C342" s="23"/>
      <c r="E342" s="2"/>
      <c r="F342" s="23"/>
      <c r="G342" s="23"/>
      <c r="H342" s="23"/>
      <c r="I342" s="4"/>
    </row>
    <row r="343" spans="1:9" x14ac:dyDescent="0.25">
      <c r="A343" s="9"/>
      <c r="B343" s="23"/>
      <c r="C343" s="23"/>
      <c r="E343" s="2"/>
      <c r="F343" s="23"/>
      <c r="G343" s="23"/>
      <c r="H343" s="23"/>
      <c r="I343" s="4"/>
    </row>
    <row r="344" spans="1:9" x14ac:dyDescent="0.25">
      <c r="A344" s="9"/>
      <c r="B344" s="23"/>
      <c r="C344" s="23"/>
      <c r="E344" s="2"/>
      <c r="F344" s="23"/>
      <c r="G344" s="23"/>
      <c r="H344" s="23"/>
      <c r="I344" s="4"/>
    </row>
    <row r="345" spans="1:9" x14ac:dyDescent="0.25">
      <c r="A345" s="9"/>
      <c r="B345" s="23"/>
      <c r="C345" s="23"/>
      <c r="E345" s="2"/>
      <c r="F345" s="23"/>
      <c r="G345" s="23"/>
      <c r="H345" s="23"/>
      <c r="I345" s="4"/>
    </row>
    <row r="346" spans="1:9" x14ac:dyDescent="0.25">
      <c r="A346" s="9"/>
      <c r="B346" s="23"/>
      <c r="C346" s="23"/>
      <c r="E346" s="2"/>
      <c r="F346" s="23"/>
      <c r="G346" s="23"/>
      <c r="H346" s="23"/>
      <c r="I346" s="4"/>
    </row>
    <row r="347" spans="1:9" x14ac:dyDescent="0.25">
      <c r="A347" s="9"/>
      <c r="B347" s="23"/>
      <c r="C347" s="23"/>
      <c r="E347" s="2"/>
      <c r="F347" s="23"/>
      <c r="G347" s="23"/>
      <c r="H347" s="23"/>
      <c r="I347" s="4"/>
    </row>
    <row r="348" spans="1:9" x14ac:dyDescent="0.25">
      <c r="A348" s="9"/>
      <c r="B348" s="23"/>
      <c r="C348" s="23"/>
      <c r="E348" s="2"/>
      <c r="F348" s="23"/>
      <c r="G348" s="23"/>
      <c r="H348" s="23"/>
      <c r="I348" s="4"/>
    </row>
    <row r="349" spans="1:9" x14ac:dyDescent="0.25">
      <c r="A349" s="9"/>
      <c r="B349" s="23"/>
      <c r="C349" s="23"/>
      <c r="E349" s="2"/>
      <c r="F349" s="23"/>
      <c r="G349" s="23"/>
      <c r="H349" s="23"/>
      <c r="I349" s="4"/>
    </row>
    <row r="350" spans="1:9" x14ac:dyDescent="0.25">
      <c r="A350" s="9"/>
      <c r="B350" s="23"/>
      <c r="C350" s="23"/>
      <c r="E350" s="2"/>
      <c r="F350" s="23"/>
      <c r="G350" s="23"/>
      <c r="H350" s="23"/>
      <c r="I350" s="4"/>
    </row>
    <row r="351" spans="1:9" x14ac:dyDescent="0.25">
      <c r="A351" s="9"/>
      <c r="B351" s="23"/>
      <c r="C351" s="23"/>
      <c r="E351" s="2"/>
      <c r="F351" s="23"/>
      <c r="G351" s="23"/>
      <c r="H351" s="23"/>
      <c r="I351" s="4"/>
    </row>
    <row r="352" spans="1:9" x14ac:dyDescent="0.25">
      <c r="A352" s="9"/>
      <c r="B352" s="23"/>
      <c r="C352" s="23"/>
      <c r="E352" s="2"/>
      <c r="F352" s="23"/>
      <c r="G352" s="23"/>
      <c r="H352" s="23"/>
      <c r="I352" s="4"/>
    </row>
    <row r="353" spans="1:9" x14ac:dyDescent="0.25">
      <c r="A353" s="9"/>
      <c r="B353" s="23"/>
      <c r="C353" s="23"/>
      <c r="E353" s="2"/>
      <c r="F353" s="23"/>
      <c r="G353" s="23"/>
      <c r="H353" s="23"/>
      <c r="I353" s="4"/>
    </row>
    <row r="354" spans="1:9" x14ac:dyDescent="0.25">
      <c r="A354" s="9"/>
      <c r="B354" s="23"/>
      <c r="C354" s="23"/>
      <c r="E354" s="2"/>
      <c r="F354" s="23"/>
      <c r="G354" s="23"/>
      <c r="H354" s="23"/>
      <c r="I354" s="4"/>
    </row>
    <row r="355" spans="1:9" x14ac:dyDescent="0.25">
      <c r="A355" s="9"/>
      <c r="B355" s="23"/>
      <c r="C355" s="23"/>
      <c r="E355" s="2"/>
      <c r="F355" s="23"/>
      <c r="G355" s="23"/>
      <c r="H355" s="23"/>
      <c r="I355" s="4"/>
    </row>
    <row r="356" spans="1:9" x14ac:dyDescent="0.25">
      <c r="A356" s="9"/>
      <c r="B356" s="23"/>
      <c r="C356" s="23"/>
      <c r="E356" s="2"/>
      <c r="F356" s="23"/>
      <c r="G356" s="23"/>
      <c r="H356" s="23"/>
      <c r="I356" s="4"/>
    </row>
    <row r="357" spans="1:9" x14ac:dyDescent="0.25">
      <c r="A357" s="9"/>
      <c r="B357" s="23"/>
      <c r="C357" s="23"/>
      <c r="E357" s="2"/>
      <c r="F357" s="23"/>
      <c r="G357" s="23"/>
      <c r="H357" s="23"/>
      <c r="I357" s="4"/>
    </row>
    <row r="358" spans="1:9" x14ac:dyDescent="0.25">
      <c r="A358" s="9"/>
      <c r="B358" s="23"/>
      <c r="C358" s="23"/>
      <c r="E358" s="2"/>
      <c r="F358" s="23"/>
      <c r="G358" s="23"/>
      <c r="H358" s="23"/>
      <c r="I358" s="4"/>
    </row>
    <row r="359" spans="1:9" x14ac:dyDescent="0.25">
      <c r="A359" s="9"/>
      <c r="B359" s="23"/>
      <c r="C359" s="23"/>
      <c r="E359" s="2"/>
      <c r="F359" s="23"/>
      <c r="G359" s="23"/>
      <c r="H359" s="23"/>
      <c r="I359" s="4"/>
    </row>
    <row r="360" spans="1:9" x14ac:dyDescent="0.25">
      <c r="A360" s="9"/>
      <c r="B360" s="23"/>
      <c r="C360" s="23"/>
      <c r="E360" s="2"/>
      <c r="F360" s="23"/>
      <c r="G360" s="23"/>
      <c r="H360" s="23"/>
      <c r="I360" s="4"/>
    </row>
    <row r="361" spans="1:9" x14ac:dyDescent="0.25">
      <c r="A361" s="9"/>
      <c r="B361" s="23"/>
      <c r="C361" s="23"/>
      <c r="E361" s="2"/>
      <c r="F361" s="23"/>
      <c r="G361" s="23"/>
      <c r="H361" s="23"/>
      <c r="I361" s="4"/>
    </row>
    <row r="362" spans="1:9" x14ac:dyDescent="0.25">
      <c r="A362" s="9"/>
      <c r="B362" s="23"/>
      <c r="C362" s="23"/>
      <c r="E362" s="2"/>
      <c r="F362" s="23"/>
      <c r="G362" s="23"/>
      <c r="H362" s="23"/>
      <c r="I362" s="4"/>
    </row>
    <row r="363" spans="1:9" x14ac:dyDescent="0.25">
      <c r="A363" s="9"/>
      <c r="B363" s="23"/>
      <c r="C363" s="23"/>
      <c r="E363" s="2"/>
      <c r="F363" s="23"/>
      <c r="G363" s="23"/>
      <c r="H363" s="23"/>
      <c r="I363" s="4"/>
    </row>
    <row r="364" spans="1:9" x14ac:dyDescent="0.25">
      <c r="A364" s="9"/>
      <c r="B364" s="23"/>
      <c r="C364" s="23"/>
      <c r="E364" s="2"/>
      <c r="F364" s="23"/>
      <c r="G364" s="23"/>
      <c r="H364" s="23"/>
      <c r="I364" s="4"/>
    </row>
    <row r="365" spans="1:9" x14ac:dyDescent="0.25">
      <c r="A365" s="9"/>
      <c r="B365" s="23"/>
      <c r="C365" s="23"/>
      <c r="E365" s="2"/>
      <c r="F365" s="23"/>
      <c r="G365" s="23"/>
      <c r="H365" s="23"/>
      <c r="I365" s="4"/>
    </row>
    <row r="366" spans="1:9" x14ac:dyDescent="0.25">
      <c r="A366" s="9"/>
      <c r="B366" s="23"/>
      <c r="C366" s="23"/>
      <c r="E366" s="2"/>
      <c r="F366" s="23"/>
      <c r="G366" s="23"/>
      <c r="H366" s="23"/>
      <c r="I366" s="4"/>
    </row>
    <row r="367" spans="1:9" x14ac:dyDescent="0.25">
      <c r="A367" s="9"/>
      <c r="B367" s="23"/>
      <c r="C367" s="23"/>
      <c r="E367" s="2"/>
      <c r="F367" s="23"/>
      <c r="G367" s="23"/>
      <c r="H367" s="23"/>
      <c r="I367" s="4"/>
    </row>
    <row r="368" spans="1:9" x14ac:dyDescent="0.25">
      <c r="A368" s="9"/>
      <c r="B368" s="23"/>
      <c r="C368" s="23"/>
      <c r="E368" s="2"/>
      <c r="F368" s="23"/>
      <c r="G368" s="23"/>
      <c r="H368" s="23"/>
      <c r="I368" s="4"/>
    </row>
    <row r="369" spans="1:9" x14ac:dyDescent="0.25">
      <c r="A369" s="9"/>
      <c r="B369" s="23"/>
      <c r="C369" s="23"/>
      <c r="E369" s="2"/>
      <c r="F369" s="23"/>
      <c r="G369" s="23"/>
      <c r="H369" s="23"/>
      <c r="I369" s="4"/>
    </row>
    <row r="370" spans="1:9" x14ac:dyDescent="0.25">
      <c r="A370" s="9"/>
      <c r="B370" s="23"/>
      <c r="C370" s="23"/>
      <c r="E370" s="2"/>
      <c r="F370" s="23"/>
      <c r="G370" s="23"/>
      <c r="H370" s="23"/>
      <c r="I370" s="4"/>
    </row>
    <row r="371" spans="1:9" x14ac:dyDescent="0.25">
      <c r="A371" s="9"/>
      <c r="B371" s="23"/>
      <c r="C371" s="23"/>
      <c r="E371" s="2"/>
      <c r="F371" s="23"/>
      <c r="G371" s="23"/>
      <c r="H371" s="23"/>
      <c r="I371" s="4"/>
    </row>
    <row r="372" spans="1:9" x14ac:dyDescent="0.25">
      <c r="A372" s="9"/>
      <c r="B372" s="23"/>
      <c r="C372" s="23"/>
      <c r="E372" s="2"/>
      <c r="F372" s="23"/>
      <c r="G372" s="23"/>
      <c r="H372" s="23"/>
      <c r="I372" s="4"/>
    </row>
    <row r="373" spans="1:9" x14ac:dyDescent="0.25">
      <c r="A373" s="9"/>
      <c r="B373" s="23"/>
      <c r="C373" s="23"/>
      <c r="E373" s="2"/>
      <c r="F373" s="23"/>
      <c r="G373" s="23"/>
      <c r="H373" s="23"/>
      <c r="I373" s="4"/>
    </row>
    <row r="374" spans="1:9" x14ac:dyDescent="0.25">
      <c r="A374" s="9"/>
      <c r="B374" s="23"/>
      <c r="C374" s="23"/>
      <c r="E374" s="2"/>
      <c r="F374" s="23"/>
      <c r="G374" s="23"/>
      <c r="H374" s="23"/>
      <c r="I374" s="4"/>
    </row>
    <row r="375" spans="1:9" x14ac:dyDescent="0.25">
      <c r="A375" s="9"/>
      <c r="B375" s="23"/>
      <c r="C375" s="23"/>
      <c r="E375" s="2"/>
      <c r="F375" s="23"/>
      <c r="G375" s="23"/>
      <c r="H375" s="23"/>
      <c r="I375" s="4"/>
    </row>
    <row r="376" spans="1:9" x14ac:dyDescent="0.25">
      <c r="A376" s="9"/>
      <c r="B376" s="23"/>
      <c r="C376" s="23"/>
      <c r="E376" s="2"/>
      <c r="F376" s="23"/>
      <c r="G376" s="23"/>
      <c r="H376" s="23"/>
      <c r="I376" s="4"/>
    </row>
    <row r="377" spans="1:9" x14ac:dyDescent="0.25">
      <c r="A377" s="9"/>
      <c r="B377" s="23"/>
      <c r="C377" s="23"/>
      <c r="E377" s="2"/>
      <c r="F377" s="23"/>
      <c r="G377" s="23"/>
      <c r="H377" s="23"/>
      <c r="I377" s="4"/>
    </row>
    <row r="378" spans="1:9" x14ac:dyDescent="0.25">
      <c r="A378" s="9"/>
      <c r="B378" s="23"/>
      <c r="C378" s="23"/>
      <c r="E378" s="2"/>
      <c r="F378" s="23"/>
      <c r="G378" s="23"/>
      <c r="H378" s="23"/>
      <c r="I378" s="4"/>
    </row>
    <row r="379" spans="1:9" x14ac:dyDescent="0.25">
      <c r="A379" s="9"/>
      <c r="B379" s="23"/>
      <c r="C379" s="23"/>
      <c r="E379" s="2"/>
      <c r="F379" s="23"/>
      <c r="G379" s="23"/>
      <c r="H379" s="23"/>
      <c r="I379" s="4"/>
    </row>
    <row r="380" spans="1:9" x14ac:dyDescent="0.25">
      <c r="A380" s="9"/>
      <c r="B380" s="23"/>
      <c r="C380" s="23"/>
      <c r="E380" s="2"/>
      <c r="F380" s="23"/>
      <c r="G380" s="23"/>
      <c r="H380" s="23"/>
      <c r="I380" s="4"/>
    </row>
    <row r="381" spans="1:9" x14ac:dyDescent="0.25">
      <c r="A381" s="9"/>
      <c r="B381" s="23"/>
      <c r="C381" s="23"/>
      <c r="E381" s="2"/>
      <c r="F381" s="23"/>
      <c r="G381" s="23"/>
      <c r="H381" s="23"/>
      <c r="I381" s="4"/>
    </row>
    <row r="382" spans="1:9" x14ac:dyDescent="0.25">
      <c r="A382" s="9"/>
      <c r="B382" s="23"/>
      <c r="C382" s="23"/>
      <c r="E382" s="2"/>
      <c r="F382" s="23"/>
      <c r="G382" s="23"/>
      <c r="H382" s="23"/>
      <c r="I382" s="4"/>
    </row>
    <row r="383" spans="1:9" x14ac:dyDescent="0.25">
      <c r="A383" s="9"/>
      <c r="B383" s="23"/>
      <c r="C383" s="23"/>
      <c r="E383" s="2"/>
      <c r="F383" s="23"/>
      <c r="G383" s="23"/>
      <c r="H383" s="23"/>
      <c r="I383" s="4"/>
    </row>
    <row r="384" spans="1:9" x14ac:dyDescent="0.25">
      <c r="A384" s="9"/>
      <c r="B384" s="23"/>
      <c r="C384" s="23"/>
      <c r="E384" s="2"/>
      <c r="F384" s="23"/>
      <c r="G384" s="23"/>
      <c r="H384" s="23"/>
      <c r="I384" s="4"/>
    </row>
    <row r="385" spans="1:9" x14ac:dyDescent="0.25">
      <c r="A385" s="9"/>
      <c r="B385" s="23"/>
      <c r="C385" s="23"/>
      <c r="E385" s="2"/>
      <c r="F385" s="23"/>
      <c r="G385" s="23"/>
      <c r="H385" s="23"/>
      <c r="I385" s="4"/>
    </row>
    <row r="386" spans="1:9" x14ac:dyDescent="0.25">
      <c r="A386" s="9"/>
      <c r="B386" s="23"/>
      <c r="C386" s="23"/>
      <c r="E386" s="2"/>
      <c r="F386" s="23"/>
      <c r="G386" s="23"/>
      <c r="H386" s="23"/>
      <c r="I386" s="4"/>
    </row>
    <row r="387" spans="1:9" x14ac:dyDescent="0.25">
      <c r="A387" s="9"/>
      <c r="B387" s="23"/>
      <c r="C387" s="23"/>
      <c r="E387" s="2"/>
      <c r="F387" s="23"/>
      <c r="G387" s="23"/>
      <c r="H387" s="23"/>
      <c r="I387" s="4"/>
    </row>
    <row r="388" spans="1:9" x14ac:dyDescent="0.25">
      <c r="A388" s="9"/>
      <c r="B388" s="23"/>
      <c r="C388" s="23"/>
      <c r="E388" s="2"/>
      <c r="F388" s="23"/>
      <c r="G388" s="23"/>
      <c r="H388" s="23"/>
      <c r="I388" s="4"/>
    </row>
    <row r="389" spans="1:9" x14ac:dyDescent="0.25">
      <c r="A389" s="9"/>
      <c r="B389" s="23"/>
      <c r="C389" s="23"/>
      <c r="E389" s="2"/>
      <c r="F389" s="23"/>
      <c r="G389" s="23"/>
      <c r="H389" s="23"/>
      <c r="I389" s="4"/>
    </row>
    <row r="390" spans="1:9" x14ac:dyDescent="0.25">
      <c r="A390" s="9"/>
      <c r="B390" s="23"/>
      <c r="C390" s="23"/>
      <c r="E390" s="2"/>
      <c r="F390" s="23"/>
      <c r="G390" s="23"/>
      <c r="H390" s="23"/>
      <c r="I390" s="4"/>
    </row>
    <row r="391" spans="1:9" x14ac:dyDescent="0.25">
      <c r="A391" s="9"/>
      <c r="B391" s="23"/>
      <c r="C391" s="23"/>
      <c r="E391" s="2"/>
      <c r="F391" s="23"/>
      <c r="G391" s="23"/>
      <c r="H391" s="23"/>
      <c r="I391" s="4"/>
    </row>
    <row r="392" spans="1:9" x14ac:dyDescent="0.25">
      <c r="A392" s="9"/>
      <c r="B392" s="23"/>
      <c r="C392" s="23"/>
      <c r="E392" s="2"/>
      <c r="F392" s="23"/>
      <c r="G392" s="23"/>
      <c r="H392" s="23"/>
      <c r="I392" s="4"/>
    </row>
    <row r="393" spans="1:9" x14ac:dyDescent="0.25">
      <c r="A393" s="9"/>
      <c r="B393" s="23"/>
      <c r="C393" s="23"/>
      <c r="E393" s="2"/>
      <c r="F393" s="23"/>
      <c r="G393" s="23"/>
      <c r="H393" s="23"/>
      <c r="I393" s="4"/>
    </row>
    <row r="394" spans="1:9" x14ac:dyDescent="0.25">
      <c r="A394" s="9"/>
      <c r="B394" s="23"/>
      <c r="C394" s="23"/>
      <c r="E394" s="2"/>
      <c r="F394" s="23"/>
      <c r="G394" s="23"/>
      <c r="H394" s="23"/>
      <c r="I394" s="4"/>
    </row>
    <row r="395" spans="1:9" x14ac:dyDescent="0.25">
      <c r="A395" s="9"/>
      <c r="B395" s="23"/>
      <c r="C395" s="23"/>
      <c r="E395" s="2"/>
      <c r="F395" s="23"/>
      <c r="G395" s="23"/>
      <c r="H395" s="23"/>
      <c r="I395" s="4"/>
    </row>
    <row r="396" spans="1:9" x14ac:dyDescent="0.25">
      <c r="A396" s="9"/>
      <c r="B396" s="23"/>
      <c r="C396" s="23"/>
      <c r="E396" s="2"/>
      <c r="F396" s="23"/>
      <c r="G396" s="23"/>
      <c r="H396" s="23"/>
      <c r="I396" s="4"/>
    </row>
    <row r="397" spans="1:9" x14ac:dyDescent="0.25">
      <c r="A397" s="9"/>
      <c r="B397" s="23"/>
      <c r="C397" s="23"/>
      <c r="E397" s="2"/>
      <c r="F397" s="23"/>
      <c r="G397" s="23"/>
      <c r="H397" s="23"/>
      <c r="I397" s="4"/>
    </row>
    <row r="398" spans="1:9" x14ac:dyDescent="0.25">
      <c r="A398" s="9"/>
      <c r="B398" s="23"/>
      <c r="C398" s="23"/>
      <c r="E398" s="2"/>
      <c r="F398" s="23"/>
      <c r="G398" s="23"/>
      <c r="H398" s="23"/>
      <c r="I398" s="4"/>
    </row>
    <row r="399" spans="1:9" x14ac:dyDescent="0.25">
      <c r="A399" s="9"/>
      <c r="B399" s="23"/>
      <c r="C399" s="23"/>
      <c r="E399" s="2"/>
      <c r="F399" s="23"/>
      <c r="G399" s="23"/>
      <c r="H399" s="23"/>
      <c r="I399" s="4"/>
    </row>
    <row r="400" spans="1:9" x14ac:dyDescent="0.25">
      <c r="A400" s="9"/>
      <c r="B400" s="23"/>
      <c r="C400" s="23"/>
      <c r="E400" s="2"/>
      <c r="F400" s="23"/>
      <c r="G400" s="23"/>
      <c r="H400" s="23"/>
      <c r="I400" s="4"/>
    </row>
    <row r="401" spans="1:9" x14ac:dyDescent="0.25">
      <c r="A401" s="9"/>
      <c r="B401" s="23"/>
      <c r="C401" s="23"/>
      <c r="E401" s="3"/>
      <c r="F401" s="23"/>
      <c r="G401" s="25"/>
      <c r="H401" s="25"/>
      <c r="I401" s="6"/>
    </row>
    <row r="402" spans="1:9" x14ac:dyDescent="0.25">
      <c r="A402" s="9"/>
      <c r="B402" s="23"/>
      <c r="C402" s="23"/>
      <c r="E402" s="66"/>
      <c r="F402" s="67"/>
      <c r="G402" s="67"/>
      <c r="H402" s="67"/>
      <c r="I402" s="68"/>
    </row>
    <row r="403" spans="1:9" x14ac:dyDescent="0.25">
      <c r="A403" s="9"/>
      <c r="B403" s="23"/>
      <c r="C403" s="23"/>
      <c r="E403" s="66"/>
      <c r="F403" s="67"/>
      <c r="G403" s="67"/>
      <c r="H403" s="67"/>
      <c r="I403" s="68"/>
    </row>
    <row r="404" spans="1:9" x14ac:dyDescent="0.25">
      <c r="A404" s="9"/>
      <c r="B404" s="23"/>
      <c r="C404" s="23"/>
      <c r="E404" s="66"/>
      <c r="F404" s="67"/>
      <c r="G404" s="67"/>
      <c r="H404" s="67"/>
      <c r="I404" s="68"/>
    </row>
    <row r="405" spans="1:9" x14ac:dyDescent="0.25">
      <c r="A405" s="9"/>
      <c r="B405" s="23"/>
      <c r="C405" s="23"/>
      <c r="E405" s="66"/>
      <c r="F405" s="67"/>
      <c r="G405" s="67"/>
      <c r="H405" s="67"/>
      <c r="I405" s="68"/>
    </row>
    <row r="406" spans="1:9" x14ac:dyDescent="0.25">
      <c r="A406" s="9"/>
      <c r="B406" s="23"/>
      <c r="C406" s="23"/>
      <c r="E406" s="66"/>
      <c r="F406" s="67"/>
      <c r="G406" s="67"/>
      <c r="H406" s="67"/>
      <c r="I406" s="68"/>
    </row>
    <row r="407" spans="1:9" x14ac:dyDescent="0.25">
      <c r="A407" s="9"/>
      <c r="B407" s="23"/>
      <c r="C407" s="23"/>
      <c r="E407" s="66"/>
      <c r="F407" s="67"/>
      <c r="G407" s="67"/>
      <c r="H407" s="67"/>
      <c r="I407" s="68"/>
    </row>
    <row r="408" spans="1:9" x14ac:dyDescent="0.25">
      <c r="A408" s="9"/>
      <c r="B408" s="23"/>
      <c r="C408" s="23"/>
      <c r="E408" s="66"/>
      <c r="F408" s="67"/>
      <c r="G408" s="67"/>
      <c r="H408" s="67"/>
      <c r="I408" s="68"/>
    </row>
    <row r="409" spans="1:9" x14ac:dyDescent="0.25">
      <c r="A409" s="9"/>
      <c r="B409" s="23"/>
      <c r="C409" s="23"/>
      <c r="E409" s="66"/>
      <c r="F409" s="67"/>
      <c r="G409" s="67"/>
      <c r="H409" s="67"/>
      <c r="I409" s="68"/>
    </row>
    <row r="410" spans="1:9" x14ac:dyDescent="0.25">
      <c r="A410" s="9"/>
      <c r="B410" s="23"/>
      <c r="C410" s="23"/>
      <c r="E410" s="66"/>
      <c r="F410" s="67"/>
      <c r="G410" s="67"/>
      <c r="H410" s="67"/>
      <c r="I410" s="68"/>
    </row>
    <row r="411" spans="1:9" x14ac:dyDescent="0.25">
      <c r="A411" s="9"/>
      <c r="B411" s="23"/>
      <c r="C411" s="23"/>
      <c r="E411" s="66"/>
      <c r="F411" s="67"/>
      <c r="G411" s="67"/>
      <c r="H411" s="67"/>
      <c r="I411" s="68"/>
    </row>
    <row r="412" spans="1:9" x14ac:dyDescent="0.25">
      <c r="A412" s="9"/>
      <c r="B412" s="23"/>
      <c r="C412" s="23"/>
      <c r="E412" s="66"/>
      <c r="F412" s="67"/>
      <c r="G412" s="67"/>
      <c r="H412" s="67"/>
      <c r="I412" s="68"/>
    </row>
    <row r="413" spans="1:9" x14ac:dyDescent="0.25">
      <c r="A413" s="9"/>
      <c r="B413" s="23"/>
      <c r="C413" s="23"/>
      <c r="E413" s="66"/>
      <c r="F413" s="67"/>
      <c r="G413" s="67"/>
      <c r="H413" s="67"/>
      <c r="I413" s="68"/>
    </row>
    <row r="414" spans="1:9" x14ac:dyDescent="0.25">
      <c r="A414" s="9"/>
      <c r="B414" s="23"/>
      <c r="C414" s="23"/>
      <c r="E414" s="66"/>
      <c r="F414" s="67"/>
      <c r="G414" s="67"/>
      <c r="H414" s="67"/>
      <c r="I414" s="68"/>
    </row>
    <row r="415" spans="1:9" x14ac:dyDescent="0.25">
      <c r="A415" s="9"/>
      <c r="B415" s="23"/>
      <c r="C415" s="23"/>
      <c r="E415" s="66"/>
      <c r="F415" s="67"/>
      <c r="G415" s="67"/>
      <c r="H415" s="67"/>
      <c r="I415" s="68"/>
    </row>
    <row r="416" spans="1:9" x14ac:dyDescent="0.25">
      <c r="A416" s="9"/>
      <c r="B416" s="23"/>
      <c r="C416" s="23"/>
      <c r="E416" s="66"/>
      <c r="F416" s="67"/>
      <c r="G416" s="67"/>
      <c r="H416" s="67"/>
      <c r="I416" s="68"/>
    </row>
    <row r="417" spans="1:9" x14ac:dyDescent="0.25">
      <c r="A417" s="9"/>
      <c r="B417" s="23"/>
      <c r="C417" s="23"/>
      <c r="E417" s="66"/>
      <c r="F417" s="67"/>
      <c r="G417" s="67"/>
      <c r="H417" s="67"/>
      <c r="I417" s="68"/>
    </row>
    <row r="418" spans="1:9" x14ac:dyDescent="0.25">
      <c r="A418" s="9"/>
      <c r="B418" s="23"/>
      <c r="C418" s="23"/>
      <c r="E418" s="66"/>
      <c r="F418" s="67"/>
      <c r="G418" s="67"/>
      <c r="H418" s="67"/>
      <c r="I418" s="68"/>
    </row>
    <row r="419" spans="1:9" x14ac:dyDescent="0.25">
      <c r="A419" s="9"/>
      <c r="B419" s="23"/>
      <c r="C419" s="23"/>
      <c r="E419" s="66"/>
      <c r="F419" s="67"/>
      <c r="G419" s="67"/>
      <c r="H419" s="67"/>
      <c r="I419" s="68"/>
    </row>
    <row r="420" spans="1:9" x14ac:dyDescent="0.25">
      <c r="A420" s="9"/>
      <c r="B420" s="23"/>
      <c r="C420" s="23"/>
      <c r="E420" s="66"/>
      <c r="F420" s="67"/>
      <c r="G420" s="67"/>
      <c r="H420" s="67"/>
      <c r="I420" s="68"/>
    </row>
    <row r="421" spans="1:9" x14ac:dyDescent="0.25">
      <c r="A421" s="9"/>
      <c r="B421" s="23"/>
      <c r="C421" s="23"/>
      <c r="E421" s="66"/>
      <c r="F421" s="67"/>
      <c r="G421" s="67"/>
      <c r="H421" s="67"/>
      <c r="I421" s="68"/>
    </row>
    <row r="422" spans="1:9" x14ac:dyDescent="0.25">
      <c r="A422" s="9"/>
      <c r="B422" s="23"/>
      <c r="C422" s="23"/>
      <c r="E422" s="66"/>
      <c r="F422" s="67"/>
      <c r="G422" s="67"/>
      <c r="H422" s="67"/>
      <c r="I422" s="68"/>
    </row>
    <row r="423" spans="1:9" x14ac:dyDescent="0.25">
      <c r="A423" s="9"/>
      <c r="B423" s="23"/>
      <c r="C423" s="23"/>
      <c r="E423" s="66"/>
      <c r="F423" s="67"/>
      <c r="G423" s="67"/>
      <c r="H423" s="67"/>
      <c r="I423" s="68"/>
    </row>
    <row r="424" spans="1:9" x14ac:dyDescent="0.25">
      <c r="A424" s="9"/>
      <c r="B424" s="23"/>
      <c r="C424" s="23"/>
      <c r="E424" s="66"/>
      <c r="F424" s="67"/>
      <c r="G424" s="67"/>
      <c r="H424" s="67"/>
      <c r="I424" s="68"/>
    </row>
    <row r="425" spans="1:9" x14ac:dyDescent="0.25">
      <c r="A425" s="9"/>
      <c r="B425" s="23"/>
      <c r="C425" s="23"/>
      <c r="E425" s="66"/>
      <c r="F425" s="67"/>
      <c r="G425" s="67"/>
      <c r="H425" s="67"/>
      <c r="I425" s="68"/>
    </row>
    <row r="426" spans="1:9" x14ac:dyDescent="0.25">
      <c r="A426" s="9"/>
      <c r="B426" s="23"/>
      <c r="C426" s="23"/>
      <c r="E426" s="66"/>
      <c r="F426" s="67"/>
      <c r="G426" s="67"/>
      <c r="H426" s="67"/>
      <c r="I426" s="68"/>
    </row>
    <row r="427" spans="1:9" x14ac:dyDescent="0.25">
      <c r="A427" s="9"/>
      <c r="B427" s="23"/>
      <c r="C427" s="23"/>
      <c r="E427" s="66"/>
      <c r="F427" s="67"/>
      <c r="G427" s="67"/>
      <c r="H427" s="67"/>
      <c r="I427" s="68"/>
    </row>
    <row r="428" spans="1:9" x14ac:dyDescent="0.25">
      <c r="A428" s="9"/>
      <c r="B428" s="23"/>
      <c r="C428" s="23"/>
      <c r="E428" s="66"/>
      <c r="F428" s="67"/>
      <c r="G428" s="67"/>
      <c r="H428" s="67"/>
      <c r="I428" s="68"/>
    </row>
    <row r="429" spans="1:9" x14ac:dyDescent="0.25">
      <c r="A429" s="9"/>
      <c r="B429" s="23"/>
      <c r="C429" s="23"/>
      <c r="E429" s="66"/>
      <c r="F429" s="67"/>
      <c r="G429" s="67"/>
      <c r="H429" s="67"/>
      <c r="I429" s="68"/>
    </row>
    <row r="430" spans="1:9" x14ac:dyDescent="0.25">
      <c r="A430" s="9"/>
      <c r="B430" s="23"/>
      <c r="C430" s="23"/>
      <c r="E430" s="66"/>
      <c r="F430" s="67"/>
      <c r="G430" s="67"/>
      <c r="H430" s="67"/>
      <c r="I430" s="68"/>
    </row>
    <row r="431" spans="1:9" x14ac:dyDescent="0.25">
      <c r="A431" s="9"/>
      <c r="B431" s="23"/>
      <c r="C431" s="23"/>
      <c r="E431" s="66"/>
      <c r="F431" s="67"/>
      <c r="G431" s="67"/>
      <c r="H431" s="67"/>
      <c r="I431" s="68"/>
    </row>
    <row r="432" spans="1:9" x14ac:dyDescent="0.25">
      <c r="A432" s="9"/>
      <c r="B432" s="23"/>
      <c r="C432" s="23"/>
      <c r="E432" s="66"/>
      <c r="F432" s="67"/>
      <c r="G432" s="67"/>
      <c r="H432" s="67"/>
      <c r="I432" s="68"/>
    </row>
    <row r="433" spans="1:9" x14ac:dyDescent="0.25">
      <c r="A433" s="9"/>
      <c r="B433" s="23"/>
      <c r="C433" s="23"/>
      <c r="E433" s="66"/>
      <c r="F433" s="67"/>
      <c r="G433" s="67"/>
      <c r="H433" s="67"/>
      <c r="I433" s="68"/>
    </row>
    <row r="434" spans="1:9" x14ac:dyDescent="0.25">
      <c r="A434" s="9"/>
      <c r="B434" s="23"/>
      <c r="C434" s="23"/>
      <c r="E434" s="66"/>
      <c r="F434" s="67"/>
      <c r="G434" s="67"/>
      <c r="H434" s="67"/>
      <c r="I434" s="68"/>
    </row>
    <row r="435" spans="1:9" x14ac:dyDescent="0.25">
      <c r="A435" s="9"/>
      <c r="B435" s="23"/>
      <c r="C435" s="23"/>
      <c r="E435" s="66"/>
      <c r="F435" s="67"/>
      <c r="G435" s="67"/>
      <c r="H435" s="67"/>
      <c r="I435" s="68"/>
    </row>
    <row r="436" spans="1:9" x14ac:dyDescent="0.25">
      <c r="A436" s="9"/>
      <c r="B436" s="23"/>
      <c r="C436" s="23"/>
      <c r="E436" s="66"/>
      <c r="F436" s="67"/>
      <c r="G436" s="67"/>
      <c r="H436" s="67"/>
      <c r="I436" s="68"/>
    </row>
    <row r="437" spans="1:9" x14ac:dyDescent="0.25">
      <c r="A437" s="9"/>
      <c r="B437" s="23"/>
      <c r="C437" s="23"/>
      <c r="E437" s="66"/>
      <c r="F437" s="67"/>
      <c r="G437" s="67"/>
      <c r="H437" s="67"/>
      <c r="I437" s="68"/>
    </row>
    <row r="438" spans="1:9" x14ac:dyDescent="0.25">
      <c r="A438" s="9"/>
      <c r="B438" s="23"/>
      <c r="C438" s="23"/>
      <c r="E438" s="66"/>
      <c r="F438" s="67"/>
      <c r="G438" s="67"/>
      <c r="H438" s="67"/>
      <c r="I438" s="68"/>
    </row>
    <row r="439" spans="1:9" x14ac:dyDescent="0.25">
      <c r="A439" s="9"/>
      <c r="B439" s="23"/>
      <c r="C439" s="23"/>
      <c r="E439" s="66"/>
      <c r="F439" s="67"/>
      <c r="G439" s="67"/>
      <c r="H439" s="67"/>
      <c r="I439" s="68"/>
    </row>
    <row r="440" spans="1:9" x14ac:dyDescent="0.25">
      <c r="A440" s="9"/>
      <c r="B440" s="23"/>
      <c r="C440" s="23"/>
      <c r="E440" s="66"/>
      <c r="F440" s="67"/>
      <c r="G440" s="67"/>
      <c r="H440" s="67"/>
      <c r="I440" s="68"/>
    </row>
    <row r="441" spans="1:9" x14ac:dyDescent="0.25">
      <c r="A441" s="9"/>
      <c r="B441" s="23"/>
      <c r="C441" s="23"/>
      <c r="E441" s="66"/>
      <c r="F441" s="67"/>
      <c r="G441" s="67"/>
      <c r="H441" s="67"/>
      <c r="I441" s="68"/>
    </row>
    <row r="442" spans="1:9" x14ac:dyDescent="0.25">
      <c r="A442" s="9"/>
      <c r="B442" s="23"/>
      <c r="C442" s="23"/>
      <c r="E442" s="66"/>
      <c r="F442" s="67"/>
      <c r="G442" s="67"/>
      <c r="H442" s="67"/>
      <c r="I442" s="68"/>
    </row>
    <row r="443" spans="1:9" x14ac:dyDescent="0.25">
      <c r="A443" s="9"/>
      <c r="B443" s="23"/>
      <c r="C443" s="23"/>
      <c r="E443" s="66"/>
      <c r="F443" s="67"/>
      <c r="G443" s="67"/>
      <c r="H443" s="67"/>
      <c r="I443" s="68"/>
    </row>
    <row r="444" spans="1:9" x14ac:dyDescent="0.25">
      <c r="A444" s="9"/>
      <c r="B444" s="23"/>
      <c r="C444" s="23"/>
      <c r="E444" s="66"/>
      <c r="F444" s="67"/>
      <c r="G444" s="67"/>
      <c r="H444" s="67"/>
      <c r="I444" s="68"/>
    </row>
    <row r="445" spans="1:9" x14ac:dyDescent="0.25">
      <c r="A445" s="9"/>
      <c r="B445" s="23"/>
      <c r="C445" s="23"/>
      <c r="E445" s="66"/>
      <c r="F445" s="67"/>
      <c r="G445" s="67"/>
      <c r="H445" s="67"/>
      <c r="I445" s="68"/>
    </row>
    <row r="446" spans="1:9" x14ac:dyDescent="0.25">
      <c r="A446" s="9"/>
      <c r="B446" s="23"/>
      <c r="C446" s="23"/>
      <c r="E446" s="66"/>
      <c r="F446" s="67"/>
      <c r="G446" s="67"/>
      <c r="H446" s="67"/>
      <c r="I446" s="68"/>
    </row>
    <row r="447" spans="1:9" x14ac:dyDescent="0.25">
      <c r="A447" s="9"/>
      <c r="B447" s="23"/>
      <c r="C447" s="23"/>
      <c r="E447" s="66"/>
      <c r="F447" s="67"/>
      <c r="G447" s="67"/>
      <c r="H447" s="67"/>
      <c r="I447" s="68"/>
    </row>
    <row r="448" spans="1:9" x14ac:dyDescent="0.25">
      <c r="A448" s="9"/>
      <c r="B448" s="23"/>
      <c r="C448" s="23"/>
      <c r="E448" s="66"/>
      <c r="F448" s="67"/>
      <c r="G448" s="67"/>
      <c r="H448" s="67"/>
      <c r="I448" s="68"/>
    </row>
    <row r="449" spans="1:9" x14ac:dyDescent="0.25">
      <c r="A449" s="9"/>
      <c r="B449" s="23"/>
      <c r="C449" s="23"/>
      <c r="E449" s="66"/>
      <c r="F449" s="67"/>
      <c r="G449" s="67"/>
      <c r="H449" s="67"/>
      <c r="I449" s="68"/>
    </row>
    <row r="450" spans="1:9" x14ac:dyDescent="0.25">
      <c r="A450" s="9"/>
      <c r="B450" s="23"/>
      <c r="C450" s="23"/>
      <c r="E450" s="66"/>
      <c r="F450" s="67"/>
      <c r="G450" s="67"/>
      <c r="H450" s="67"/>
      <c r="I450" s="68"/>
    </row>
    <row r="451" spans="1:9" x14ac:dyDescent="0.25">
      <c r="A451" s="9"/>
      <c r="B451" s="23"/>
      <c r="C451" s="23"/>
      <c r="E451" s="66"/>
      <c r="F451" s="67"/>
      <c r="G451" s="67"/>
      <c r="H451" s="67"/>
      <c r="I451" s="68"/>
    </row>
    <row r="452" spans="1:9" x14ac:dyDescent="0.25">
      <c r="A452" s="9"/>
      <c r="B452" s="23"/>
      <c r="C452" s="23"/>
      <c r="E452" s="66"/>
      <c r="F452" s="67"/>
      <c r="G452" s="67"/>
      <c r="H452" s="67"/>
      <c r="I452" s="68"/>
    </row>
    <row r="453" spans="1:9" x14ac:dyDescent="0.25">
      <c r="A453" s="9"/>
      <c r="B453" s="23"/>
      <c r="C453" s="23"/>
      <c r="E453" s="66"/>
      <c r="F453" s="67"/>
      <c r="G453" s="67"/>
      <c r="H453" s="67"/>
      <c r="I453" s="68"/>
    </row>
    <row r="454" spans="1:9" x14ac:dyDescent="0.25">
      <c r="A454" s="9"/>
      <c r="B454" s="23"/>
      <c r="C454" s="23"/>
      <c r="E454" s="66"/>
      <c r="F454" s="67"/>
      <c r="G454" s="67"/>
      <c r="H454" s="67"/>
      <c r="I454" s="68"/>
    </row>
    <row r="455" spans="1:9" x14ac:dyDescent="0.25">
      <c r="A455" s="9"/>
      <c r="B455" s="23"/>
      <c r="C455" s="23"/>
      <c r="E455" s="66"/>
      <c r="F455" s="67"/>
      <c r="G455" s="67"/>
      <c r="H455" s="67"/>
      <c r="I455" s="68"/>
    </row>
    <row r="456" spans="1:9" x14ac:dyDescent="0.25">
      <c r="A456" s="9"/>
      <c r="B456" s="23"/>
      <c r="C456" s="23"/>
      <c r="E456" s="66"/>
      <c r="F456" s="67"/>
      <c r="G456" s="67"/>
      <c r="H456" s="67"/>
      <c r="I456" s="68"/>
    </row>
    <row r="457" spans="1:9" x14ac:dyDescent="0.25">
      <c r="A457" s="9"/>
      <c r="B457" s="23"/>
      <c r="C457" s="23"/>
      <c r="E457" s="66"/>
      <c r="F457" s="67"/>
      <c r="G457" s="67"/>
      <c r="H457" s="67"/>
      <c r="I457" s="68"/>
    </row>
    <row r="458" spans="1:9" x14ac:dyDescent="0.25">
      <c r="A458" s="9"/>
      <c r="B458" s="23"/>
      <c r="C458" s="23"/>
      <c r="E458" s="66"/>
      <c r="F458" s="67"/>
      <c r="G458" s="67"/>
      <c r="H458" s="67"/>
      <c r="I458" s="68"/>
    </row>
    <row r="459" spans="1:9" x14ac:dyDescent="0.25">
      <c r="A459" s="9"/>
      <c r="B459" s="23"/>
      <c r="C459" s="23"/>
      <c r="E459" s="66"/>
      <c r="F459" s="67"/>
      <c r="G459" s="67"/>
      <c r="H459" s="67"/>
      <c r="I459" s="68"/>
    </row>
    <row r="460" spans="1:9" x14ac:dyDescent="0.25">
      <c r="A460" s="9"/>
      <c r="B460" s="23"/>
      <c r="C460" s="23"/>
      <c r="E460" s="66"/>
      <c r="F460" s="67"/>
      <c r="G460" s="67"/>
      <c r="H460" s="67"/>
      <c r="I460" s="68"/>
    </row>
    <row r="461" spans="1:9" x14ac:dyDescent="0.25">
      <c r="A461" s="9"/>
      <c r="B461" s="23"/>
      <c r="C461" s="23"/>
      <c r="E461" s="66"/>
      <c r="F461" s="67"/>
      <c r="G461" s="67"/>
      <c r="H461" s="67"/>
      <c r="I461" s="68"/>
    </row>
    <row r="462" spans="1:9" x14ac:dyDescent="0.25">
      <c r="A462" s="9"/>
      <c r="B462" s="23"/>
      <c r="C462" s="23"/>
      <c r="E462" s="66"/>
      <c r="F462" s="67"/>
      <c r="G462" s="67"/>
      <c r="H462" s="67"/>
      <c r="I462" s="68"/>
    </row>
    <row r="463" spans="1:9" x14ac:dyDescent="0.25">
      <c r="A463" s="9"/>
      <c r="B463" s="23"/>
      <c r="C463" s="23"/>
      <c r="E463" s="66"/>
      <c r="F463" s="67"/>
      <c r="G463" s="67"/>
      <c r="H463" s="67"/>
      <c r="I463" s="68"/>
    </row>
    <row r="464" spans="1:9" x14ac:dyDescent="0.25">
      <c r="A464" s="9"/>
      <c r="B464" s="23"/>
      <c r="C464" s="23"/>
      <c r="E464" s="66"/>
      <c r="F464" s="67"/>
      <c r="G464" s="67"/>
      <c r="H464" s="67"/>
      <c r="I464" s="68"/>
    </row>
    <row r="465" spans="1:9" x14ac:dyDescent="0.25">
      <c r="A465" s="9"/>
      <c r="B465" s="23"/>
      <c r="C465" s="23"/>
      <c r="E465" s="66"/>
      <c r="F465" s="67"/>
      <c r="G465" s="67"/>
      <c r="H465" s="67"/>
      <c r="I465" s="68"/>
    </row>
    <row r="466" spans="1:9" x14ac:dyDescent="0.25">
      <c r="A466" s="9"/>
      <c r="B466" s="23"/>
      <c r="C466" s="23"/>
      <c r="E466" s="66"/>
      <c r="F466" s="67"/>
      <c r="G466" s="67"/>
      <c r="H466" s="67"/>
      <c r="I466" s="68"/>
    </row>
    <row r="467" spans="1:9" x14ac:dyDescent="0.25">
      <c r="A467" s="9"/>
      <c r="B467" s="23"/>
      <c r="C467" s="23"/>
      <c r="E467" s="66"/>
      <c r="F467" s="67"/>
      <c r="G467" s="67"/>
      <c r="H467" s="67"/>
      <c r="I467" s="68"/>
    </row>
    <row r="468" spans="1:9" x14ac:dyDescent="0.25">
      <c r="A468" s="9"/>
      <c r="B468" s="23"/>
      <c r="C468" s="23"/>
      <c r="E468" s="66"/>
      <c r="F468" s="67"/>
      <c r="G468" s="67"/>
      <c r="H468" s="67"/>
      <c r="I468" s="68"/>
    </row>
    <row r="469" spans="1:9" x14ac:dyDescent="0.25">
      <c r="A469" s="9"/>
      <c r="B469" s="23"/>
      <c r="C469" s="23"/>
      <c r="E469" s="66"/>
      <c r="F469" s="67"/>
      <c r="G469" s="67"/>
      <c r="H469" s="67"/>
      <c r="I469" s="68"/>
    </row>
    <row r="470" spans="1:9" x14ac:dyDescent="0.25">
      <c r="A470" s="9"/>
      <c r="B470" s="23"/>
      <c r="C470" s="23"/>
      <c r="E470" s="66"/>
      <c r="F470" s="67"/>
      <c r="G470" s="67"/>
      <c r="H470" s="67"/>
      <c r="I470" s="68"/>
    </row>
    <row r="471" spans="1:9" x14ac:dyDescent="0.25">
      <c r="A471" s="9"/>
      <c r="B471" s="23"/>
      <c r="C471" s="23"/>
      <c r="E471" s="66"/>
      <c r="F471" s="67"/>
      <c r="G471" s="67"/>
      <c r="H471" s="67"/>
      <c r="I471" s="68"/>
    </row>
    <row r="472" spans="1:9" x14ac:dyDescent="0.25">
      <c r="A472" s="9"/>
      <c r="B472" s="23"/>
      <c r="C472" s="23"/>
      <c r="E472" s="66"/>
      <c r="F472" s="67"/>
      <c r="G472" s="67"/>
      <c r="H472" s="67"/>
      <c r="I472" s="68"/>
    </row>
    <row r="473" spans="1:9" x14ac:dyDescent="0.25">
      <c r="A473" s="9"/>
      <c r="B473" s="23"/>
      <c r="C473" s="23"/>
      <c r="E473" s="66"/>
      <c r="F473" s="67"/>
      <c r="G473" s="67"/>
      <c r="H473" s="67"/>
      <c r="I473" s="68"/>
    </row>
    <row r="474" spans="1:9" x14ac:dyDescent="0.25">
      <c r="A474" s="9"/>
      <c r="B474" s="23"/>
      <c r="C474" s="23"/>
      <c r="E474" s="66"/>
      <c r="F474" s="67"/>
      <c r="G474" s="67"/>
      <c r="H474" s="67"/>
      <c r="I474" s="68"/>
    </row>
    <row r="475" spans="1:9" x14ac:dyDescent="0.25">
      <c r="A475" s="9"/>
      <c r="B475" s="23"/>
      <c r="C475" s="23"/>
      <c r="E475" s="66"/>
      <c r="F475" s="67"/>
      <c r="G475" s="67"/>
      <c r="H475" s="67"/>
      <c r="I475" s="68"/>
    </row>
    <row r="476" spans="1:9" x14ac:dyDescent="0.25">
      <c r="A476" s="9"/>
      <c r="B476" s="23"/>
      <c r="C476" s="23"/>
      <c r="E476" s="66"/>
      <c r="F476" s="67"/>
      <c r="G476" s="67"/>
      <c r="H476" s="67"/>
      <c r="I476" s="68"/>
    </row>
    <row r="477" spans="1:9" x14ac:dyDescent="0.25">
      <c r="A477" s="9"/>
      <c r="B477" s="23"/>
      <c r="C477" s="23"/>
      <c r="E477" s="66"/>
      <c r="F477" s="67"/>
      <c r="G477" s="67"/>
      <c r="H477" s="67"/>
      <c r="I477" s="68"/>
    </row>
    <row r="478" spans="1:9" x14ac:dyDescent="0.25">
      <c r="A478" s="9"/>
      <c r="B478" s="23"/>
      <c r="C478" s="23"/>
      <c r="E478" s="66"/>
      <c r="F478" s="67"/>
      <c r="G478" s="67"/>
      <c r="H478" s="67"/>
      <c r="I478" s="68"/>
    </row>
    <row r="479" spans="1:9" x14ac:dyDescent="0.25">
      <c r="A479" s="9"/>
      <c r="B479" s="23"/>
      <c r="C479" s="23"/>
      <c r="E479" s="66"/>
      <c r="F479" s="67"/>
      <c r="G479" s="67"/>
      <c r="H479" s="67"/>
      <c r="I479" s="68"/>
    </row>
    <row r="480" spans="1:9" x14ac:dyDescent="0.25">
      <c r="A480" s="9"/>
      <c r="B480" s="23"/>
      <c r="C480" s="23"/>
      <c r="E480" s="66"/>
      <c r="F480" s="67"/>
      <c r="G480" s="67"/>
      <c r="H480" s="67"/>
      <c r="I480" s="68"/>
    </row>
    <row r="481" spans="1:9" x14ac:dyDescent="0.25">
      <c r="A481" s="9"/>
      <c r="B481" s="23"/>
      <c r="C481" s="23"/>
      <c r="E481" s="66"/>
      <c r="F481" s="67"/>
      <c r="G481" s="67"/>
      <c r="H481" s="67"/>
      <c r="I481" s="68"/>
    </row>
    <row r="482" spans="1:9" x14ac:dyDescent="0.25">
      <c r="A482" s="9"/>
      <c r="B482" s="23"/>
      <c r="C482" s="23"/>
      <c r="E482" s="66"/>
      <c r="F482" s="67"/>
      <c r="G482" s="67"/>
      <c r="H482" s="67"/>
      <c r="I482" s="68"/>
    </row>
    <row r="483" spans="1:9" x14ac:dyDescent="0.25">
      <c r="A483" s="9"/>
      <c r="B483" s="23"/>
      <c r="C483" s="23"/>
      <c r="E483" s="66"/>
      <c r="F483" s="67"/>
      <c r="G483" s="67"/>
      <c r="H483" s="67"/>
      <c r="I483" s="68"/>
    </row>
    <row r="484" spans="1:9" x14ac:dyDescent="0.25">
      <c r="A484" s="9"/>
      <c r="B484" s="23"/>
      <c r="C484" s="23"/>
      <c r="E484" s="66"/>
      <c r="F484" s="67"/>
      <c r="G484" s="67"/>
      <c r="H484" s="67"/>
      <c r="I484" s="68"/>
    </row>
    <row r="485" spans="1:9" x14ac:dyDescent="0.25">
      <c r="A485" s="9"/>
      <c r="B485" s="23"/>
      <c r="C485" s="23"/>
      <c r="E485" s="66"/>
      <c r="F485" s="67"/>
      <c r="G485" s="67"/>
      <c r="H485" s="67"/>
      <c r="I485" s="68"/>
    </row>
    <row r="486" spans="1:9" x14ac:dyDescent="0.25">
      <c r="A486" s="9"/>
      <c r="B486" s="23"/>
      <c r="C486" s="23"/>
      <c r="E486" s="66"/>
      <c r="F486" s="67"/>
      <c r="G486" s="67"/>
      <c r="H486" s="67"/>
      <c r="I486" s="68"/>
    </row>
    <row r="487" spans="1:9" x14ac:dyDescent="0.25">
      <c r="A487" s="9"/>
      <c r="B487" s="23"/>
      <c r="C487" s="23"/>
      <c r="E487" s="66"/>
      <c r="F487" s="67"/>
      <c r="G487" s="67"/>
      <c r="H487" s="67"/>
      <c r="I487" s="68"/>
    </row>
    <row r="488" spans="1:9" x14ac:dyDescent="0.25">
      <c r="A488" s="9"/>
      <c r="B488" s="23"/>
      <c r="C488" s="23"/>
      <c r="E488" s="66"/>
      <c r="F488" s="67"/>
      <c r="G488" s="67"/>
      <c r="H488" s="67"/>
      <c r="I488" s="68"/>
    </row>
    <row r="489" spans="1:9" x14ac:dyDescent="0.25">
      <c r="A489" s="9"/>
      <c r="B489" s="23"/>
      <c r="C489" s="23"/>
      <c r="E489" s="66"/>
      <c r="F489" s="67"/>
      <c r="G489" s="67"/>
      <c r="H489" s="67"/>
      <c r="I489" s="68"/>
    </row>
    <row r="490" spans="1:9" x14ac:dyDescent="0.25">
      <c r="A490" s="9"/>
      <c r="B490" s="23"/>
      <c r="C490" s="23"/>
      <c r="E490" s="66"/>
      <c r="F490" s="67"/>
      <c r="G490" s="67"/>
      <c r="H490" s="67"/>
      <c r="I490" s="68"/>
    </row>
    <row r="491" spans="1:9" x14ac:dyDescent="0.25">
      <c r="A491" s="9"/>
      <c r="B491" s="23"/>
      <c r="C491" s="23"/>
      <c r="E491" s="66"/>
      <c r="F491" s="67"/>
      <c r="G491" s="67"/>
      <c r="H491" s="67"/>
      <c r="I491" s="68"/>
    </row>
    <row r="492" spans="1:9" x14ac:dyDescent="0.25">
      <c r="A492" s="9"/>
      <c r="B492" s="23"/>
      <c r="C492" s="23"/>
      <c r="E492" s="66"/>
      <c r="F492" s="67"/>
      <c r="G492" s="67"/>
      <c r="H492" s="67"/>
      <c r="I492" s="68"/>
    </row>
    <row r="493" spans="1:9" x14ac:dyDescent="0.25">
      <c r="A493" s="9"/>
      <c r="B493" s="23"/>
      <c r="C493" s="23"/>
      <c r="E493" s="66"/>
      <c r="F493" s="67"/>
      <c r="G493" s="67"/>
      <c r="H493" s="67"/>
      <c r="I493" s="68"/>
    </row>
    <row r="494" spans="1:9" x14ac:dyDescent="0.25">
      <c r="A494" s="9"/>
      <c r="B494" s="23"/>
      <c r="C494" s="23"/>
      <c r="E494" s="66"/>
      <c r="F494" s="67"/>
      <c r="G494" s="67"/>
      <c r="H494" s="67"/>
      <c r="I494" s="68"/>
    </row>
    <row r="495" spans="1:9" x14ac:dyDescent="0.25">
      <c r="A495" s="9"/>
      <c r="B495" s="23"/>
      <c r="C495" s="23"/>
      <c r="E495" s="66"/>
      <c r="F495" s="67"/>
      <c r="G495" s="67"/>
      <c r="H495" s="67"/>
      <c r="I495" s="68"/>
    </row>
    <row r="496" spans="1:9" x14ac:dyDescent="0.25">
      <c r="A496" s="9"/>
      <c r="B496" s="23"/>
      <c r="C496" s="23"/>
      <c r="E496" s="66"/>
      <c r="F496" s="67"/>
      <c r="G496" s="67"/>
      <c r="H496" s="67"/>
      <c r="I496" s="68"/>
    </row>
    <row r="497" spans="1:9" x14ac:dyDescent="0.25">
      <c r="A497" s="9"/>
      <c r="B497" s="23"/>
      <c r="C497" s="23"/>
      <c r="E497" s="66"/>
      <c r="F497" s="67"/>
      <c r="G497" s="67"/>
      <c r="H497" s="67"/>
      <c r="I497" s="68"/>
    </row>
    <row r="498" spans="1:9" x14ac:dyDescent="0.25">
      <c r="A498" s="9"/>
      <c r="B498" s="23"/>
      <c r="C498" s="23"/>
      <c r="E498" s="66"/>
      <c r="F498" s="67"/>
      <c r="G498" s="67"/>
      <c r="H498" s="67"/>
      <c r="I498" s="68"/>
    </row>
    <row r="499" spans="1:9" x14ac:dyDescent="0.25">
      <c r="A499" s="9"/>
      <c r="B499" s="23"/>
      <c r="C499" s="23"/>
      <c r="E499" s="66"/>
      <c r="F499" s="67"/>
      <c r="G499" s="67"/>
      <c r="H499" s="67"/>
      <c r="I499" s="68"/>
    </row>
    <row r="500" spans="1:9" x14ac:dyDescent="0.25">
      <c r="A500" s="9"/>
      <c r="B500" s="23"/>
      <c r="C500" s="23"/>
      <c r="E500" s="66"/>
      <c r="F500" s="67"/>
      <c r="G500" s="67"/>
      <c r="H500" s="67"/>
      <c r="I500" s="68"/>
    </row>
    <row r="501" spans="1:9" x14ac:dyDescent="0.25">
      <c r="A501" s="9"/>
      <c r="B501" s="23"/>
      <c r="C501" s="23"/>
      <c r="E501" s="66"/>
      <c r="F501" s="67"/>
      <c r="G501" s="67"/>
      <c r="H501" s="67"/>
      <c r="I501" s="68"/>
    </row>
    <row r="502" spans="1:9" x14ac:dyDescent="0.25">
      <c r="A502" s="9"/>
      <c r="B502" s="23"/>
      <c r="C502" s="23"/>
      <c r="E502" s="66"/>
      <c r="F502" s="67"/>
      <c r="G502" s="67"/>
      <c r="H502" s="67"/>
      <c r="I502" s="68"/>
    </row>
    <row r="503" spans="1:9" x14ac:dyDescent="0.25">
      <c r="A503" s="9"/>
      <c r="B503" s="23"/>
      <c r="C503" s="23"/>
      <c r="E503" s="66"/>
      <c r="F503" s="67"/>
      <c r="G503" s="67"/>
      <c r="H503" s="67"/>
      <c r="I503" s="68"/>
    </row>
    <row r="504" spans="1:9" x14ac:dyDescent="0.25">
      <c r="A504" s="9"/>
      <c r="B504" s="23"/>
      <c r="C504" s="23"/>
      <c r="E504" s="66"/>
      <c r="F504" s="67"/>
      <c r="G504" s="67"/>
      <c r="H504" s="67"/>
      <c r="I504" s="68"/>
    </row>
    <row r="505" spans="1:9" x14ac:dyDescent="0.25">
      <c r="A505" s="9"/>
      <c r="B505" s="23"/>
      <c r="C505" s="23"/>
      <c r="E505" s="66"/>
      <c r="F505" s="67"/>
      <c r="G505" s="67"/>
      <c r="H505" s="67"/>
      <c r="I505" s="68"/>
    </row>
    <row r="506" spans="1:9" x14ac:dyDescent="0.25">
      <c r="A506" s="9"/>
      <c r="B506" s="23"/>
      <c r="C506" s="23"/>
      <c r="E506" s="66"/>
      <c r="F506" s="67"/>
      <c r="G506" s="67"/>
      <c r="H506" s="67"/>
      <c r="I506" s="68"/>
    </row>
    <row r="507" spans="1:9" x14ac:dyDescent="0.25">
      <c r="A507" s="9"/>
      <c r="B507" s="23"/>
      <c r="C507" s="23"/>
      <c r="E507" s="66"/>
      <c r="F507" s="67"/>
      <c r="G507" s="67"/>
      <c r="H507" s="67"/>
      <c r="I507" s="68"/>
    </row>
    <row r="508" spans="1:9" x14ac:dyDescent="0.25">
      <c r="A508" s="9"/>
      <c r="B508" s="23"/>
      <c r="C508" s="23"/>
      <c r="E508" s="66"/>
      <c r="F508" s="67"/>
      <c r="G508" s="67"/>
      <c r="H508" s="67"/>
      <c r="I508" s="68"/>
    </row>
    <row r="509" spans="1:9" x14ac:dyDescent="0.25">
      <c r="A509" s="9"/>
      <c r="B509" s="23"/>
      <c r="C509" s="23"/>
      <c r="E509" s="66"/>
      <c r="F509" s="67"/>
      <c r="G509" s="67"/>
      <c r="H509" s="67"/>
      <c r="I509" s="68"/>
    </row>
    <row r="510" spans="1:9" x14ac:dyDescent="0.25">
      <c r="A510" s="9"/>
      <c r="B510" s="23"/>
      <c r="C510" s="23"/>
      <c r="E510" s="66"/>
      <c r="F510" s="67"/>
      <c r="G510" s="67"/>
      <c r="H510" s="67"/>
      <c r="I510" s="68"/>
    </row>
    <row r="511" spans="1:9" x14ac:dyDescent="0.25">
      <c r="A511" s="9"/>
      <c r="B511" s="23"/>
      <c r="C511" s="23"/>
      <c r="E511" s="66"/>
      <c r="F511" s="67"/>
      <c r="G511" s="67"/>
      <c r="H511" s="67"/>
      <c r="I511" s="68"/>
    </row>
    <row r="512" spans="1:9" x14ac:dyDescent="0.25">
      <c r="A512" s="9"/>
      <c r="B512" s="23"/>
      <c r="C512" s="23"/>
      <c r="E512" s="66"/>
      <c r="F512" s="67"/>
      <c r="G512" s="67"/>
      <c r="H512" s="67"/>
      <c r="I512" s="68"/>
    </row>
    <row r="513" spans="1:9" x14ac:dyDescent="0.25">
      <c r="A513" s="9"/>
      <c r="B513" s="23"/>
      <c r="C513" s="23"/>
      <c r="E513" s="66"/>
      <c r="F513" s="67"/>
      <c r="G513" s="67"/>
      <c r="H513" s="67"/>
      <c r="I513" s="68"/>
    </row>
    <row r="514" spans="1:9" x14ac:dyDescent="0.25">
      <c r="A514" s="9"/>
      <c r="B514" s="23"/>
      <c r="C514" s="23"/>
      <c r="E514" s="66"/>
      <c r="F514" s="67"/>
      <c r="G514" s="67"/>
      <c r="H514" s="67"/>
      <c r="I514" s="68"/>
    </row>
    <row r="515" spans="1:9" x14ac:dyDescent="0.25">
      <c r="A515" s="9"/>
      <c r="B515" s="23"/>
      <c r="C515" s="23"/>
      <c r="E515" s="66"/>
      <c r="F515" s="67"/>
      <c r="G515" s="67"/>
      <c r="H515" s="67"/>
      <c r="I515" s="68"/>
    </row>
    <row r="516" spans="1:9" x14ac:dyDescent="0.25">
      <c r="A516" s="9"/>
      <c r="B516" s="23"/>
      <c r="C516" s="23"/>
      <c r="E516" s="66"/>
      <c r="F516" s="67"/>
      <c r="G516" s="67"/>
      <c r="H516" s="67"/>
      <c r="I516" s="68"/>
    </row>
    <row r="517" spans="1:9" x14ac:dyDescent="0.25">
      <c r="A517" s="9"/>
      <c r="B517" s="23"/>
      <c r="C517" s="23"/>
      <c r="E517" s="66"/>
      <c r="F517" s="67"/>
      <c r="G517" s="67"/>
      <c r="H517" s="67"/>
      <c r="I517" s="68"/>
    </row>
    <row r="518" spans="1:9" x14ac:dyDescent="0.25">
      <c r="A518" s="9"/>
      <c r="B518" s="23"/>
      <c r="C518" s="23"/>
      <c r="E518" s="66"/>
      <c r="F518" s="67"/>
      <c r="G518" s="67"/>
      <c r="H518" s="67"/>
      <c r="I518" s="68"/>
    </row>
    <row r="519" spans="1:9" x14ac:dyDescent="0.25">
      <c r="A519" s="9"/>
      <c r="B519" s="23"/>
      <c r="C519" s="23"/>
      <c r="E519" s="66"/>
      <c r="F519" s="67"/>
      <c r="G519" s="67"/>
      <c r="H519" s="67"/>
      <c r="I519" s="68"/>
    </row>
    <row r="520" spans="1:9" x14ac:dyDescent="0.25">
      <c r="A520" s="9"/>
      <c r="B520" s="23"/>
      <c r="C520" s="23"/>
      <c r="E520" s="66"/>
      <c r="F520" s="67"/>
      <c r="G520" s="67"/>
      <c r="H520" s="67"/>
      <c r="I520" s="68"/>
    </row>
    <row r="521" spans="1:9" x14ac:dyDescent="0.25">
      <c r="A521" s="9"/>
      <c r="B521" s="23"/>
      <c r="C521" s="23"/>
      <c r="E521" s="66"/>
      <c r="F521" s="67"/>
      <c r="G521" s="67"/>
      <c r="H521" s="67"/>
      <c r="I521" s="68"/>
    </row>
    <row r="522" spans="1:9" x14ac:dyDescent="0.25">
      <c r="A522" s="9"/>
      <c r="B522" s="23"/>
      <c r="C522" s="23"/>
      <c r="E522" s="66"/>
      <c r="F522" s="67"/>
      <c r="G522" s="67"/>
      <c r="H522" s="67"/>
      <c r="I522" s="68"/>
    </row>
    <row r="523" spans="1:9" x14ac:dyDescent="0.25">
      <c r="A523" s="9"/>
      <c r="B523" s="23"/>
      <c r="C523" s="23"/>
      <c r="E523" s="66"/>
      <c r="F523" s="67"/>
      <c r="G523" s="67"/>
      <c r="H523" s="67"/>
      <c r="I523" s="68"/>
    </row>
    <row r="524" spans="1:9" x14ac:dyDescent="0.25">
      <c r="A524" s="9"/>
      <c r="B524" s="23"/>
      <c r="C524" s="23"/>
      <c r="E524" s="66"/>
      <c r="F524" s="67"/>
      <c r="G524" s="67"/>
      <c r="H524" s="67"/>
      <c r="I524" s="68"/>
    </row>
    <row r="525" spans="1:9" x14ac:dyDescent="0.25">
      <c r="A525" s="9"/>
      <c r="B525" s="23"/>
      <c r="C525" s="23"/>
      <c r="E525" s="66"/>
      <c r="F525" s="67"/>
      <c r="G525" s="67"/>
      <c r="H525" s="67"/>
      <c r="I525" s="68"/>
    </row>
    <row r="526" spans="1:9" x14ac:dyDescent="0.25">
      <c r="A526" s="9"/>
      <c r="B526" s="23"/>
      <c r="C526" s="23"/>
      <c r="E526" s="66"/>
      <c r="F526" s="67"/>
      <c r="G526" s="67"/>
      <c r="H526" s="67"/>
      <c r="I526" s="68"/>
    </row>
    <row r="527" spans="1:9" x14ac:dyDescent="0.25">
      <c r="A527" s="9"/>
      <c r="B527" s="23"/>
      <c r="C527" s="23"/>
      <c r="E527" s="66"/>
      <c r="F527" s="67"/>
      <c r="G527" s="67"/>
      <c r="H527" s="67"/>
      <c r="I527" s="68"/>
    </row>
    <row r="528" spans="1:9" x14ac:dyDescent="0.25">
      <c r="A528" s="9"/>
      <c r="B528" s="23"/>
      <c r="C528" s="23"/>
      <c r="E528" s="66"/>
      <c r="F528" s="67"/>
      <c r="G528" s="67"/>
      <c r="H528" s="67"/>
      <c r="I528" s="68"/>
    </row>
    <row r="529" spans="1:9" x14ac:dyDescent="0.25">
      <c r="A529" s="9"/>
      <c r="B529" s="23"/>
      <c r="C529" s="23"/>
      <c r="E529" s="66"/>
      <c r="F529" s="67"/>
      <c r="G529" s="67"/>
      <c r="H529" s="67"/>
      <c r="I529" s="68"/>
    </row>
    <row r="530" spans="1:9" x14ac:dyDescent="0.25">
      <c r="A530" s="9"/>
      <c r="B530" s="23"/>
      <c r="C530" s="23"/>
      <c r="E530" s="66"/>
      <c r="F530" s="67"/>
      <c r="G530" s="67"/>
      <c r="H530" s="67"/>
      <c r="I530" s="68"/>
    </row>
    <row r="531" spans="1:9" x14ac:dyDescent="0.25">
      <c r="A531" s="9"/>
      <c r="B531" s="23"/>
      <c r="C531" s="23"/>
      <c r="E531" s="66"/>
      <c r="F531" s="67"/>
      <c r="G531" s="67"/>
      <c r="H531" s="67"/>
      <c r="I531" s="68"/>
    </row>
    <row r="532" spans="1:9" x14ac:dyDescent="0.25">
      <c r="A532" s="9"/>
      <c r="B532" s="23"/>
      <c r="C532" s="23"/>
      <c r="E532" s="66"/>
      <c r="F532" s="67"/>
      <c r="G532" s="67"/>
      <c r="H532" s="67"/>
      <c r="I532" s="68"/>
    </row>
    <row r="533" spans="1:9" x14ac:dyDescent="0.25">
      <c r="A533" s="9"/>
      <c r="B533" s="23"/>
      <c r="C533" s="23"/>
      <c r="E533" s="66"/>
      <c r="F533" s="67"/>
      <c r="G533" s="67"/>
      <c r="H533" s="67"/>
      <c r="I533" s="68"/>
    </row>
    <row r="534" spans="1:9" x14ac:dyDescent="0.25">
      <c r="A534" s="9"/>
      <c r="B534" s="23"/>
      <c r="C534" s="23"/>
      <c r="E534" s="66"/>
      <c r="F534" s="67"/>
      <c r="G534" s="67"/>
      <c r="H534" s="67"/>
      <c r="I534" s="68"/>
    </row>
    <row r="535" spans="1:9" x14ac:dyDescent="0.25">
      <c r="A535" s="9"/>
      <c r="B535" s="23"/>
      <c r="C535" s="23"/>
      <c r="E535" s="66"/>
      <c r="F535" s="67"/>
      <c r="G535" s="67"/>
      <c r="H535" s="67"/>
      <c r="I535" s="68"/>
    </row>
    <row r="536" spans="1:9" x14ac:dyDescent="0.25">
      <c r="A536" s="9"/>
      <c r="B536" s="23"/>
      <c r="C536" s="23"/>
      <c r="E536" s="66"/>
      <c r="F536" s="67"/>
      <c r="G536" s="67"/>
      <c r="H536" s="67"/>
      <c r="I536" s="68"/>
    </row>
    <row r="537" spans="1:9" x14ac:dyDescent="0.25">
      <c r="A537" s="9"/>
      <c r="B537" s="23"/>
      <c r="C537" s="23"/>
      <c r="E537" s="66"/>
      <c r="F537" s="67"/>
      <c r="G537" s="67"/>
      <c r="H537" s="67"/>
      <c r="I537" s="68"/>
    </row>
    <row r="538" spans="1:9" x14ac:dyDescent="0.25">
      <c r="A538" s="9"/>
      <c r="B538" s="23"/>
      <c r="C538" s="23"/>
      <c r="E538" s="66"/>
      <c r="F538" s="67"/>
      <c r="G538" s="67"/>
      <c r="H538" s="67"/>
      <c r="I538" s="68"/>
    </row>
    <row r="539" spans="1:9" x14ac:dyDescent="0.25">
      <c r="A539" s="9"/>
      <c r="B539" s="23"/>
      <c r="C539" s="23"/>
      <c r="E539" s="66"/>
      <c r="F539" s="67"/>
      <c r="G539" s="67"/>
      <c r="H539" s="67"/>
      <c r="I539" s="68"/>
    </row>
    <row r="540" spans="1:9" x14ac:dyDescent="0.25">
      <c r="A540" s="9"/>
      <c r="B540" s="23"/>
      <c r="C540" s="23"/>
      <c r="E540" s="66"/>
      <c r="F540" s="67"/>
      <c r="G540" s="67"/>
      <c r="H540" s="67"/>
      <c r="I540" s="68"/>
    </row>
    <row r="541" spans="1:9" x14ac:dyDescent="0.25">
      <c r="A541" s="9"/>
      <c r="B541" s="23"/>
      <c r="C541" s="23"/>
      <c r="E541" s="66"/>
      <c r="F541" s="67"/>
      <c r="G541" s="67"/>
      <c r="H541" s="67"/>
      <c r="I541" s="68"/>
    </row>
    <row r="542" spans="1:9" x14ac:dyDescent="0.25">
      <c r="A542" s="9"/>
      <c r="B542" s="23"/>
      <c r="C542" s="23"/>
      <c r="E542" s="66"/>
      <c r="F542" s="67"/>
      <c r="G542" s="67"/>
      <c r="H542" s="67"/>
      <c r="I542" s="68"/>
    </row>
    <row r="543" spans="1:9" x14ac:dyDescent="0.25">
      <c r="A543" s="9"/>
      <c r="B543" s="23"/>
      <c r="C543" s="23"/>
      <c r="E543" s="66"/>
      <c r="F543" s="67"/>
      <c r="G543" s="67"/>
      <c r="H543" s="67"/>
      <c r="I543" s="68"/>
    </row>
    <row r="544" spans="1:9" x14ac:dyDescent="0.25">
      <c r="A544" s="9"/>
      <c r="B544" s="23"/>
      <c r="C544" s="23"/>
      <c r="E544" s="66"/>
      <c r="F544" s="67"/>
      <c r="G544" s="67"/>
      <c r="H544" s="67"/>
      <c r="I544" s="68"/>
    </row>
    <row r="545" spans="1:9" x14ac:dyDescent="0.25">
      <c r="A545" s="9"/>
      <c r="B545" s="23"/>
      <c r="C545" s="23"/>
      <c r="E545" s="66"/>
      <c r="F545" s="67"/>
      <c r="G545" s="67"/>
      <c r="H545" s="67"/>
      <c r="I545" s="68"/>
    </row>
    <row r="546" spans="1:9" x14ac:dyDescent="0.25">
      <c r="A546" s="9"/>
      <c r="B546" s="23"/>
      <c r="C546" s="23"/>
      <c r="E546" s="66"/>
      <c r="F546" s="67"/>
      <c r="G546" s="67"/>
      <c r="H546" s="67"/>
      <c r="I546" s="68"/>
    </row>
    <row r="547" spans="1:9" x14ac:dyDescent="0.25">
      <c r="A547" s="9"/>
      <c r="B547" s="23"/>
      <c r="C547" s="23"/>
      <c r="E547" s="66"/>
      <c r="F547" s="67"/>
      <c r="G547" s="67"/>
      <c r="H547" s="67"/>
      <c r="I547" s="68"/>
    </row>
    <row r="548" spans="1:9" x14ac:dyDescent="0.25">
      <c r="A548" s="9"/>
      <c r="B548" s="23"/>
      <c r="C548" s="23"/>
      <c r="E548" s="66"/>
      <c r="F548" s="67"/>
      <c r="G548" s="67"/>
      <c r="H548" s="67"/>
      <c r="I548" s="68"/>
    </row>
    <row r="549" spans="1:9" x14ac:dyDescent="0.25">
      <c r="A549" s="9"/>
      <c r="B549" s="23"/>
      <c r="C549" s="23"/>
      <c r="E549" s="66"/>
      <c r="F549" s="67"/>
      <c r="G549" s="67"/>
      <c r="H549" s="67"/>
      <c r="I549" s="68"/>
    </row>
    <row r="550" spans="1:9" x14ac:dyDescent="0.25">
      <c r="A550" s="9"/>
      <c r="B550" s="23"/>
      <c r="C550" s="23"/>
      <c r="E550" s="66"/>
      <c r="F550" s="67"/>
      <c r="G550" s="67"/>
      <c r="H550" s="67"/>
      <c r="I550" s="68"/>
    </row>
    <row r="551" spans="1:9" x14ac:dyDescent="0.25">
      <c r="A551" s="9"/>
      <c r="B551" s="23"/>
      <c r="C551" s="23"/>
      <c r="E551" s="66"/>
      <c r="F551" s="67"/>
      <c r="G551" s="67"/>
      <c r="H551" s="67"/>
      <c r="I551" s="68"/>
    </row>
    <row r="552" spans="1:9" x14ac:dyDescent="0.25">
      <c r="A552" s="9"/>
      <c r="B552" s="23"/>
      <c r="C552" s="23"/>
      <c r="E552" s="66"/>
      <c r="F552" s="67"/>
      <c r="G552" s="67"/>
      <c r="H552" s="67"/>
      <c r="I552" s="68"/>
    </row>
    <row r="553" spans="1:9" x14ac:dyDescent="0.25">
      <c r="A553" s="9"/>
      <c r="B553" s="23"/>
      <c r="C553" s="23"/>
      <c r="E553" s="66"/>
      <c r="F553" s="67"/>
      <c r="G553" s="67"/>
      <c r="H553" s="67"/>
      <c r="I553" s="68"/>
    </row>
    <row r="554" spans="1:9" x14ac:dyDescent="0.25">
      <c r="A554" s="9"/>
      <c r="B554" s="23"/>
      <c r="C554" s="23"/>
      <c r="E554" s="66"/>
      <c r="F554" s="67"/>
      <c r="G554" s="67"/>
      <c r="H554" s="67"/>
      <c r="I554" s="68"/>
    </row>
    <row r="555" spans="1:9" x14ac:dyDescent="0.25">
      <c r="A555" s="9"/>
      <c r="B555" s="23"/>
      <c r="C555" s="23"/>
      <c r="E555" s="66"/>
      <c r="F555" s="67"/>
      <c r="G555" s="67"/>
      <c r="H555" s="67"/>
      <c r="I555" s="68"/>
    </row>
    <row r="556" spans="1:9" x14ac:dyDescent="0.25">
      <c r="A556" s="9"/>
      <c r="B556" s="23"/>
      <c r="C556" s="23"/>
      <c r="E556" s="66"/>
      <c r="F556" s="67"/>
      <c r="G556" s="67"/>
      <c r="H556" s="67"/>
      <c r="I556" s="68"/>
    </row>
    <row r="557" spans="1:9" x14ac:dyDescent="0.25">
      <c r="A557" s="9"/>
      <c r="B557" s="23"/>
      <c r="C557" s="23"/>
      <c r="E557" s="66"/>
      <c r="F557" s="67"/>
      <c r="G557" s="67"/>
      <c r="H557" s="67"/>
      <c r="I557" s="68"/>
    </row>
    <row r="558" spans="1:9" x14ac:dyDescent="0.25">
      <c r="A558" s="9"/>
      <c r="B558" s="23"/>
      <c r="C558" s="23"/>
      <c r="E558" s="66"/>
      <c r="F558" s="67"/>
      <c r="G558" s="67"/>
      <c r="H558" s="67"/>
      <c r="I558" s="68"/>
    </row>
    <row r="559" spans="1:9" x14ac:dyDescent="0.25">
      <c r="A559" s="9"/>
      <c r="B559" s="23"/>
      <c r="C559" s="23"/>
      <c r="E559" s="66"/>
      <c r="F559" s="67"/>
      <c r="G559" s="67"/>
      <c r="H559" s="67"/>
      <c r="I559" s="68"/>
    </row>
    <row r="560" spans="1:9" x14ac:dyDescent="0.25">
      <c r="A560" s="9"/>
      <c r="B560" s="23"/>
      <c r="C560" s="23"/>
      <c r="E560" s="66"/>
      <c r="F560" s="67"/>
      <c r="G560" s="67"/>
      <c r="H560" s="67"/>
      <c r="I560" s="68"/>
    </row>
    <row r="561" spans="1:9" x14ac:dyDescent="0.25">
      <c r="A561" s="9"/>
      <c r="B561" s="23"/>
      <c r="C561" s="23"/>
      <c r="E561" s="66"/>
      <c r="F561" s="67"/>
      <c r="G561" s="67"/>
      <c r="H561" s="67"/>
      <c r="I561" s="68"/>
    </row>
    <row r="562" spans="1:9" x14ac:dyDescent="0.25">
      <c r="A562" s="9"/>
      <c r="B562" s="23"/>
      <c r="C562" s="23"/>
      <c r="E562" s="66"/>
      <c r="F562" s="67"/>
      <c r="G562" s="67"/>
      <c r="H562" s="67"/>
      <c r="I562" s="68"/>
    </row>
    <row r="563" spans="1:9" x14ac:dyDescent="0.25">
      <c r="A563" s="9"/>
      <c r="B563" s="23"/>
      <c r="C563" s="23"/>
      <c r="E563" s="66"/>
      <c r="F563" s="67"/>
      <c r="G563" s="67"/>
      <c r="H563" s="67"/>
      <c r="I563" s="68"/>
    </row>
    <row r="564" spans="1:9" x14ac:dyDescent="0.25">
      <c r="A564" s="9"/>
      <c r="B564" s="23"/>
      <c r="C564" s="23"/>
      <c r="E564" s="66"/>
      <c r="F564" s="67"/>
      <c r="G564" s="67"/>
      <c r="H564" s="67"/>
      <c r="I564" s="68"/>
    </row>
    <row r="565" spans="1:9" x14ac:dyDescent="0.25">
      <c r="A565" s="9"/>
      <c r="B565" s="23"/>
      <c r="C565" s="23"/>
      <c r="E565" s="66"/>
      <c r="F565" s="67"/>
      <c r="G565" s="67"/>
      <c r="H565" s="67"/>
      <c r="I565" s="68"/>
    </row>
    <row r="566" spans="1:9" x14ac:dyDescent="0.25">
      <c r="A566" s="9"/>
      <c r="B566" s="23"/>
      <c r="C566" s="23"/>
      <c r="E566" s="66"/>
      <c r="F566" s="67"/>
      <c r="G566" s="67"/>
      <c r="H566" s="67"/>
      <c r="I566" s="68"/>
    </row>
    <row r="567" spans="1:9" x14ac:dyDescent="0.25">
      <c r="A567" s="9"/>
      <c r="B567" s="23"/>
      <c r="C567" s="23"/>
      <c r="E567" s="66"/>
      <c r="F567" s="67"/>
      <c r="G567" s="67"/>
      <c r="H567" s="67"/>
      <c r="I567" s="68"/>
    </row>
    <row r="568" spans="1:9" x14ac:dyDescent="0.25">
      <c r="A568" s="9"/>
      <c r="B568" s="23"/>
      <c r="C568" s="23"/>
      <c r="E568" s="66"/>
      <c r="F568" s="67"/>
      <c r="G568" s="67"/>
      <c r="H568" s="67"/>
      <c r="I568" s="68"/>
    </row>
    <row r="569" spans="1:9" x14ac:dyDescent="0.25">
      <c r="A569" s="9"/>
      <c r="B569" s="23"/>
      <c r="C569" s="23"/>
      <c r="E569" s="66"/>
      <c r="F569" s="67"/>
      <c r="G569" s="67"/>
      <c r="H569" s="67"/>
      <c r="I569" s="68"/>
    </row>
    <row r="570" spans="1:9" x14ac:dyDescent="0.25">
      <c r="A570" s="9"/>
      <c r="B570" s="23"/>
      <c r="C570" s="23"/>
      <c r="E570" s="66"/>
      <c r="F570" s="67"/>
      <c r="G570" s="67"/>
      <c r="H570" s="67"/>
      <c r="I570" s="68"/>
    </row>
    <row r="571" spans="1:9" x14ac:dyDescent="0.25">
      <c r="A571" s="9"/>
      <c r="B571" s="23"/>
      <c r="C571" s="23"/>
      <c r="E571" s="66"/>
      <c r="F571" s="67"/>
      <c r="G571" s="67"/>
      <c r="H571" s="67"/>
      <c r="I571" s="68"/>
    </row>
    <row r="572" spans="1:9" x14ac:dyDescent="0.25">
      <c r="A572" s="9"/>
      <c r="B572" s="23"/>
      <c r="C572" s="23"/>
      <c r="E572" s="66"/>
      <c r="F572" s="67"/>
      <c r="G572" s="67"/>
      <c r="H572" s="67"/>
      <c r="I572" s="68"/>
    </row>
    <row r="573" spans="1:9" x14ac:dyDescent="0.25">
      <c r="A573" s="9"/>
      <c r="B573" s="23"/>
      <c r="C573" s="23"/>
      <c r="E573" s="66"/>
      <c r="F573" s="67"/>
      <c r="G573" s="67"/>
      <c r="H573" s="67"/>
      <c r="I573" s="68"/>
    </row>
    <row r="574" spans="1:9" x14ac:dyDescent="0.25">
      <c r="A574" s="9"/>
      <c r="B574" s="23"/>
      <c r="C574" s="23"/>
      <c r="E574" s="66"/>
      <c r="F574" s="67"/>
      <c r="G574" s="67"/>
      <c r="H574" s="67"/>
      <c r="I574" s="68"/>
    </row>
    <row r="575" spans="1:9" x14ac:dyDescent="0.25">
      <c r="A575" s="9"/>
      <c r="B575" s="23"/>
      <c r="C575" s="23"/>
      <c r="E575" s="66"/>
      <c r="F575" s="67"/>
      <c r="G575" s="67"/>
      <c r="H575" s="67"/>
      <c r="I575" s="68"/>
    </row>
    <row r="576" spans="1:9" x14ac:dyDescent="0.25">
      <c r="A576" s="9"/>
      <c r="B576" s="23"/>
      <c r="C576" s="23"/>
      <c r="E576" s="66"/>
      <c r="F576" s="67"/>
      <c r="G576" s="67"/>
      <c r="H576" s="67"/>
      <c r="I576" s="68"/>
    </row>
    <row r="577" spans="1:9" x14ac:dyDescent="0.25">
      <c r="A577" s="9"/>
      <c r="B577" s="23"/>
      <c r="C577" s="23"/>
      <c r="E577" s="66"/>
      <c r="F577" s="67"/>
      <c r="G577" s="67"/>
      <c r="H577" s="67"/>
      <c r="I577" s="68"/>
    </row>
    <row r="578" spans="1:9" x14ac:dyDescent="0.25">
      <c r="A578" s="9"/>
      <c r="B578" s="23"/>
      <c r="C578" s="23"/>
      <c r="E578" s="66"/>
      <c r="F578" s="67"/>
      <c r="G578" s="67"/>
      <c r="H578" s="67"/>
      <c r="I578" s="68"/>
    </row>
    <row r="579" spans="1:9" x14ac:dyDescent="0.25">
      <c r="A579" s="9"/>
      <c r="B579" s="23"/>
      <c r="C579" s="23"/>
      <c r="E579" s="66"/>
      <c r="F579" s="67"/>
      <c r="G579" s="67"/>
      <c r="H579" s="67"/>
      <c r="I579" s="68"/>
    </row>
    <row r="580" spans="1:9" x14ac:dyDescent="0.25">
      <c r="A580" s="9"/>
      <c r="B580" s="23"/>
      <c r="C580" s="23"/>
      <c r="E580" s="66"/>
      <c r="F580" s="67"/>
      <c r="G580" s="67"/>
      <c r="H580" s="67"/>
      <c r="I580" s="68"/>
    </row>
    <row r="581" spans="1:9" x14ac:dyDescent="0.25">
      <c r="A581" s="9"/>
      <c r="B581" s="23"/>
      <c r="C581" s="23"/>
      <c r="E581" s="66"/>
      <c r="F581" s="67"/>
      <c r="G581" s="67"/>
      <c r="H581" s="67"/>
      <c r="I581" s="68"/>
    </row>
    <row r="582" spans="1:9" x14ac:dyDescent="0.25">
      <c r="A582" s="9"/>
      <c r="B582" s="23"/>
      <c r="C582" s="23"/>
      <c r="E582" s="66"/>
      <c r="F582" s="67"/>
      <c r="G582" s="67"/>
      <c r="H582" s="67"/>
      <c r="I582" s="68"/>
    </row>
    <row r="583" spans="1:9" x14ac:dyDescent="0.25">
      <c r="A583" s="9"/>
      <c r="B583" s="23"/>
      <c r="C583" s="23"/>
      <c r="E583" s="66"/>
      <c r="F583" s="67"/>
      <c r="G583" s="67"/>
      <c r="H583" s="67"/>
      <c r="I583" s="68"/>
    </row>
    <row r="584" spans="1:9" x14ac:dyDescent="0.25">
      <c r="A584" s="9"/>
      <c r="B584" s="23"/>
      <c r="C584" s="23"/>
      <c r="E584" s="66"/>
      <c r="F584" s="67"/>
      <c r="G584" s="67"/>
      <c r="H584" s="67"/>
      <c r="I584" s="68"/>
    </row>
    <row r="585" spans="1:9" x14ac:dyDescent="0.25">
      <c r="A585" s="9"/>
      <c r="B585" s="23"/>
      <c r="C585" s="23"/>
      <c r="E585" s="66"/>
      <c r="F585" s="67"/>
      <c r="G585" s="67"/>
      <c r="H585" s="67"/>
      <c r="I585" s="68"/>
    </row>
    <row r="586" spans="1:9" x14ac:dyDescent="0.25">
      <c r="A586" s="9"/>
      <c r="B586" s="23"/>
      <c r="C586" s="23"/>
      <c r="E586" s="66"/>
      <c r="F586" s="67"/>
      <c r="G586" s="67"/>
      <c r="H586" s="67"/>
      <c r="I586" s="68"/>
    </row>
    <row r="587" spans="1:9" x14ac:dyDescent="0.25">
      <c r="A587" s="9"/>
      <c r="B587" s="23"/>
      <c r="C587" s="23"/>
      <c r="E587" s="66"/>
      <c r="F587" s="67"/>
      <c r="G587" s="67"/>
      <c r="H587" s="67"/>
      <c r="I587" s="68"/>
    </row>
    <row r="588" spans="1:9" x14ac:dyDescent="0.25">
      <c r="A588" s="9"/>
      <c r="B588" s="23"/>
      <c r="C588" s="23"/>
      <c r="E588" s="66"/>
      <c r="F588" s="67"/>
      <c r="G588" s="67"/>
      <c r="H588" s="67"/>
      <c r="I588" s="68"/>
    </row>
    <row r="589" spans="1:9" x14ac:dyDescent="0.25">
      <c r="A589" s="9"/>
      <c r="B589" s="23"/>
      <c r="C589" s="23"/>
      <c r="E589" s="66"/>
      <c r="F589" s="67"/>
      <c r="G589" s="67"/>
      <c r="H589" s="67"/>
      <c r="I589" s="68"/>
    </row>
    <row r="590" spans="1:9" x14ac:dyDescent="0.25">
      <c r="A590" s="9"/>
      <c r="B590" s="23"/>
      <c r="C590" s="23"/>
      <c r="E590" s="66"/>
      <c r="F590" s="67"/>
      <c r="G590" s="67"/>
      <c r="H590" s="67"/>
      <c r="I590" s="68"/>
    </row>
    <row r="591" spans="1:9" x14ac:dyDescent="0.25">
      <c r="A591" s="9"/>
      <c r="B591" s="23"/>
      <c r="C591" s="23"/>
      <c r="E591" s="66"/>
      <c r="F591" s="67"/>
      <c r="G591" s="67"/>
      <c r="H591" s="67"/>
      <c r="I591" s="68"/>
    </row>
    <row r="592" spans="1:9" x14ac:dyDescent="0.25">
      <c r="A592" s="9"/>
      <c r="B592" s="23"/>
      <c r="C592" s="23"/>
      <c r="E592" s="66"/>
      <c r="F592" s="67"/>
      <c r="G592" s="67"/>
      <c r="H592" s="67"/>
      <c r="I592" s="68"/>
    </row>
    <row r="593" spans="1:9" x14ac:dyDescent="0.25">
      <c r="A593" s="9"/>
      <c r="B593" s="23"/>
      <c r="C593" s="23"/>
      <c r="E593" s="66"/>
      <c r="F593" s="67"/>
      <c r="G593" s="67"/>
      <c r="H593" s="67"/>
      <c r="I593" s="68"/>
    </row>
    <row r="594" spans="1:9" x14ac:dyDescent="0.25">
      <c r="A594" s="9"/>
      <c r="B594" s="23"/>
      <c r="C594" s="23"/>
      <c r="E594" s="66"/>
      <c r="F594" s="67"/>
      <c r="G594" s="67"/>
      <c r="H594" s="67"/>
      <c r="I594" s="68"/>
    </row>
    <row r="595" spans="1:9" x14ac:dyDescent="0.25">
      <c r="A595" s="9"/>
      <c r="B595" s="23"/>
      <c r="C595" s="23"/>
      <c r="E595" s="66"/>
      <c r="F595" s="67"/>
      <c r="G595" s="67"/>
      <c r="H595" s="67"/>
      <c r="I595" s="68"/>
    </row>
    <row r="596" spans="1:9" x14ac:dyDescent="0.25">
      <c r="A596" s="9"/>
      <c r="B596" s="23"/>
      <c r="C596" s="23"/>
      <c r="E596" s="66"/>
      <c r="F596" s="67"/>
      <c r="G596" s="67"/>
      <c r="H596" s="67"/>
      <c r="I596" s="68"/>
    </row>
    <row r="597" spans="1:9" x14ac:dyDescent="0.25">
      <c r="A597" s="9"/>
      <c r="B597" s="23"/>
      <c r="C597" s="23"/>
      <c r="E597" s="66"/>
      <c r="F597" s="67"/>
      <c r="G597" s="67"/>
      <c r="H597" s="67"/>
      <c r="I597" s="68"/>
    </row>
    <row r="598" spans="1:9" x14ac:dyDescent="0.25">
      <c r="A598" s="9"/>
      <c r="B598" s="23"/>
      <c r="C598" s="23"/>
      <c r="E598" s="66"/>
      <c r="F598" s="67"/>
      <c r="G598" s="67"/>
      <c r="H598" s="67"/>
      <c r="I598" s="68"/>
    </row>
    <row r="599" spans="1:9" x14ac:dyDescent="0.25">
      <c r="A599" s="9"/>
      <c r="B599" s="23"/>
      <c r="C599" s="23"/>
      <c r="E599" s="66"/>
      <c r="F599" s="67"/>
      <c r="G599" s="67"/>
      <c r="H599" s="67"/>
      <c r="I599" s="68"/>
    </row>
    <row r="600" spans="1:9" x14ac:dyDescent="0.25">
      <c r="A600" s="9"/>
      <c r="B600" s="23"/>
      <c r="C600" s="23"/>
      <c r="E600" s="66"/>
      <c r="F600" s="67"/>
      <c r="G600" s="67"/>
      <c r="H600" s="67"/>
      <c r="I600" s="68"/>
    </row>
    <row r="601" spans="1:9" x14ac:dyDescent="0.25">
      <c r="C601" s="23"/>
      <c r="E601" s="66"/>
      <c r="F601" s="67"/>
      <c r="G601" s="67"/>
      <c r="H601" s="67"/>
      <c r="I601" s="68"/>
    </row>
    <row r="602" spans="1:9" x14ac:dyDescent="0.25">
      <c r="C602" s="23"/>
      <c r="E602" s="66"/>
      <c r="F602" s="67"/>
      <c r="G602" s="67"/>
      <c r="H602" s="67"/>
      <c r="I602" s="68"/>
    </row>
    <row r="603" spans="1:9" x14ac:dyDescent="0.25">
      <c r="E603" s="66"/>
      <c r="F603" s="67"/>
      <c r="G603" s="67"/>
      <c r="H603" s="67"/>
      <c r="I603" s="68"/>
    </row>
    <row r="604" spans="1:9" x14ac:dyDescent="0.25">
      <c r="E604" s="66"/>
      <c r="F604" s="67"/>
      <c r="G604" s="67"/>
      <c r="H604" s="67"/>
      <c r="I604" s="68"/>
    </row>
    <row r="605" spans="1:9" x14ac:dyDescent="0.25">
      <c r="E605" s="66"/>
      <c r="F605" s="67"/>
      <c r="G605" s="67"/>
      <c r="H605" s="67"/>
      <c r="I605" s="68"/>
    </row>
    <row r="606" spans="1:9" x14ac:dyDescent="0.25">
      <c r="E606" s="66"/>
      <c r="F606" s="67"/>
      <c r="G606" s="67"/>
      <c r="H606" s="67"/>
      <c r="I606" s="68"/>
    </row>
    <row r="607" spans="1:9" x14ac:dyDescent="0.25">
      <c r="E607" s="66"/>
      <c r="F607" s="67"/>
      <c r="G607" s="67"/>
      <c r="H607" s="67"/>
      <c r="I607" s="68"/>
    </row>
    <row r="608" spans="1:9" x14ac:dyDescent="0.25">
      <c r="E608" s="66"/>
      <c r="F608" s="67"/>
      <c r="G608" s="67"/>
      <c r="H608" s="67"/>
      <c r="I608" s="68"/>
    </row>
    <row r="609" spans="5:9" x14ac:dyDescent="0.25">
      <c r="E609" s="66"/>
      <c r="F609" s="67"/>
      <c r="G609" s="67"/>
      <c r="H609" s="67"/>
      <c r="I609" s="68"/>
    </row>
    <row r="610" spans="5:9" x14ac:dyDescent="0.25">
      <c r="E610" s="66"/>
      <c r="F610" s="67"/>
      <c r="G610" s="67"/>
      <c r="H610" s="67"/>
      <c r="I610" s="68"/>
    </row>
    <row r="611" spans="5:9" x14ac:dyDescent="0.25">
      <c r="E611" s="66"/>
      <c r="F611" s="67"/>
      <c r="G611" s="67"/>
      <c r="H611" s="67"/>
      <c r="I611" s="68"/>
    </row>
    <row r="612" spans="5:9" x14ac:dyDescent="0.25">
      <c r="E612" s="66"/>
      <c r="F612" s="67"/>
      <c r="G612" s="67"/>
      <c r="H612" s="67"/>
      <c r="I612" s="68"/>
    </row>
    <row r="613" spans="5:9" x14ac:dyDescent="0.25">
      <c r="E613" s="66"/>
      <c r="F613" s="67"/>
      <c r="G613" s="67"/>
      <c r="H613" s="67"/>
      <c r="I613" s="68"/>
    </row>
    <row r="614" spans="5:9" x14ac:dyDescent="0.25">
      <c r="E614" s="66"/>
      <c r="F614" s="67"/>
      <c r="G614" s="67"/>
      <c r="H614" s="67"/>
      <c r="I614" s="68"/>
    </row>
    <row r="615" spans="5:9" x14ac:dyDescent="0.25">
      <c r="E615" s="66"/>
      <c r="F615" s="67"/>
      <c r="G615" s="67"/>
      <c r="H615" s="67"/>
      <c r="I615" s="68"/>
    </row>
    <row r="616" spans="5:9" x14ac:dyDescent="0.25">
      <c r="E616" s="66"/>
      <c r="F616" s="67"/>
      <c r="G616" s="67"/>
      <c r="H616" s="67"/>
      <c r="I616" s="68"/>
    </row>
    <row r="617" spans="5:9" x14ac:dyDescent="0.25">
      <c r="E617" s="66"/>
      <c r="F617" s="67"/>
      <c r="G617" s="67"/>
      <c r="H617" s="67"/>
      <c r="I617" s="68"/>
    </row>
    <row r="618" spans="5:9" x14ac:dyDescent="0.25">
      <c r="E618" s="66"/>
      <c r="F618" s="67"/>
      <c r="G618" s="67"/>
      <c r="H618" s="67"/>
      <c r="I618" s="68"/>
    </row>
    <row r="619" spans="5:9" x14ac:dyDescent="0.25">
      <c r="E619" s="66"/>
      <c r="F619" s="67"/>
      <c r="G619" s="67"/>
      <c r="H619" s="67"/>
      <c r="I619" s="68"/>
    </row>
    <row r="620" spans="5:9" x14ac:dyDescent="0.25">
      <c r="E620" s="66"/>
      <c r="F620" s="67"/>
      <c r="G620" s="67"/>
      <c r="H620" s="67"/>
      <c r="I620" s="68"/>
    </row>
    <row r="621" spans="5:9" x14ac:dyDescent="0.25">
      <c r="E621" s="66"/>
      <c r="F621" s="67"/>
      <c r="G621" s="67"/>
      <c r="H621" s="67"/>
      <c r="I621" s="68"/>
    </row>
    <row r="622" spans="5:9" x14ac:dyDescent="0.25">
      <c r="E622" s="66"/>
      <c r="F622" s="67"/>
      <c r="G622" s="67"/>
      <c r="H622" s="67"/>
      <c r="I622" s="68"/>
    </row>
    <row r="623" spans="5:9" x14ac:dyDescent="0.25">
      <c r="E623" s="66"/>
      <c r="F623" s="67"/>
      <c r="G623" s="67"/>
      <c r="H623" s="67"/>
      <c r="I623" s="68"/>
    </row>
    <row r="624" spans="5:9" x14ac:dyDescent="0.25">
      <c r="E624" s="66"/>
      <c r="F624" s="67"/>
      <c r="G624" s="67"/>
      <c r="H624" s="67"/>
      <c r="I624" s="68"/>
    </row>
    <row r="625" spans="5:9" x14ac:dyDescent="0.25">
      <c r="E625" s="66"/>
      <c r="F625" s="67"/>
      <c r="G625" s="67"/>
      <c r="H625" s="67"/>
      <c r="I625" s="68"/>
    </row>
    <row r="626" spans="5:9" x14ac:dyDescent="0.25">
      <c r="E626" s="66"/>
      <c r="F626" s="67"/>
      <c r="G626" s="67"/>
      <c r="H626" s="67"/>
      <c r="I626" s="68"/>
    </row>
    <row r="627" spans="5:9" x14ac:dyDescent="0.25">
      <c r="E627" s="66"/>
      <c r="F627" s="67"/>
      <c r="G627" s="67"/>
      <c r="H627" s="67"/>
      <c r="I627" s="68"/>
    </row>
    <row r="628" spans="5:9" x14ac:dyDescent="0.25">
      <c r="E628" s="66"/>
      <c r="F628" s="67"/>
      <c r="G628" s="67"/>
      <c r="H628" s="67"/>
      <c r="I628" s="68"/>
    </row>
    <row r="629" spans="5:9" x14ac:dyDescent="0.25">
      <c r="E629" s="66"/>
      <c r="F629" s="67"/>
      <c r="G629" s="67"/>
      <c r="H629" s="67"/>
      <c r="I629" s="68"/>
    </row>
    <row r="630" spans="5:9" x14ac:dyDescent="0.25">
      <c r="E630" s="66"/>
      <c r="F630" s="67"/>
      <c r="G630" s="67"/>
      <c r="H630" s="67"/>
      <c r="I630" s="68"/>
    </row>
    <row r="631" spans="5:9" x14ac:dyDescent="0.25">
      <c r="E631" s="66"/>
      <c r="F631" s="67"/>
      <c r="G631" s="67"/>
      <c r="H631" s="67"/>
      <c r="I631" s="68"/>
    </row>
    <row r="632" spans="5:9" x14ac:dyDescent="0.25">
      <c r="E632" s="66"/>
      <c r="F632" s="67"/>
      <c r="G632" s="67"/>
      <c r="H632" s="67"/>
      <c r="I632" s="68"/>
    </row>
    <row r="633" spans="5:9" x14ac:dyDescent="0.25">
      <c r="E633" s="66"/>
      <c r="F633" s="67"/>
      <c r="G633" s="67"/>
      <c r="H633" s="67"/>
      <c r="I633" s="68"/>
    </row>
    <row r="634" spans="5:9" x14ac:dyDescent="0.25">
      <c r="E634" s="66"/>
      <c r="F634" s="67"/>
      <c r="G634" s="67"/>
      <c r="H634" s="67"/>
      <c r="I634" s="68"/>
    </row>
    <row r="635" spans="5:9" x14ac:dyDescent="0.25">
      <c r="E635" s="66"/>
      <c r="F635" s="67"/>
      <c r="G635" s="67"/>
      <c r="H635" s="67"/>
      <c r="I635" s="68"/>
    </row>
    <row r="636" spans="5:9" x14ac:dyDescent="0.25">
      <c r="E636" s="66"/>
      <c r="F636" s="67"/>
      <c r="G636" s="67"/>
      <c r="H636" s="67"/>
      <c r="I636" s="68"/>
    </row>
    <row r="637" spans="5:9" x14ac:dyDescent="0.25">
      <c r="E637" s="66"/>
      <c r="F637" s="67"/>
      <c r="G637" s="67"/>
      <c r="H637" s="67"/>
      <c r="I637" s="68"/>
    </row>
    <row r="638" spans="5:9" x14ac:dyDescent="0.25">
      <c r="E638" s="66"/>
      <c r="F638" s="67"/>
      <c r="G638" s="67"/>
      <c r="H638" s="67"/>
      <c r="I638" s="68"/>
    </row>
    <row r="639" spans="5:9" x14ac:dyDescent="0.25">
      <c r="E639" s="66"/>
      <c r="F639" s="67"/>
      <c r="G639" s="67"/>
      <c r="H639" s="67"/>
      <c r="I639" s="68"/>
    </row>
    <row r="640" spans="5:9" x14ac:dyDescent="0.25">
      <c r="E640" s="66"/>
      <c r="F640" s="67"/>
      <c r="G640" s="67"/>
      <c r="H640" s="67"/>
      <c r="I640" s="68"/>
    </row>
    <row r="641" spans="5:9" x14ac:dyDescent="0.25">
      <c r="E641" s="66"/>
      <c r="F641" s="67"/>
      <c r="G641" s="67"/>
      <c r="H641" s="67"/>
      <c r="I641" s="68"/>
    </row>
    <row r="642" spans="5:9" x14ac:dyDescent="0.25">
      <c r="E642" s="66"/>
      <c r="F642" s="67"/>
      <c r="G642" s="67"/>
      <c r="H642" s="67"/>
      <c r="I642" s="68"/>
    </row>
    <row r="643" spans="5:9" x14ac:dyDescent="0.25">
      <c r="E643" s="66"/>
      <c r="F643" s="67"/>
      <c r="G643" s="67"/>
      <c r="H643" s="67"/>
      <c r="I643" s="68"/>
    </row>
    <row r="644" spans="5:9" x14ac:dyDescent="0.25">
      <c r="E644" s="66"/>
      <c r="F644" s="67"/>
      <c r="G644" s="67"/>
      <c r="H644" s="67"/>
      <c r="I644" s="68"/>
    </row>
    <row r="645" spans="5:9" x14ac:dyDescent="0.25">
      <c r="E645" s="66"/>
      <c r="F645" s="67"/>
      <c r="G645" s="67"/>
      <c r="H645" s="67"/>
      <c r="I645" s="68"/>
    </row>
    <row r="646" spans="5:9" x14ac:dyDescent="0.25">
      <c r="E646" s="66"/>
      <c r="F646" s="67"/>
      <c r="G646" s="67"/>
      <c r="H646" s="67"/>
      <c r="I646" s="68"/>
    </row>
    <row r="647" spans="5:9" x14ac:dyDescent="0.25">
      <c r="E647" s="66"/>
      <c r="F647" s="67"/>
      <c r="G647" s="67"/>
      <c r="H647" s="67"/>
      <c r="I647" s="68"/>
    </row>
    <row r="648" spans="5:9" x14ac:dyDescent="0.25">
      <c r="E648" s="66"/>
      <c r="F648" s="67"/>
      <c r="G648" s="67"/>
      <c r="H648" s="67"/>
      <c r="I648" s="68"/>
    </row>
    <row r="649" spans="5:9" x14ac:dyDescent="0.25">
      <c r="E649" s="66"/>
      <c r="F649" s="67"/>
      <c r="G649" s="67"/>
      <c r="H649" s="67"/>
      <c r="I649" s="68"/>
    </row>
    <row r="650" spans="5:9" x14ac:dyDescent="0.25">
      <c r="E650" s="66"/>
      <c r="F650" s="67"/>
      <c r="G650" s="67"/>
      <c r="H650" s="67"/>
      <c r="I650" s="68"/>
    </row>
    <row r="651" spans="5:9" x14ac:dyDescent="0.25">
      <c r="E651" s="66"/>
      <c r="F651" s="67"/>
      <c r="G651" s="67"/>
      <c r="H651" s="67"/>
      <c r="I651" s="68"/>
    </row>
    <row r="652" spans="5:9" x14ac:dyDescent="0.25">
      <c r="E652" s="66"/>
      <c r="F652" s="67"/>
      <c r="G652" s="67"/>
      <c r="H652" s="67"/>
      <c r="I652" s="68"/>
    </row>
    <row r="653" spans="5:9" x14ac:dyDescent="0.25">
      <c r="E653" s="66"/>
      <c r="F653" s="67"/>
      <c r="G653" s="67"/>
      <c r="H653" s="67"/>
      <c r="I653" s="68"/>
    </row>
    <row r="654" spans="5:9" x14ac:dyDescent="0.25">
      <c r="E654" s="66"/>
      <c r="F654" s="67"/>
      <c r="G654" s="67"/>
      <c r="H654" s="67"/>
      <c r="I654" s="68"/>
    </row>
    <row r="655" spans="5:9" x14ac:dyDescent="0.25">
      <c r="E655" s="66"/>
      <c r="F655" s="67"/>
      <c r="G655" s="67"/>
      <c r="H655" s="67"/>
      <c r="I655" s="68"/>
    </row>
    <row r="656" spans="5:9" x14ac:dyDescent="0.25">
      <c r="E656" s="66"/>
      <c r="F656" s="67"/>
      <c r="G656" s="67"/>
      <c r="H656" s="67"/>
      <c r="I656" s="68"/>
    </row>
    <row r="657" spans="5:9" x14ac:dyDescent="0.25">
      <c r="E657" s="66"/>
      <c r="F657" s="67"/>
      <c r="G657" s="67"/>
      <c r="H657" s="67"/>
      <c r="I657" s="68"/>
    </row>
    <row r="658" spans="5:9" x14ac:dyDescent="0.25">
      <c r="E658" s="66"/>
      <c r="F658" s="67"/>
      <c r="G658" s="67"/>
      <c r="H658" s="67"/>
      <c r="I658" s="68"/>
    </row>
    <row r="659" spans="5:9" x14ac:dyDescent="0.25">
      <c r="E659" s="66"/>
      <c r="F659" s="67"/>
      <c r="G659" s="67"/>
      <c r="H659" s="67"/>
      <c r="I659" s="68"/>
    </row>
    <row r="660" spans="5:9" x14ac:dyDescent="0.25">
      <c r="E660" s="66"/>
      <c r="F660" s="67"/>
      <c r="G660" s="67"/>
      <c r="H660" s="67"/>
      <c r="I660" s="68"/>
    </row>
    <row r="661" spans="5:9" x14ac:dyDescent="0.25">
      <c r="E661" s="66"/>
      <c r="F661" s="67"/>
      <c r="G661" s="67"/>
      <c r="H661" s="67"/>
      <c r="I661" s="68"/>
    </row>
    <row r="662" spans="5:9" x14ac:dyDescent="0.25">
      <c r="E662" s="66"/>
      <c r="F662" s="67"/>
      <c r="G662" s="67"/>
      <c r="H662" s="67"/>
      <c r="I662" s="68"/>
    </row>
    <row r="663" spans="5:9" x14ac:dyDescent="0.25">
      <c r="E663" s="66"/>
      <c r="F663" s="67"/>
      <c r="G663" s="67"/>
      <c r="H663" s="67"/>
      <c r="I663" s="68"/>
    </row>
    <row r="664" spans="5:9" x14ac:dyDescent="0.25">
      <c r="E664" s="66"/>
      <c r="F664" s="67"/>
      <c r="G664" s="67"/>
      <c r="H664" s="67"/>
      <c r="I664" s="68"/>
    </row>
    <row r="665" spans="5:9" x14ac:dyDescent="0.25">
      <c r="E665" s="66"/>
      <c r="F665" s="67"/>
      <c r="G665" s="67"/>
      <c r="H665" s="67"/>
      <c r="I665" s="68"/>
    </row>
    <row r="666" spans="5:9" x14ac:dyDescent="0.25">
      <c r="E666" s="66"/>
      <c r="F666" s="67"/>
      <c r="G666" s="67"/>
      <c r="H666" s="67"/>
      <c r="I666" s="68"/>
    </row>
    <row r="667" spans="5:9" x14ac:dyDescent="0.25">
      <c r="E667" s="66"/>
      <c r="F667" s="67"/>
      <c r="G667" s="67"/>
      <c r="H667" s="67"/>
      <c r="I667" s="68"/>
    </row>
    <row r="668" spans="5:9" x14ac:dyDescent="0.25">
      <c r="E668" s="66"/>
      <c r="F668" s="67"/>
      <c r="G668" s="67"/>
      <c r="H668" s="67"/>
      <c r="I668" s="68"/>
    </row>
    <row r="669" spans="5:9" x14ac:dyDescent="0.25">
      <c r="E669" s="66"/>
      <c r="F669" s="67"/>
      <c r="G669" s="67"/>
      <c r="H669" s="67"/>
      <c r="I669" s="68"/>
    </row>
    <row r="670" spans="5:9" x14ac:dyDescent="0.25">
      <c r="E670" s="66"/>
      <c r="F670" s="67"/>
      <c r="G670" s="67"/>
      <c r="H670" s="67"/>
      <c r="I670" s="68"/>
    </row>
    <row r="671" spans="5:9" x14ac:dyDescent="0.25">
      <c r="E671" s="66"/>
      <c r="F671" s="67"/>
      <c r="G671" s="67"/>
      <c r="H671" s="67"/>
      <c r="I671" s="68"/>
    </row>
    <row r="672" spans="5:9" x14ac:dyDescent="0.25">
      <c r="E672" s="66"/>
      <c r="F672" s="67"/>
      <c r="G672" s="67"/>
      <c r="H672" s="67"/>
      <c r="I672" s="68"/>
    </row>
    <row r="673" spans="5:9" x14ac:dyDescent="0.25">
      <c r="E673" s="66"/>
      <c r="F673" s="67"/>
      <c r="G673" s="67"/>
      <c r="H673" s="67"/>
      <c r="I673" s="68"/>
    </row>
    <row r="674" spans="5:9" x14ac:dyDescent="0.25">
      <c r="E674" s="66"/>
      <c r="F674" s="67"/>
      <c r="G674" s="67"/>
      <c r="H674" s="67"/>
      <c r="I674" s="68"/>
    </row>
    <row r="675" spans="5:9" x14ac:dyDescent="0.25">
      <c r="E675" s="66"/>
      <c r="F675" s="67"/>
      <c r="G675" s="67"/>
      <c r="H675" s="67"/>
      <c r="I675" s="68"/>
    </row>
    <row r="676" spans="5:9" x14ac:dyDescent="0.25">
      <c r="E676" s="66"/>
      <c r="F676" s="67"/>
      <c r="G676" s="67"/>
      <c r="H676" s="67"/>
      <c r="I676" s="68"/>
    </row>
    <row r="677" spans="5:9" x14ac:dyDescent="0.25">
      <c r="E677" s="66"/>
      <c r="F677" s="67"/>
      <c r="G677" s="67"/>
      <c r="H677" s="67"/>
      <c r="I677" s="68"/>
    </row>
    <row r="678" spans="5:9" x14ac:dyDescent="0.25">
      <c r="E678" s="66"/>
      <c r="F678" s="67"/>
      <c r="G678" s="67"/>
      <c r="H678" s="67"/>
      <c r="I678" s="68"/>
    </row>
    <row r="679" spans="5:9" x14ac:dyDescent="0.25">
      <c r="E679" s="66"/>
      <c r="F679" s="67"/>
      <c r="G679" s="67"/>
      <c r="H679" s="67"/>
      <c r="I679" s="68"/>
    </row>
    <row r="680" spans="5:9" x14ac:dyDescent="0.25">
      <c r="E680" s="66"/>
      <c r="F680" s="67"/>
      <c r="G680" s="67"/>
      <c r="H680" s="67"/>
      <c r="I680" s="68"/>
    </row>
    <row r="681" spans="5:9" x14ac:dyDescent="0.25">
      <c r="E681" s="66"/>
      <c r="F681" s="67"/>
      <c r="G681" s="67"/>
      <c r="H681" s="67"/>
      <c r="I681" s="68"/>
    </row>
    <row r="682" spans="5:9" x14ac:dyDescent="0.25">
      <c r="E682" s="66"/>
      <c r="F682" s="67"/>
      <c r="G682" s="67"/>
      <c r="H682" s="67"/>
      <c r="I682" s="68"/>
    </row>
    <row r="683" spans="5:9" x14ac:dyDescent="0.25">
      <c r="E683" s="66"/>
      <c r="F683" s="67"/>
      <c r="G683" s="67"/>
      <c r="H683" s="67"/>
      <c r="I683" s="68"/>
    </row>
    <row r="684" spans="5:9" x14ac:dyDescent="0.25">
      <c r="E684" s="66"/>
      <c r="F684" s="67"/>
      <c r="G684" s="67"/>
      <c r="H684" s="67"/>
      <c r="I684" s="68"/>
    </row>
    <row r="685" spans="5:9" x14ac:dyDescent="0.25">
      <c r="E685" s="66"/>
      <c r="F685" s="67"/>
      <c r="G685" s="67"/>
      <c r="H685" s="67"/>
      <c r="I685" s="68"/>
    </row>
    <row r="686" spans="5:9" x14ac:dyDescent="0.25">
      <c r="E686" s="66"/>
      <c r="F686" s="67"/>
      <c r="G686" s="67"/>
      <c r="H686" s="67"/>
      <c r="I686" s="68"/>
    </row>
    <row r="687" spans="5:9" x14ac:dyDescent="0.25">
      <c r="E687" s="66"/>
      <c r="F687" s="67"/>
      <c r="G687" s="67"/>
      <c r="H687" s="67"/>
      <c r="I687" s="68"/>
    </row>
    <row r="688" spans="5:9" x14ac:dyDescent="0.25">
      <c r="E688" s="66"/>
      <c r="F688" s="67"/>
      <c r="G688" s="67"/>
      <c r="H688" s="67"/>
      <c r="I688" s="68"/>
    </row>
    <row r="689" spans="5:9" x14ac:dyDescent="0.25">
      <c r="E689" s="66"/>
      <c r="F689" s="67"/>
      <c r="G689" s="67"/>
      <c r="H689" s="67"/>
      <c r="I689" s="68"/>
    </row>
    <row r="690" spans="5:9" x14ac:dyDescent="0.25">
      <c r="E690" s="66"/>
      <c r="F690" s="67"/>
      <c r="G690" s="67"/>
      <c r="H690" s="67"/>
      <c r="I690" s="68"/>
    </row>
    <row r="691" spans="5:9" x14ac:dyDescent="0.25">
      <c r="E691" s="66"/>
      <c r="F691" s="67"/>
      <c r="G691" s="67"/>
      <c r="H691" s="67"/>
      <c r="I691" s="68"/>
    </row>
    <row r="692" spans="5:9" x14ac:dyDescent="0.25">
      <c r="E692" s="66"/>
      <c r="F692" s="67"/>
      <c r="G692" s="67"/>
      <c r="H692" s="67"/>
      <c r="I692" s="68"/>
    </row>
    <row r="693" spans="5:9" x14ac:dyDescent="0.25">
      <c r="E693" s="66"/>
      <c r="F693" s="67"/>
      <c r="G693" s="67"/>
      <c r="H693" s="67"/>
      <c r="I693" s="68"/>
    </row>
    <row r="694" spans="5:9" x14ac:dyDescent="0.25">
      <c r="E694" s="66"/>
      <c r="F694" s="67"/>
      <c r="G694" s="67"/>
      <c r="H694" s="67"/>
      <c r="I694" s="68"/>
    </row>
    <row r="695" spans="5:9" x14ac:dyDescent="0.25">
      <c r="E695" s="66"/>
      <c r="F695" s="67"/>
      <c r="G695" s="67"/>
      <c r="H695" s="67"/>
      <c r="I695" s="68"/>
    </row>
    <row r="696" spans="5:9" x14ac:dyDescent="0.25">
      <c r="E696" s="66"/>
      <c r="F696" s="67"/>
      <c r="G696" s="67"/>
      <c r="H696" s="67"/>
      <c r="I696" s="68"/>
    </row>
    <row r="697" spans="5:9" x14ac:dyDescent="0.25">
      <c r="E697" s="66"/>
      <c r="F697" s="67"/>
      <c r="G697" s="67"/>
      <c r="H697" s="67"/>
      <c r="I697" s="68"/>
    </row>
    <row r="698" spans="5:9" x14ac:dyDescent="0.25">
      <c r="E698" s="66"/>
      <c r="F698" s="67"/>
      <c r="G698" s="67"/>
      <c r="H698" s="67"/>
      <c r="I698" s="68"/>
    </row>
    <row r="699" spans="5:9" x14ac:dyDescent="0.25">
      <c r="E699" s="66"/>
      <c r="F699" s="67"/>
      <c r="G699" s="67"/>
      <c r="H699" s="67"/>
      <c r="I699" s="68"/>
    </row>
    <row r="700" spans="5:9" x14ac:dyDescent="0.25">
      <c r="E700" s="66"/>
      <c r="F700" s="67"/>
      <c r="G700" s="67"/>
      <c r="H700" s="67"/>
      <c r="I700" s="68"/>
    </row>
    <row r="701" spans="5:9" x14ac:dyDescent="0.25">
      <c r="E701" s="66"/>
      <c r="F701" s="67"/>
      <c r="G701" s="67"/>
      <c r="H701" s="67"/>
      <c r="I701" s="68"/>
    </row>
    <row r="702" spans="5:9" x14ac:dyDescent="0.25">
      <c r="E702" s="66"/>
      <c r="F702" s="67"/>
      <c r="G702" s="67"/>
      <c r="H702" s="67"/>
      <c r="I702" s="68"/>
    </row>
    <row r="703" spans="5:9" x14ac:dyDescent="0.25">
      <c r="E703" s="66"/>
      <c r="F703" s="67"/>
      <c r="G703" s="67"/>
      <c r="H703" s="67"/>
      <c r="I703" s="68"/>
    </row>
    <row r="704" spans="5:9" x14ac:dyDescent="0.25">
      <c r="E704" s="66"/>
      <c r="F704" s="67"/>
      <c r="G704" s="67"/>
      <c r="H704" s="67"/>
      <c r="I704" s="68"/>
    </row>
    <row r="705" spans="5:9" x14ac:dyDescent="0.25">
      <c r="E705" s="66"/>
      <c r="F705" s="67"/>
      <c r="G705" s="67"/>
      <c r="H705" s="67"/>
      <c r="I705" s="68"/>
    </row>
    <row r="706" spans="5:9" x14ac:dyDescent="0.25">
      <c r="E706" s="66"/>
      <c r="F706" s="67"/>
      <c r="G706" s="67"/>
      <c r="H706" s="67"/>
      <c r="I706" s="68"/>
    </row>
    <row r="707" spans="5:9" x14ac:dyDescent="0.25">
      <c r="E707" s="66"/>
      <c r="F707" s="67"/>
      <c r="G707" s="67"/>
      <c r="H707" s="67"/>
      <c r="I707" s="68"/>
    </row>
    <row r="708" spans="5:9" x14ac:dyDescent="0.25">
      <c r="E708" s="66"/>
      <c r="F708" s="67"/>
      <c r="G708" s="67"/>
      <c r="H708" s="67"/>
      <c r="I708" s="68"/>
    </row>
    <row r="709" spans="5:9" x14ac:dyDescent="0.25">
      <c r="E709" s="66"/>
      <c r="F709" s="67"/>
      <c r="G709" s="67"/>
      <c r="H709" s="67"/>
      <c r="I709" s="68"/>
    </row>
    <row r="710" spans="5:9" x14ac:dyDescent="0.25">
      <c r="E710" s="66"/>
      <c r="F710" s="67"/>
      <c r="G710" s="67"/>
      <c r="H710" s="67"/>
      <c r="I710" s="68"/>
    </row>
    <row r="711" spans="5:9" x14ac:dyDescent="0.25">
      <c r="E711" s="66"/>
      <c r="F711" s="67"/>
      <c r="G711" s="67"/>
      <c r="H711" s="67"/>
      <c r="I711" s="68"/>
    </row>
    <row r="712" spans="5:9" x14ac:dyDescent="0.25">
      <c r="E712" s="66"/>
      <c r="F712" s="67"/>
      <c r="G712" s="67"/>
      <c r="H712" s="67"/>
      <c r="I712" s="68"/>
    </row>
    <row r="713" spans="5:9" x14ac:dyDescent="0.25">
      <c r="E713" s="66"/>
      <c r="F713" s="67"/>
      <c r="G713" s="67"/>
      <c r="H713" s="67"/>
      <c r="I713" s="68"/>
    </row>
    <row r="714" spans="5:9" x14ac:dyDescent="0.25">
      <c r="E714" s="66"/>
      <c r="F714" s="67"/>
      <c r="G714" s="67"/>
      <c r="H714" s="67"/>
      <c r="I714" s="68"/>
    </row>
    <row r="715" spans="5:9" x14ac:dyDescent="0.25">
      <c r="E715" s="66"/>
      <c r="F715" s="67"/>
      <c r="G715" s="67"/>
      <c r="H715" s="67"/>
      <c r="I715" s="68"/>
    </row>
    <row r="716" spans="5:9" x14ac:dyDescent="0.25">
      <c r="E716" s="66"/>
      <c r="F716" s="67"/>
      <c r="G716" s="67"/>
      <c r="H716" s="67"/>
      <c r="I716" s="68"/>
    </row>
    <row r="717" spans="5:9" x14ac:dyDescent="0.25">
      <c r="E717" s="66"/>
      <c r="F717" s="67"/>
      <c r="G717" s="67"/>
      <c r="H717" s="67"/>
      <c r="I717" s="68"/>
    </row>
    <row r="718" spans="5:9" x14ac:dyDescent="0.25">
      <c r="E718" s="66"/>
      <c r="F718" s="67"/>
      <c r="G718" s="67"/>
      <c r="H718" s="67"/>
      <c r="I718" s="68"/>
    </row>
    <row r="719" spans="5:9" x14ac:dyDescent="0.25">
      <c r="E719" s="66"/>
      <c r="F719" s="67"/>
      <c r="G719" s="67"/>
      <c r="H719" s="67"/>
      <c r="I719" s="68"/>
    </row>
    <row r="720" spans="5:9" x14ac:dyDescent="0.25">
      <c r="E720" s="66"/>
      <c r="F720" s="67"/>
      <c r="G720" s="67"/>
      <c r="H720" s="67"/>
      <c r="I720" s="68"/>
    </row>
    <row r="721" spans="5:9" x14ac:dyDescent="0.25">
      <c r="E721" s="66"/>
      <c r="F721" s="67"/>
      <c r="G721" s="67"/>
      <c r="H721" s="67"/>
      <c r="I721" s="68"/>
    </row>
    <row r="722" spans="5:9" x14ac:dyDescent="0.25">
      <c r="E722" s="66"/>
      <c r="F722" s="67"/>
      <c r="G722" s="67"/>
      <c r="H722" s="67"/>
      <c r="I722" s="68"/>
    </row>
    <row r="723" spans="5:9" x14ac:dyDescent="0.25">
      <c r="E723" s="66"/>
      <c r="F723" s="67"/>
      <c r="G723" s="67"/>
      <c r="H723" s="67"/>
      <c r="I723" s="68"/>
    </row>
    <row r="724" spans="5:9" x14ac:dyDescent="0.25">
      <c r="E724" s="66"/>
      <c r="F724" s="67"/>
      <c r="G724" s="67"/>
      <c r="H724" s="67"/>
      <c r="I724" s="68"/>
    </row>
    <row r="725" spans="5:9" x14ac:dyDescent="0.25">
      <c r="E725" s="66"/>
      <c r="F725" s="67"/>
      <c r="G725" s="67"/>
      <c r="H725" s="67"/>
      <c r="I725" s="68"/>
    </row>
    <row r="726" spans="5:9" x14ac:dyDescent="0.25">
      <c r="E726" s="66"/>
      <c r="F726" s="67"/>
      <c r="G726" s="67"/>
      <c r="H726" s="67"/>
      <c r="I726" s="68"/>
    </row>
    <row r="727" spans="5:9" x14ac:dyDescent="0.25">
      <c r="E727" s="66"/>
      <c r="F727" s="67"/>
      <c r="G727" s="67"/>
      <c r="H727" s="67"/>
      <c r="I727" s="68"/>
    </row>
    <row r="728" spans="5:9" x14ac:dyDescent="0.25">
      <c r="E728" s="66"/>
      <c r="F728" s="67"/>
      <c r="G728" s="67"/>
      <c r="H728" s="67"/>
      <c r="I728" s="68"/>
    </row>
    <row r="729" spans="5:9" x14ac:dyDescent="0.25">
      <c r="E729" s="66"/>
      <c r="F729" s="67"/>
      <c r="G729" s="67"/>
      <c r="H729" s="67"/>
      <c r="I729" s="68"/>
    </row>
    <row r="730" spans="5:9" x14ac:dyDescent="0.25">
      <c r="E730" s="66"/>
      <c r="F730" s="67"/>
      <c r="G730" s="67"/>
      <c r="H730" s="67"/>
      <c r="I730" s="68"/>
    </row>
    <row r="731" spans="5:9" x14ac:dyDescent="0.25">
      <c r="E731" s="66"/>
      <c r="F731" s="67"/>
      <c r="G731" s="67"/>
      <c r="H731" s="67"/>
      <c r="I731" s="68"/>
    </row>
    <row r="732" spans="5:9" x14ac:dyDescent="0.25">
      <c r="E732" s="66"/>
      <c r="F732" s="67"/>
      <c r="G732" s="67"/>
      <c r="H732" s="67"/>
      <c r="I732" s="68"/>
    </row>
    <row r="733" spans="5:9" x14ac:dyDescent="0.25">
      <c r="E733" s="66"/>
      <c r="F733" s="67"/>
      <c r="G733" s="67"/>
      <c r="H733" s="67"/>
      <c r="I733" s="68"/>
    </row>
    <row r="734" spans="5:9" x14ac:dyDescent="0.25">
      <c r="E734" s="66"/>
      <c r="F734" s="67"/>
      <c r="G734" s="67"/>
      <c r="H734" s="67"/>
      <c r="I734" s="68"/>
    </row>
    <row r="735" spans="5:9" x14ac:dyDescent="0.25">
      <c r="E735" s="66"/>
      <c r="F735" s="67"/>
      <c r="G735" s="67"/>
      <c r="H735" s="67"/>
      <c r="I735" s="68"/>
    </row>
    <row r="736" spans="5:9" x14ac:dyDescent="0.25">
      <c r="E736" s="66"/>
      <c r="F736" s="67"/>
      <c r="G736" s="67"/>
      <c r="H736" s="67"/>
      <c r="I736" s="68"/>
    </row>
    <row r="737" spans="5:9" x14ac:dyDescent="0.25">
      <c r="E737" s="66"/>
      <c r="F737" s="67"/>
      <c r="G737" s="67"/>
      <c r="H737" s="67"/>
      <c r="I737" s="68"/>
    </row>
    <row r="738" spans="5:9" x14ac:dyDescent="0.25">
      <c r="E738" s="66"/>
      <c r="F738" s="67"/>
      <c r="G738" s="67"/>
      <c r="H738" s="67"/>
      <c r="I738" s="68"/>
    </row>
    <row r="739" spans="5:9" x14ac:dyDescent="0.25">
      <c r="E739" s="66"/>
      <c r="F739" s="67"/>
      <c r="G739" s="67"/>
      <c r="H739" s="67"/>
      <c r="I739" s="68"/>
    </row>
    <row r="740" spans="5:9" x14ac:dyDescent="0.25">
      <c r="E740" s="66"/>
      <c r="F740" s="67"/>
      <c r="G740" s="67"/>
      <c r="H740" s="67"/>
      <c r="I740" s="68"/>
    </row>
    <row r="741" spans="5:9" x14ac:dyDescent="0.25">
      <c r="E741" s="66"/>
      <c r="F741" s="67"/>
      <c r="G741" s="67"/>
      <c r="H741" s="67"/>
      <c r="I741" s="68"/>
    </row>
    <row r="742" spans="5:9" x14ac:dyDescent="0.25">
      <c r="E742" s="66"/>
      <c r="F742" s="67"/>
      <c r="G742" s="67"/>
      <c r="H742" s="67"/>
      <c r="I742" s="68"/>
    </row>
    <row r="743" spans="5:9" x14ac:dyDescent="0.25">
      <c r="E743" s="66"/>
      <c r="F743" s="67"/>
      <c r="G743" s="67"/>
      <c r="H743" s="67"/>
      <c r="I743" s="68"/>
    </row>
    <row r="744" spans="5:9" x14ac:dyDescent="0.25">
      <c r="E744" s="66"/>
      <c r="F744" s="67"/>
      <c r="G744" s="67"/>
      <c r="H744" s="67"/>
      <c r="I744" s="68"/>
    </row>
    <row r="745" spans="5:9" x14ac:dyDescent="0.25">
      <c r="E745" s="66"/>
      <c r="F745" s="67"/>
      <c r="G745" s="67"/>
      <c r="H745" s="67"/>
      <c r="I745" s="68"/>
    </row>
    <row r="746" spans="5:9" x14ac:dyDescent="0.25">
      <c r="E746" s="66"/>
      <c r="F746" s="67"/>
      <c r="G746" s="67"/>
      <c r="H746" s="67"/>
      <c r="I746" s="68"/>
    </row>
    <row r="747" spans="5:9" x14ac:dyDescent="0.25">
      <c r="E747" s="66"/>
      <c r="F747" s="67"/>
      <c r="G747" s="67"/>
      <c r="H747" s="67"/>
      <c r="I747" s="68"/>
    </row>
    <row r="748" spans="5:9" x14ac:dyDescent="0.25">
      <c r="E748" s="66"/>
      <c r="F748" s="67"/>
      <c r="G748" s="67"/>
      <c r="H748" s="67"/>
      <c r="I748" s="68"/>
    </row>
    <row r="749" spans="5:9" x14ac:dyDescent="0.25">
      <c r="E749" s="66"/>
      <c r="F749" s="67"/>
      <c r="G749" s="67"/>
      <c r="H749" s="67"/>
      <c r="I749" s="68"/>
    </row>
    <row r="750" spans="5:9" x14ac:dyDescent="0.25">
      <c r="E750" s="66"/>
      <c r="F750" s="67"/>
      <c r="G750" s="67"/>
      <c r="H750" s="67"/>
      <c r="I750" s="68"/>
    </row>
    <row r="751" spans="5:9" x14ac:dyDescent="0.25">
      <c r="E751" s="66"/>
      <c r="F751" s="67"/>
      <c r="G751" s="67"/>
      <c r="H751" s="67"/>
      <c r="I751" s="68"/>
    </row>
    <row r="752" spans="5:9" x14ac:dyDescent="0.25">
      <c r="E752" s="66"/>
      <c r="F752" s="67"/>
      <c r="G752" s="67"/>
      <c r="H752" s="67"/>
      <c r="I752" s="68"/>
    </row>
    <row r="753" spans="5:9" x14ac:dyDescent="0.25">
      <c r="E753" s="66"/>
      <c r="F753" s="67"/>
      <c r="G753" s="67"/>
      <c r="H753" s="67"/>
      <c r="I753" s="68"/>
    </row>
    <row r="754" spans="5:9" x14ac:dyDescent="0.25">
      <c r="E754" s="66"/>
      <c r="F754" s="67"/>
      <c r="G754" s="67"/>
      <c r="H754" s="67"/>
      <c r="I754" s="68"/>
    </row>
    <row r="755" spans="5:9" x14ac:dyDescent="0.25">
      <c r="E755" s="66"/>
      <c r="F755" s="67"/>
      <c r="G755" s="67"/>
      <c r="H755" s="67"/>
      <c r="I755" s="68"/>
    </row>
    <row r="756" spans="5:9" x14ac:dyDescent="0.25">
      <c r="E756" s="66"/>
      <c r="F756" s="67"/>
      <c r="G756" s="67"/>
      <c r="H756" s="67"/>
      <c r="I756" s="68"/>
    </row>
    <row r="757" spans="5:9" x14ac:dyDescent="0.25">
      <c r="E757" s="66"/>
      <c r="F757" s="67"/>
      <c r="G757" s="67"/>
      <c r="H757" s="67"/>
      <c r="I757" s="68"/>
    </row>
    <row r="758" spans="5:9" x14ac:dyDescent="0.25">
      <c r="E758" s="66"/>
      <c r="F758" s="67"/>
      <c r="G758" s="67"/>
      <c r="H758" s="67"/>
      <c r="I758" s="68"/>
    </row>
    <row r="759" spans="5:9" x14ac:dyDescent="0.25">
      <c r="E759" s="66"/>
      <c r="F759" s="67"/>
      <c r="G759" s="67"/>
      <c r="H759" s="67"/>
      <c r="I759" s="68"/>
    </row>
    <row r="760" spans="5:9" x14ac:dyDescent="0.25">
      <c r="E760" s="66"/>
      <c r="F760" s="67"/>
      <c r="G760" s="67"/>
      <c r="H760" s="67"/>
      <c r="I760" s="68"/>
    </row>
    <row r="761" spans="5:9" x14ac:dyDescent="0.25">
      <c r="E761" s="66"/>
      <c r="F761" s="67"/>
      <c r="G761" s="67"/>
      <c r="H761" s="67"/>
      <c r="I761" s="68"/>
    </row>
    <row r="762" spans="5:9" x14ac:dyDescent="0.25">
      <c r="E762" s="66"/>
      <c r="F762" s="67"/>
      <c r="G762" s="67"/>
      <c r="H762" s="67"/>
      <c r="I762" s="68"/>
    </row>
    <row r="763" spans="5:9" x14ac:dyDescent="0.25">
      <c r="E763" s="66"/>
      <c r="F763" s="67"/>
      <c r="G763" s="67"/>
      <c r="H763" s="67"/>
      <c r="I763" s="68"/>
    </row>
    <row r="764" spans="5:9" x14ac:dyDescent="0.25">
      <c r="E764" s="66"/>
      <c r="F764" s="67"/>
      <c r="G764" s="67"/>
      <c r="H764" s="67"/>
      <c r="I764" s="68"/>
    </row>
    <row r="765" spans="5:9" x14ac:dyDescent="0.25">
      <c r="E765" s="66"/>
      <c r="F765" s="67"/>
      <c r="G765" s="67"/>
      <c r="H765" s="67"/>
      <c r="I765" s="68"/>
    </row>
    <row r="766" spans="5:9" x14ac:dyDescent="0.25">
      <c r="E766" s="66"/>
      <c r="F766" s="67"/>
      <c r="G766" s="67"/>
      <c r="H766" s="67"/>
      <c r="I766" s="68"/>
    </row>
    <row r="767" spans="5:9" x14ac:dyDescent="0.25">
      <c r="E767" s="66"/>
      <c r="F767" s="67"/>
      <c r="G767" s="67"/>
      <c r="H767" s="67"/>
      <c r="I767" s="68"/>
    </row>
    <row r="768" spans="5:9" x14ac:dyDescent="0.25">
      <c r="E768" s="66"/>
      <c r="F768" s="67"/>
      <c r="G768" s="67"/>
      <c r="H768" s="67"/>
      <c r="I768" s="68"/>
    </row>
    <row r="769" spans="5:9" x14ac:dyDescent="0.25">
      <c r="E769" s="66"/>
      <c r="F769" s="67"/>
      <c r="G769" s="67"/>
      <c r="H769" s="67"/>
      <c r="I769" s="68"/>
    </row>
    <row r="770" spans="5:9" x14ac:dyDescent="0.25">
      <c r="E770" s="66"/>
      <c r="F770" s="67"/>
      <c r="G770" s="67"/>
      <c r="H770" s="67"/>
      <c r="I770" s="68"/>
    </row>
    <row r="771" spans="5:9" x14ac:dyDescent="0.25">
      <c r="E771" s="66"/>
      <c r="F771" s="67"/>
      <c r="G771" s="67"/>
      <c r="H771" s="67"/>
      <c r="I771" s="68"/>
    </row>
    <row r="772" spans="5:9" x14ac:dyDescent="0.25">
      <c r="E772" s="66"/>
      <c r="F772" s="67"/>
      <c r="G772" s="67"/>
      <c r="H772" s="67"/>
      <c r="I772" s="68"/>
    </row>
    <row r="773" spans="5:9" x14ac:dyDescent="0.25">
      <c r="E773" s="66"/>
      <c r="F773" s="67"/>
      <c r="G773" s="67"/>
      <c r="H773" s="67"/>
      <c r="I773" s="68"/>
    </row>
    <row r="774" spans="5:9" x14ac:dyDescent="0.25">
      <c r="E774" s="66"/>
      <c r="F774" s="67"/>
      <c r="G774" s="67"/>
      <c r="H774" s="67"/>
      <c r="I774" s="68"/>
    </row>
    <row r="775" spans="5:9" x14ac:dyDescent="0.25">
      <c r="E775" s="66"/>
      <c r="F775" s="67"/>
      <c r="G775" s="67"/>
      <c r="H775" s="67"/>
      <c r="I775" s="68"/>
    </row>
    <row r="776" spans="5:9" x14ac:dyDescent="0.25">
      <c r="E776" s="66"/>
      <c r="F776" s="67"/>
      <c r="G776" s="67"/>
      <c r="H776" s="67"/>
      <c r="I776" s="68"/>
    </row>
    <row r="777" spans="5:9" x14ac:dyDescent="0.25">
      <c r="E777" s="66"/>
      <c r="F777" s="67"/>
      <c r="G777" s="67"/>
      <c r="H777" s="67"/>
      <c r="I777" s="68"/>
    </row>
    <row r="778" spans="5:9" x14ac:dyDescent="0.25">
      <c r="E778" s="66"/>
      <c r="F778" s="67"/>
      <c r="G778" s="67"/>
      <c r="H778" s="67"/>
      <c r="I778" s="68"/>
    </row>
    <row r="779" spans="5:9" x14ac:dyDescent="0.25">
      <c r="E779" s="66"/>
      <c r="F779" s="67"/>
      <c r="G779" s="67"/>
      <c r="H779" s="67"/>
      <c r="I779" s="68"/>
    </row>
    <row r="780" spans="5:9" x14ac:dyDescent="0.25">
      <c r="E780" s="66"/>
      <c r="F780" s="67"/>
      <c r="G780" s="67"/>
      <c r="H780" s="67"/>
      <c r="I780" s="68"/>
    </row>
    <row r="781" spans="5:9" x14ac:dyDescent="0.25">
      <c r="E781" s="66"/>
      <c r="F781" s="67"/>
      <c r="G781" s="67"/>
      <c r="H781" s="67"/>
      <c r="I781" s="68"/>
    </row>
    <row r="782" spans="5:9" x14ac:dyDescent="0.25">
      <c r="E782" s="66"/>
      <c r="F782" s="67"/>
      <c r="G782" s="67"/>
      <c r="H782" s="67"/>
      <c r="I782" s="68"/>
    </row>
    <row r="783" spans="5:9" x14ac:dyDescent="0.25">
      <c r="E783" s="66"/>
      <c r="F783" s="67"/>
      <c r="G783" s="67"/>
      <c r="H783" s="67"/>
      <c r="I783" s="68"/>
    </row>
    <row r="784" spans="5:9" x14ac:dyDescent="0.25">
      <c r="E784" s="66"/>
      <c r="F784" s="67"/>
      <c r="G784" s="67"/>
      <c r="H784" s="67"/>
      <c r="I784" s="68"/>
    </row>
    <row r="785" spans="5:9" x14ac:dyDescent="0.25">
      <c r="E785" s="66"/>
      <c r="F785" s="67"/>
      <c r="G785" s="67"/>
      <c r="H785" s="67"/>
      <c r="I785" s="68"/>
    </row>
    <row r="786" spans="5:9" x14ac:dyDescent="0.25">
      <c r="E786" s="66"/>
      <c r="F786" s="67"/>
      <c r="G786" s="67"/>
      <c r="H786" s="67"/>
      <c r="I786" s="68"/>
    </row>
    <row r="787" spans="5:9" x14ac:dyDescent="0.25">
      <c r="E787" s="66"/>
      <c r="F787" s="67"/>
      <c r="G787" s="67"/>
      <c r="H787" s="67"/>
      <c r="I787" s="68"/>
    </row>
    <row r="788" spans="5:9" x14ac:dyDescent="0.25">
      <c r="E788" s="66"/>
      <c r="F788" s="67"/>
      <c r="G788" s="67"/>
      <c r="H788" s="67"/>
      <c r="I788" s="68"/>
    </row>
    <row r="789" spans="5:9" x14ac:dyDescent="0.25">
      <c r="E789" s="66"/>
      <c r="F789" s="67"/>
      <c r="G789" s="67"/>
      <c r="H789" s="67"/>
      <c r="I789" s="68"/>
    </row>
    <row r="790" spans="5:9" x14ac:dyDescent="0.25">
      <c r="E790" s="66"/>
      <c r="F790" s="67"/>
      <c r="G790" s="67"/>
      <c r="H790" s="67"/>
      <c r="I790" s="68"/>
    </row>
    <row r="791" spans="5:9" x14ac:dyDescent="0.25">
      <c r="E791" s="66"/>
      <c r="F791" s="67"/>
      <c r="G791" s="67"/>
      <c r="H791" s="67"/>
      <c r="I791" s="68"/>
    </row>
    <row r="792" spans="5:9" x14ac:dyDescent="0.25">
      <c r="E792" s="66"/>
      <c r="F792" s="67"/>
      <c r="G792" s="67"/>
      <c r="H792" s="67"/>
      <c r="I792" s="68"/>
    </row>
    <row r="793" spans="5:9" x14ac:dyDescent="0.25">
      <c r="E793" s="66"/>
      <c r="F793" s="67"/>
      <c r="G793" s="67"/>
      <c r="H793" s="67"/>
      <c r="I793" s="68"/>
    </row>
    <row r="794" spans="5:9" x14ac:dyDescent="0.25">
      <c r="E794" s="66"/>
      <c r="F794" s="67"/>
      <c r="G794" s="67"/>
      <c r="H794" s="67"/>
      <c r="I794" s="68"/>
    </row>
    <row r="795" spans="5:9" x14ac:dyDescent="0.25">
      <c r="E795" s="66"/>
      <c r="F795" s="67"/>
      <c r="G795" s="67"/>
      <c r="H795" s="67"/>
      <c r="I795" s="68"/>
    </row>
    <row r="796" spans="5:9" x14ac:dyDescent="0.25">
      <c r="E796" s="66"/>
      <c r="F796" s="67"/>
      <c r="G796" s="67"/>
      <c r="H796" s="67"/>
      <c r="I796" s="68"/>
    </row>
    <row r="797" spans="5:9" x14ac:dyDescent="0.25">
      <c r="E797" s="66"/>
      <c r="F797" s="67"/>
      <c r="G797" s="67"/>
      <c r="H797" s="67"/>
      <c r="I797" s="68"/>
    </row>
    <row r="798" spans="5:9" x14ac:dyDescent="0.25">
      <c r="E798" s="66"/>
      <c r="F798" s="67"/>
      <c r="G798" s="67"/>
      <c r="H798" s="67"/>
      <c r="I798" s="68"/>
    </row>
    <row r="799" spans="5:9" x14ac:dyDescent="0.25">
      <c r="E799" s="66"/>
      <c r="F799" s="67"/>
      <c r="G799" s="67"/>
      <c r="H799" s="67"/>
      <c r="I799" s="68"/>
    </row>
    <row r="800" spans="5:9" x14ac:dyDescent="0.25">
      <c r="E800" s="66"/>
      <c r="F800" s="67"/>
      <c r="G800" s="67"/>
      <c r="H800" s="67"/>
      <c r="I800" s="68"/>
    </row>
    <row r="801" spans="5:9" x14ac:dyDescent="0.25">
      <c r="E801" s="66"/>
      <c r="F801" s="67"/>
      <c r="G801" s="67"/>
      <c r="H801" s="67"/>
      <c r="I801" s="68"/>
    </row>
    <row r="802" spans="5:9" x14ac:dyDescent="0.25">
      <c r="E802" s="66"/>
      <c r="F802" s="67"/>
      <c r="G802" s="67"/>
      <c r="H802" s="67"/>
      <c r="I802" s="68"/>
    </row>
    <row r="803" spans="5:9" x14ac:dyDescent="0.25">
      <c r="E803" s="66"/>
      <c r="F803" s="67"/>
      <c r="G803" s="67"/>
      <c r="H803" s="67"/>
      <c r="I803" s="68"/>
    </row>
    <row r="804" spans="5:9" x14ac:dyDescent="0.25">
      <c r="E804" s="66"/>
      <c r="F804" s="67"/>
      <c r="G804" s="67"/>
      <c r="H804" s="67"/>
      <c r="I804" s="68"/>
    </row>
    <row r="805" spans="5:9" x14ac:dyDescent="0.25">
      <c r="E805" s="66"/>
      <c r="F805" s="67"/>
      <c r="G805" s="67"/>
      <c r="H805" s="67"/>
      <c r="I805" s="68"/>
    </row>
    <row r="806" spans="5:9" x14ac:dyDescent="0.25">
      <c r="E806" s="66"/>
      <c r="F806" s="67"/>
      <c r="G806" s="67"/>
      <c r="H806" s="67"/>
      <c r="I806" s="68"/>
    </row>
    <row r="807" spans="5:9" x14ac:dyDescent="0.25">
      <c r="E807" s="66"/>
      <c r="F807" s="67"/>
      <c r="G807" s="67"/>
      <c r="H807" s="67"/>
      <c r="I807" s="68"/>
    </row>
    <row r="808" spans="5:9" x14ac:dyDescent="0.25">
      <c r="E808" s="66"/>
      <c r="F808" s="67"/>
      <c r="G808" s="67"/>
      <c r="H808" s="67"/>
      <c r="I808" s="68"/>
    </row>
    <row r="809" spans="5:9" x14ac:dyDescent="0.25">
      <c r="E809" s="66"/>
      <c r="F809" s="67"/>
      <c r="G809" s="67"/>
      <c r="H809" s="67"/>
      <c r="I809" s="68"/>
    </row>
    <row r="810" spans="5:9" x14ac:dyDescent="0.25">
      <c r="E810" s="66"/>
      <c r="F810" s="67"/>
      <c r="G810" s="67"/>
      <c r="H810" s="67"/>
      <c r="I810" s="68"/>
    </row>
    <row r="811" spans="5:9" x14ac:dyDescent="0.25">
      <c r="E811" s="66"/>
      <c r="F811" s="67"/>
      <c r="G811" s="67"/>
      <c r="H811" s="67"/>
      <c r="I811" s="68"/>
    </row>
    <row r="812" spans="5:9" x14ac:dyDescent="0.25">
      <c r="E812" s="66"/>
      <c r="F812" s="67"/>
      <c r="G812" s="67"/>
      <c r="H812" s="67"/>
      <c r="I812" s="68"/>
    </row>
    <row r="813" spans="5:9" x14ac:dyDescent="0.25">
      <c r="E813" s="66"/>
      <c r="F813" s="67"/>
      <c r="G813" s="67"/>
      <c r="H813" s="67"/>
      <c r="I813" s="68"/>
    </row>
    <row r="814" spans="5:9" x14ac:dyDescent="0.25">
      <c r="E814" s="66"/>
      <c r="F814" s="67"/>
      <c r="G814" s="67"/>
      <c r="H814" s="67"/>
      <c r="I814" s="68"/>
    </row>
    <row r="815" spans="5:9" x14ac:dyDescent="0.25">
      <c r="E815" s="66"/>
      <c r="F815" s="67"/>
      <c r="G815" s="67"/>
      <c r="H815" s="67"/>
      <c r="I815" s="68"/>
    </row>
    <row r="816" spans="5:9" x14ac:dyDescent="0.25">
      <c r="E816" s="66"/>
      <c r="F816" s="67"/>
      <c r="G816" s="67"/>
      <c r="H816" s="67"/>
      <c r="I816" s="68"/>
    </row>
    <row r="817" spans="5:9" x14ac:dyDescent="0.25">
      <c r="E817" s="66"/>
      <c r="F817" s="67"/>
      <c r="G817" s="67"/>
      <c r="H817" s="67"/>
      <c r="I817" s="68"/>
    </row>
    <row r="818" spans="5:9" x14ac:dyDescent="0.25">
      <c r="E818" s="66"/>
      <c r="F818" s="67"/>
      <c r="G818" s="67"/>
      <c r="H818" s="67"/>
      <c r="I818" s="68"/>
    </row>
    <row r="819" spans="5:9" x14ac:dyDescent="0.25">
      <c r="E819" s="66"/>
      <c r="F819" s="67"/>
      <c r="G819" s="67"/>
      <c r="H819" s="67"/>
      <c r="I819" s="68"/>
    </row>
    <row r="820" spans="5:9" x14ac:dyDescent="0.25">
      <c r="E820" s="66"/>
      <c r="F820" s="67"/>
      <c r="G820" s="67"/>
      <c r="H820" s="67"/>
      <c r="I820" s="68"/>
    </row>
    <row r="821" spans="5:9" x14ac:dyDescent="0.25">
      <c r="E821" s="66"/>
      <c r="F821" s="67"/>
      <c r="G821" s="67"/>
      <c r="H821" s="67"/>
      <c r="I821" s="68"/>
    </row>
    <row r="822" spans="5:9" x14ac:dyDescent="0.25">
      <c r="E822" s="66"/>
      <c r="F822" s="67"/>
      <c r="G822" s="67"/>
      <c r="H822" s="67"/>
      <c r="I822" s="68"/>
    </row>
    <row r="823" spans="5:9" x14ac:dyDescent="0.25">
      <c r="E823" s="66"/>
      <c r="F823" s="67"/>
      <c r="G823" s="67"/>
      <c r="H823" s="67"/>
      <c r="I823" s="68"/>
    </row>
    <row r="824" spans="5:9" x14ac:dyDescent="0.25">
      <c r="E824" s="66"/>
      <c r="F824" s="67"/>
      <c r="G824" s="67"/>
      <c r="H824" s="67"/>
      <c r="I824" s="68"/>
    </row>
    <row r="825" spans="5:9" x14ac:dyDescent="0.25">
      <c r="E825" s="66"/>
      <c r="F825" s="67"/>
      <c r="G825" s="67"/>
      <c r="H825" s="67"/>
      <c r="I825" s="68"/>
    </row>
    <row r="826" spans="5:9" x14ac:dyDescent="0.25">
      <c r="E826" s="66"/>
      <c r="F826" s="67"/>
      <c r="G826" s="67"/>
      <c r="H826" s="67"/>
      <c r="I826" s="68"/>
    </row>
    <row r="827" spans="5:9" x14ac:dyDescent="0.25">
      <c r="E827" s="66"/>
      <c r="F827" s="67"/>
      <c r="G827" s="67"/>
      <c r="H827" s="67"/>
      <c r="I827" s="68"/>
    </row>
    <row r="828" spans="5:9" x14ac:dyDescent="0.25">
      <c r="E828" s="66"/>
      <c r="F828" s="67"/>
      <c r="G828" s="67"/>
      <c r="H828" s="67"/>
      <c r="I828" s="68"/>
    </row>
    <row r="829" spans="5:9" x14ac:dyDescent="0.25">
      <c r="E829" s="66"/>
      <c r="F829" s="67"/>
      <c r="G829" s="67"/>
      <c r="H829" s="67"/>
      <c r="I829" s="68"/>
    </row>
    <row r="830" spans="5:9" x14ac:dyDescent="0.25">
      <c r="E830" s="66"/>
      <c r="F830" s="67"/>
      <c r="G830" s="67"/>
      <c r="H830" s="67"/>
      <c r="I830" s="68"/>
    </row>
    <row r="831" spans="5:9" x14ac:dyDescent="0.25">
      <c r="E831" s="66"/>
      <c r="F831" s="67"/>
      <c r="G831" s="67"/>
      <c r="H831" s="67"/>
      <c r="I831" s="68"/>
    </row>
    <row r="832" spans="5:9" x14ac:dyDescent="0.25">
      <c r="E832" s="66"/>
      <c r="F832" s="67"/>
      <c r="G832" s="67"/>
      <c r="H832" s="67"/>
      <c r="I832" s="68"/>
    </row>
    <row r="833" spans="5:9" x14ac:dyDescent="0.25">
      <c r="E833" s="66"/>
      <c r="F833" s="67"/>
      <c r="G833" s="67"/>
      <c r="H833" s="67"/>
      <c r="I833" s="68"/>
    </row>
    <row r="834" spans="5:9" x14ac:dyDescent="0.25">
      <c r="E834" s="66"/>
      <c r="F834" s="67"/>
      <c r="G834" s="67"/>
      <c r="H834" s="67"/>
      <c r="I834" s="68"/>
    </row>
    <row r="835" spans="5:9" x14ac:dyDescent="0.25">
      <c r="E835" s="66"/>
      <c r="F835" s="67"/>
      <c r="G835" s="67"/>
      <c r="H835" s="67"/>
      <c r="I835" s="68"/>
    </row>
    <row r="836" spans="5:9" x14ac:dyDescent="0.25">
      <c r="E836" s="66"/>
      <c r="F836" s="67"/>
      <c r="G836" s="67"/>
      <c r="H836" s="67"/>
      <c r="I836" s="68"/>
    </row>
    <row r="837" spans="5:9" x14ac:dyDescent="0.25">
      <c r="E837" s="66"/>
      <c r="F837" s="67"/>
      <c r="G837" s="67"/>
      <c r="H837" s="67"/>
      <c r="I837" s="68"/>
    </row>
    <row r="838" spans="5:9" x14ac:dyDescent="0.25">
      <c r="E838" s="66"/>
      <c r="F838" s="67"/>
      <c r="G838" s="67"/>
      <c r="H838" s="67"/>
      <c r="I838" s="68"/>
    </row>
    <row r="839" spans="5:9" x14ac:dyDescent="0.25">
      <c r="E839" s="66"/>
      <c r="F839" s="67"/>
      <c r="G839" s="67"/>
      <c r="H839" s="67"/>
      <c r="I839" s="68"/>
    </row>
    <row r="840" spans="5:9" x14ac:dyDescent="0.25">
      <c r="E840" s="66"/>
      <c r="F840" s="67"/>
      <c r="G840" s="67"/>
      <c r="H840" s="67"/>
      <c r="I840" s="68"/>
    </row>
    <row r="841" spans="5:9" x14ac:dyDescent="0.25">
      <c r="E841" s="66"/>
      <c r="F841" s="67"/>
      <c r="G841" s="67"/>
      <c r="H841" s="67"/>
      <c r="I841" s="68"/>
    </row>
    <row r="842" spans="5:9" x14ac:dyDescent="0.25">
      <c r="E842" s="66"/>
      <c r="F842" s="67"/>
      <c r="G842" s="67"/>
      <c r="H842" s="67"/>
      <c r="I842" s="68"/>
    </row>
    <row r="843" spans="5:9" x14ac:dyDescent="0.25">
      <c r="E843" s="66"/>
      <c r="F843" s="67"/>
      <c r="G843" s="67"/>
      <c r="H843" s="67"/>
      <c r="I843" s="68"/>
    </row>
    <row r="844" spans="5:9" x14ac:dyDescent="0.25">
      <c r="E844" s="66"/>
      <c r="F844" s="67"/>
      <c r="G844" s="67"/>
      <c r="H844" s="67"/>
      <c r="I844" s="68"/>
    </row>
    <row r="845" spans="5:9" x14ac:dyDescent="0.25">
      <c r="E845" s="66"/>
      <c r="F845" s="67"/>
      <c r="G845" s="67"/>
      <c r="H845" s="67"/>
      <c r="I845" s="68"/>
    </row>
    <row r="846" spans="5:9" x14ac:dyDescent="0.25">
      <c r="E846" s="66"/>
      <c r="F846" s="67"/>
      <c r="G846" s="67"/>
      <c r="H846" s="67"/>
      <c r="I846" s="68"/>
    </row>
    <row r="847" spans="5:9" x14ac:dyDescent="0.25">
      <c r="E847" s="66"/>
      <c r="F847" s="67"/>
      <c r="G847" s="67"/>
      <c r="H847" s="67"/>
      <c r="I847" s="68"/>
    </row>
    <row r="848" spans="5:9" x14ac:dyDescent="0.25">
      <c r="E848" s="66"/>
      <c r="F848" s="67"/>
      <c r="G848" s="67"/>
      <c r="H848" s="67"/>
      <c r="I848" s="68"/>
    </row>
    <row r="849" spans="5:9" x14ac:dyDescent="0.25">
      <c r="E849" s="66"/>
      <c r="F849" s="67"/>
      <c r="G849" s="67"/>
      <c r="H849" s="67"/>
      <c r="I849" s="68"/>
    </row>
    <row r="850" spans="5:9" x14ac:dyDescent="0.25">
      <c r="E850" s="66"/>
      <c r="F850" s="67"/>
      <c r="G850" s="67"/>
      <c r="H850" s="67"/>
      <c r="I850" s="68"/>
    </row>
    <row r="851" spans="5:9" x14ac:dyDescent="0.25">
      <c r="E851" s="66"/>
      <c r="F851" s="67"/>
      <c r="G851" s="67"/>
      <c r="H851" s="67"/>
      <c r="I851" s="68"/>
    </row>
    <row r="852" spans="5:9" x14ac:dyDescent="0.25">
      <c r="E852" s="66"/>
      <c r="F852" s="67"/>
      <c r="G852" s="67"/>
      <c r="H852" s="67"/>
      <c r="I852" s="68"/>
    </row>
    <row r="853" spans="5:9" x14ac:dyDescent="0.25">
      <c r="E853" s="66"/>
      <c r="F853" s="67"/>
      <c r="G853" s="67"/>
      <c r="H853" s="67"/>
      <c r="I853" s="68"/>
    </row>
    <row r="854" spans="5:9" x14ac:dyDescent="0.25">
      <c r="E854" s="66"/>
      <c r="F854" s="67"/>
      <c r="G854" s="67"/>
      <c r="H854" s="67"/>
      <c r="I854" s="68"/>
    </row>
    <row r="855" spans="5:9" x14ac:dyDescent="0.25">
      <c r="E855" s="66"/>
      <c r="F855" s="67"/>
      <c r="G855" s="67"/>
      <c r="H855" s="67"/>
      <c r="I855" s="68"/>
    </row>
    <row r="856" spans="5:9" x14ac:dyDescent="0.25">
      <c r="E856" s="66"/>
      <c r="F856" s="67"/>
      <c r="G856" s="67"/>
      <c r="H856" s="67"/>
      <c r="I856" s="68"/>
    </row>
    <row r="857" spans="5:9" x14ac:dyDescent="0.25">
      <c r="E857" s="66"/>
      <c r="F857" s="67"/>
      <c r="G857" s="67"/>
      <c r="H857" s="67"/>
      <c r="I857" s="68"/>
    </row>
    <row r="858" spans="5:9" x14ac:dyDescent="0.25">
      <c r="E858" s="66"/>
      <c r="F858" s="67"/>
      <c r="G858" s="67"/>
      <c r="H858" s="67"/>
      <c r="I858" s="68"/>
    </row>
    <row r="859" spans="5:9" x14ac:dyDescent="0.25">
      <c r="E859" s="66"/>
      <c r="F859" s="67"/>
      <c r="G859" s="67"/>
      <c r="H859" s="67"/>
      <c r="I859" s="68"/>
    </row>
    <row r="860" spans="5:9" x14ac:dyDescent="0.25">
      <c r="E860" s="66"/>
      <c r="F860" s="67"/>
      <c r="G860" s="67"/>
      <c r="H860" s="67"/>
      <c r="I860" s="68"/>
    </row>
    <row r="861" spans="5:9" x14ac:dyDescent="0.25">
      <c r="E861" s="66"/>
      <c r="F861" s="67"/>
      <c r="G861" s="67"/>
      <c r="H861" s="67"/>
      <c r="I861" s="68"/>
    </row>
    <row r="862" spans="5:9" x14ac:dyDescent="0.25">
      <c r="E862" s="66"/>
      <c r="F862" s="67"/>
      <c r="G862" s="67"/>
      <c r="H862" s="67"/>
      <c r="I862" s="68"/>
    </row>
    <row r="863" spans="5:9" x14ac:dyDescent="0.25">
      <c r="E863" s="66"/>
      <c r="F863" s="67"/>
      <c r="G863" s="67"/>
      <c r="H863" s="67"/>
      <c r="I863" s="68"/>
    </row>
    <row r="864" spans="5:9" x14ac:dyDescent="0.25">
      <c r="E864" s="66"/>
      <c r="F864" s="67"/>
      <c r="G864" s="67"/>
      <c r="H864" s="67"/>
      <c r="I864" s="68"/>
    </row>
    <row r="865" spans="5:9" x14ac:dyDescent="0.25">
      <c r="E865" s="66"/>
      <c r="F865" s="67"/>
      <c r="G865" s="67"/>
      <c r="H865" s="67"/>
      <c r="I865" s="68"/>
    </row>
    <row r="866" spans="5:9" x14ac:dyDescent="0.25">
      <c r="E866" s="66"/>
      <c r="F866" s="67"/>
      <c r="G866" s="67"/>
      <c r="H866" s="67"/>
      <c r="I866" s="68"/>
    </row>
    <row r="867" spans="5:9" x14ac:dyDescent="0.25">
      <c r="E867" s="66"/>
      <c r="F867" s="67"/>
      <c r="G867" s="67"/>
      <c r="H867" s="67"/>
      <c r="I867" s="68"/>
    </row>
    <row r="868" spans="5:9" x14ac:dyDescent="0.25">
      <c r="E868" s="66"/>
      <c r="F868" s="67"/>
      <c r="G868" s="67"/>
      <c r="H868" s="67"/>
      <c r="I868" s="68"/>
    </row>
    <row r="869" spans="5:9" x14ac:dyDescent="0.25">
      <c r="E869" s="66"/>
      <c r="F869" s="67"/>
      <c r="G869" s="67"/>
      <c r="H869" s="67"/>
      <c r="I869" s="68"/>
    </row>
    <row r="870" spans="5:9" x14ac:dyDescent="0.25">
      <c r="E870" s="66"/>
      <c r="F870" s="67"/>
      <c r="G870" s="67"/>
      <c r="H870" s="67"/>
      <c r="I870" s="68"/>
    </row>
    <row r="871" spans="5:9" x14ac:dyDescent="0.25">
      <c r="E871" s="66"/>
      <c r="F871" s="67"/>
      <c r="G871" s="67"/>
      <c r="H871" s="67"/>
      <c r="I871" s="68"/>
    </row>
    <row r="872" spans="5:9" x14ac:dyDescent="0.25">
      <c r="E872" s="66"/>
      <c r="F872" s="67"/>
      <c r="G872" s="67"/>
      <c r="H872" s="67"/>
      <c r="I872" s="68"/>
    </row>
    <row r="873" spans="5:9" x14ac:dyDescent="0.25">
      <c r="E873" s="66"/>
      <c r="F873" s="67"/>
      <c r="G873" s="67"/>
      <c r="H873" s="67"/>
      <c r="I873" s="68"/>
    </row>
    <row r="874" spans="5:9" x14ac:dyDescent="0.25">
      <c r="E874" s="66"/>
      <c r="F874" s="67"/>
      <c r="G874" s="67"/>
      <c r="H874" s="67"/>
      <c r="I874" s="68"/>
    </row>
    <row r="875" spans="5:9" x14ac:dyDescent="0.25">
      <c r="E875" s="66"/>
      <c r="F875" s="67"/>
      <c r="G875" s="67"/>
      <c r="H875" s="67"/>
      <c r="I875" s="68"/>
    </row>
    <row r="876" spans="5:9" x14ac:dyDescent="0.25">
      <c r="E876" s="66"/>
      <c r="F876" s="67"/>
      <c r="G876" s="67"/>
      <c r="H876" s="67"/>
      <c r="I876" s="68"/>
    </row>
    <row r="877" spans="5:9" x14ac:dyDescent="0.25">
      <c r="E877" s="66"/>
      <c r="F877" s="67"/>
      <c r="G877" s="67"/>
      <c r="H877" s="67"/>
      <c r="I877" s="68"/>
    </row>
    <row r="878" spans="5:9" x14ac:dyDescent="0.25">
      <c r="E878" s="66"/>
      <c r="F878" s="67"/>
      <c r="G878" s="67"/>
      <c r="H878" s="67"/>
      <c r="I878" s="68"/>
    </row>
    <row r="879" spans="5:9" x14ac:dyDescent="0.25">
      <c r="E879" s="66"/>
      <c r="F879" s="67"/>
      <c r="G879" s="67"/>
      <c r="H879" s="67"/>
      <c r="I879" s="68"/>
    </row>
    <row r="880" spans="5:9" x14ac:dyDescent="0.25">
      <c r="E880" s="66"/>
      <c r="F880" s="67"/>
      <c r="G880" s="67"/>
      <c r="H880" s="67"/>
      <c r="I880" s="68"/>
    </row>
    <row r="881" spans="5:9" x14ac:dyDescent="0.25">
      <c r="E881" s="66"/>
      <c r="F881" s="67"/>
      <c r="G881" s="67"/>
      <c r="H881" s="67"/>
      <c r="I881" s="68"/>
    </row>
    <row r="882" spans="5:9" x14ac:dyDescent="0.25">
      <c r="E882" s="66"/>
      <c r="F882" s="67"/>
      <c r="G882" s="67"/>
      <c r="H882" s="67"/>
      <c r="I882" s="68"/>
    </row>
    <row r="883" spans="5:9" x14ac:dyDescent="0.25">
      <c r="E883" s="66"/>
      <c r="F883" s="67"/>
      <c r="G883" s="67"/>
      <c r="H883" s="67"/>
      <c r="I883" s="68"/>
    </row>
    <row r="884" spans="5:9" x14ac:dyDescent="0.25">
      <c r="E884" s="66"/>
      <c r="F884" s="67"/>
      <c r="G884" s="67"/>
      <c r="H884" s="67"/>
      <c r="I884" s="68"/>
    </row>
    <row r="885" spans="5:9" x14ac:dyDescent="0.25">
      <c r="E885" s="66"/>
      <c r="F885" s="67"/>
      <c r="G885" s="67"/>
      <c r="H885" s="67"/>
      <c r="I885" s="68"/>
    </row>
    <row r="886" spans="5:9" x14ac:dyDescent="0.25">
      <c r="E886" s="66"/>
      <c r="F886" s="67"/>
      <c r="G886" s="67"/>
      <c r="H886" s="67"/>
      <c r="I886" s="68"/>
    </row>
    <row r="887" spans="5:9" x14ac:dyDescent="0.25">
      <c r="E887" s="66"/>
      <c r="F887" s="67"/>
      <c r="G887" s="67"/>
      <c r="H887" s="67"/>
      <c r="I887" s="68"/>
    </row>
    <row r="888" spans="5:9" x14ac:dyDescent="0.25">
      <c r="E888" s="66"/>
      <c r="F888" s="67"/>
      <c r="G888" s="67"/>
      <c r="H888" s="67"/>
      <c r="I888" s="68"/>
    </row>
    <row r="889" spans="5:9" x14ac:dyDescent="0.25">
      <c r="E889" s="66"/>
      <c r="F889" s="67"/>
      <c r="G889" s="67"/>
      <c r="H889" s="67"/>
      <c r="I889" s="68"/>
    </row>
    <row r="890" spans="5:9" x14ac:dyDescent="0.25">
      <c r="E890" s="66"/>
      <c r="F890" s="67"/>
      <c r="G890" s="67"/>
      <c r="H890" s="67"/>
      <c r="I890" s="68"/>
    </row>
    <row r="891" spans="5:9" x14ac:dyDescent="0.25">
      <c r="E891" s="66"/>
      <c r="F891" s="67"/>
      <c r="G891" s="67"/>
      <c r="H891" s="67"/>
      <c r="I891" s="68"/>
    </row>
    <row r="892" spans="5:9" x14ac:dyDescent="0.25">
      <c r="E892" s="66"/>
      <c r="F892" s="67"/>
      <c r="G892" s="67"/>
      <c r="H892" s="67"/>
      <c r="I892" s="68"/>
    </row>
    <row r="893" spans="5:9" x14ac:dyDescent="0.25">
      <c r="E893" s="66"/>
      <c r="F893" s="67"/>
      <c r="G893" s="67"/>
      <c r="H893" s="67"/>
      <c r="I893" s="68"/>
    </row>
    <row r="894" spans="5:9" x14ac:dyDescent="0.25">
      <c r="E894" s="66"/>
      <c r="F894" s="67"/>
      <c r="G894" s="67"/>
      <c r="H894" s="67"/>
      <c r="I894" s="68"/>
    </row>
    <row r="895" spans="5:9" x14ac:dyDescent="0.25">
      <c r="E895" s="66"/>
      <c r="F895" s="67"/>
      <c r="G895" s="67"/>
      <c r="H895" s="67"/>
      <c r="I895" s="68"/>
    </row>
    <row r="896" spans="5:9" x14ac:dyDescent="0.25">
      <c r="E896" s="66"/>
      <c r="F896" s="67"/>
      <c r="G896" s="67"/>
      <c r="H896" s="67"/>
      <c r="I896" s="68"/>
    </row>
    <row r="897" spans="5:9" x14ac:dyDescent="0.25">
      <c r="E897" s="66"/>
      <c r="F897" s="67"/>
      <c r="G897" s="67"/>
      <c r="H897" s="67"/>
      <c r="I897" s="68"/>
    </row>
    <row r="898" spans="5:9" x14ac:dyDescent="0.25">
      <c r="E898" s="66"/>
      <c r="F898" s="67"/>
      <c r="G898" s="67"/>
      <c r="H898" s="67"/>
      <c r="I898" s="68"/>
    </row>
    <row r="899" spans="5:9" x14ac:dyDescent="0.25">
      <c r="E899" s="66"/>
      <c r="F899" s="67"/>
      <c r="G899" s="67"/>
      <c r="H899" s="67"/>
      <c r="I899" s="68"/>
    </row>
    <row r="900" spans="5:9" x14ac:dyDescent="0.25">
      <c r="E900" s="66"/>
      <c r="F900" s="67"/>
      <c r="G900" s="67"/>
      <c r="H900" s="67"/>
      <c r="I900" s="68"/>
    </row>
    <row r="901" spans="5:9" x14ac:dyDescent="0.25">
      <c r="E901" s="66"/>
      <c r="F901" s="67"/>
      <c r="G901" s="67"/>
      <c r="H901" s="67"/>
      <c r="I901" s="68"/>
    </row>
    <row r="902" spans="5:9" x14ac:dyDescent="0.25">
      <c r="E902" s="66"/>
      <c r="F902" s="67"/>
      <c r="G902" s="67"/>
      <c r="H902" s="67"/>
      <c r="I902" s="68"/>
    </row>
    <row r="903" spans="5:9" x14ac:dyDescent="0.25">
      <c r="E903" s="66"/>
      <c r="F903" s="67"/>
      <c r="G903" s="67"/>
      <c r="H903" s="67"/>
      <c r="I903" s="68"/>
    </row>
    <row r="904" spans="5:9" x14ac:dyDescent="0.25">
      <c r="E904" s="66"/>
      <c r="F904" s="67"/>
      <c r="G904" s="67"/>
      <c r="H904" s="67"/>
      <c r="I904" s="68"/>
    </row>
    <row r="905" spans="5:9" x14ac:dyDescent="0.25">
      <c r="E905" s="66"/>
      <c r="F905" s="67"/>
      <c r="G905" s="67"/>
      <c r="H905" s="67"/>
      <c r="I905" s="68"/>
    </row>
    <row r="906" spans="5:9" x14ac:dyDescent="0.25">
      <c r="E906" s="66"/>
      <c r="F906" s="67"/>
      <c r="G906" s="67"/>
      <c r="H906" s="67"/>
      <c r="I906" s="68"/>
    </row>
    <row r="907" spans="5:9" x14ac:dyDescent="0.25">
      <c r="E907" s="66"/>
      <c r="F907" s="67"/>
      <c r="G907" s="67"/>
      <c r="H907" s="67"/>
      <c r="I907" s="68"/>
    </row>
    <row r="908" spans="5:9" x14ac:dyDescent="0.25">
      <c r="E908" s="66"/>
      <c r="F908" s="67"/>
      <c r="G908" s="67"/>
      <c r="H908" s="67"/>
      <c r="I908" s="68"/>
    </row>
    <row r="909" spans="5:9" x14ac:dyDescent="0.25">
      <c r="E909" s="66"/>
      <c r="F909" s="67"/>
      <c r="G909" s="67"/>
      <c r="H909" s="67"/>
      <c r="I909" s="68"/>
    </row>
    <row r="910" spans="5:9" x14ac:dyDescent="0.25">
      <c r="E910" s="66"/>
      <c r="F910" s="67"/>
      <c r="G910" s="67"/>
      <c r="H910" s="67"/>
      <c r="I910" s="68"/>
    </row>
    <row r="911" spans="5:9" x14ac:dyDescent="0.25">
      <c r="E911" s="66"/>
      <c r="F911" s="67"/>
      <c r="G911" s="67"/>
      <c r="H911" s="67"/>
      <c r="I911" s="68"/>
    </row>
    <row r="912" spans="5:9" x14ac:dyDescent="0.25">
      <c r="E912" s="66"/>
      <c r="F912" s="67"/>
      <c r="G912" s="67"/>
      <c r="H912" s="67"/>
      <c r="I912" s="68"/>
    </row>
    <row r="913" spans="5:9" x14ac:dyDescent="0.25">
      <c r="E913" s="66"/>
      <c r="F913" s="67"/>
      <c r="G913" s="67"/>
      <c r="H913" s="67"/>
      <c r="I913" s="68"/>
    </row>
    <row r="914" spans="5:9" x14ac:dyDescent="0.25">
      <c r="E914" s="66"/>
      <c r="F914" s="67"/>
      <c r="G914" s="67"/>
      <c r="H914" s="67"/>
      <c r="I914" s="68"/>
    </row>
    <row r="915" spans="5:9" x14ac:dyDescent="0.25">
      <c r="E915" s="66"/>
      <c r="F915" s="67"/>
      <c r="G915" s="67"/>
      <c r="H915" s="67"/>
      <c r="I915" s="68"/>
    </row>
    <row r="916" spans="5:9" x14ac:dyDescent="0.25">
      <c r="E916" s="66"/>
      <c r="F916" s="67"/>
      <c r="G916" s="67"/>
      <c r="H916" s="67"/>
      <c r="I916" s="68"/>
    </row>
    <row r="917" spans="5:9" x14ac:dyDescent="0.25">
      <c r="E917" s="66"/>
      <c r="F917" s="67"/>
      <c r="G917" s="67"/>
      <c r="H917" s="67"/>
      <c r="I917" s="68"/>
    </row>
    <row r="918" spans="5:9" x14ac:dyDescent="0.25">
      <c r="E918" s="66"/>
      <c r="F918" s="67"/>
      <c r="G918" s="67"/>
      <c r="H918" s="67"/>
      <c r="I918" s="68"/>
    </row>
    <row r="919" spans="5:9" x14ac:dyDescent="0.25">
      <c r="E919" s="66"/>
      <c r="F919" s="67"/>
      <c r="G919" s="67"/>
      <c r="H919" s="67"/>
      <c r="I919" s="68"/>
    </row>
    <row r="920" spans="5:9" x14ac:dyDescent="0.25">
      <c r="E920" s="66"/>
      <c r="F920" s="67"/>
      <c r="G920" s="67"/>
      <c r="H920" s="67"/>
      <c r="I920" s="68"/>
    </row>
    <row r="921" spans="5:9" x14ac:dyDescent="0.25">
      <c r="E921" s="66"/>
      <c r="F921" s="67"/>
      <c r="G921" s="67"/>
      <c r="H921" s="67"/>
      <c r="I921" s="68"/>
    </row>
    <row r="922" spans="5:9" x14ac:dyDescent="0.25">
      <c r="E922" s="66"/>
      <c r="F922" s="67"/>
      <c r="G922" s="67"/>
      <c r="H922" s="67"/>
      <c r="I922" s="68"/>
    </row>
    <row r="923" spans="5:9" x14ac:dyDescent="0.25">
      <c r="E923" s="66"/>
      <c r="F923" s="67"/>
      <c r="G923" s="67"/>
      <c r="H923" s="67"/>
      <c r="I923" s="68"/>
    </row>
    <row r="924" spans="5:9" x14ac:dyDescent="0.25">
      <c r="E924" s="66"/>
      <c r="F924" s="67"/>
      <c r="G924" s="67"/>
      <c r="H924" s="67"/>
      <c r="I924" s="68"/>
    </row>
    <row r="925" spans="5:9" x14ac:dyDescent="0.25">
      <c r="E925" s="66"/>
      <c r="F925" s="67"/>
      <c r="G925" s="67"/>
      <c r="H925" s="67"/>
      <c r="I925" s="68"/>
    </row>
    <row r="926" spans="5:9" x14ac:dyDescent="0.25">
      <c r="E926" s="66"/>
      <c r="F926" s="67"/>
      <c r="G926" s="67"/>
      <c r="H926" s="67"/>
      <c r="I926" s="68"/>
    </row>
    <row r="927" spans="5:9" x14ac:dyDescent="0.25">
      <c r="E927" s="66"/>
      <c r="F927" s="67"/>
      <c r="G927" s="67"/>
      <c r="H927" s="67"/>
      <c r="I927" s="68"/>
    </row>
    <row r="928" spans="5:9" x14ac:dyDescent="0.25">
      <c r="E928" s="66"/>
      <c r="F928" s="67"/>
      <c r="G928" s="67"/>
      <c r="H928" s="67"/>
      <c r="I928" s="68"/>
    </row>
    <row r="929" spans="5:9" x14ac:dyDescent="0.25">
      <c r="E929" s="66"/>
      <c r="F929" s="67"/>
      <c r="G929" s="67"/>
      <c r="H929" s="67"/>
      <c r="I929" s="68"/>
    </row>
    <row r="930" spans="5:9" x14ac:dyDescent="0.25">
      <c r="E930" s="66"/>
      <c r="F930" s="67"/>
      <c r="G930" s="67"/>
      <c r="H930" s="67"/>
      <c r="I930" s="68"/>
    </row>
    <row r="931" spans="5:9" x14ac:dyDescent="0.25">
      <c r="E931" s="66"/>
      <c r="F931" s="67"/>
      <c r="G931" s="67"/>
      <c r="H931" s="67"/>
      <c r="I931" s="68"/>
    </row>
    <row r="932" spans="5:9" x14ac:dyDescent="0.25">
      <c r="E932" s="66"/>
      <c r="F932" s="67"/>
      <c r="G932" s="67"/>
      <c r="H932" s="67"/>
      <c r="I932" s="68"/>
    </row>
    <row r="933" spans="5:9" x14ac:dyDescent="0.25">
      <c r="E933" s="66"/>
      <c r="F933" s="67"/>
      <c r="G933" s="67"/>
      <c r="H933" s="67"/>
      <c r="I933" s="68"/>
    </row>
    <row r="934" spans="5:9" x14ac:dyDescent="0.25">
      <c r="E934" s="66"/>
      <c r="F934" s="67"/>
      <c r="G934" s="67"/>
      <c r="H934" s="67"/>
      <c r="I934" s="68"/>
    </row>
    <row r="935" spans="5:9" x14ac:dyDescent="0.25">
      <c r="E935" s="66"/>
      <c r="F935" s="67"/>
      <c r="G935" s="67"/>
      <c r="H935" s="67"/>
      <c r="I935" s="68"/>
    </row>
    <row r="936" spans="5:9" x14ac:dyDescent="0.25">
      <c r="E936" s="66"/>
      <c r="F936" s="67"/>
      <c r="G936" s="67"/>
      <c r="H936" s="67"/>
      <c r="I936" s="68"/>
    </row>
    <row r="937" spans="5:9" x14ac:dyDescent="0.25">
      <c r="E937" s="66"/>
      <c r="F937" s="67"/>
      <c r="G937" s="67"/>
      <c r="H937" s="67"/>
      <c r="I937" s="68"/>
    </row>
    <row r="938" spans="5:9" x14ac:dyDescent="0.25">
      <c r="E938" s="66"/>
      <c r="F938" s="67"/>
      <c r="G938" s="67"/>
      <c r="H938" s="67"/>
      <c r="I938" s="68"/>
    </row>
    <row r="939" spans="5:9" x14ac:dyDescent="0.25">
      <c r="E939" s="66"/>
      <c r="F939" s="67"/>
      <c r="G939" s="67"/>
      <c r="H939" s="67"/>
      <c r="I939" s="68"/>
    </row>
    <row r="940" spans="5:9" x14ac:dyDescent="0.25">
      <c r="E940" s="66"/>
      <c r="F940" s="67"/>
      <c r="G940" s="67"/>
      <c r="H940" s="67"/>
      <c r="I940" s="68"/>
    </row>
    <row r="941" spans="5:9" x14ac:dyDescent="0.25">
      <c r="E941" s="66"/>
      <c r="F941" s="67"/>
      <c r="G941" s="67"/>
      <c r="H941" s="67"/>
      <c r="I941" s="68"/>
    </row>
    <row r="942" spans="5:9" x14ac:dyDescent="0.25">
      <c r="E942" s="66"/>
      <c r="F942" s="67"/>
      <c r="G942" s="67"/>
      <c r="H942" s="67"/>
      <c r="I942" s="68"/>
    </row>
    <row r="943" spans="5:9" x14ac:dyDescent="0.25">
      <c r="E943" s="66"/>
      <c r="F943" s="67"/>
      <c r="G943" s="67"/>
      <c r="H943" s="67"/>
      <c r="I943" s="68"/>
    </row>
    <row r="944" spans="5:9" x14ac:dyDescent="0.25">
      <c r="E944" s="66"/>
      <c r="F944" s="67"/>
      <c r="G944" s="67"/>
      <c r="H944" s="67"/>
      <c r="I944" s="68"/>
    </row>
    <row r="945" spans="5:9" x14ac:dyDescent="0.25">
      <c r="E945" s="66"/>
      <c r="F945" s="67"/>
      <c r="G945" s="67"/>
      <c r="H945" s="67"/>
      <c r="I945" s="68"/>
    </row>
    <row r="946" spans="5:9" x14ac:dyDescent="0.25">
      <c r="E946" s="66"/>
      <c r="F946" s="67"/>
      <c r="G946" s="67"/>
      <c r="H946" s="67"/>
      <c r="I946" s="68"/>
    </row>
    <row r="947" spans="5:9" x14ac:dyDescent="0.25">
      <c r="E947" s="66"/>
      <c r="F947" s="67"/>
      <c r="G947" s="67"/>
      <c r="H947" s="67"/>
      <c r="I947" s="68"/>
    </row>
    <row r="948" spans="5:9" x14ac:dyDescent="0.25">
      <c r="E948" s="66"/>
      <c r="F948" s="67"/>
      <c r="G948" s="67"/>
      <c r="H948" s="67"/>
      <c r="I948" s="68"/>
    </row>
    <row r="949" spans="5:9" x14ac:dyDescent="0.25">
      <c r="E949" s="66"/>
      <c r="F949" s="67"/>
      <c r="G949" s="67"/>
      <c r="H949" s="67"/>
      <c r="I949" s="68"/>
    </row>
    <row r="950" spans="5:9" x14ac:dyDescent="0.25">
      <c r="E950" s="66"/>
      <c r="F950" s="67"/>
      <c r="G950" s="67"/>
      <c r="H950" s="67"/>
      <c r="I950" s="68"/>
    </row>
    <row r="951" spans="5:9" x14ac:dyDescent="0.25">
      <c r="E951" s="66"/>
      <c r="F951" s="67"/>
      <c r="G951" s="67"/>
      <c r="H951" s="67"/>
      <c r="I951" s="68"/>
    </row>
    <row r="952" spans="5:9" x14ac:dyDescent="0.25">
      <c r="E952" s="66"/>
      <c r="F952" s="67"/>
      <c r="G952" s="67"/>
      <c r="H952" s="67"/>
      <c r="I952" s="68"/>
    </row>
    <row r="953" spans="5:9" x14ac:dyDescent="0.25">
      <c r="E953" s="66"/>
      <c r="F953" s="67"/>
      <c r="G953" s="67"/>
      <c r="H953" s="67"/>
      <c r="I953" s="68"/>
    </row>
    <row r="954" spans="5:9" x14ac:dyDescent="0.25">
      <c r="E954" s="66"/>
      <c r="F954" s="67"/>
      <c r="G954" s="67"/>
      <c r="H954" s="67"/>
      <c r="I954" s="68"/>
    </row>
    <row r="955" spans="5:9" x14ac:dyDescent="0.25">
      <c r="E955" s="66"/>
      <c r="F955" s="67"/>
      <c r="G955" s="67"/>
      <c r="H955" s="67"/>
      <c r="I955" s="68"/>
    </row>
    <row r="956" spans="5:9" x14ac:dyDescent="0.25">
      <c r="E956" s="66"/>
      <c r="F956" s="67"/>
      <c r="G956" s="67"/>
      <c r="H956" s="67"/>
      <c r="I956" s="68"/>
    </row>
    <row r="957" spans="5:9" x14ac:dyDescent="0.25">
      <c r="E957" s="66"/>
      <c r="F957" s="67"/>
      <c r="G957" s="67"/>
      <c r="H957" s="67"/>
      <c r="I957" s="68"/>
    </row>
    <row r="958" spans="5:9" x14ac:dyDescent="0.25">
      <c r="E958" s="66"/>
      <c r="F958" s="67"/>
      <c r="G958" s="67"/>
      <c r="H958" s="67"/>
      <c r="I958" s="68"/>
    </row>
    <row r="959" spans="5:9" x14ac:dyDescent="0.25">
      <c r="E959" s="66"/>
      <c r="F959" s="67"/>
      <c r="G959" s="67"/>
      <c r="H959" s="67"/>
      <c r="I959" s="68"/>
    </row>
    <row r="960" spans="5:9" x14ac:dyDescent="0.25">
      <c r="E960" s="66"/>
      <c r="F960" s="67"/>
      <c r="G960" s="67"/>
      <c r="H960" s="67"/>
      <c r="I960" s="68"/>
    </row>
    <row r="961" spans="5:9" x14ac:dyDescent="0.25">
      <c r="E961" s="66"/>
      <c r="F961" s="67"/>
      <c r="G961" s="67"/>
      <c r="H961" s="67"/>
      <c r="I961" s="68"/>
    </row>
    <row r="962" spans="5:9" x14ac:dyDescent="0.25">
      <c r="E962" s="66"/>
      <c r="F962" s="67"/>
      <c r="G962" s="67"/>
      <c r="H962" s="67"/>
      <c r="I962" s="68"/>
    </row>
    <row r="963" spans="5:9" x14ac:dyDescent="0.25">
      <c r="E963" s="66"/>
      <c r="F963" s="67"/>
      <c r="G963" s="67"/>
      <c r="H963" s="67"/>
      <c r="I963" s="68"/>
    </row>
    <row r="964" spans="5:9" x14ac:dyDescent="0.25">
      <c r="E964" s="66"/>
      <c r="F964" s="67"/>
      <c r="G964" s="67"/>
      <c r="H964" s="67"/>
      <c r="I964" s="68"/>
    </row>
    <row r="965" spans="5:9" x14ac:dyDescent="0.25">
      <c r="E965" s="66"/>
      <c r="F965" s="67"/>
      <c r="G965" s="67"/>
      <c r="H965" s="67"/>
      <c r="I965" s="68"/>
    </row>
    <row r="966" spans="5:9" x14ac:dyDescent="0.25">
      <c r="E966" s="66"/>
      <c r="F966" s="67"/>
      <c r="G966" s="67"/>
      <c r="H966" s="67"/>
      <c r="I966" s="68"/>
    </row>
    <row r="967" spans="5:9" x14ac:dyDescent="0.25">
      <c r="E967" s="66"/>
      <c r="F967" s="67"/>
      <c r="G967" s="67"/>
      <c r="H967" s="67"/>
      <c r="I967" s="68"/>
    </row>
    <row r="968" spans="5:9" x14ac:dyDescent="0.25">
      <c r="E968" s="66"/>
      <c r="F968" s="67"/>
      <c r="G968" s="67"/>
      <c r="H968" s="67"/>
      <c r="I968" s="68"/>
    </row>
    <row r="969" spans="5:9" x14ac:dyDescent="0.25">
      <c r="E969" s="66"/>
      <c r="F969" s="67"/>
      <c r="G969" s="67"/>
      <c r="H969" s="67"/>
      <c r="I969" s="68"/>
    </row>
    <row r="970" spans="5:9" x14ac:dyDescent="0.25">
      <c r="E970" s="66"/>
      <c r="F970" s="67"/>
      <c r="G970" s="67"/>
      <c r="H970" s="67"/>
      <c r="I970" s="68"/>
    </row>
    <row r="971" spans="5:9" x14ac:dyDescent="0.25">
      <c r="E971" s="66"/>
      <c r="F971" s="67"/>
      <c r="G971" s="67"/>
      <c r="H971" s="67"/>
      <c r="I971" s="68"/>
    </row>
    <row r="972" spans="5:9" x14ac:dyDescent="0.25">
      <c r="E972" s="66"/>
      <c r="F972" s="67"/>
      <c r="G972" s="67"/>
      <c r="H972" s="67"/>
      <c r="I972" s="68"/>
    </row>
    <row r="973" spans="5:9" x14ac:dyDescent="0.25">
      <c r="E973" s="66"/>
      <c r="F973" s="67"/>
      <c r="G973" s="67"/>
      <c r="H973" s="67"/>
      <c r="I973" s="68"/>
    </row>
    <row r="974" spans="5:9" x14ac:dyDescent="0.25">
      <c r="E974" s="66"/>
      <c r="F974" s="67"/>
      <c r="G974" s="67"/>
      <c r="H974" s="67"/>
      <c r="I974" s="68"/>
    </row>
    <row r="975" spans="5:9" x14ac:dyDescent="0.25">
      <c r="E975" s="66"/>
      <c r="F975" s="67"/>
      <c r="G975" s="67"/>
      <c r="H975" s="67"/>
      <c r="I975" s="68"/>
    </row>
    <row r="976" spans="5:9" x14ac:dyDescent="0.25">
      <c r="E976" s="66"/>
      <c r="F976" s="67"/>
      <c r="G976" s="67"/>
      <c r="H976" s="67"/>
      <c r="I976" s="68"/>
    </row>
    <row r="977" spans="5:9" x14ac:dyDescent="0.25">
      <c r="E977" s="66"/>
      <c r="F977" s="67"/>
      <c r="G977" s="67"/>
      <c r="H977" s="67"/>
      <c r="I977" s="68"/>
    </row>
    <row r="978" spans="5:9" x14ac:dyDescent="0.25">
      <c r="E978" s="66"/>
      <c r="F978" s="67"/>
      <c r="G978" s="67"/>
      <c r="H978" s="67"/>
      <c r="I978" s="68"/>
    </row>
    <row r="979" spans="5:9" x14ac:dyDescent="0.25">
      <c r="E979" s="66"/>
      <c r="F979" s="67"/>
      <c r="G979" s="67"/>
      <c r="H979" s="67"/>
      <c r="I979" s="68"/>
    </row>
    <row r="980" spans="5:9" x14ac:dyDescent="0.25">
      <c r="E980" s="66"/>
      <c r="F980" s="67"/>
      <c r="G980" s="67"/>
      <c r="H980" s="67"/>
      <c r="I980" s="68"/>
    </row>
    <row r="981" spans="5:9" x14ac:dyDescent="0.25">
      <c r="E981" s="66"/>
      <c r="F981" s="67"/>
      <c r="G981" s="67"/>
      <c r="H981" s="67"/>
      <c r="I981" s="68"/>
    </row>
    <row r="982" spans="5:9" x14ac:dyDescent="0.25">
      <c r="E982" s="66"/>
      <c r="F982" s="67"/>
      <c r="G982" s="67"/>
      <c r="H982" s="67"/>
      <c r="I982" s="68"/>
    </row>
    <row r="983" spans="5:9" x14ac:dyDescent="0.25">
      <c r="E983" s="66"/>
      <c r="F983" s="67"/>
      <c r="G983" s="67"/>
      <c r="H983" s="67"/>
      <c r="I983" s="68"/>
    </row>
    <row r="984" spans="5:9" x14ac:dyDescent="0.25">
      <c r="E984" s="66"/>
      <c r="F984" s="67"/>
      <c r="G984" s="67"/>
      <c r="H984" s="67"/>
      <c r="I984" s="68"/>
    </row>
    <row r="985" spans="5:9" x14ac:dyDescent="0.25">
      <c r="E985" s="66"/>
      <c r="F985" s="67"/>
      <c r="G985" s="67"/>
      <c r="H985" s="67"/>
      <c r="I985" s="68"/>
    </row>
    <row r="986" spans="5:9" x14ac:dyDescent="0.25">
      <c r="E986" s="66"/>
      <c r="F986" s="67"/>
      <c r="G986" s="67"/>
      <c r="H986" s="67"/>
      <c r="I986" s="68"/>
    </row>
    <row r="987" spans="5:9" x14ac:dyDescent="0.25">
      <c r="E987" s="66"/>
      <c r="F987" s="67"/>
      <c r="G987" s="67"/>
      <c r="H987" s="67"/>
      <c r="I987" s="68"/>
    </row>
    <row r="988" spans="5:9" x14ac:dyDescent="0.25">
      <c r="E988" s="66"/>
      <c r="F988" s="67"/>
      <c r="G988" s="67"/>
      <c r="H988" s="67"/>
      <c r="I988" s="68"/>
    </row>
    <row r="989" spans="5:9" x14ac:dyDescent="0.25">
      <c r="E989" s="66"/>
      <c r="F989" s="67"/>
      <c r="G989" s="67"/>
      <c r="H989" s="67"/>
      <c r="I989" s="68"/>
    </row>
    <row r="990" spans="5:9" x14ac:dyDescent="0.25">
      <c r="E990" s="66"/>
      <c r="F990" s="67"/>
      <c r="G990" s="67"/>
      <c r="H990" s="67"/>
      <c r="I990" s="68"/>
    </row>
    <row r="991" spans="5:9" x14ac:dyDescent="0.25">
      <c r="E991" s="66"/>
      <c r="F991" s="67"/>
      <c r="G991" s="67"/>
      <c r="H991" s="67"/>
      <c r="I991" s="68"/>
    </row>
    <row r="992" spans="5:9" x14ac:dyDescent="0.25">
      <c r="E992" s="66"/>
      <c r="F992" s="67"/>
      <c r="G992" s="67"/>
      <c r="H992" s="67"/>
      <c r="I992" s="68"/>
    </row>
    <row r="993" spans="5:9" x14ac:dyDescent="0.25">
      <c r="E993" s="66"/>
      <c r="F993" s="67"/>
      <c r="G993" s="67"/>
      <c r="H993" s="67"/>
      <c r="I993" s="68"/>
    </row>
    <row r="994" spans="5:9" x14ac:dyDescent="0.25">
      <c r="E994" s="66"/>
      <c r="F994" s="67"/>
      <c r="G994" s="67"/>
      <c r="H994" s="67"/>
      <c r="I994" s="68"/>
    </row>
    <row r="995" spans="5:9" x14ac:dyDescent="0.25">
      <c r="E995" s="66"/>
      <c r="F995" s="67"/>
      <c r="G995" s="67"/>
      <c r="H995" s="67"/>
      <c r="I995" s="68"/>
    </row>
    <row r="996" spans="5:9" x14ac:dyDescent="0.25">
      <c r="E996" s="66"/>
      <c r="F996" s="67"/>
      <c r="G996" s="67"/>
      <c r="H996" s="67"/>
      <c r="I996" s="68"/>
    </row>
    <row r="997" spans="5:9" x14ac:dyDescent="0.25">
      <c r="E997" s="66"/>
      <c r="F997" s="67"/>
      <c r="G997" s="67"/>
      <c r="H997" s="67"/>
      <c r="I997" s="68"/>
    </row>
    <row r="998" spans="5:9" x14ac:dyDescent="0.25">
      <c r="E998" s="66"/>
      <c r="F998" s="67"/>
      <c r="G998" s="67"/>
      <c r="H998" s="67"/>
      <c r="I998" s="68"/>
    </row>
    <row r="999" spans="5:9" x14ac:dyDescent="0.25">
      <c r="E999" s="66"/>
      <c r="F999" s="67"/>
      <c r="G999" s="67"/>
      <c r="H999" s="67"/>
      <c r="I999" s="68"/>
    </row>
    <row r="1000" spans="5:9" x14ac:dyDescent="0.25">
      <c r="E1000" s="66"/>
      <c r="F1000" s="67"/>
      <c r="G1000" s="67"/>
      <c r="H1000" s="67"/>
      <c r="I1000" s="68"/>
    </row>
    <row r="1001" spans="5:9" x14ac:dyDescent="0.25">
      <c r="E1001" s="66"/>
      <c r="F1001" s="67"/>
      <c r="G1001" s="67"/>
      <c r="H1001" s="67"/>
      <c r="I1001" s="68"/>
    </row>
    <row r="1002" spans="5:9" x14ac:dyDescent="0.25">
      <c r="E1002" s="66"/>
      <c r="F1002" s="67"/>
      <c r="G1002" s="67"/>
      <c r="H1002" s="67"/>
      <c r="I1002" s="68"/>
    </row>
    <row r="1003" spans="5:9" x14ac:dyDescent="0.25">
      <c r="E1003" s="66"/>
      <c r="F1003" s="67"/>
      <c r="G1003" s="67"/>
      <c r="H1003" s="67"/>
      <c r="I1003" s="68"/>
    </row>
    <row r="1004" spans="5:9" x14ac:dyDescent="0.25">
      <c r="E1004" s="66"/>
      <c r="F1004" s="67"/>
      <c r="G1004" s="67"/>
      <c r="H1004" s="67"/>
      <c r="I1004" s="68"/>
    </row>
    <row r="1005" spans="5:9" x14ac:dyDescent="0.25">
      <c r="E1005" s="66"/>
      <c r="F1005" s="67"/>
      <c r="G1005" s="67"/>
      <c r="H1005" s="67"/>
      <c r="I1005" s="68"/>
    </row>
    <row r="1006" spans="5:9" x14ac:dyDescent="0.25">
      <c r="E1006" s="66"/>
      <c r="F1006" s="67"/>
      <c r="G1006" s="67"/>
      <c r="H1006" s="67"/>
      <c r="I1006" s="68"/>
    </row>
    <row r="1007" spans="5:9" x14ac:dyDescent="0.25">
      <c r="E1007" s="66"/>
      <c r="F1007" s="67"/>
      <c r="G1007" s="67"/>
      <c r="H1007" s="67"/>
      <c r="I1007" s="68"/>
    </row>
    <row r="1008" spans="5:9" x14ac:dyDescent="0.25">
      <c r="E1008" s="66"/>
      <c r="F1008" s="67"/>
      <c r="G1008" s="67"/>
      <c r="H1008" s="67"/>
      <c r="I1008" s="68"/>
    </row>
    <row r="1009" spans="5:9" x14ac:dyDescent="0.25">
      <c r="E1009" s="66"/>
      <c r="F1009" s="67"/>
      <c r="G1009" s="67"/>
      <c r="H1009" s="67"/>
      <c r="I1009" s="68"/>
    </row>
    <row r="1010" spans="5:9" x14ac:dyDescent="0.25">
      <c r="E1010" s="66"/>
      <c r="F1010" s="67"/>
      <c r="G1010" s="67"/>
      <c r="H1010" s="67"/>
      <c r="I1010" s="68"/>
    </row>
    <row r="1011" spans="5:9" x14ac:dyDescent="0.25">
      <c r="E1011" s="66"/>
      <c r="F1011" s="67"/>
      <c r="G1011" s="67"/>
      <c r="H1011" s="67"/>
      <c r="I1011" s="68"/>
    </row>
    <row r="1012" spans="5:9" x14ac:dyDescent="0.25">
      <c r="E1012" s="66"/>
      <c r="F1012" s="67"/>
      <c r="G1012" s="67"/>
      <c r="H1012" s="67"/>
      <c r="I1012" s="68"/>
    </row>
    <row r="1013" spans="5:9" x14ac:dyDescent="0.25">
      <c r="E1013" s="66"/>
      <c r="F1013" s="67"/>
      <c r="G1013" s="67"/>
      <c r="H1013" s="67"/>
      <c r="I1013" s="68"/>
    </row>
    <row r="1014" spans="5:9" x14ac:dyDescent="0.25">
      <c r="E1014" s="66"/>
      <c r="F1014" s="67"/>
      <c r="G1014" s="67"/>
      <c r="H1014" s="67"/>
      <c r="I1014" s="68"/>
    </row>
    <row r="1015" spans="5:9" x14ac:dyDescent="0.25">
      <c r="E1015" s="66"/>
      <c r="F1015" s="67"/>
      <c r="G1015" s="67"/>
      <c r="H1015" s="67"/>
      <c r="I1015" s="68"/>
    </row>
    <row r="1016" spans="5:9" x14ac:dyDescent="0.25">
      <c r="E1016" s="66"/>
      <c r="F1016" s="67"/>
      <c r="G1016" s="67"/>
      <c r="H1016" s="67"/>
      <c r="I1016" s="68"/>
    </row>
    <row r="1017" spans="5:9" x14ac:dyDescent="0.25">
      <c r="E1017" s="66"/>
      <c r="F1017" s="67"/>
      <c r="G1017" s="67"/>
      <c r="H1017" s="67"/>
      <c r="I1017" s="68"/>
    </row>
    <row r="1018" spans="5:9" x14ac:dyDescent="0.25">
      <c r="E1018" s="66"/>
      <c r="F1018" s="67"/>
      <c r="G1018" s="67"/>
      <c r="H1018" s="67"/>
      <c r="I1018" s="68"/>
    </row>
    <row r="1019" spans="5:9" x14ac:dyDescent="0.25">
      <c r="E1019" s="66"/>
      <c r="F1019" s="67"/>
      <c r="G1019" s="67"/>
      <c r="H1019" s="67"/>
      <c r="I1019" s="68"/>
    </row>
    <row r="1020" spans="5:9" x14ac:dyDescent="0.25">
      <c r="E1020" s="66"/>
      <c r="F1020" s="67"/>
      <c r="G1020" s="67"/>
      <c r="H1020" s="67"/>
      <c r="I1020" s="68"/>
    </row>
    <row r="1021" spans="5:9" x14ac:dyDescent="0.25">
      <c r="E1021" s="66"/>
      <c r="F1021" s="67"/>
      <c r="G1021" s="67"/>
      <c r="H1021" s="67"/>
      <c r="I1021" s="68"/>
    </row>
    <row r="1022" spans="5:9" x14ac:dyDescent="0.25">
      <c r="E1022" s="66"/>
      <c r="F1022" s="67"/>
      <c r="G1022" s="67"/>
      <c r="H1022" s="67"/>
      <c r="I1022" s="68"/>
    </row>
    <row r="1023" spans="5:9" x14ac:dyDescent="0.25">
      <c r="E1023" s="66"/>
      <c r="F1023" s="67"/>
      <c r="G1023" s="67"/>
      <c r="H1023" s="67"/>
      <c r="I1023" s="68"/>
    </row>
    <row r="1024" spans="5:9" x14ac:dyDescent="0.25">
      <c r="E1024" s="66"/>
      <c r="F1024" s="67"/>
      <c r="G1024" s="67"/>
      <c r="H1024" s="67"/>
      <c r="I1024" s="68"/>
    </row>
    <row r="1025" spans="5:9" x14ac:dyDescent="0.25">
      <c r="E1025" s="66"/>
      <c r="F1025" s="67"/>
      <c r="G1025" s="67"/>
      <c r="H1025" s="67"/>
      <c r="I1025" s="68"/>
    </row>
    <row r="1026" spans="5:9" x14ac:dyDescent="0.25">
      <c r="E1026" s="66"/>
      <c r="F1026" s="67"/>
      <c r="G1026" s="67"/>
      <c r="H1026" s="67"/>
      <c r="I1026" s="68"/>
    </row>
    <row r="1027" spans="5:9" x14ac:dyDescent="0.25">
      <c r="E1027" s="66"/>
      <c r="F1027" s="67"/>
      <c r="G1027" s="67"/>
      <c r="H1027" s="67"/>
      <c r="I1027" s="68"/>
    </row>
    <row r="1028" spans="5:9" x14ac:dyDescent="0.25">
      <c r="E1028" s="66"/>
      <c r="F1028" s="67"/>
      <c r="G1028" s="67"/>
      <c r="H1028" s="67"/>
      <c r="I1028" s="68"/>
    </row>
    <row r="1029" spans="5:9" x14ac:dyDescent="0.25">
      <c r="E1029" s="66"/>
      <c r="F1029" s="67"/>
      <c r="G1029" s="67"/>
      <c r="H1029" s="67"/>
      <c r="I1029" s="68"/>
    </row>
    <row r="1030" spans="5:9" x14ac:dyDescent="0.25">
      <c r="E1030" s="66"/>
      <c r="F1030" s="67"/>
      <c r="G1030" s="67"/>
      <c r="H1030" s="67"/>
      <c r="I1030" s="68"/>
    </row>
    <row r="1031" spans="5:9" x14ac:dyDescent="0.25">
      <c r="E1031" s="66"/>
      <c r="F1031" s="67"/>
      <c r="G1031" s="67"/>
      <c r="H1031" s="67"/>
      <c r="I1031" s="68"/>
    </row>
    <row r="1032" spans="5:9" x14ac:dyDescent="0.25">
      <c r="E1032" s="66"/>
      <c r="F1032" s="67"/>
      <c r="G1032" s="67"/>
      <c r="H1032" s="67"/>
      <c r="I1032" s="68"/>
    </row>
    <row r="1033" spans="5:9" x14ac:dyDescent="0.25">
      <c r="E1033" s="66"/>
      <c r="F1033" s="67"/>
      <c r="G1033" s="67"/>
      <c r="H1033" s="67"/>
      <c r="I1033" s="68"/>
    </row>
    <row r="1034" spans="5:9" x14ac:dyDescent="0.25">
      <c r="E1034" s="66"/>
      <c r="F1034" s="67"/>
      <c r="G1034" s="67"/>
      <c r="H1034" s="67"/>
      <c r="I1034" s="68"/>
    </row>
    <row r="1035" spans="5:9" x14ac:dyDescent="0.25">
      <c r="E1035" s="66"/>
      <c r="F1035" s="67"/>
      <c r="G1035" s="67"/>
      <c r="H1035" s="67"/>
      <c r="I1035" s="68"/>
    </row>
    <row r="1036" spans="5:9" x14ac:dyDescent="0.25">
      <c r="E1036" s="66"/>
      <c r="F1036" s="67"/>
      <c r="G1036" s="67"/>
      <c r="H1036" s="67"/>
      <c r="I1036" s="68"/>
    </row>
    <row r="1037" spans="5:9" x14ac:dyDescent="0.25">
      <c r="E1037" s="66"/>
      <c r="F1037" s="67"/>
      <c r="G1037" s="67"/>
      <c r="H1037" s="67"/>
      <c r="I1037" s="68"/>
    </row>
    <row r="1038" spans="5:9" x14ac:dyDescent="0.25">
      <c r="E1038" s="66"/>
      <c r="F1038" s="67"/>
      <c r="G1038" s="67"/>
      <c r="H1038" s="67"/>
      <c r="I1038" s="68"/>
    </row>
    <row r="1039" spans="5:9" x14ac:dyDescent="0.25">
      <c r="E1039" s="66"/>
      <c r="F1039" s="67"/>
      <c r="G1039" s="67"/>
      <c r="H1039" s="67"/>
      <c r="I1039" s="68"/>
    </row>
    <row r="1040" spans="5:9" x14ac:dyDescent="0.25">
      <c r="E1040" s="66"/>
      <c r="F1040" s="67"/>
      <c r="G1040" s="67"/>
      <c r="H1040" s="67"/>
      <c r="I1040" s="68"/>
    </row>
    <row r="1041" spans="5:9" x14ac:dyDescent="0.25">
      <c r="E1041" s="66"/>
      <c r="F1041" s="67"/>
      <c r="G1041" s="67"/>
      <c r="H1041" s="67"/>
      <c r="I1041" s="68"/>
    </row>
    <row r="1042" spans="5:9" x14ac:dyDescent="0.25">
      <c r="E1042" s="66"/>
      <c r="F1042" s="67"/>
      <c r="G1042" s="67"/>
      <c r="H1042" s="67"/>
      <c r="I1042" s="68"/>
    </row>
    <row r="1043" spans="5:9" x14ac:dyDescent="0.25">
      <c r="E1043" s="66"/>
      <c r="F1043" s="67"/>
      <c r="G1043" s="67"/>
      <c r="H1043" s="67"/>
      <c r="I1043" s="68"/>
    </row>
    <row r="1044" spans="5:9" x14ac:dyDescent="0.25">
      <c r="E1044" s="66"/>
      <c r="F1044" s="67"/>
      <c r="G1044" s="67"/>
      <c r="H1044" s="67"/>
      <c r="I1044" s="68"/>
    </row>
    <row r="1045" spans="5:9" x14ac:dyDescent="0.25">
      <c r="E1045" s="66"/>
      <c r="F1045" s="67"/>
      <c r="G1045" s="67"/>
      <c r="H1045" s="67"/>
      <c r="I1045" s="68"/>
    </row>
    <row r="1046" spans="5:9" x14ac:dyDescent="0.25">
      <c r="E1046" s="66"/>
      <c r="F1046" s="67"/>
      <c r="G1046" s="67"/>
      <c r="H1046" s="67"/>
      <c r="I1046" s="68"/>
    </row>
    <row r="1047" spans="5:9" x14ac:dyDescent="0.25">
      <c r="E1047" s="66"/>
      <c r="F1047" s="67"/>
      <c r="G1047" s="67"/>
      <c r="H1047" s="67"/>
      <c r="I1047" s="68"/>
    </row>
    <row r="1048" spans="5:9" x14ac:dyDescent="0.25">
      <c r="E1048" s="66"/>
      <c r="F1048" s="67"/>
      <c r="G1048" s="67"/>
      <c r="H1048" s="67"/>
      <c r="I1048" s="68"/>
    </row>
    <row r="1049" spans="5:9" x14ac:dyDescent="0.25">
      <c r="E1049" s="66"/>
      <c r="F1049" s="67"/>
      <c r="G1049" s="67"/>
      <c r="H1049" s="67"/>
      <c r="I1049" s="68"/>
    </row>
    <row r="1050" spans="5:9" x14ac:dyDescent="0.25">
      <c r="E1050" s="66"/>
      <c r="F1050" s="67"/>
      <c r="G1050" s="67"/>
      <c r="H1050" s="67"/>
      <c r="I1050" s="68"/>
    </row>
    <row r="1051" spans="5:9" x14ac:dyDescent="0.25">
      <c r="E1051" s="66"/>
      <c r="F1051" s="67"/>
      <c r="G1051" s="67"/>
      <c r="H1051" s="67"/>
      <c r="I1051" s="68"/>
    </row>
    <row r="1052" spans="5:9" x14ac:dyDescent="0.25">
      <c r="E1052" s="66"/>
      <c r="F1052" s="67"/>
      <c r="G1052" s="67"/>
      <c r="H1052" s="67"/>
      <c r="I1052" s="68"/>
    </row>
    <row r="1053" spans="5:9" x14ac:dyDescent="0.25">
      <c r="E1053" s="66"/>
      <c r="F1053" s="67"/>
      <c r="G1053" s="67"/>
      <c r="H1053" s="67"/>
      <c r="I1053" s="68"/>
    </row>
    <row r="1054" spans="5:9" x14ac:dyDescent="0.25">
      <c r="E1054" s="66"/>
      <c r="F1054" s="67"/>
      <c r="G1054" s="67"/>
      <c r="H1054" s="67"/>
      <c r="I1054" s="68"/>
    </row>
    <row r="1055" spans="5:9" x14ac:dyDescent="0.25">
      <c r="E1055" s="66"/>
      <c r="F1055" s="67"/>
      <c r="G1055" s="67"/>
      <c r="H1055" s="67"/>
      <c r="I1055" s="68"/>
    </row>
    <row r="1056" spans="5:9" x14ac:dyDescent="0.25">
      <c r="E1056" s="66"/>
      <c r="F1056" s="67"/>
      <c r="G1056" s="67"/>
      <c r="H1056" s="67"/>
      <c r="I1056" s="68"/>
    </row>
    <row r="1057" spans="5:9" x14ac:dyDescent="0.25">
      <c r="E1057" s="66"/>
      <c r="F1057" s="67"/>
      <c r="G1057" s="67"/>
      <c r="H1057" s="67"/>
      <c r="I1057" s="68"/>
    </row>
    <row r="1058" spans="5:9" x14ac:dyDescent="0.25">
      <c r="E1058" s="66"/>
      <c r="F1058" s="67"/>
      <c r="G1058" s="67"/>
      <c r="H1058" s="67"/>
      <c r="I1058" s="68"/>
    </row>
    <row r="1059" spans="5:9" x14ac:dyDescent="0.25">
      <c r="E1059" s="66"/>
      <c r="F1059" s="67"/>
      <c r="G1059" s="67"/>
      <c r="H1059" s="67"/>
      <c r="I1059" s="68"/>
    </row>
    <row r="1060" spans="5:9" x14ac:dyDescent="0.25">
      <c r="E1060" s="66"/>
      <c r="F1060" s="67"/>
      <c r="G1060" s="67"/>
      <c r="H1060" s="67"/>
      <c r="I1060" s="68"/>
    </row>
    <row r="1061" spans="5:9" x14ac:dyDescent="0.25">
      <c r="E1061" s="66"/>
      <c r="F1061" s="67"/>
      <c r="G1061" s="67"/>
      <c r="H1061" s="67"/>
      <c r="I1061" s="68"/>
    </row>
    <row r="1062" spans="5:9" x14ac:dyDescent="0.25">
      <c r="E1062" s="66"/>
      <c r="F1062" s="67"/>
      <c r="G1062" s="67"/>
      <c r="H1062" s="67"/>
      <c r="I1062" s="68"/>
    </row>
    <row r="1063" spans="5:9" x14ac:dyDescent="0.25">
      <c r="E1063" s="66"/>
      <c r="F1063" s="67"/>
      <c r="G1063" s="67"/>
      <c r="H1063" s="67"/>
      <c r="I1063" s="68"/>
    </row>
    <row r="1064" spans="5:9" x14ac:dyDescent="0.25">
      <c r="E1064" s="66"/>
      <c r="F1064" s="67"/>
      <c r="G1064" s="67"/>
      <c r="H1064" s="67"/>
      <c r="I1064" s="68"/>
    </row>
    <row r="1065" spans="5:9" x14ac:dyDescent="0.25">
      <c r="E1065" s="66"/>
      <c r="F1065" s="67"/>
      <c r="G1065" s="67"/>
      <c r="H1065" s="67"/>
      <c r="I1065" s="68"/>
    </row>
    <row r="1066" spans="5:9" x14ac:dyDescent="0.25">
      <c r="E1066" s="66"/>
      <c r="F1066" s="67"/>
      <c r="G1066" s="67"/>
      <c r="H1066" s="67"/>
      <c r="I1066" s="68"/>
    </row>
    <row r="1067" spans="5:9" x14ac:dyDescent="0.25">
      <c r="E1067" s="66"/>
      <c r="F1067" s="67"/>
      <c r="G1067" s="67"/>
      <c r="H1067" s="67"/>
      <c r="I1067" s="68"/>
    </row>
    <row r="1068" spans="5:9" x14ac:dyDescent="0.25">
      <c r="E1068" s="66"/>
      <c r="F1068" s="67"/>
      <c r="G1068" s="67"/>
      <c r="H1068" s="67"/>
      <c r="I1068" s="68"/>
    </row>
    <row r="1069" spans="5:9" x14ac:dyDescent="0.25">
      <c r="E1069" s="66"/>
      <c r="F1069" s="67"/>
      <c r="G1069" s="67"/>
      <c r="H1069" s="67"/>
      <c r="I1069" s="68"/>
    </row>
    <row r="1070" spans="5:9" x14ac:dyDescent="0.25">
      <c r="E1070" s="66"/>
      <c r="F1070" s="67"/>
      <c r="G1070" s="67"/>
      <c r="H1070" s="67"/>
      <c r="I1070" s="68"/>
    </row>
    <row r="1071" spans="5:9" x14ac:dyDescent="0.25">
      <c r="E1071" s="66"/>
      <c r="F1071" s="67"/>
      <c r="G1071" s="67"/>
      <c r="H1071" s="67"/>
      <c r="I1071" s="68"/>
    </row>
    <row r="1072" spans="5:9" x14ac:dyDescent="0.25">
      <c r="E1072" s="66"/>
      <c r="F1072" s="67"/>
      <c r="G1072" s="67"/>
      <c r="H1072" s="67"/>
      <c r="I1072" s="68"/>
    </row>
    <row r="1073" spans="5:9" x14ac:dyDescent="0.25">
      <c r="E1073" s="66"/>
      <c r="F1073" s="67"/>
      <c r="G1073" s="67"/>
      <c r="H1073" s="67"/>
      <c r="I1073" s="68"/>
    </row>
    <row r="1074" spans="5:9" x14ac:dyDescent="0.25">
      <c r="E1074" s="66"/>
      <c r="F1074" s="67"/>
      <c r="G1074" s="67"/>
      <c r="H1074" s="67"/>
      <c r="I1074" s="68"/>
    </row>
    <row r="1075" spans="5:9" x14ac:dyDescent="0.25">
      <c r="E1075" s="66"/>
      <c r="F1075" s="67"/>
      <c r="G1075" s="67"/>
      <c r="H1075" s="67"/>
      <c r="I1075" s="68"/>
    </row>
    <row r="1076" spans="5:9" x14ac:dyDescent="0.25">
      <c r="E1076" s="66"/>
      <c r="F1076" s="67"/>
      <c r="G1076" s="67"/>
      <c r="H1076" s="67"/>
      <c r="I1076" s="68"/>
    </row>
    <row r="1077" spans="5:9" x14ac:dyDescent="0.25">
      <c r="E1077" s="66"/>
      <c r="F1077" s="67"/>
      <c r="G1077" s="67"/>
      <c r="H1077" s="67"/>
      <c r="I1077" s="68"/>
    </row>
    <row r="1078" spans="5:9" x14ac:dyDescent="0.25">
      <c r="E1078" s="66"/>
      <c r="F1078" s="67"/>
      <c r="G1078" s="67"/>
      <c r="H1078" s="67"/>
      <c r="I1078" s="68"/>
    </row>
    <row r="1079" spans="5:9" x14ac:dyDescent="0.25">
      <c r="E1079" s="66"/>
      <c r="F1079" s="67"/>
      <c r="G1079" s="67"/>
      <c r="H1079" s="67"/>
      <c r="I1079" s="68"/>
    </row>
    <row r="1080" spans="5:9" x14ac:dyDescent="0.25">
      <c r="E1080" s="66"/>
      <c r="F1080" s="67"/>
      <c r="G1080" s="67"/>
      <c r="H1080" s="67"/>
      <c r="I1080" s="68"/>
    </row>
    <row r="1081" spans="5:9" x14ac:dyDescent="0.25">
      <c r="E1081" s="66"/>
      <c r="F1081" s="67"/>
      <c r="G1081" s="67"/>
      <c r="H1081" s="67"/>
      <c r="I1081" s="68"/>
    </row>
    <row r="1082" spans="5:9" x14ac:dyDescent="0.25">
      <c r="E1082" s="66"/>
      <c r="F1082" s="67"/>
      <c r="G1082" s="67"/>
      <c r="H1082" s="67"/>
      <c r="I1082" s="68"/>
    </row>
    <row r="1083" spans="5:9" x14ac:dyDescent="0.25">
      <c r="E1083" s="66"/>
      <c r="F1083" s="67"/>
      <c r="G1083" s="67"/>
      <c r="H1083" s="67"/>
      <c r="I1083" s="68"/>
    </row>
    <row r="1084" spans="5:9" x14ac:dyDescent="0.25">
      <c r="E1084" s="66"/>
      <c r="F1084" s="67"/>
      <c r="G1084" s="67"/>
      <c r="H1084" s="67"/>
      <c r="I1084" s="68"/>
    </row>
    <row r="1085" spans="5:9" x14ac:dyDescent="0.25">
      <c r="E1085" s="66"/>
      <c r="F1085" s="67"/>
      <c r="G1085" s="67"/>
      <c r="H1085" s="67"/>
      <c r="I1085" s="68"/>
    </row>
    <row r="1086" spans="5:9" x14ac:dyDescent="0.25">
      <c r="E1086" s="66"/>
      <c r="F1086" s="67"/>
      <c r="G1086" s="67"/>
      <c r="H1086" s="67"/>
      <c r="I1086" s="68"/>
    </row>
    <row r="1087" spans="5:9" x14ac:dyDescent="0.25">
      <c r="E1087" s="66"/>
      <c r="F1087" s="67"/>
      <c r="G1087" s="67"/>
      <c r="H1087" s="67"/>
      <c r="I1087" s="68"/>
    </row>
    <row r="1088" spans="5:9" x14ac:dyDescent="0.25">
      <c r="E1088" s="66"/>
      <c r="F1088" s="67"/>
      <c r="G1088" s="67"/>
      <c r="H1088" s="67"/>
      <c r="I1088" s="68"/>
    </row>
    <row r="1089" spans="5:9" x14ac:dyDescent="0.25">
      <c r="E1089" s="66"/>
      <c r="F1089" s="67"/>
      <c r="G1089" s="67"/>
      <c r="H1089" s="67"/>
      <c r="I1089" s="68"/>
    </row>
    <row r="1090" spans="5:9" x14ac:dyDescent="0.25">
      <c r="E1090" s="66"/>
      <c r="F1090" s="67"/>
      <c r="G1090" s="67"/>
      <c r="H1090" s="67"/>
      <c r="I1090" s="68"/>
    </row>
    <row r="1091" spans="5:9" x14ac:dyDescent="0.25">
      <c r="E1091" s="66"/>
      <c r="F1091" s="67"/>
      <c r="G1091" s="67"/>
      <c r="H1091" s="67"/>
      <c r="I1091" s="68"/>
    </row>
    <row r="1092" spans="5:9" x14ac:dyDescent="0.25">
      <c r="E1092" s="66"/>
      <c r="F1092" s="67"/>
      <c r="G1092" s="67"/>
      <c r="H1092" s="67"/>
      <c r="I1092" s="68"/>
    </row>
    <row r="1093" spans="5:9" x14ac:dyDescent="0.25">
      <c r="E1093" s="66"/>
      <c r="F1093" s="67"/>
      <c r="G1093" s="67"/>
      <c r="H1093" s="67"/>
      <c r="I1093" s="68"/>
    </row>
    <row r="1094" spans="5:9" x14ac:dyDescent="0.25">
      <c r="E1094" s="66"/>
      <c r="F1094" s="67"/>
      <c r="G1094" s="67"/>
      <c r="H1094" s="67"/>
      <c r="I1094" s="68"/>
    </row>
    <row r="1095" spans="5:9" x14ac:dyDescent="0.25">
      <c r="E1095" s="66"/>
      <c r="F1095" s="67"/>
      <c r="G1095" s="67"/>
      <c r="H1095" s="67"/>
      <c r="I1095" s="68"/>
    </row>
    <row r="1096" spans="5:9" x14ac:dyDescent="0.25">
      <c r="E1096" s="66"/>
      <c r="F1096" s="67"/>
      <c r="G1096" s="67"/>
      <c r="H1096" s="67"/>
      <c r="I1096" s="68"/>
    </row>
    <row r="1097" spans="5:9" x14ac:dyDescent="0.25">
      <c r="E1097" s="66"/>
      <c r="F1097" s="67"/>
      <c r="G1097" s="67"/>
      <c r="H1097" s="67"/>
      <c r="I1097" s="68"/>
    </row>
    <row r="1098" spans="5:9" x14ac:dyDescent="0.25">
      <c r="E1098" s="66"/>
      <c r="F1098" s="67"/>
      <c r="G1098" s="67"/>
      <c r="H1098" s="67"/>
      <c r="I1098" s="68"/>
    </row>
    <row r="1099" spans="5:9" x14ac:dyDescent="0.25">
      <c r="E1099" s="66"/>
      <c r="F1099" s="67"/>
      <c r="G1099" s="67"/>
      <c r="H1099" s="67"/>
      <c r="I1099" s="68"/>
    </row>
    <row r="1100" spans="5:9" x14ac:dyDescent="0.25">
      <c r="E1100" s="66"/>
      <c r="F1100" s="67"/>
      <c r="G1100" s="67"/>
      <c r="H1100" s="67"/>
      <c r="I1100" s="68"/>
    </row>
    <row r="1101" spans="5:9" x14ac:dyDescent="0.25">
      <c r="E1101" s="66"/>
      <c r="F1101" s="67"/>
      <c r="G1101" s="67"/>
      <c r="H1101" s="67"/>
      <c r="I1101" s="68"/>
    </row>
    <row r="1102" spans="5:9" x14ac:dyDescent="0.25">
      <c r="E1102" s="66"/>
      <c r="F1102" s="67"/>
      <c r="G1102" s="67"/>
      <c r="H1102" s="67"/>
      <c r="I1102" s="68"/>
    </row>
    <row r="1103" spans="5:9" x14ac:dyDescent="0.25">
      <c r="E1103" s="66"/>
      <c r="F1103" s="67"/>
      <c r="G1103" s="67"/>
      <c r="H1103" s="67"/>
      <c r="I1103" s="68"/>
    </row>
    <row r="1104" spans="5:9" x14ac:dyDescent="0.25">
      <c r="E1104" s="66"/>
      <c r="F1104" s="67"/>
      <c r="G1104" s="67"/>
      <c r="H1104" s="67"/>
      <c r="I1104" s="68"/>
    </row>
    <row r="1105" spans="5:9" x14ac:dyDescent="0.25">
      <c r="E1105" s="66"/>
      <c r="F1105" s="67"/>
      <c r="G1105" s="67"/>
      <c r="H1105" s="67"/>
      <c r="I1105" s="68"/>
    </row>
    <row r="1106" spans="5:9" x14ac:dyDescent="0.25">
      <c r="E1106" s="66"/>
      <c r="F1106" s="67"/>
      <c r="G1106" s="67"/>
      <c r="H1106" s="67"/>
      <c r="I1106" s="68"/>
    </row>
    <row r="1107" spans="5:9" x14ac:dyDescent="0.25">
      <c r="E1107" s="66"/>
      <c r="F1107" s="67"/>
      <c r="G1107" s="67"/>
      <c r="H1107" s="67"/>
      <c r="I1107" s="68"/>
    </row>
    <row r="1108" spans="5:9" x14ac:dyDescent="0.25">
      <c r="E1108" s="66"/>
      <c r="F1108" s="67"/>
      <c r="G1108" s="67"/>
      <c r="H1108" s="67"/>
      <c r="I1108" s="68"/>
    </row>
    <row r="1109" spans="5:9" x14ac:dyDescent="0.25">
      <c r="E1109" s="66"/>
      <c r="F1109" s="67"/>
      <c r="G1109" s="67"/>
      <c r="H1109" s="67"/>
      <c r="I1109" s="68"/>
    </row>
    <row r="1110" spans="5:9" x14ac:dyDescent="0.25">
      <c r="E1110" s="66"/>
      <c r="F1110" s="67"/>
      <c r="G1110" s="67"/>
      <c r="H1110" s="67"/>
      <c r="I1110" s="68"/>
    </row>
    <row r="1111" spans="5:9" x14ac:dyDescent="0.25">
      <c r="E1111" s="66"/>
      <c r="F1111" s="67"/>
      <c r="G1111" s="67"/>
      <c r="H1111" s="67"/>
      <c r="I1111" s="68"/>
    </row>
    <row r="1112" spans="5:9" x14ac:dyDescent="0.25">
      <c r="E1112" s="66"/>
      <c r="F1112" s="67"/>
      <c r="G1112" s="67"/>
      <c r="H1112" s="67"/>
      <c r="I1112" s="68"/>
    </row>
    <row r="1113" spans="5:9" x14ac:dyDescent="0.25">
      <c r="E1113" s="66"/>
      <c r="F1113" s="67"/>
      <c r="G1113" s="67"/>
      <c r="H1113" s="67"/>
      <c r="I1113" s="68"/>
    </row>
    <row r="1114" spans="5:9" x14ac:dyDescent="0.25">
      <c r="E1114" s="66"/>
      <c r="F1114" s="67"/>
      <c r="G1114" s="67"/>
      <c r="H1114" s="67"/>
      <c r="I1114" s="68"/>
    </row>
    <row r="1115" spans="5:9" x14ac:dyDescent="0.25">
      <c r="E1115" s="66"/>
      <c r="F1115" s="67"/>
      <c r="G1115" s="67"/>
      <c r="H1115" s="67"/>
      <c r="I1115" s="68"/>
    </row>
    <row r="1116" spans="5:9" x14ac:dyDescent="0.25">
      <c r="E1116" s="66"/>
      <c r="F1116" s="67"/>
      <c r="G1116" s="67"/>
      <c r="H1116" s="67"/>
      <c r="I1116" s="68"/>
    </row>
    <row r="1117" spans="5:9" x14ac:dyDescent="0.25">
      <c r="E1117" s="66"/>
      <c r="F1117" s="67"/>
      <c r="G1117" s="67"/>
      <c r="H1117" s="67"/>
      <c r="I1117" s="68"/>
    </row>
    <row r="1118" spans="5:9" x14ac:dyDescent="0.25">
      <c r="E1118" s="66"/>
      <c r="F1118" s="67"/>
      <c r="G1118" s="67"/>
      <c r="H1118" s="67"/>
      <c r="I1118" s="68"/>
    </row>
    <row r="1119" spans="5:9" x14ac:dyDescent="0.25">
      <c r="E1119" s="66"/>
      <c r="F1119" s="67"/>
      <c r="G1119" s="67"/>
      <c r="H1119" s="67"/>
      <c r="I1119" s="68"/>
    </row>
    <row r="1120" spans="5:9" x14ac:dyDescent="0.25">
      <c r="E1120" s="66"/>
      <c r="F1120" s="67"/>
      <c r="G1120" s="67"/>
      <c r="H1120" s="67"/>
      <c r="I1120" s="68"/>
    </row>
    <row r="1121" spans="5:9" x14ac:dyDescent="0.25">
      <c r="E1121" s="66"/>
      <c r="F1121" s="67"/>
      <c r="G1121" s="67"/>
      <c r="H1121" s="67"/>
      <c r="I1121" s="68"/>
    </row>
    <row r="1122" spans="5:9" x14ac:dyDescent="0.25">
      <c r="E1122" s="66"/>
      <c r="F1122" s="67"/>
      <c r="G1122" s="67"/>
      <c r="H1122" s="67"/>
      <c r="I1122" s="68"/>
    </row>
    <row r="1123" spans="5:9" x14ac:dyDescent="0.25">
      <c r="E1123" s="66"/>
      <c r="F1123" s="67"/>
      <c r="G1123" s="67"/>
      <c r="H1123" s="67"/>
      <c r="I1123" s="68"/>
    </row>
    <row r="1124" spans="5:9" x14ac:dyDescent="0.25">
      <c r="E1124" s="66"/>
      <c r="F1124" s="67"/>
      <c r="G1124" s="67"/>
      <c r="H1124" s="67"/>
      <c r="I1124" s="68"/>
    </row>
    <row r="1125" spans="5:9" x14ac:dyDescent="0.25">
      <c r="E1125" s="66"/>
      <c r="F1125" s="67"/>
      <c r="G1125" s="67"/>
      <c r="H1125" s="67"/>
      <c r="I1125" s="68"/>
    </row>
    <row r="1126" spans="5:9" x14ac:dyDescent="0.25">
      <c r="E1126" s="66"/>
      <c r="F1126" s="67"/>
      <c r="G1126" s="67"/>
      <c r="H1126" s="67"/>
      <c r="I1126" s="68"/>
    </row>
    <row r="1127" spans="5:9" x14ac:dyDescent="0.25">
      <c r="E1127" s="66"/>
      <c r="F1127" s="67"/>
      <c r="G1127" s="67"/>
      <c r="H1127" s="67"/>
      <c r="I1127" s="68"/>
    </row>
    <row r="1128" spans="5:9" x14ac:dyDescent="0.25">
      <c r="E1128" s="66"/>
      <c r="F1128" s="67"/>
      <c r="G1128" s="67"/>
      <c r="H1128" s="67"/>
      <c r="I1128" s="68"/>
    </row>
    <row r="1129" spans="5:9" x14ac:dyDescent="0.25">
      <c r="E1129" s="66"/>
      <c r="F1129" s="67"/>
      <c r="G1129" s="67"/>
      <c r="H1129" s="67"/>
      <c r="I1129" s="68"/>
    </row>
    <row r="1130" spans="5:9" x14ac:dyDescent="0.25">
      <c r="E1130" s="66"/>
      <c r="F1130" s="67"/>
      <c r="G1130" s="67"/>
      <c r="H1130" s="67"/>
      <c r="I1130" s="68"/>
    </row>
    <row r="1131" spans="5:9" x14ac:dyDescent="0.25">
      <c r="E1131" s="66"/>
      <c r="F1131" s="67"/>
      <c r="G1131" s="67"/>
      <c r="H1131" s="67"/>
      <c r="I1131" s="68"/>
    </row>
    <row r="1132" spans="5:9" x14ac:dyDescent="0.25">
      <c r="E1132" s="66"/>
      <c r="F1132" s="67"/>
      <c r="G1132" s="67"/>
      <c r="H1132" s="67"/>
      <c r="I1132" s="68"/>
    </row>
    <row r="1133" spans="5:9" x14ac:dyDescent="0.25">
      <c r="E1133" s="66"/>
      <c r="F1133" s="67"/>
      <c r="G1133" s="67"/>
      <c r="H1133" s="67"/>
      <c r="I1133" s="68"/>
    </row>
    <row r="1134" spans="5:9" x14ac:dyDescent="0.25">
      <c r="E1134" s="66"/>
      <c r="F1134" s="67"/>
      <c r="G1134" s="67"/>
      <c r="H1134" s="67"/>
      <c r="I1134" s="68"/>
    </row>
    <row r="1135" spans="5:9" x14ac:dyDescent="0.25">
      <c r="E1135" s="66"/>
      <c r="F1135" s="67"/>
      <c r="G1135" s="67"/>
      <c r="H1135" s="67"/>
      <c r="I1135" s="68"/>
    </row>
    <row r="1136" spans="5:9" x14ac:dyDescent="0.25">
      <c r="E1136" s="66"/>
      <c r="F1136" s="67"/>
      <c r="G1136" s="67"/>
      <c r="H1136" s="67"/>
      <c r="I1136" s="68"/>
    </row>
    <row r="1137" spans="5:9" x14ac:dyDescent="0.25">
      <c r="E1137" s="66"/>
      <c r="F1137" s="67"/>
      <c r="G1137" s="67"/>
      <c r="H1137" s="67"/>
      <c r="I1137" s="68"/>
    </row>
    <row r="1138" spans="5:9" x14ac:dyDescent="0.25">
      <c r="E1138" s="66"/>
      <c r="F1138" s="67"/>
      <c r="G1138" s="67"/>
      <c r="H1138" s="67"/>
      <c r="I1138" s="68"/>
    </row>
    <row r="1139" spans="5:9" x14ac:dyDescent="0.25">
      <c r="E1139" s="66"/>
      <c r="F1139" s="67"/>
      <c r="G1139" s="67"/>
      <c r="H1139" s="67"/>
      <c r="I1139" s="68"/>
    </row>
    <row r="1140" spans="5:9" x14ac:dyDescent="0.25">
      <c r="E1140" s="66"/>
      <c r="F1140" s="67"/>
      <c r="G1140" s="67"/>
      <c r="H1140" s="67"/>
      <c r="I1140" s="68"/>
    </row>
    <row r="1141" spans="5:9" x14ac:dyDescent="0.25">
      <c r="E1141" s="66"/>
      <c r="F1141" s="67"/>
      <c r="G1141" s="67"/>
      <c r="H1141" s="67"/>
      <c r="I1141" s="68"/>
    </row>
    <row r="1142" spans="5:9" x14ac:dyDescent="0.25">
      <c r="E1142" s="66"/>
      <c r="F1142" s="67"/>
      <c r="G1142" s="67"/>
      <c r="H1142" s="67"/>
      <c r="I1142" s="68"/>
    </row>
    <row r="1143" spans="5:9" x14ac:dyDescent="0.25">
      <c r="E1143" s="66"/>
      <c r="F1143" s="67"/>
      <c r="G1143" s="67"/>
      <c r="H1143" s="67"/>
      <c r="I1143" s="68"/>
    </row>
    <row r="1144" spans="5:9" x14ac:dyDescent="0.25">
      <c r="E1144" s="66"/>
      <c r="F1144" s="67"/>
      <c r="G1144" s="67"/>
      <c r="H1144" s="67"/>
      <c r="I1144" s="68"/>
    </row>
    <row r="1145" spans="5:9" x14ac:dyDescent="0.25">
      <c r="E1145" s="66"/>
      <c r="F1145" s="67"/>
      <c r="G1145" s="67"/>
      <c r="H1145" s="67"/>
      <c r="I1145" s="68"/>
    </row>
    <row r="1146" spans="5:9" x14ac:dyDescent="0.25">
      <c r="E1146" s="66"/>
      <c r="F1146" s="67"/>
      <c r="G1146" s="67"/>
      <c r="H1146" s="67"/>
      <c r="I1146" s="68"/>
    </row>
    <row r="1147" spans="5:9" x14ac:dyDescent="0.25">
      <c r="E1147" s="66"/>
      <c r="F1147" s="67"/>
      <c r="G1147" s="67"/>
      <c r="H1147" s="67"/>
      <c r="I1147" s="68"/>
    </row>
    <row r="1148" spans="5:9" x14ac:dyDescent="0.25">
      <c r="E1148" s="66"/>
      <c r="F1148" s="67"/>
      <c r="G1148" s="67"/>
      <c r="H1148" s="67"/>
      <c r="I1148" s="68"/>
    </row>
    <row r="1149" spans="5:9" x14ac:dyDescent="0.25">
      <c r="E1149" s="66"/>
      <c r="F1149" s="67"/>
      <c r="G1149" s="67"/>
      <c r="H1149" s="67"/>
      <c r="I1149" s="68"/>
    </row>
    <row r="1150" spans="5:9" x14ac:dyDescent="0.25">
      <c r="E1150" s="66"/>
      <c r="F1150" s="67"/>
      <c r="G1150" s="67"/>
      <c r="H1150" s="67"/>
      <c r="I1150" s="68"/>
    </row>
    <row r="1151" spans="5:9" x14ac:dyDescent="0.25">
      <c r="E1151" s="66"/>
      <c r="F1151" s="67"/>
      <c r="G1151" s="67"/>
      <c r="H1151" s="67"/>
      <c r="I1151" s="68"/>
    </row>
    <row r="1152" spans="5:9" x14ac:dyDescent="0.25">
      <c r="E1152" s="66"/>
      <c r="F1152" s="67"/>
      <c r="G1152" s="67"/>
      <c r="H1152" s="67"/>
      <c r="I1152" s="68"/>
    </row>
    <row r="1153" spans="5:9" x14ac:dyDescent="0.25">
      <c r="E1153" s="66"/>
      <c r="F1153" s="67"/>
      <c r="G1153" s="67"/>
      <c r="H1153" s="67"/>
      <c r="I1153" s="68"/>
    </row>
    <row r="1154" spans="5:9" x14ac:dyDescent="0.25">
      <c r="E1154" s="66"/>
      <c r="F1154" s="67"/>
      <c r="G1154" s="67"/>
      <c r="H1154" s="67"/>
      <c r="I1154" s="68"/>
    </row>
    <row r="1155" spans="5:9" x14ac:dyDescent="0.25">
      <c r="E1155" s="66"/>
      <c r="F1155" s="67"/>
      <c r="G1155" s="67"/>
      <c r="H1155" s="67"/>
      <c r="I1155" s="68"/>
    </row>
    <row r="1156" spans="5:9" x14ac:dyDescent="0.25">
      <c r="E1156" s="66"/>
      <c r="F1156" s="67"/>
      <c r="G1156" s="67"/>
      <c r="H1156" s="67"/>
      <c r="I1156" s="68"/>
    </row>
    <row r="1157" spans="5:9" x14ac:dyDescent="0.25">
      <c r="E1157" s="66"/>
      <c r="F1157" s="67"/>
      <c r="G1157" s="67"/>
      <c r="H1157" s="67"/>
      <c r="I1157" s="68"/>
    </row>
    <row r="1158" spans="5:9" x14ac:dyDescent="0.25">
      <c r="E1158" s="66"/>
      <c r="F1158" s="67"/>
      <c r="G1158" s="67"/>
      <c r="H1158" s="67"/>
      <c r="I1158" s="68"/>
    </row>
    <row r="1159" spans="5:9" x14ac:dyDescent="0.25">
      <c r="E1159" s="66"/>
      <c r="F1159" s="67"/>
      <c r="G1159" s="67"/>
      <c r="H1159" s="67"/>
      <c r="I1159" s="68"/>
    </row>
    <row r="1160" spans="5:9" x14ac:dyDescent="0.25">
      <c r="E1160" s="66"/>
      <c r="F1160" s="67"/>
      <c r="G1160" s="67"/>
      <c r="H1160" s="67"/>
      <c r="I1160" s="68"/>
    </row>
    <row r="1161" spans="5:9" x14ac:dyDescent="0.25">
      <c r="E1161" s="66"/>
      <c r="F1161" s="67"/>
      <c r="G1161" s="67"/>
      <c r="H1161" s="67"/>
      <c r="I1161" s="68"/>
    </row>
    <row r="1162" spans="5:9" x14ac:dyDescent="0.25">
      <c r="E1162" s="66"/>
      <c r="F1162" s="67"/>
      <c r="G1162" s="67"/>
      <c r="H1162" s="67"/>
      <c r="I1162" s="68"/>
    </row>
    <row r="1163" spans="5:9" x14ac:dyDescent="0.25">
      <c r="E1163" s="66"/>
      <c r="F1163" s="67"/>
      <c r="G1163" s="67"/>
      <c r="H1163" s="67"/>
      <c r="I1163" s="68"/>
    </row>
    <row r="1164" spans="5:9" x14ac:dyDescent="0.25">
      <c r="E1164" s="66"/>
      <c r="F1164" s="67"/>
      <c r="G1164" s="67"/>
      <c r="H1164" s="67"/>
      <c r="I1164" s="68"/>
    </row>
    <row r="1165" spans="5:9" x14ac:dyDescent="0.25">
      <c r="E1165" s="66"/>
      <c r="F1165" s="67"/>
      <c r="G1165" s="67"/>
      <c r="H1165" s="67"/>
      <c r="I1165" s="68"/>
    </row>
    <row r="1166" spans="5:9" x14ac:dyDescent="0.25">
      <c r="E1166" s="66"/>
      <c r="F1166" s="67"/>
      <c r="G1166" s="67"/>
      <c r="H1166" s="67"/>
      <c r="I1166" s="68"/>
    </row>
    <row r="1167" spans="5:9" x14ac:dyDescent="0.25">
      <c r="E1167" s="66"/>
      <c r="F1167" s="67"/>
      <c r="G1167" s="67"/>
      <c r="H1167" s="67"/>
      <c r="I1167" s="68"/>
    </row>
    <row r="1168" spans="5:9" x14ac:dyDescent="0.25">
      <c r="E1168" s="66"/>
      <c r="F1168" s="67"/>
      <c r="G1168" s="67"/>
      <c r="H1168" s="67"/>
      <c r="I1168" s="68"/>
    </row>
    <row r="1169" spans="5:9" x14ac:dyDescent="0.25">
      <c r="E1169" s="66"/>
      <c r="F1169" s="67"/>
      <c r="G1169" s="67"/>
      <c r="H1169" s="67"/>
      <c r="I1169" s="68"/>
    </row>
    <row r="1170" spans="5:9" x14ac:dyDescent="0.25">
      <c r="E1170" s="66"/>
      <c r="F1170" s="67"/>
      <c r="G1170" s="67"/>
      <c r="H1170" s="67"/>
      <c r="I1170" s="68"/>
    </row>
    <row r="1171" spans="5:9" x14ac:dyDescent="0.25">
      <c r="E1171" s="66"/>
      <c r="F1171" s="67"/>
      <c r="G1171" s="67"/>
      <c r="H1171" s="67"/>
      <c r="I1171" s="68"/>
    </row>
    <row r="1172" spans="5:9" x14ac:dyDescent="0.25">
      <c r="E1172" s="66"/>
      <c r="F1172" s="67"/>
      <c r="G1172" s="67"/>
      <c r="H1172" s="67"/>
      <c r="I1172" s="68"/>
    </row>
    <row r="1173" spans="5:9" x14ac:dyDescent="0.25">
      <c r="E1173" s="66"/>
      <c r="F1173" s="67"/>
      <c r="G1173" s="67"/>
      <c r="H1173" s="67"/>
      <c r="I1173" s="68"/>
    </row>
    <row r="1174" spans="5:9" x14ac:dyDescent="0.25">
      <c r="E1174" s="66"/>
      <c r="F1174" s="67"/>
      <c r="G1174" s="67"/>
      <c r="H1174" s="67"/>
      <c r="I1174" s="68"/>
    </row>
    <row r="1175" spans="5:9" x14ac:dyDescent="0.25">
      <c r="E1175" s="66"/>
      <c r="F1175" s="67"/>
      <c r="G1175" s="67"/>
      <c r="H1175" s="67"/>
      <c r="I1175" s="68"/>
    </row>
    <row r="1176" spans="5:9" x14ac:dyDescent="0.25">
      <c r="E1176" s="66"/>
      <c r="F1176" s="67"/>
      <c r="G1176" s="67"/>
      <c r="H1176" s="67"/>
      <c r="I1176" s="68"/>
    </row>
    <row r="1177" spans="5:9" x14ac:dyDescent="0.25">
      <c r="E1177" s="66"/>
      <c r="F1177" s="67"/>
      <c r="G1177" s="67"/>
      <c r="H1177" s="67"/>
      <c r="I1177" s="68"/>
    </row>
    <row r="1178" spans="5:9" x14ac:dyDescent="0.25">
      <c r="E1178" s="66"/>
      <c r="F1178" s="67"/>
      <c r="G1178" s="67"/>
      <c r="H1178" s="67"/>
      <c r="I1178" s="68"/>
    </row>
    <row r="1179" spans="5:9" x14ac:dyDescent="0.25">
      <c r="E1179" s="66"/>
      <c r="F1179" s="67"/>
      <c r="G1179" s="67"/>
      <c r="H1179" s="67"/>
      <c r="I1179" s="68"/>
    </row>
    <row r="1180" spans="5:9" x14ac:dyDescent="0.25">
      <c r="E1180" s="66"/>
      <c r="F1180" s="67"/>
      <c r="G1180" s="67"/>
      <c r="H1180" s="67"/>
      <c r="I1180" s="68"/>
    </row>
    <row r="1181" spans="5:9" x14ac:dyDescent="0.25">
      <c r="E1181" s="66"/>
      <c r="F1181" s="67"/>
      <c r="G1181" s="67"/>
      <c r="H1181" s="67"/>
      <c r="I1181" s="68"/>
    </row>
    <row r="1182" spans="5:9" x14ac:dyDescent="0.25">
      <c r="E1182" s="66"/>
      <c r="F1182" s="67"/>
      <c r="G1182" s="67"/>
      <c r="H1182" s="67"/>
      <c r="I1182" s="68"/>
    </row>
    <row r="1183" spans="5:9" x14ac:dyDescent="0.25">
      <c r="E1183" s="66"/>
      <c r="F1183" s="67"/>
      <c r="G1183" s="67"/>
      <c r="H1183" s="67"/>
      <c r="I1183" s="68"/>
    </row>
    <row r="1184" spans="5:9" x14ac:dyDescent="0.25">
      <c r="E1184" s="66"/>
      <c r="F1184" s="67"/>
      <c r="G1184" s="67"/>
      <c r="H1184" s="67"/>
      <c r="I1184" s="68"/>
    </row>
    <row r="1185" spans="5:9" x14ac:dyDescent="0.25">
      <c r="E1185" s="66"/>
      <c r="F1185" s="67"/>
      <c r="G1185" s="67"/>
      <c r="H1185" s="67"/>
      <c r="I1185" s="68"/>
    </row>
    <row r="1186" spans="5:9" x14ac:dyDescent="0.25">
      <c r="E1186" s="66"/>
      <c r="F1186" s="67"/>
      <c r="G1186" s="67"/>
      <c r="H1186" s="67"/>
      <c r="I1186" s="68"/>
    </row>
    <row r="1187" spans="5:9" x14ac:dyDescent="0.25">
      <c r="E1187" s="66"/>
      <c r="F1187" s="67"/>
      <c r="G1187" s="67"/>
      <c r="H1187" s="67"/>
      <c r="I1187" s="68"/>
    </row>
    <row r="1188" spans="5:9" x14ac:dyDescent="0.25">
      <c r="E1188" s="66"/>
      <c r="F1188" s="67"/>
      <c r="G1188" s="67"/>
      <c r="H1188" s="67"/>
      <c r="I1188" s="68"/>
    </row>
    <row r="1189" spans="5:9" x14ac:dyDescent="0.25">
      <c r="E1189" s="66"/>
      <c r="F1189" s="67"/>
      <c r="G1189" s="67"/>
      <c r="H1189" s="67"/>
      <c r="I1189" s="68"/>
    </row>
    <row r="1190" spans="5:9" x14ac:dyDescent="0.25">
      <c r="E1190" s="66"/>
      <c r="F1190" s="67"/>
      <c r="G1190" s="67"/>
      <c r="H1190" s="67"/>
      <c r="I1190" s="68"/>
    </row>
    <row r="1191" spans="5:9" x14ac:dyDescent="0.25">
      <c r="E1191" s="66"/>
      <c r="F1191" s="67"/>
      <c r="G1191" s="67"/>
      <c r="H1191" s="67"/>
      <c r="I1191" s="68"/>
    </row>
    <row r="1192" spans="5:9" x14ac:dyDescent="0.25">
      <c r="E1192" s="66"/>
      <c r="F1192" s="67"/>
      <c r="G1192" s="67"/>
      <c r="H1192" s="67"/>
      <c r="I1192" s="68"/>
    </row>
    <row r="1193" spans="5:9" x14ac:dyDescent="0.25">
      <c r="E1193" s="66"/>
      <c r="F1193" s="67"/>
      <c r="G1193" s="67"/>
      <c r="H1193" s="67"/>
      <c r="I1193" s="68"/>
    </row>
    <row r="1194" spans="5:9" x14ac:dyDescent="0.25">
      <c r="E1194" s="66"/>
      <c r="F1194" s="67"/>
      <c r="G1194" s="67"/>
      <c r="H1194" s="67"/>
      <c r="I1194" s="68"/>
    </row>
    <row r="1195" spans="5:9" x14ac:dyDescent="0.25">
      <c r="E1195" s="66"/>
      <c r="F1195" s="67"/>
      <c r="G1195" s="67"/>
      <c r="H1195" s="67"/>
      <c r="I1195" s="68"/>
    </row>
    <row r="1196" spans="5:9" x14ac:dyDescent="0.25">
      <c r="E1196" s="66"/>
      <c r="F1196" s="67"/>
      <c r="G1196" s="67"/>
      <c r="H1196" s="67"/>
      <c r="I1196" s="68"/>
    </row>
    <row r="1197" spans="5:9" x14ac:dyDescent="0.25">
      <c r="E1197" s="66"/>
      <c r="F1197" s="67"/>
      <c r="G1197" s="67"/>
      <c r="H1197" s="67"/>
      <c r="I1197" s="68"/>
    </row>
    <row r="1198" spans="5:9" x14ac:dyDescent="0.25">
      <c r="E1198" s="66"/>
      <c r="F1198" s="67"/>
      <c r="G1198" s="67"/>
      <c r="H1198" s="67"/>
      <c r="I1198" s="68"/>
    </row>
    <row r="1199" spans="5:9" x14ac:dyDescent="0.25">
      <c r="E1199" s="66"/>
      <c r="F1199" s="67"/>
      <c r="G1199" s="67"/>
      <c r="H1199" s="67"/>
      <c r="I1199" s="68"/>
    </row>
    <row r="1200" spans="5:9" x14ac:dyDescent="0.25">
      <c r="E1200" s="66"/>
      <c r="F1200" s="67"/>
      <c r="G1200" s="67"/>
      <c r="H1200" s="67"/>
      <c r="I1200" s="68"/>
    </row>
    <row r="1201" spans="5:9" x14ac:dyDescent="0.25">
      <c r="E1201" s="66"/>
      <c r="F1201" s="67"/>
      <c r="G1201" s="67"/>
      <c r="H1201" s="67"/>
      <c r="I1201" s="68"/>
    </row>
    <row r="1202" spans="5:9" x14ac:dyDescent="0.25">
      <c r="E1202" s="66"/>
      <c r="F1202" s="67"/>
      <c r="G1202" s="67"/>
      <c r="H1202" s="67"/>
      <c r="I1202" s="68"/>
    </row>
    <row r="1203" spans="5:9" x14ac:dyDescent="0.25">
      <c r="E1203" s="66"/>
      <c r="F1203" s="67"/>
      <c r="G1203" s="67"/>
      <c r="H1203" s="67"/>
      <c r="I1203" s="68"/>
    </row>
    <row r="1204" spans="5:9" x14ac:dyDescent="0.25">
      <c r="E1204" s="66"/>
      <c r="F1204" s="67"/>
      <c r="G1204" s="67"/>
      <c r="H1204" s="67"/>
      <c r="I1204" s="68"/>
    </row>
    <row r="1205" spans="5:9" x14ac:dyDescent="0.25">
      <c r="E1205" s="66"/>
      <c r="F1205" s="67"/>
      <c r="G1205" s="67"/>
      <c r="H1205" s="67"/>
      <c r="I1205" s="68"/>
    </row>
    <row r="1206" spans="5:9" x14ac:dyDescent="0.25">
      <c r="E1206" s="66"/>
      <c r="F1206" s="67"/>
      <c r="G1206" s="67"/>
      <c r="H1206" s="67"/>
      <c r="I1206" s="68"/>
    </row>
    <row r="1207" spans="5:9" x14ac:dyDescent="0.25">
      <c r="E1207" s="66"/>
      <c r="F1207" s="67"/>
      <c r="G1207" s="67"/>
      <c r="H1207" s="67"/>
      <c r="I1207" s="68"/>
    </row>
    <row r="1208" spans="5:9" x14ac:dyDescent="0.25">
      <c r="E1208" s="66"/>
      <c r="F1208" s="67"/>
      <c r="G1208" s="67"/>
      <c r="H1208" s="67"/>
      <c r="I1208" s="68"/>
    </row>
    <row r="1209" spans="5:9" x14ac:dyDescent="0.25">
      <c r="E1209" s="66"/>
      <c r="F1209" s="67"/>
      <c r="G1209" s="67"/>
      <c r="H1209" s="67"/>
      <c r="I1209" s="68"/>
    </row>
    <row r="1210" spans="5:9" x14ac:dyDescent="0.25">
      <c r="E1210" s="66"/>
      <c r="F1210" s="67"/>
      <c r="G1210" s="67"/>
      <c r="H1210" s="67"/>
      <c r="I1210" s="68"/>
    </row>
    <row r="1211" spans="5:9" x14ac:dyDescent="0.25">
      <c r="E1211" s="66"/>
      <c r="F1211" s="67"/>
      <c r="G1211" s="67"/>
      <c r="H1211" s="67"/>
      <c r="I1211" s="68"/>
    </row>
    <row r="1212" spans="5:9" x14ac:dyDescent="0.25">
      <c r="E1212" s="66"/>
      <c r="F1212" s="67"/>
      <c r="G1212" s="67"/>
      <c r="H1212" s="67"/>
      <c r="I1212" s="68"/>
    </row>
    <row r="1213" spans="5:9" x14ac:dyDescent="0.25">
      <c r="E1213" s="66"/>
      <c r="F1213" s="67"/>
      <c r="G1213" s="67"/>
      <c r="H1213" s="67"/>
      <c r="I1213" s="68"/>
    </row>
    <row r="1214" spans="5:9" x14ac:dyDescent="0.25">
      <c r="E1214" s="66"/>
      <c r="F1214" s="67"/>
      <c r="G1214" s="67"/>
      <c r="H1214" s="67"/>
      <c r="I1214" s="68"/>
    </row>
    <row r="1215" spans="5:9" x14ac:dyDescent="0.25">
      <c r="E1215" s="66"/>
      <c r="F1215" s="67"/>
      <c r="G1215" s="67"/>
      <c r="H1215" s="67"/>
      <c r="I1215" s="68"/>
    </row>
    <row r="1216" spans="5:9" x14ac:dyDescent="0.25">
      <c r="E1216" s="66"/>
      <c r="F1216" s="67"/>
      <c r="G1216" s="67"/>
      <c r="H1216" s="67"/>
      <c r="I1216" s="68"/>
    </row>
    <row r="1217" spans="5:9" x14ac:dyDescent="0.25">
      <c r="E1217" s="66"/>
      <c r="F1217" s="67"/>
      <c r="G1217" s="67"/>
      <c r="H1217" s="67"/>
      <c r="I1217" s="68"/>
    </row>
    <row r="1218" spans="5:9" x14ac:dyDescent="0.25">
      <c r="E1218" s="66"/>
      <c r="F1218" s="67"/>
      <c r="G1218" s="67"/>
      <c r="H1218" s="67"/>
      <c r="I1218" s="68"/>
    </row>
    <row r="1219" spans="5:9" x14ac:dyDescent="0.25">
      <c r="E1219" s="66"/>
      <c r="F1219" s="67"/>
      <c r="G1219" s="67"/>
      <c r="H1219" s="67"/>
      <c r="I1219" s="68"/>
    </row>
    <row r="1220" spans="5:9" x14ac:dyDescent="0.25">
      <c r="E1220" s="66"/>
      <c r="F1220" s="67"/>
      <c r="G1220" s="67"/>
      <c r="H1220" s="67"/>
      <c r="I1220" s="68"/>
    </row>
    <row r="1221" spans="5:9" x14ac:dyDescent="0.25">
      <c r="E1221" s="66"/>
      <c r="F1221" s="67"/>
      <c r="G1221" s="67"/>
      <c r="H1221" s="67"/>
      <c r="I1221" s="68"/>
    </row>
    <row r="1222" spans="5:9" x14ac:dyDescent="0.25">
      <c r="E1222" s="66"/>
      <c r="F1222" s="67"/>
      <c r="G1222" s="67"/>
      <c r="H1222" s="67"/>
      <c r="I1222" s="68"/>
    </row>
    <row r="1223" spans="5:9" x14ac:dyDescent="0.25">
      <c r="E1223" s="66"/>
      <c r="F1223" s="67"/>
      <c r="G1223" s="67"/>
      <c r="H1223" s="67"/>
      <c r="I1223" s="68"/>
    </row>
    <row r="1224" spans="5:9" x14ac:dyDescent="0.25">
      <c r="E1224" s="66"/>
      <c r="F1224" s="67"/>
      <c r="G1224" s="67"/>
      <c r="H1224" s="67"/>
      <c r="I1224" s="68"/>
    </row>
    <row r="1225" spans="5:9" x14ac:dyDescent="0.25">
      <c r="E1225" s="66"/>
      <c r="F1225" s="67"/>
      <c r="G1225" s="67"/>
      <c r="H1225" s="67"/>
      <c r="I1225" s="68"/>
    </row>
    <row r="1226" spans="5:9" x14ac:dyDescent="0.25">
      <c r="E1226" s="66"/>
      <c r="F1226" s="67"/>
      <c r="G1226" s="67"/>
      <c r="H1226" s="67"/>
      <c r="I1226" s="68"/>
    </row>
    <row r="1227" spans="5:9" x14ac:dyDescent="0.25">
      <c r="E1227" s="66"/>
      <c r="F1227" s="67"/>
      <c r="G1227" s="67"/>
      <c r="H1227" s="67"/>
      <c r="I1227" s="68"/>
    </row>
    <row r="1228" spans="5:9" x14ac:dyDescent="0.25">
      <c r="E1228" s="66"/>
      <c r="F1228" s="67"/>
      <c r="G1228" s="67"/>
      <c r="H1228" s="67"/>
      <c r="I1228" s="68"/>
    </row>
    <row r="1229" spans="5:9" x14ac:dyDescent="0.25">
      <c r="E1229" s="66"/>
      <c r="F1229" s="67"/>
      <c r="G1229" s="67"/>
      <c r="H1229" s="67"/>
      <c r="I1229" s="68"/>
    </row>
    <row r="1230" spans="5:9" x14ac:dyDescent="0.25">
      <c r="E1230" s="66"/>
      <c r="F1230" s="67"/>
      <c r="G1230" s="67"/>
      <c r="H1230" s="67"/>
      <c r="I1230" s="68"/>
    </row>
    <row r="1231" spans="5:9" x14ac:dyDescent="0.25">
      <c r="E1231" s="66"/>
      <c r="F1231" s="67"/>
      <c r="G1231" s="67"/>
      <c r="H1231" s="67"/>
      <c r="I1231" s="68"/>
    </row>
    <row r="1232" spans="5:9" x14ac:dyDescent="0.25">
      <c r="E1232" s="66"/>
      <c r="F1232" s="67"/>
      <c r="G1232" s="67"/>
      <c r="H1232" s="67"/>
      <c r="I1232" s="68"/>
    </row>
    <row r="1233" spans="5:9" x14ac:dyDescent="0.25">
      <c r="E1233" s="66"/>
      <c r="F1233" s="67"/>
      <c r="G1233" s="67"/>
      <c r="H1233" s="67"/>
      <c r="I1233" s="68"/>
    </row>
    <row r="1234" spans="5:9" x14ac:dyDescent="0.25">
      <c r="E1234" s="66"/>
      <c r="F1234" s="67"/>
      <c r="G1234" s="67"/>
      <c r="H1234" s="67"/>
      <c r="I1234" s="68"/>
    </row>
    <row r="1235" spans="5:9" x14ac:dyDescent="0.25">
      <c r="E1235" s="66"/>
      <c r="F1235" s="67"/>
      <c r="G1235" s="67"/>
      <c r="H1235" s="67"/>
      <c r="I1235" s="68"/>
    </row>
    <row r="1236" spans="5:9" x14ac:dyDescent="0.25">
      <c r="E1236" s="66"/>
      <c r="F1236" s="67"/>
      <c r="G1236" s="67"/>
      <c r="H1236" s="67"/>
      <c r="I1236" s="68"/>
    </row>
    <row r="1237" spans="5:9" x14ac:dyDescent="0.25">
      <c r="E1237" s="66"/>
      <c r="F1237" s="67"/>
      <c r="G1237" s="67"/>
      <c r="H1237" s="67"/>
      <c r="I1237" s="68"/>
    </row>
    <row r="1238" spans="5:9" x14ac:dyDescent="0.25">
      <c r="E1238" s="66"/>
      <c r="F1238" s="67"/>
      <c r="G1238" s="67"/>
      <c r="H1238" s="67"/>
      <c r="I1238" s="68"/>
    </row>
    <row r="1239" spans="5:9" x14ac:dyDescent="0.25">
      <c r="E1239" s="66"/>
      <c r="F1239" s="67"/>
      <c r="G1239" s="67"/>
      <c r="H1239" s="67"/>
      <c r="I1239" s="68"/>
    </row>
    <row r="1240" spans="5:9" x14ac:dyDescent="0.25">
      <c r="E1240" s="66"/>
      <c r="F1240" s="67"/>
      <c r="G1240" s="67"/>
      <c r="H1240" s="67"/>
      <c r="I1240" s="68"/>
    </row>
    <row r="1241" spans="5:9" x14ac:dyDescent="0.25">
      <c r="E1241" s="66"/>
      <c r="F1241" s="67"/>
      <c r="G1241" s="67"/>
      <c r="H1241" s="67"/>
      <c r="I1241" s="68"/>
    </row>
    <row r="1242" spans="5:9" x14ac:dyDescent="0.25">
      <c r="E1242" s="66"/>
      <c r="F1242" s="67"/>
      <c r="G1242" s="67"/>
      <c r="H1242" s="67"/>
      <c r="I1242" s="68"/>
    </row>
    <row r="1243" spans="5:9" x14ac:dyDescent="0.25">
      <c r="E1243" s="66"/>
      <c r="F1243" s="67"/>
      <c r="G1243" s="67"/>
      <c r="H1243" s="67"/>
      <c r="I1243" s="68"/>
    </row>
    <row r="1244" spans="5:9" x14ac:dyDescent="0.25">
      <c r="E1244" s="66"/>
      <c r="F1244" s="67"/>
      <c r="G1244" s="67"/>
      <c r="H1244" s="67"/>
      <c r="I1244" s="68"/>
    </row>
    <row r="1245" spans="5:9" x14ac:dyDescent="0.25">
      <c r="E1245" s="66"/>
      <c r="F1245" s="67"/>
      <c r="G1245" s="67"/>
      <c r="H1245" s="67"/>
      <c r="I1245" s="68"/>
    </row>
    <row r="1246" spans="5:9" x14ac:dyDescent="0.25">
      <c r="E1246" s="66"/>
      <c r="F1246" s="67"/>
      <c r="G1246" s="67"/>
      <c r="H1246" s="67"/>
      <c r="I1246" s="68"/>
    </row>
    <row r="1247" spans="5:9" x14ac:dyDescent="0.25">
      <c r="E1247" s="66"/>
      <c r="F1247" s="67"/>
      <c r="G1247" s="67"/>
      <c r="H1247" s="67"/>
      <c r="I1247" s="68"/>
    </row>
    <row r="1248" spans="5:9" x14ac:dyDescent="0.25">
      <c r="E1248" s="66"/>
      <c r="F1248" s="67"/>
      <c r="G1248" s="67"/>
      <c r="H1248" s="67"/>
      <c r="I1248" s="68"/>
    </row>
    <row r="1249" spans="5:9" x14ac:dyDescent="0.25">
      <c r="E1249" s="66"/>
      <c r="F1249" s="67"/>
      <c r="G1249" s="67"/>
      <c r="H1249" s="67"/>
      <c r="I1249" s="68"/>
    </row>
    <row r="1250" spans="5:9" x14ac:dyDescent="0.25">
      <c r="E1250" s="66"/>
      <c r="F1250" s="67"/>
      <c r="G1250" s="67"/>
      <c r="H1250" s="67"/>
      <c r="I1250" s="68"/>
    </row>
    <row r="1251" spans="5:9" x14ac:dyDescent="0.25">
      <c r="E1251" s="66"/>
      <c r="F1251" s="67"/>
      <c r="G1251" s="67"/>
      <c r="H1251" s="67"/>
      <c r="I1251" s="68"/>
    </row>
    <row r="1252" spans="5:9" x14ac:dyDescent="0.25">
      <c r="E1252" s="66"/>
      <c r="F1252" s="67"/>
      <c r="G1252" s="67"/>
      <c r="H1252" s="67"/>
      <c r="I1252" s="68"/>
    </row>
    <row r="1253" spans="5:9" x14ac:dyDescent="0.25">
      <c r="E1253" s="66"/>
      <c r="F1253" s="67"/>
      <c r="G1253" s="67"/>
      <c r="H1253" s="67"/>
      <c r="I1253" s="68"/>
    </row>
    <row r="1254" spans="5:9" x14ac:dyDescent="0.25">
      <c r="E1254" s="66"/>
      <c r="F1254" s="67"/>
      <c r="G1254" s="67"/>
      <c r="H1254" s="67"/>
      <c r="I1254" s="68"/>
    </row>
    <row r="1255" spans="5:9" x14ac:dyDescent="0.25">
      <c r="E1255" s="66"/>
      <c r="F1255" s="67"/>
      <c r="G1255" s="67"/>
      <c r="H1255" s="67"/>
      <c r="I1255" s="68"/>
    </row>
    <row r="1256" spans="5:9" x14ac:dyDescent="0.25">
      <c r="E1256" s="66"/>
      <c r="F1256" s="67"/>
      <c r="G1256" s="67"/>
      <c r="H1256" s="67"/>
      <c r="I1256" s="68"/>
    </row>
    <row r="1257" spans="5:9" x14ac:dyDescent="0.25">
      <c r="E1257" s="66"/>
      <c r="F1257" s="67"/>
      <c r="G1257" s="67"/>
      <c r="H1257" s="67"/>
      <c r="I1257" s="68"/>
    </row>
    <row r="1258" spans="5:9" x14ac:dyDescent="0.25">
      <c r="E1258" s="66"/>
      <c r="F1258" s="67"/>
      <c r="G1258" s="67"/>
      <c r="H1258" s="67"/>
      <c r="I1258" s="68"/>
    </row>
    <row r="1259" spans="5:9" x14ac:dyDescent="0.25">
      <c r="E1259" s="66"/>
      <c r="F1259" s="67"/>
      <c r="G1259" s="67"/>
      <c r="H1259" s="67"/>
      <c r="I1259" s="68"/>
    </row>
    <row r="1260" spans="5:9" x14ac:dyDescent="0.25">
      <c r="E1260" s="66"/>
      <c r="F1260" s="67"/>
      <c r="G1260" s="67"/>
      <c r="H1260" s="67"/>
      <c r="I1260" s="68"/>
    </row>
    <row r="1261" spans="5:9" x14ac:dyDescent="0.25">
      <c r="E1261" s="66"/>
      <c r="F1261" s="67"/>
      <c r="G1261" s="67"/>
      <c r="H1261" s="67"/>
      <c r="I1261" s="68"/>
    </row>
    <row r="1262" spans="5:9" x14ac:dyDescent="0.25">
      <c r="E1262" s="66"/>
      <c r="F1262" s="67"/>
      <c r="G1262" s="67"/>
      <c r="H1262" s="67"/>
      <c r="I1262" s="68"/>
    </row>
    <row r="1263" spans="5:9" x14ac:dyDescent="0.25">
      <c r="E1263" s="66"/>
      <c r="F1263" s="67"/>
      <c r="G1263" s="67"/>
      <c r="H1263" s="67"/>
      <c r="I1263" s="68"/>
    </row>
    <row r="1264" spans="5:9" x14ac:dyDescent="0.25">
      <c r="E1264" s="66"/>
      <c r="F1264" s="67"/>
      <c r="G1264" s="67"/>
      <c r="H1264" s="67"/>
      <c r="I1264" s="68"/>
    </row>
    <row r="1265" spans="5:9" x14ac:dyDescent="0.25">
      <c r="E1265" s="66"/>
      <c r="F1265" s="67"/>
      <c r="G1265" s="67"/>
      <c r="H1265" s="67"/>
      <c r="I1265" s="68"/>
    </row>
    <row r="1266" spans="5:9" x14ac:dyDescent="0.25">
      <c r="E1266" s="66"/>
      <c r="F1266" s="67"/>
      <c r="G1266" s="67"/>
      <c r="H1266" s="67"/>
      <c r="I1266" s="68"/>
    </row>
    <row r="1267" spans="5:9" x14ac:dyDescent="0.25">
      <c r="E1267" s="66"/>
      <c r="F1267" s="67"/>
      <c r="G1267" s="67"/>
      <c r="H1267" s="67"/>
      <c r="I1267" s="68"/>
    </row>
    <row r="1268" spans="5:9" x14ac:dyDescent="0.25">
      <c r="E1268" s="66"/>
      <c r="F1268" s="67"/>
      <c r="G1268" s="67"/>
      <c r="H1268" s="67"/>
      <c r="I1268" s="68"/>
    </row>
    <row r="1269" spans="5:9" x14ac:dyDescent="0.25">
      <c r="E1269" s="66"/>
      <c r="F1269" s="67"/>
      <c r="G1269" s="67"/>
      <c r="H1269" s="67"/>
      <c r="I1269" s="68"/>
    </row>
    <row r="1270" spans="5:9" x14ac:dyDescent="0.25">
      <c r="E1270" s="66"/>
      <c r="F1270" s="67"/>
      <c r="G1270" s="67"/>
      <c r="H1270" s="67"/>
      <c r="I1270" s="68"/>
    </row>
    <row r="1271" spans="5:9" x14ac:dyDescent="0.25">
      <c r="E1271" s="66"/>
      <c r="F1271" s="67"/>
      <c r="G1271" s="67"/>
      <c r="H1271" s="67"/>
      <c r="I1271" s="68"/>
    </row>
    <row r="1272" spans="5:9" x14ac:dyDescent="0.25">
      <c r="E1272" s="66"/>
      <c r="F1272" s="67"/>
      <c r="G1272" s="67"/>
      <c r="H1272" s="67"/>
      <c r="I1272" s="68"/>
    </row>
    <row r="1273" spans="5:9" x14ac:dyDescent="0.25">
      <c r="E1273" s="66"/>
      <c r="F1273" s="67"/>
      <c r="G1273" s="67"/>
      <c r="H1273" s="67"/>
      <c r="I1273" s="68"/>
    </row>
    <row r="1274" spans="5:9" x14ac:dyDescent="0.25">
      <c r="E1274" s="66"/>
      <c r="F1274" s="67"/>
      <c r="G1274" s="67"/>
      <c r="H1274" s="67"/>
      <c r="I1274" s="68"/>
    </row>
    <row r="1275" spans="5:9" x14ac:dyDescent="0.25">
      <c r="E1275" s="66"/>
      <c r="F1275" s="67"/>
      <c r="G1275" s="67"/>
      <c r="H1275" s="67"/>
      <c r="I1275" s="68"/>
    </row>
    <row r="1276" spans="5:9" x14ac:dyDescent="0.25">
      <c r="E1276" s="66"/>
      <c r="F1276" s="67"/>
      <c r="G1276" s="67"/>
      <c r="H1276" s="67"/>
      <c r="I1276" s="68"/>
    </row>
    <row r="1277" spans="5:9" x14ac:dyDescent="0.25">
      <c r="E1277" s="66"/>
      <c r="F1277" s="67"/>
      <c r="G1277" s="67"/>
      <c r="H1277" s="67"/>
      <c r="I1277" s="68"/>
    </row>
    <row r="1278" spans="5:9" x14ac:dyDescent="0.25">
      <c r="E1278" s="66"/>
      <c r="F1278" s="67"/>
      <c r="G1278" s="67"/>
      <c r="H1278" s="67"/>
      <c r="I1278" s="68"/>
    </row>
    <row r="1279" spans="5:9" x14ac:dyDescent="0.25">
      <c r="E1279" s="66"/>
      <c r="F1279" s="67"/>
      <c r="G1279" s="67"/>
      <c r="H1279" s="67"/>
      <c r="I1279" s="68"/>
    </row>
    <row r="1280" spans="5:9" x14ac:dyDescent="0.25">
      <c r="E1280" s="66"/>
      <c r="F1280" s="67"/>
      <c r="G1280" s="67"/>
      <c r="H1280" s="67"/>
      <c r="I1280" s="68"/>
    </row>
    <row r="1281" spans="5:9" x14ac:dyDescent="0.25">
      <c r="E1281" s="66"/>
      <c r="F1281" s="67"/>
      <c r="G1281" s="67"/>
      <c r="H1281" s="67"/>
      <c r="I1281" s="68"/>
    </row>
    <row r="1282" spans="5:9" x14ac:dyDescent="0.25">
      <c r="E1282" s="66"/>
      <c r="F1282" s="67"/>
      <c r="G1282" s="67"/>
      <c r="H1282" s="67"/>
      <c r="I1282" s="68"/>
    </row>
    <row r="1283" spans="5:9" x14ac:dyDescent="0.25">
      <c r="E1283" s="66"/>
      <c r="F1283" s="67"/>
      <c r="G1283" s="67"/>
      <c r="H1283" s="67"/>
      <c r="I1283" s="68"/>
    </row>
    <row r="1284" spans="5:9" x14ac:dyDescent="0.25">
      <c r="E1284" s="66"/>
      <c r="F1284" s="67"/>
      <c r="G1284" s="67"/>
      <c r="H1284" s="67"/>
      <c r="I1284" s="68"/>
    </row>
    <row r="1285" spans="5:9" x14ac:dyDescent="0.25">
      <c r="E1285" s="66"/>
      <c r="F1285" s="67"/>
      <c r="G1285" s="67"/>
      <c r="H1285" s="67"/>
      <c r="I1285" s="68"/>
    </row>
    <row r="1286" spans="5:9" x14ac:dyDescent="0.25">
      <c r="E1286" s="66"/>
      <c r="F1286" s="67"/>
      <c r="G1286" s="67"/>
      <c r="H1286" s="67"/>
      <c r="I1286" s="68"/>
    </row>
    <row r="1287" spans="5:9" x14ac:dyDescent="0.25">
      <c r="E1287" s="66"/>
      <c r="F1287" s="67"/>
      <c r="G1287" s="67"/>
      <c r="H1287" s="67"/>
      <c r="I1287" s="68"/>
    </row>
    <row r="1288" spans="5:9" x14ac:dyDescent="0.25">
      <c r="E1288" s="66"/>
      <c r="F1288" s="67"/>
      <c r="G1288" s="67"/>
      <c r="H1288" s="67"/>
      <c r="I1288" s="68"/>
    </row>
    <row r="1289" spans="5:9" x14ac:dyDescent="0.25">
      <c r="E1289" s="66"/>
      <c r="F1289" s="67"/>
      <c r="G1289" s="67"/>
      <c r="H1289" s="67"/>
      <c r="I1289" s="68"/>
    </row>
    <row r="1290" spans="5:9" x14ac:dyDescent="0.25">
      <c r="E1290" s="66"/>
      <c r="F1290" s="67"/>
      <c r="G1290" s="67"/>
      <c r="H1290" s="67"/>
      <c r="I1290" s="68"/>
    </row>
    <row r="1291" spans="5:9" x14ac:dyDescent="0.25">
      <c r="E1291" s="66"/>
      <c r="F1291" s="67"/>
      <c r="G1291" s="67"/>
      <c r="H1291" s="67"/>
      <c r="I1291" s="68"/>
    </row>
    <row r="1292" spans="5:9" x14ac:dyDescent="0.25">
      <c r="E1292" s="66"/>
      <c r="F1292" s="67"/>
      <c r="G1292" s="67"/>
      <c r="H1292" s="67"/>
      <c r="I1292" s="68"/>
    </row>
    <row r="1293" spans="5:9" x14ac:dyDescent="0.25">
      <c r="E1293" s="66"/>
      <c r="F1293" s="67"/>
      <c r="G1293" s="67"/>
      <c r="H1293" s="67"/>
      <c r="I1293" s="68"/>
    </row>
    <row r="1294" spans="5:9" x14ac:dyDescent="0.25">
      <c r="E1294" s="66"/>
      <c r="F1294" s="67"/>
      <c r="G1294" s="67"/>
      <c r="H1294" s="67"/>
      <c r="I1294" s="68"/>
    </row>
    <row r="1295" spans="5:9" x14ac:dyDescent="0.25">
      <c r="E1295" s="66"/>
      <c r="F1295" s="67"/>
      <c r="G1295" s="67"/>
      <c r="H1295" s="67"/>
      <c r="I1295" s="68"/>
    </row>
    <row r="1296" spans="5:9" x14ac:dyDescent="0.25">
      <c r="E1296" s="66"/>
      <c r="F1296" s="67"/>
      <c r="G1296" s="67"/>
      <c r="H1296" s="67"/>
      <c r="I1296" s="68"/>
    </row>
    <row r="1297" spans="5:9" x14ac:dyDescent="0.25">
      <c r="E1297" s="66"/>
      <c r="F1297" s="67"/>
      <c r="G1297" s="67"/>
      <c r="H1297" s="67"/>
      <c r="I1297" s="68"/>
    </row>
    <row r="1298" spans="5:9" x14ac:dyDescent="0.25">
      <c r="E1298" s="66"/>
      <c r="F1298" s="67"/>
      <c r="G1298" s="67"/>
      <c r="H1298" s="67"/>
      <c r="I1298" s="68"/>
    </row>
    <row r="1299" spans="5:9" x14ac:dyDescent="0.25">
      <c r="E1299" s="66"/>
      <c r="F1299" s="67"/>
      <c r="G1299" s="67"/>
      <c r="H1299" s="67"/>
      <c r="I1299" s="68"/>
    </row>
    <row r="1300" spans="5:9" x14ac:dyDescent="0.25">
      <c r="E1300" s="66"/>
      <c r="F1300" s="67"/>
      <c r="G1300" s="67"/>
      <c r="H1300" s="67"/>
      <c r="I1300" s="68"/>
    </row>
    <row r="1301" spans="5:9" x14ac:dyDescent="0.25">
      <c r="E1301" s="66"/>
      <c r="F1301" s="67"/>
      <c r="G1301" s="67"/>
      <c r="H1301" s="67"/>
      <c r="I1301" s="68"/>
    </row>
    <row r="1302" spans="5:9" x14ac:dyDescent="0.25">
      <c r="E1302" s="66"/>
      <c r="F1302" s="67"/>
      <c r="G1302" s="67"/>
      <c r="H1302" s="67"/>
      <c r="I1302" s="68"/>
    </row>
    <row r="1303" spans="5:9" x14ac:dyDescent="0.25">
      <c r="E1303" s="66"/>
      <c r="F1303" s="67"/>
      <c r="G1303" s="67"/>
      <c r="H1303" s="67"/>
      <c r="I1303" s="68"/>
    </row>
    <row r="1304" spans="5:9" x14ac:dyDescent="0.25">
      <c r="E1304" s="66"/>
      <c r="F1304" s="67"/>
      <c r="G1304" s="67"/>
      <c r="H1304" s="67"/>
      <c r="I1304" s="68"/>
    </row>
    <row r="1305" spans="5:9" x14ac:dyDescent="0.25">
      <c r="E1305" s="66"/>
      <c r="F1305" s="67"/>
      <c r="G1305" s="67"/>
      <c r="H1305" s="67"/>
      <c r="I1305" s="68"/>
    </row>
    <row r="1306" spans="5:9" x14ac:dyDescent="0.25">
      <c r="E1306" s="66"/>
      <c r="F1306" s="67"/>
      <c r="G1306" s="67"/>
      <c r="H1306" s="67"/>
      <c r="I1306" s="68"/>
    </row>
    <row r="1307" spans="5:9" x14ac:dyDescent="0.25">
      <c r="E1307" s="66"/>
      <c r="F1307" s="67"/>
      <c r="G1307" s="67"/>
      <c r="H1307" s="67"/>
      <c r="I1307" s="68"/>
    </row>
    <row r="1308" spans="5:9" x14ac:dyDescent="0.25">
      <c r="E1308" s="66"/>
      <c r="F1308" s="67"/>
      <c r="G1308" s="67"/>
      <c r="H1308" s="67"/>
      <c r="I1308" s="68"/>
    </row>
    <row r="1309" spans="5:9" x14ac:dyDescent="0.25">
      <c r="E1309" s="66"/>
      <c r="F1309" s="67"/>
      <c r="G1309" s="67"/>
      <c r="H1309" s="67"/>
      <c r="I1309" s="68"/>
    </row>
    <row r="1310" spans="5:9" x14ac:dyDescent="0.25">
      <c r="E1310" s="66"/>
      <c r="F1310" s="67"/>
      <c r="G1310" s="67"/>
      <c r="H1310" s="67"/>
      <c r="I1310" s="68"/>
    </row>
    <row r="1311" spans="5:9" x14ac:dyDescent="0.25">
      <c r="E1311" s="66"/>
      <c r="F1311" s="67"/>
      <c r="G1311" s="67"/>
      <c r="H1311" s="67"/>
      <c r="I1311" s="68"/>
    </row>
    <row r="1312" spans="5:9" x14ac:dyDescent="0.25">
      <c r="E1312" s="66"/>
      <c r="F1312" s="67"/>
      <c r="G1312" s="67"/>
      <c r="H1312" s="67"/>
      <c r="I1312" s="68"/>
    </row>
    <row r="1313" spans="5:9" x14ac:dyDescent="0.25">
      <c r="E1313" s="66"/>
      <c r="F1313" s="67"/>
      <c r="G1313" s="67"/>
      <c r="H1313" s="67"/>
      <c r="I1313" s="68"/>
    </row>
    <row r="1314" spans="5:9" x14ac:dyDescent="0.25">
      <c r="E1314" s="66"/>
      <c r="F1314" s="67"/>
      <c r="G1314" s="67"/>
      <c r="H1314" s="67"/>
      <c r="I1314" s="68"/>
    </row>
    <row r="1315" spans="5:9" x14ac:dyDescent="0.25">
      <c r="E1315" s="66"/>
      <c r="F1315" s="67"/>
      <c r="G1315" s="67"/>
      <c r="H1315" s="67"/>
      <c r="I1315" s="68"/>
    </row>
    <row r="1316" spans="5:9" x14ac:dyDescent="0.25">
      <c r="E1316" s="66"/>
      <c r="F1316" s="67"/>
      <c r="G1316" s="67"/>
      <c r="H1316" s="67"/>
      <c r="I1316" s="68"/>
    </row>
    <row r="1317" spans="5:9" x14ac:dyDescent="0.25">
      <c r="E1317" s="66"/>
      <c r="F1317" s="67"/>
      <c r="G1317" s="67"/>
      <c r="H1317" s="67"/>
      <c r="I1317" s="68"/>
    </row>
    <row r="1318" spans="5:9" x14ac:dyDescent="0.25">
      <c r="E1318" s="66"/>
      <c r="F1318" s="67"/>
      <c r="G1318" s="67"/>
      <c r="H1318" s="67"/>
      <c r="I1318" s="68"/>
    </row>
    <row r="1319" spans="5:9" x14ac:dyDescent="0.25">
      <c r="E1319" s="66"/>
      <c r="F1319" s="67"/>
      <c r="G1319" s="67"/>
      <c r="H1319" s="67"/>
      <c r="I1319" s="68"/>
    </row>
    <row r="1320" spans="5:9" x14ac:dyDescent="0.25">
      <c r="E1320" s="66"/>
      <c r="F1320" s="67"/>
      <c r="G1320" s="67"/>
      <c r="H1320" s="67"/>
      <c r="I1320" s="68"/>
    </row>
    <row r="1321" spans="5:9" x14ac:dyDescent="0.25">
      <c r="E1321" s="66"/>
      <c r="F1321" s="67"/>
      <c r="G1321" s="67"/>
      <c r="H1321" s="67"/>
      <c r="I1321" s="68"/>
    </row>
    <row r="1322" spans="5:9" x14ac:dyDescent="0.25">
      <c r="E1322" s="66"/>
      <c r="F1322" s="67"/>
      <c r="G1322" s="67"/>
      <c r="H1322" s="67"/>
      <c r="I1322" s="68"/>
    </row>
    <row r="1323" spans="5:9" x14ac:dyDescent="0.25">
      <c r="E1323" s="66"/>
      <c r="F1323" s="67"/>
      <c r="G1323" s="67"/>
      <c r="H1323" s="67"/>
      <c r="I1323" s="68"/>
    </row>
    <row r="1324" spans="5:9" x14ac:dyDescent="0.25">
      <c r="E1324" s="66"/>
      <c r="F1324" s="67"/>
      <c r="G1324" s="67"/>
      <c r="H1324" s="67"/>
      <c r="I1324" s="68"/>
    </row>
    <row r="1325" spans="5:9" x14ac:dyDescent="0.25">
      <c r="E1325" s="66"/>
      <c r="F1325" s="67"/>
      <c r="G1325" s="67"/>
      <c r="H1325" s="67"/>
      <c r="I1325" s="68"/>
    </row>
    <row r="1326" spans="5:9" x14ac:dyDescent="0.25">
      <c r="E1326" s="66"/>
      <c r="F1326" s="67"/>
      <c r="G1326" s="67"/>
      <c r="H1326" s="67"/>
      <c r="I1326" s="68"/>
    </row>
    <row r="1327" spans="5:9" x14ac:dyDescent="0.25">
      <c r="E1327" s="66"/>
      <c r="F1327" s="67"/>
      <c r="G1327" s="67"/>
      <c r="H1327" s="67"/>
      <c r="I1327" s="68"/>
    </row>
    <row r="1328" spans="5:9" x14ac:dyDescent="0.25">
      <c r="E1328" s="66"/>
      <c r="F1328" s="67"/>
      <c r="G1328" s="67"/>
      <c r="H1328" s="67"/>
      <c r="I1328" s="68"/>
    </row>
    <row r="1329" spans="5:9" x14ac:dyDescent="0.25">
      <c r="E1329" s="66"/>
      <c r="F1329" s="67"/>
      <c r="G1329" s="67"/>
      <c r="H1329" s="67"/>
      <c r="I1329" s="68"/>
    </row>
    <row r="1330" spans="5:9" x14ac:dyDescent="0.25">
      <c r="E1330" s="66"/>
      <c r="F1330" s="67"/>
      <c r="G1330" s="67"/>
      <c r="H1330" s="67"/>
      <c r="I1330" s="68"/>
    </row>
    <row r="1331" spans="5:9" x14ac:dyDescent="0.25">
      <c r="E1331" s="66"/>
      <c r="F1331" s="67"/>
      <c r="G1331" s="67"/>
      <c r="H1331" s="67"/>
      <c r="I1331" s="68"/>
    </row>
    <row r="1332" spans="5:9" x14ac:dyDescent="0.25">
      <c r="E1332" s="66"/>
      <c r="F1332" s="67"/>
      <c r="G1332" s="67"/>
      <c r="H1332" s="67"/>
      <c r="I1332" s="68"/>
    </row>
    <row r="1333" spans="5:9" x14ac:dyDescent="0.25">
      <c r="E1333" s="66"/>
      <c r="F1333" s="67"/>
      <c r="G1333" s="67"/>
      <c r="H1333" s="67"/>
      <c r="I1333" s="68"/>
    </row>
    <row r="1334" spans="5:9" x14ac:dyDescent="0.25">
      <c r="E1334" s="66"/>
      <c r="F1334" s="67"/>
      <c r="G1334" s="67"/>
      <c r="H1334" s="67"/>
      <c r="I1334" s="68"/>
    </row>
    <row r="1335" spans="5:9" x14ac:dyDescent="0.25">
      <c r="E1335" s="66"/>
      <c r="F1335" s="67"/>
      <c r="G1335" s="67"/>
      <c r="H1335" s="67"/>
      <c r="I1335" s="68"/>
    </row>
    <row r="1336" spans="5:9" x14ac:dyDescent="0.25">
      <c r="E1336" s="66"/>
      <c r="F1336" s="67"/>
      <c r="G1336" s="67"/>
      <c r="H1336" s="67"/>
      <c r="I1336" s="68"/>
    </row>
    <row r="1337" spans="5:9" x14ac:dyDescent="0.25">
      <c r="E1337" s="66"/>
      <c r="F1337" s="67"/>
      <c r="G1337" s="67"/>
      <c r="H1337" s="67"/>
      <c r="I1337" s="68"/>
    </row>
    <row r="1338" spans="5:9" x14ac:dyDescent="0.25">
      <c r="E1338" s="66"/>
      <c r="F1338" s="67"/>
      <c r="G1338" s="67"/>
      <c r="H1338" s="67"/>
      <c r="I1338" s="68"/>
    </row>
    <row r="1339" spans="5:9" x14ac:dyDescent="0.25">
      <c r="E1339" s="66"/>
      <c r="F1339" s="67"/>
      <c r="G1339" s="67"/>
      <c r="H1339" s="67"/>
      <c r="I1339" s="68"/>
    </row>
    <row r="1340" spans="5:9" x14ac:dyDescent="0.25">
      <c r="E1340" s="66"/>
      <c r="F1340" s="67"/>
      <c r="G1340" s="67"/>
      <c r="H1340" s="67"/>
      <c r="I1340" s="68"/>
    </row>
    <row r="1341" spans="5:9" x14ac:dyDescent="0.25">
      <c r="E1341" s="66"/>
      <c r="F1341" s="67"/>
      <c r="G1341" s="67"/>
      <c r="H1341" s="67"/>
      <c r="I1341" s="68"/>
    </row>
    <row r="1342" spans="5:9" x14ac:dyDescent="0.25">
      <c r="E1342" s="66"/>
      <c r="F1342" s="67"/>
      <c r="G1342" s="67"/>
      <c r="H1342" s="67"/>
      <c r="I1342" s="68"/>
    </row>
    <row r="1343" spans="5:9" x14ac:dyDescent="0.25">
      <c r="E1343" s="66"/>
      <c r="F1343" s="67"/>
      <c r="G1343" s="67"/>
      <c r="H1343" s="67"/>
      <c r="I1343" s="68"/>
    </row>
    <row r="1344" spans="5:9" x14ac:dyDescent="0.25">
      <c r="E1344" s="66"/>
      <c r="F1344" s="67"/>
      <c r="G1344" s="67"/>
      <c r="H1344" s="67"/>
      <c r="I1344" s="68"/>
    </row>
    <row r="1345" spans="5:9" x14ac:dyDescent="0.25">
      <c r="E1345" s="66"/>
      <c r="F1345" s="67"/>
      <c r="G1345" s="67"/>
      <c r="H1345" s="67"/>
      <c r="I1345" s="68"/>
    </row>
    <row r="1346" spans="5:9" x14ac:dyDescent="0.25">
      <c r="E1346" s="66"/>
      <c r="F1346" s="67"/>
      <c r="G1346" s="67"/>
      <c r="H1346" s="67"/>
      <c r="I1346" s="68"/>
    </row>
    <row r="1347" spans="5:9" x14ac:dyDescent="0.25">
      <c r="E1347" s="66"/>
      <c r="F1347" s="67"/>
      <c r="G1347" s="67"/>
      <c r="H1347" s="67"/>
      <c r="I1347" s="68"/>
    </row>
    <row r="1348" spans="5:9" x14ac:dyDescent="0.25">
      <c r="E1348" s="66"/>
      <c r="F1348" s="67"/>
      <c r="G1348" s="67"/>
      <c r="H1348" s="67"/>
      <c r="I1348" s="68"/>
    </row>
    <row r="1349" spans="5:9" x14ac:dyDescent="0.25">
      <c r="E1349" s="66"/>
      <c r="F1349" s="67"/>
      <c r="G1349" s="67"/>
      <c r="H1349" s="67"/>
      <c r="I1349" s="68"/>
    </row>
    <row r="1350" spans="5:9" x14ac:dyDescent="0.25">
      <c r="E1350" s="66"/>
      <c r="F1350" s="67"/>
      <c r="G1350" s="67"/>
      <c r="H1350" s="67"/>
      <c r="I1350" s="68"/>
    </row>
    <row r="1351" spans="5:9" x14ac:dyDescent="0.25">
      <c r="E1351" s="66"/>
      <c r="F1351" s="67"/>
      <c r="G1351" s="67"/>
      <c r="H1351" s="67"/>
      <c r="I1351" s="68"/>
    </row>
    <row r="1352" spans="5:9" x14ac:dyDescent="0.25">
      <c r="E1352" s="66"/>
      <c r="F1352" s="67"/>
      <c r="G1352" s="67"/>
      <c r="H1352" s="67"/>
      <c r="I1352" s="68"/>
    </row>
    <row r="1353" spans="5:9" x14ac:dyDescent="0.25">
      <c r="E1353" s="66"/>
      <c r="F1353" s="67"/>
      <c r="G1353" s="67"/>
      <c r="H1353" s="67"/>
      <c r="I1353" s="68"/>
    </row>
    <row r="1354" spans="5:9" x14ac:dyDescent="0.25">
      <c r="E1354" s="66"/>
      <c r="F1354" s="67"/>
      <c r="G1354" s="67"/>
      <c r="H1354" s="67"/>
      <c r="I1354" s="68"/>
    </row>
    <row r="1355" spans="5:9" x14ac:dyDescent="0.25">
      <c r="E1355" s="66"/>
      <c r="F1355" s="67"/>
      <c r="G1355" s="67"/>
      <c r="H1355" s="67"/>
      <c r="I1355" s="68"/>
    </row>
    <row r="1356" spans="5:9" x14ac:dyDescent="0.25">
      <c r="E1356" s="66"/>
      <c r="F1356" s="67"/>
      <c r="G1356" s="67"/>
      <c r="H1356" s="67"/>
      <c r="I1356" s="68"/>
    </row>
    <row r="1357" spans="5:9" x14ac:dyDescent="0.25">
      <c r="E1357" s="66"/>
      <c r="F1357" s="67"/>
      <c r="G1357" s="67"/>
      <c r="H1357" s="67"/>
      <c r="I1357" s="68"/>
    </row>
    <row r="1358" spans="5:9" x14ac:dyDescent="0.25">
      <c r="E1358" s="66"/>
      <c r="F1358" s="67"/>
      <c r="G1358" s="67"/>
      <c r="H1358" s="67"/>
      <c r="I1358" s="68"/>
    </row>
    <row r="1359" spans="5:9" x14ac:dyDescent="0.25">
      <c r="E1359" s="66"/>
      <c r="F1359" s="67"/>
      <c r="G1359" s="67"/>
      <c r="H1359" s="67"/>
      <c r="I1359" s="68"/>
    </row>
    <row r="1360" spans="5:9" x14ac:dyDescent="0.25">
      <c r="E1360" s="66"/>
      <c r="F1360" s="67"/>
      <c r="G1360" s="67"/>
      <c r="H1360" s="67"/>
      <c r="I1360" s="68"/>
    </row>
    <row r="1361" spans="5:9" x14ac:dyDescent="0.25">
      <c r="E1361" s="66"/>
      <c r="F1361" s="67"/>
      <c r="G1361" s="67"/>
      <c r="H1361" s="67"/>
      <c r="I1361" s="68"/>
    </row>
    <row r="1362" spans="5:9" x14ac:dyDescent="0.25">
      <c r="E1362" s="66"/>
      <c r="F1362" s="67"/>
      <c r="G1362" s="67"/>
      <c r="H1362" s="67"/>
      <c r="I1362" s="68"/>
    </row>
    <row r="1363" spans="5:9" x14ac:dyDescent="0.25">
      <c r="E1363" s="66"/>
      <c r="F1363" s="67"/>
      <c r="G1363" s="67"/>
      <c r="H1363" s="67"/>
      <c r="I1363" s="68"/>
    </row>
    <row r="1364" spans="5:9" x14ac:dyDescent="0.25">
      <c r="E1364" s="66"/>
      <c r="F1364" s="67"/>
      <c r="G1364" s="67"/>
      <c r="H1364" s="67"/>
      <c r="I1364" s="68"/>
    </row>
    <row r="1365" spans="5:9" x14ac:dyDescent="0.25">
      <c r="E1365" s="66"/>
      <c r="F1365" s="67"/>
      <c r="G1365" s="67"/>
      <c r="H1365" s="67"/>
      <c r="I1365" s="68"/>
    </row>
    <row r="1366" spans="5:9" x14ac:dyDescent="0.25">
      <c r="E1366" s="66"/>
      <c r="F1366" s="67"/>
      <c r="G1366" s="67"/>
      <c r="H1366" s="67"/>
      <c r="I1366" s="68"/>
    </row>
    <row r="1367" spans="5:9" x14ac:dyDescent="0.25">
      <c r="E1367" s="66"/>
      <c r="F1367" s="67"/>
      <c r="G1367" s="67"/>
      <c r="H1367" s="67"/>
      <c r="I1367" s="68"/>
    </row>
    <row r="1368" spans="5:9" x14ac:dyDescent="0.25">
      <c r="E1368" s="66"/>
      <c r="F1368" s="67"/>
      <c r="G1368" s="67"/>
      <c r="H1368" s="67"/>
      <c r="I1368" s="68"/>
    </row>
    <row r="1369" spans="5:9" x14ac:dyDescent="0.25">
      <c r="E1369" s="66"/>
      <c r="F1369" s="67"/>
      <c r="G1369" s="67"/>
      <c r="H1369" s="67"/>
      <c r="I1369" s="68"/>
    </row>
    <row r="1370" spans="5:9" x14ac:dyDescent="0.25">
      <c r="E1370" s="66"/>
      <c r="F1370" s="67"/>
      <c r="G1370" s="67"/>
      <c r="H1370" s="67"/>
      <c r="I1370" s="68"/>
    </row>
    <row r="1371" spans="5:9" x14ac:dyDescent="0.25">
      <c r="E1371" s="66"/>
      <c r="F1371" s="67"/>
      <c r="G1371" s="67"/>
      <c r="H1371" s="67"/>
      <c r="I1371" s="68"/>
    </row>
    <row r="1372" spans="5:9" x14ac:dyDescent="0.25">
      <c r="E1372" s="66"/>
      <c r="F1372" s="67"/>
      <c r="G1372" s="67"/>
      <c r="H1372" s="67"/>
      <c r="I1372" s="68"/>
    </row>
    <row r="1373" spans="5:9" x14ac:dyDescent="0.25">
      <c r="E1373" s="66"/>
      <c r="F1373" s="67"/>
      <c r="G1373" s="67"/>
      <c r="H1373" s="67"/>
      <c r="I1373" s="68"/>
    </row>
    <row r="1374" spans="5:9" x14ac:dyDescent="0.25">
      <c r="E1374" s="66"/>
      <c r="F1374" s="67"/>
      <c r="G1374" s="67"/>
      <c r="H1374" s="67"/>
      <c r="I1374" s="68"/>
    </row>
    <row r="1375" spans="5:9" x14ac:dyDescent="0.25">
      <c r="E1375" s="66"/>
      <c r="F1375" s="67"/>
      <c r="G1375" s="67"/>
      <c r="H1375" s="67"/>
      <c r="I1375" s="68"/>
    </row>
    <row r="1376" spans="5:9" x14ac:dyDescent="0.25">
      <c r="E1376" s="66"/>
      <c r="F1376" s="67"/>
      <c r="G1376" s="67"/>
      <c r="H1376" s="67"/>
      <c r="I1376" s="68"/>
    </row>
    <row r="1377" spans="5:9" x14ac:dyDescent="0.25">
      <c r="E1377" s="66"/>
      <c r="F1377" s="67"/>
      <c r="G1377" s="67"/>
      <c r="H1377" s="67"/>
      <c r="I1377" s="68"/>
    </row>
    <row r="1378" spans="5:9" x14ac:dyDescent="0.25">
      <c r="E1378" s="66"/>
      <c r="F1378" s="67"/>
      <c r="G1378" s="67"/>
      <c r="H1378" s="67"/>
      <c r="I1378" s="68"/>
    </row>
    <row r="1379" spans="5:9" x14ac:dyDescent="0.25">
      <c r="E1379" s="66"/>
      <c r="F1379" s="67"/>
      <c r="G1379" s="67"/>
      <c r="H1379" s="67"/>
      <c r="I1379" s="68"/>
    </row>
    <row r="1380" spans="5:9" x14ac:dyDescent="0.25">
      <c r="E1380" s="66"/>
      <c r="F1380" s="67"/>
      <c r="G1380" s="67"/>
      <c r="H1380" s="67"/>
      <c r="I1380" s="68"/>
    </row>
    <row r="1381" spans="5:9" x14ac:dyDescent="0.25">
      <c r="E1381" s="66"/>
      <c r="F1381" s="67"/>
      <c r="G1381" s="67"/>
      <c r="H1381" s="67"/>
      <c r="I1381" s="68"/>
    </row>
    <row r="1382" spans="5:9" x14ac:dyDescent="0.25">
      <c r="E1382" s="66"/>
      <c r="F1382" s="67"/>
      <c r="G1382" s="67"/>
      <c r="H1382" s="67"/>
      <c r="I1382" s="68"/>
    </row>
    <row r="1383" spans="5:9" x14ac:dyDescent="0.25">
      <c r="E1383" s="66"/>
      <c r="F1383" s="67"/>
      <c r="G1383" s="67"/>
      <c r="H1383" s="67"/>
      <c r="I1383" s="68"/>
    </row>
    <row r="1384" spans="5:9" x14ac:dyDescent="0.25">
      <c r="E1384" s="66"/>
      <c r="F1384" s="67"/>
      <c r="G1384" s="67"/>
      <c r="H1384" s="67"/>
      <c r="I1384" s="68"/>
    </row>
    <row r="1385" spans="5:9" x14ac:dyDescent="0.25">
      <c r="E1385" s="66"/>
      <c r="F1385" s="67"/>
      <c r="G1385" s="67"/>
      <c r="H1385" s="67"/>
      <c r="I1385" s="68"/>
    </row>
    <row r="1386" spans="5:9" x14ac:dyDescent="0.25">
      <c r="E1386" s="66"/>
      <c r="F1386" s="67"/>
      <c r="G1386" s="67"/>
      <c r="H1386" s="67"/>
      <c r="I1386" s="68"/>
    </row>
    <row r="1387" spans="5:9" x14ac:dyDescent="0.25">
      <c r="E1387" s="66"/>
      <c r="F1387" s="67"/>
      <c r="G1387" s="67"/>
      <c r="H1387" s="67"/>
      <c r="I1387" s="68"/>
    </row>
    <row r="1388" spans="5:9" x14ac:dyDescent="0.25">
      <c r="E1388" s="66"/>
      <c r="F1388" s="67"/>
      <c r="G1388" s="67"/>
      <c r="H1388" s="67"/>
      <c r="I1388" s="68"/>
    </row>
    <row r="1389" spans="5:9" x14ac:dyDescent="0.25">
      <c r="E1389" s="66"/>
      <c r="F1389" s="67"/>
      <c r="G1389" s="67"/>
      <c r="H1389" s="67"/>
      <c r="I1389" s="68"/>
    </row>
    <row r="1390" spans="5:9" x14ac:dyDescent="0.25">
      <c r="E1390" s="66"/>
      <c r="F1390" s="67"/>
      <c r="G1390" s="67"/>
      <c r="H1390" s="67"/>
      <c r="I1390" s="68"/>
    </row>
    <row r="1391" spans="5:9" x14ac:dyDescent="0.25">
      <c r="E1391" s="66"/>
      <c r="F1391" s="67"/>
      <c r="G1391" s="67"/>
      <c r="H1391" s="67"/>
      <c r="I1391" s="68"/>
    </row>
    <row r="1392" spans="5:9" x14ac:dyDescent="0.25">
      <c r="E1392" s="66"/>
      <c r="F1392" s="67"/>
      <c r="G1392" s="67"/>
      <c r="H1392" s="67"/>
      <c r="I1392" s="68"/>
    </row>
    <row r="1393" spans="5:9" x14ac:dyDescent="0.25">
      <c r="E1393" s="66"/>
      <c r="F1393" s="67"/>
      <c r="G1393" s="67"/>
      <c r="H1393" s="67"/>
      <c r="I1393" s="68"/>
    </row>
    <row r="1394" spans="5:9" x14ac:dyDescent="0.25">
      <c r="E1394" s="66"/>
      <c r="F1394" s="67"/>
      <c r="G1394" s="67"/>
      <c r="H1394" s="67"/>
      <c r="I1394" s="68"/>
    </row>
    <row r="1395" spans="5:9" x14ac:dyDescent="0.25">
      <c r="E1395" s="66"/>
      <c r="F1395" s="67"/>
      <c r="G1395" s="67"/>
      <c r="H1395" s="67"/>
      <c r="I1395" s="68"/>
    </row>
    <row r="1396" spans="5:9" x14ac:dyDescent="0.25">
      <c r="E1396" s="66"/>
      <c r="F1396" s="67"/>
      <c r="G1396" s="67"/>
      <c r="H1396" s="67"/>
      <c r="I1396" s="68"/>
    </row>
    <row r="1397" spans="5:9" x14ac:dyDescent="0.25">
      <c r="E1397" s="66"/>
      <c r="F1397" s="67"/>
      <c r="G1397" s="67"/>
      <c r="H1397" s="67"/>
      <c r="I1397" s="68"/>
    </row>
    <row r="1398" spans="5:9" x14ac:dyDescent="0.25">
      <c r="E1398" s="66"/>
      <c r="F1398" s="67"/>
      <c r="G1398" s="67"/>
      <c r="H1398" s="67"/>
      <c r="I1398" s="68"/>
    </row>
    <row r="1399" spans="5:9" x14ac:dyDescent="0.25">
      <c r="E1399" s="66"/>
      <c r="F1399" s="67"/>
      <c r="G1399" s="67"/>
      <c r="H1399" s="67"/>
      <c r="I1399" s="68"/>
    </row>
    <row r="1400" spans="5:9" x14ac:dyDescent="0.25">
      <c r="E1400" s="66"/>
      <c r="F1400" s="67"/>
      <c r="G1400" s="67"/>
      <c r="H1400" s="67"/>
      <c r="I1400" s="68"/>
    </row>
    <row r="1401" spans="5:9" x14ac:dyDescent="0.25">
      <c r="E1401" s="66"/>
      <c r="F1401" s="67"/>
      <c r="G1401" s="67"/>
      <c r="H1401" s="67"/>
      <c r="I1401" s="68"/>
    </row>
    <row r="1402" spans="5:9" x14ac:dyDescent="0.25">
      <c r="E1402" s="66"/>
      <c r="F1402" s="67"/>
      <c r="G1402" s="67"/>
      <c r="H1402" s="67"/>
      <c r="I1402" s="68"/>
    </row>
    <row r="1403" spans="5:9" x14ac:dyDescent="0.25">
      <c r="E1403" s="66"/>
      <c r="F1403" s="67"/>
      <c r="G1403" s="67"/>
      <c r="H1403" s="67"/>
      <c r="I1403" s="68"/>
    </row>
    <row r="1404" spans="5:9" x14ac:dyDescent="0.25">
      <c r="E1404" s="66"/>
      <c r="F1404" s="67"/>
      <c r="G1404" s="67"/>
      <c r="H1404" s="67"/>
      <c r="I1404" s="68"/>
    </row>
    <row r="1405" spans="5:9" x14ac:dyDescent="0.25">
      <c r="E1405" s="66"/>
      <c r="F1405" s="67"/>
      <c r="G1405" s="67"/>
      <c r="H1405" s="67"/>
      <c r="I1405" s="68"/>
    </row>
    <row r="1406" spans="5:9" x14ac:dyDescent="0.25">
      <c r="E1406" s="66"/>
      <c r="F1406" s="67"/>
      <c r="G1406" s="67"/>
      <c r="H1406" s="67"/>
      <c r="I1406" s="68"/>
    </row>
    <row r="1407" spans="5:9" x14ac:dyDescent="0.25">
      <c r="E1407" s="66"/>
      <c r="F1407" s="67"/>
      <c r="G1407" s="67"/>
      <c r="H1407" s="67"/>
      <c r="I1407" s="68"/>
    </row>
    <row r="1408" spans="5:9" x14ac:dyDescent="0.25">
      <c r="E1408" s="66"/>
      <c r="F1408" s="67"/>
      <c r="G1408" s="67"/>
      <c r="H1408" s="67"/>
      <c r="I1408" s="68"/>
    </row>
    <row r="1409" spans="5:9" x14ac:dyDescent="0.25">
      <c r="E1409" s="66"/>
      <c r="F1409" s="67"/>
      <c r="G1409" s="67"/>
      <c r="H1409" s="67"/>
      <c r="I1409" s="68"/>
    </row>
    <row r="1410" spans="5:9" x14ac:dyDescent="0.25">
      <c r="E1410" s="66"/>
      <c r="F1410" s="67"/>
      <c r="G1410" s="67"/>
      <c r="H1410" s="67"/>
      <c r="I1410" s="68"/>
    </row>
    <row r="1411" spans="5:9" x14ac:dyDescent="0.25">
      <c r="E1411" s="66"/>
      <c r="F1411" s="67"/>
      <c r="G1411" s="67"/>
      <c r="H1411" s="67"/>
      <c r="I1411" s="68"/>
    </row>
    <row r="1412" spans="5:9" x14ac:dyDescent="0.25">
      <c r="E1412" s="66"/>
      <c r="F1412" s="67"/>
      <c r="G1412" s="67"/>
      <c r="H1412" s="67"/>
      <c r="I1412" s="68"/>
    </row>
    <row r="1413" spans="5:9" x14ac:dyDescent="0.25">
      <c r="E1413" s="66"/>
      <c r="F1413" s="67"/>
      <c r="G1413" s="67"/>
      <c r="H1413" s="67"/>
      <c r="I1413" s="68"/>
    </row>
    <row r="1414" spans="5:9" x14ac:dyDescent="0.25">
      <c r="E1414" s="66"/>
      <c r="F1414" s="67"/>
      <c r="G1414" s="67"/>
      <c r="H1414" s="67"/>
      <c r="I1414" s="68"/>
    </row>
    <row r="1415" spans="5:9" x14ac:dyDescent="0.25">
      <c r="E1415" s="66"/>
      <c r="F1415" s="67"/>
      <c r="G1415" s="67"/>
      <c r="H1415" s="67"/>
      <c r="I1415" s="68"/>
    </row>
    <row r="1416" spans="5:9" x14ac:dyDescent="0.25">
      <c r="E1416" s="66"/>
      <c r="F1416" s="67"/>
      <c r="G1416" s="67"/>
      <c r="H1416" s="67"/>
      <c r="I1416" s="68"/>
    </row>
    <row r="1417" spans="5:9" x14ac:dyDescent="0.25">
      <c r="E1417" s="66"/>
      <c r="F1417" s="67"/>
      <c r="G1417" s="67"/>
      <c r="H1417" s="67"/>
      <c r="I1417" s="68"/>
    </row>
    <row r="1418" spans="5:9" x14ac:dyDescent="0.25">
      <c r="E1418" s="66"/>
      <c r="F1418" s="67"/>
      <c r="G1418" s="67"/>
      <c r="H1418" s="67"/>
      <c r="I1418" s="68"/>
    </row>
    <row r="1419" spans="5:9" x14ac:dyDescent="0.25">
      <c r="E1419" s="66"/>
      <c r="F1419" s="67"/>
      <c r="G1419" s="67"/>
      <c r="H1419" s="67"/>
      <c r="I1419" s="68"/>
    </row>
    <row r="1420" spans="5:9" x14ac:dyDescent="0.25">
      <c r="E1420" s="66"/>
      <c r="F1420" s="67"/>
      <c r="G1420" s="67"/>
      <c r="H1420" s="67"/>
      <c r="I1420" s="68"/>
    </row>
    <row r="1421" spans="5:9" x14ac:dyDescent="0.25">
      <c r="E1421" s="66"/>
      <c r="F1421" s="67"/>
      <c r="G1421" s="67"/>
      <c r="H1421" s="67"/>
      <c r="I1421" s="68"/>
    </row>
    <row r="1422" spans="5:9" x14ac:dyDescent="0.25">
      <c r="E1422" s="66"/>
      <c r="F1422" s="67"/>
      <c r="G1422" s="67"/>
      <c r="H1422" s="67"/>
      <c r="I1422" s="68"/>
    </row>
    <row r="1423" spans="5:9" x14ac:dyDescent="0.25">
      <c r="E1423" s="66"/>
      <c r="F1423" s="67"/>
      <c r="G1423" s="67"/>
      <c r="H1423" s="67"/>
      <c r="I1423" s="68"/>
    </row>
    <row r="1424" spans="5:9" x14ac:dyDescent="0.25">
      <c r="E1424" s="66"/>
      <c r="F1424" s="67"/>
      <c r="G1424" s="67"/>
      <c r="H1424" s="67"/>
      <c r="I1424" s="68"/>
    </row>
    <row r="1425" spans="5:9" x14ac:dyDescent="0.25">
      <c r="E1425" s="66"/>
      <c r="F1425" s="67"/>
      <c r="G1425" s="67"/>
      <c r="H1425" s="67"/>
      <c r="I1425" s="68"/>
    </row>
    <row r="1426" spans="5:9" x14ac:dyDescent="0.25">
      <c r="E1426" s="66"/>
      <c r="F1426" s="67"/>
      <c r="G1426" s="67"/>
      <c r="H1426" s="67"/>
      <c r="I1426" s="68"/>
    </row>
    <row r="1427" spans="5:9" x14ac:dyDescent="0.25">
      <c r="E1427" s="66"/>
      <c r="F1427" s="67"/>
      <c r="G1427" s="67"/>
      <c r="H1427" s="67"/>
      <c r="I1427" s="68"/>
    </row>
    <row r="1428" spans="5:9" x14ac:dyDescent="0.25">
      <c r="E1428" s="66"/>
      <c r="F1428" s="67"/>
      <c r="G1428" s="67"/>
      <c r="H1428" s="67"/>
      <c r="I1428" s="68"/>
    </row>
    <row r="1429" spans="5:9" x14ac:dyDescent="0.25">
      <c r="E1429" s="66"/>
      <c r="F1429" s="67"/>
      <c r="G1429" s="67"/>
      <c r="H1429" s="67"/>
      <c r="I1429" s="68"/>
    </row>
    <row r="1430" spans="5:9" x14ac:dyDescent="0.25">
      <c r="E1430" s="66"/>
      <c r="F1430" s="67"/>
      <c r="G1430" s="67"/>
      <c r="H1430" s="67"/>
      <c r="I1430" s="68"/>
    </row>
    <row r="1431" spans="5:9" x14ac:dyDescent="0.25">
      <c r="E1431" s="66"/>
      <c r="F1431" s="67"/>
      <c r="G1431" s="67"/>
      <c r="H1431" s="67"/>
      <c r="I1431" s="68"/>
    </row>
    <row r="1432" spans="5:9" x14ac:dyDescent="0.25">
      <c r="E1432" s="66"/>
      <c r="F1432" s="67"/>
      <c r="G1432" s="67"/>
      <c r="H1432" s="67"/>
      <c r="I1432" s="68"/>
    </row>
    <row r="1433" spans="5:9" x14ac:dyDescent="0.25">
      <c r="E1433" s="66"/>
      <c r="F1433" s="67"/>
      <c r="G1433" s="67"/>
      <c r="H1433" s="67"/>
      <c r="I1433" s="68"/>
    </row>
    <row r="1434" spans="5:9" x14ac:dyDescent="0.25">
      <c r="E1434" s="66"/>
      <c r="F1434" s="67"/>
      <c r="G1434" s="67"/>
      <c r="H1434" s="67"/>
      <c r="I1434" s="68"/>
    </row>
    <row r="1435" spans="5:9" x14ac:dyDescent="0.25">
      <c r="E1435" s="66"/>
      <c r="F1435" s="67"/>
      <c r="G1435" s="67"/>
      <c r="H1435" s="67"/>
      <c r="I1435" s="68"/>
    </row>
    <row r="1436" spans="5:9" x14ac:dyDescent="0.25">
      <c r="E1436" s="66"/>
      <c r="F1436" s="67"/>
      <c r="G1436" s="67"/>
      <c r="H1436" s="67"/>
      <c r="I1436" s="68"/>
    </row>
    <row r="1437" spans="5:9" x14ac:dyDescent="0.25">
      <c r="E1437" s="66"/>
      <c r="F1437" s="67"/>
      <c r="G1437" s="67"/>
      <c r="H1437" s="67"/>
      <c r="I1437" s="68"/>
    </row>
    <row r="1438" spans="5:9" x14ac:dyDescent="0.25">
      <c r="E1438" s="66"/>
      <c r="F1438" s="67"/>
      <c r="G1438" s="67"/>
      <c r="H1438" s="67"/>
      <c r="I1438" s="68"/>
    </row>
    <row r="1439" spans="5:9" x14ac:dyDescent="0.25">
      <c r="E1439" s="66"/>
      <c r="F1439" s="67"/>
      <c r="G1439" s="67"/>
      <c r="H1439" s="67"/>
      <c r="I1439" s="68"/>
    </row>
    <row r="1440" spans="5:9" x14ac:dyDescent="0.25">
      <c r="E1440" s="66"/>
      <c r="F1440" s="67"/>
      <c r="G1440" s="67"/>
      <c r="H1440" s="67"/>
      <c r="I1440" s="68"/>
    </row>
    <row r="1441" spans="5:9" x14ac:dyDescent="0.25">
      <c r="E1441" s="66"/>
      <c r="F1441" s="67"/>
      <c r="G1441" s="67"/>
      <c r="H1441" s="67"/>
      <c r="I1441" s="68"/>
    </row>
    <row r="1442" spans="5:9" x14ac:dyDescent="0.25">
      <c r="E1442" s="66"/>
      <c r="F1442" s="67"/>
      <c r="G1442" s="67"/>
      <c r="H1442" s="67"/>
      <c r="I1442" s="68"/>
    </row>
    <row r="1443" spans="5:9" x14ac:dyDescent="0.25">
      <c r="E1443" s="66"/>
      <c r="F1443" s="67"/>
      <c r="G1443" s="67"/>
      <c r="H1443" s="67"/>
      <c r="I1443" s="68"/>
    </row>
    <row r="1444" spans="5:9" x14ac:dyDescent="0.25">
      <c r="E1444" s="66"/>
      <c r="F1444" s="67"/>
      <c r="G1444" s="67"/>
      <c r="H1444" s="67"/>
      <c r="I1444" s="68"/>
    </row>
    <row r="1445" spans="5:9" x14ac:dyDescent="0.25">
      <c r="E1445" s="66"/>
      <c r="F1445" s="67"/>
      <c r="G1445" s="67"/>
      <c r="H1445" s="67"/>
      <c r="I1445" s="68"/>
    </row>
    <row r="1446" spans="5:9" x14ac:dyDescent="0.25">
      <c r="E1446" s="66"/>
      <c r="F1446" s="67"/>
      <c r="G1446" s="67"/>
      <c r="H1446" s="67"/>
      <c r="I1446" s="68"/>
    </row>
    <row r="1447" spans="5:9" x14ac:dyDescent="0.25">
      <c r="E1447" s="66"/>
      <c r="F1447" s="67"/>
      <c r="G1447" s="67"/>
      <c r="H1447" s="67"/>
      <c r="I1447" s="68"/>
    </row>
    <row r="1448" spans="5:9" x14ac:dyDescent="0.25">
      <c r="E1448" s="66"/>
      <c r="F1448" s="67"/>
      <c r="G1448" s="67"/>
      <c r="H1448" s="67"/>
      <c r="I1448" s="68"/>
    </row>
    <row r="1449" spans="5:9" x14ac:dyDescent="0.25">
      <c r="E1449" s="66"/>
      <c r="F1449" s="67"/>
      <c r="G1449" s="67"/>
      <c r="H1449" s="67"/>
      <c r="I1449" s="68"/>
    </row>
    <row r="1450" spans="5:9" x14ac:dyDescent="0.25">
      <c r="E1450" s="66"/>
      <c r="F1450" s="67"/>
      <c r="G1450" s="67"/>
      <c r="H1450" s="67"/>
      <c r="I1450" s="68"/>
    </row>
    <row r="1451" spans="5:9" x14ac:dyDescent="0.25">
      <c r="E1451" s="66"/>
      <c r="F1451" s="67"/>
      <c r="G1451" s="67"/>
      <c r="H1451" s="67"/>
      <c r="I1451" s="68"/>
    </row>
    <row r="1452" spans="5:9" x14ac:dyDescent="0.25">
      <c r="E1452" s="66"/>
      <c r="F1452" s="67"/>
      <c r="G1452" s="67"/>
      <c r="H1452" s="67"/>
      <c r="I1452" s="68"/>
    </row>
    <row r="1453" spans="5:9" x14ac:dyDescent="0.25">
      <c r="E1453" s="66"/>
      <c r="F1453" s="67"/>
      <c r="G1453" s="67"/>
      <c r="H1453" s="67"/>
      <c r="I1453" s="68"/>
    </row>
    <row r="1454" spans="5:9" x14ac:dyDescent="0.25">
      <c r="E1454" s="66"/>
      <c r="F1454" s="67"/>
      <c r="G1454" s="67"/>
      <c r="H1454" s="67"/>
      <c r="I1454" s="68"/>
    </row>
    <row r="1455" spans="5:9" x14ac:dyDescent="0.25">
      <c r="E1455" s="66"/>
      <c r="F1455" s="67"/>
      <c r="G1455" s="67"/>
      <c r="H1455" s="67"/>
      <c r="I1455" s="68"/>
    </row>
    <row r="1456" spans="5:9" x14ac:dyDescent="0.25">
      <c r="E1456" s="66"/>
      <c r="F1456" s="67"/>
      <c r="G1456" s="67"/>
      <c r="H1456" s="67"/>
      <c r="I1456" s="68"/>
    </row>
    <row r="1457" spans="5:9" x14ac:dyDescent="0.25">
      <c r="E1457" s="66"/>
      <c r="F1457" s="67"/>
      <c r="G1457" s="67"/>
      <c r="H1457" s="67"/>
      <c r="I1457" s="68"/>
    </row>
    <row r="1458" spans="5:9" x14ac:dyDescent="0.25">
      <c r="E1458" s="66"/>
      <c r="F1458" s="67"/>
      <c r="G1458" s="67"/>
      <c r="H1458" s="67"/>
      <c r="I1458" s="68"/>
    </row>
    <row r="1459" spans="5:9" x14ac:dyDescent="0.25">
      <c r="E1459" s="66"/>
      <c r="F1459" s="67"/>
      <c r="G1459" s="67"/>
      <c r="H1459" s="67"/>
      <c r="I1459" s="68"/>
    </row>
    <row r="1460" spans="5:9" x14ac:dyDescent="0.25">
      <c r="E1460" s="66"/>
      <c r="F1460" s="67"/>
      <c r="G1460" s="67"/>
      <c r="H1460" s="67"/>
      <c r="I1460" s="68"/>
    </row>
    <row r="1461" spans="5:9" x14ac:dyDescent="0.25">
      <c r="E1461" s="66"/>
      <c r="F1461" s="67"/>
      <c r="G1461" s="67"/>
      <c r="H1461" s="67"/>
      <c r="I1461" s="68"/>
    </row>
    <row r="1462" spans="5:9" x14ac:dyDescent="0.25">
      <c r="E1462" s="66"/>
      <c r="F1462" s="67"/>
      <c r="G1462" s="67"/>
      <c r="H1462" s="67"/>
      <c r="I1462" s="68"/>
    </row>
    <row r="1463" spans="5:9" x14ac:dyDescent="0.25">
      <c r="E1463" s="66"/>
      <c r="F1463" s="67"/>
      <c r="G1463" s="67"/>
      <c r="H1463" s="67"/>
      <c r="I1463" s="68"/>
    </row>
    <row r="1464" spans="5:9" x14ac:dyDescent="0.25">
      <c r="E1464" s="66"/>
      <c r="F1464" s="67"/>
      <c r="G1464" s="67"/>
      <c r="H1464" s="67"/>
      <c r="I1464" s="68"/>
    </row>
    <row r="1465" spans="5:9" x14ac:dyDescent="0.25">
      <c r="E1465" s="66"/>
      <c r="F1465" s="67"/>
      <c r="G1465" s="67"/>
      <c r="H1465" s="67"/>
      <c r="I1465" s="68"/>
    </row>
    <row r="1466" spans="5:9" x14ac:dyDescent="0.25">
      <c r="E1466" s="66"/>
      <c r="F1466" s="67"/>
      <c r="G1466" s="67"/>
      <c r="H1466" s="67"/>
      <c r="I1466" s="68"/>
    </row>
    <row r="1467" spans="5:9" x14ac:dyDescent="0.25">
      <c r="E1467" s="66"/>
      <c r="F1467" s="67"/>
      <c r="G1467" s="67"/>
      <c r="H1467" s="67"/>
      <c r="I1467" s="68"/>
    </row>
    <row r="1468" spans="5:9" x14ac:dyDescent="0.25">
      <c r="E1468" s="66"/>
      <c r="F1468" s="67"/>
      <c r="G1468" s="67"/>
      <c r="H1468" s="67"/>
      <c r="I1468" s="68"/>
    </row>
    <row r="1469" spans="5:9" x14ac:dyDescent="0.25">
      <c r="E1469" s="66"/>
      <c r="F1469" s="67"/>
      <c r="G1469" s="67"/>
      <c r="H1469" s="67"/>
      <c r="I1469" s="68"/>
    </row>
    <row r="1470" spans="5:9" x14ac:dyDescent="0.25">
      <c r="E1470" s="66"/>
      <c r="F1470" s="67"/>
      <c r="G1470" s="67"/>
      <c r="H1470" s="67"/>
      <c r="I1470" s="68"/>
    </row>
    <row r="1471" spans="5:9" x14ac:dyDescent="0.25">
      <c r="E1471" s="66"/>
      <c r="F1471" s="67"/>
      <c r="G1471" s="67"/>
      <c r="H1471" s="67"/>
      <c r="I1471" s="68"/>
    </row>
    <row r="1472" spans="5:9" x14ac:dyDescent="0.25">
      <c r="E1472" s="66"/>
      <c r="F1472" s="67"/>
      <c r="G1472" s="67"/>
      <c r="H1472" s="67"/>
      <c r="I1472" s="68"/>
    </row>
    <row r="1473" spans="5:9" x14ac:dyDescent="0.25">
      <c r="E1473" s="66"/>
      <c r="F1473" s="67"/>
      <c r="G1473" s="67"/>
      <c r="H1473" s="67"/>
      <c r="I1473" s="68"/>
    </row>
    <row r="1474" spans="5:9" x14ac:dyDescent="0.25">
      <c r="E1474" s="66"/>
      <c r="F1474" s="67"/>
      <c r="G1474" s="67"/>
      <c r="H1474" s="67"/>
      <c r="I1474" s="68"/>
    </row>
    <row r="1475" spans="5:9" x14ac:dyDescent="0.25">
      <c r="E1475" s="66"/>
      <c r="F1475" s="67"/>
      <c r="G1475" s="67"/>
      <c r="H1475" s="67"/>
      <c r="I1475" s="68"/>
    </row>
    <row r="1476" spans="5:9" x14ac:dyDescent="0.25">
      <c r="E1476" s="66"/>
      <c r="F1476" s="67"/>
      <c r="G1476" s="67"/>
      <c r="H1476" s="67"/>
      <c r="I1476" s="68"/>
    </row>
    <row r="1477" spans="5:9" x14ac:dyDescent="0.25">
      <c r="E1477" s="66"/>
      <c r="F1477" s="67"/>
      <c r="G1477" s="67"/>
      <c r="H1477" s="67"/>
      <c r="I1477" s="68"/>
    </row>
    <row r="1478" spans="5:9" x14ac:dyDescent="0.25">
      <c r="E1478" s="66"/>
      <c r="F1478" s="67"/>
      <c r="G1478" s="67"/>
      <c r="H1478" s="67"/>
      <c r="I1478" s="68"/>
    </row>
    <row r="1479" spans="5:9" x14ac:dyDescent="0.25">
      <c r="E1479" s="66"/>
      <c r="F1479" s="67"/>
      <c r="G1479" s="67"/>
      <c r="H1479" s="67"/>
      <c r="I1479" s="68"/>
    </row>
    <row r="1480" spans="5:9" x14ac:dyDescent="0.25">
      <c r="E1480" s="66"/>
      <c r="F1480" s="67"/>
      <c r="G1480" s="67"/>
      <c r="H1480" s="67"/>
      <c r="I1480" s="68"/>
    </row>
    <row r="1481" spans="5:9" x14ac:dyDescent="0.25">
      <c r="E1481" s="66"/>
      <c r="F1481" s="67"/>
      <c r="G1481" s="67"/>
      <c r="H1481" s="67"/>
      <c r="I1481" s="68"/>
    </row>
    <row r="1482" spans="5:9" x14ac:dyDescent="0.25">
      <c r="E1482" s="66"/>
      <c r="F1482" s="67"/>
      <c r="G1482" s="67"/>
      <c r="H1482" s="67"/>
      <c r="I1482" s="68"/>
    </row>
    <row r="1483" spans="5:9" x14ac:dyDescent="0.25">
      <c r="E1483" s="66"/>
      <c r="F1483" s="67"/>
      <c r="G1483" s="67"/>
      <c r="H1483" s="67"/>
      <c r="I1483" s="68"/>
    </row>
    <row r="1484" spans="5:9" x14ac:dyDescent="0.25">
      <c r="E1484" s="66"/>
      <c r="F1484" s="67"/>
      <c r="G1484" s="67"/>
      <c r="H1484" s="67"/>
      <c r="I1484" s="68"/>
    </row>
    <row r="1485" spans="5:9" x14ac:dyDescent="0.25">
      <c r="E1485" s="66"/>
      <c r="F1485" s="67"/>
      <c r="G1485" s="67"/>
      <c r="H1485" s="67"/>
      <c r="I1485" s="68"/>
    </row>
    <row r="1486" spans="5:9" x14ac:dyDescent="0.25">
      <c r="E1486" s="66"/>
      <c r="F1486" s="67"/>
      <c r="G1486" s="67"/>
      <c r="H1486" s="67"/>
      <c r="I1486" s="68"/>
    </row>
    <row r="1487" spans="5:9" x14ac:dyDescent="0.25">
      <c r="E1487" s="66"/>
      <c r="F1487" s="67"/>
      <c r="G1487" s="67"/>
      <c r="H1487" s="67"/>
      <c r="I1487" s="68"/>
    </row>
    <row r="1488" spans="5:9" x14ac:dyDescent="0.25">
      <c r="E1488" s="66"/>
      <c r="F1488" s="67"/>
      <c r="G1488" s="67"/>
      <c r="H1488" s="67"/>
      <c r="I1488" s="68"/>
    </row>
    <row r="1489" spans="5:9" x14ac:dyDescent="0.25">
      <c r="E1489" s="66"/>
      <c r="F1489" s="67"/>
      <c r="G1489" s="67"/>
      <c r="H1489" s="67"/>
      <c r="I1489" s="68"/>
    </row>
    <row r="1490" spans="5:9" x14ac:dyDescent="0.25">
      <c r="E1490" s="66"/>
      <c r="F1490" s="67"/>
      <c r="G1490" s="67"/>
      <c r="H1490" s="67"/>
      <c r="I1490" s="68"/>
    </row>
    <row r="1491" spans="5:9" x14ac:dyDescent="0.25">
      <c r="E1491" s="66"/>
      <c r="F1491" s="67"/>
      <c r="G1491" s="67"/>
      <c r="H1491" s="67"/>
      <c r="I1491" s="68"/>
    </row>
    <row r="1492" spans="5:9" x14ac:dyDescent="0.25">
      <c r="E1492" s="66"/>
      <c r="F1492" s="67"/>
      <c r="G1492" s="67"/>
      <c r="H1492" s="67"/>
      <c r="I1492" s="68"/>
    </row>
    <row r="1493" spans="5:9" x14ac:dyDescent="0.25">
      <c r="E1493" s="66"/>
      <c r="F1493" s="67"/>
      <c r="G1493" s="67"/>
      <c r="H1493" s="67"/>
      <c r="I1493" s="68"/>
    </row>
    <row r="1494" spans="5:9" x14ac:dyDescent="0.25">
      <c r="E1494" s="66"/>
      <c r="F1494" s="67"/>
      <c r="G1494" s="67"/>
      <c r="H1494" s="67"/>
      <c r="I1494" s="68"/>
    </row>
    <row r="1495" spans="5:9" x14ac:dyDescent="0.25">
      <c r="E1495" s="66"/>
      <c r="F1495" s="67"/>
      <c r="G1495" s="67"/>
      <c r="H1495" s="67"/>
      <c r="I1495" s="68"/>
    </row>
    <row r="1496" spans="5:9" x14ac:dyDescent="0.25">
      <c r="E1496" s="66"/>
      <c r="F1496" s="67"/>
      <c r="G1496" s="67"/>
      <c r="H1496" s="67"/>
      <c r="I1496" s="68"/>
    </row>
    <row r="1497" spans="5:9" x14ac:dyDescent="0.25">
      <c r="E1497" s="66"/>
      <c r="F1497" s="67"/>
      <c r="G1497" s="67"/>
      <c r="H1497" s="67"/>
      <c r="I1497" s="68"/>
    </row>
    <row r="1498" spans="5:9" x14ac:dyDescent="0.25">
      <c r="E1498" s="66"/>
      <c r="F1498" s="67"/>
      <c r="G1498" s="67"/>
      <c r="H1498" s="67"/>
      <c r="I1498" s="68"/>
    </row>
    <row r="1499" spans="5:9" x14ac:dyDescent="0.25">
      <c r="E1499" s="66"/>
      <c r="F1499" s="67"/>
      <c r="G1499" s="67"/>
      <c r="H1499" s="67"/>
      <c r="I1499" s="68"/>
    </row>
    <row r="1500" spans="5:9" x14ac:dyDescent="0.25">
      <c r="E1500" s="66"/>
      <c r="F1500" s="67"/>
      <c r="G1500" s="67"/>
      <c r="H1500" s="67"/>
      <c r="I1500" s="68"/>
    </row>
    <row r="1501" spans="5:9" x14ac:dyDescent="0.25">
      <c r="E1501" s="66"/>
      <c r="F1501" s="67"/>
      <c r="G1501" s="67"/>
      <c r="H1501" s="67"/>
      <c r="I1501" s="68"/>
    </row>
    <row r="1502" spans="5:9" x14ac:dyDescent="0.25">
      <c r="E1502" s="66"/>
      <c r="F1502" s="67"/>
      <c r="G1502" s="67"/>
      <c r="H1502" s="67"/>
      <c r="I1502" s="68"/>
    </row>
    <row r="1503" spans="5:9" x14ac:dyDescent="0.25">
      <c r="E1503" s="66"/>
      <c r="F1503" s="67"/>
      <c r="G1503" s="67"/>
      <c r="H1503" s="67"/>
      <c r="I1503" s="68"/>
    </row>
    <row r="1504" spans="5:9" x14ac:dyDescent="0.25">
      <c r="E1504" s="66"/>
      <c r="F1504" s="67"/>
      <c r="G1504" s="67"/>
      <c r="H1504" s="67"/>
      <c r="I1504" s="68"/>
    </row>
    <row r="1505" spans="5:9" x14ac:dyDescent="0.25">
      <c r="E1505" s="66"/>
      <c r="F1505" s="67"/>
      <c r="G1505" s="67"/>
      <c r="H1505" s="67"/>
      <c r="I1505" s="68"/>
    </row>
    <row r="1506" spans="5:9" x14ac:dyDescent="0.25">
      <c r="E1506" s="66"/>
      <c r="F1506" s="67"/>
      <c r="G1506" s="67"/>
      <c r="H1506" s="67"/>
      <c r="I1506" s="68"/>
    </row>
    <row r="1507" spans="5:9" x14ac:dyDescent="0.25">
      <c r="E1507" s="66"/>
      <c r="F1507" s="67"/>
      <c r="G1507" s="67"/>
      <c r="H1507" s="67"/>
      <c r="I1507" s="68"/>
    </row>
    <row r="1508" spans="5:9" x14ac:dyDescent="0.25">
      <c r="E1508" s="66"/>
      <c r="F1508" s="67"/>
      <c r="G1508" s="67"/>
      <c r="H1508" s="67"/>
      <c r="I1508" s="68"/>
    </row>
    <row r="1509" spans="5:9" x14ac:dyDescent="0.25">
      <c r="E1509" s="66"/>
      <c r="F1509" s="67"/>
      <c r="G1509" s="67"/>
      <c r="H1509" s="67"/>
      <c r="I1509" s="68"/>
    </row>
    <row r="1510" spans="5:9" x14ac:dyDescent="0.25">
      <c r="E1510" s="66"/>
      <c r="F1510" s="67"/>
      <c r="G1510" s="67"/>
      <c r="H1510" s="67"/>
      <c r="I1510" s="68"/>
    </row>
    <row r="1511" spans="5:9" x14ac:dyDescent="0.25">
      <c r="E1511" s="66"/>
      <c r="F1511" s="67"/>
      <c r="G1511" s="67"/>
      <c r="H1511" s="67"/>
      <c r="I1511" s="68"/>
    </row>
    <row r="1512" spans="5:9" x14ac:dyDescent="0.25">
      <c r="E1512" s="66"/>
      <c r="F1512" s="67"/>
      <c r="G1512" s="67"/>
      <c r="H1512" s="67"/>
      <c r="I1512" s="68"/>
    </row>
    <row r="1513" spans="5:9" x14ac:dyDescent="0.25">
      <c r="E1513" s="66"/>
      <c r="F1513" s="67"/>
      <c r="G1513" s="67"/>
      <c r="H1513" s="67"/>
      <c r="I1513" s="68"/>
    </row>
    <row r="1514" spans="5:9" x14ac:dyDescent="0.25">
      <c r="E1514" s="66"/>
      <c r="F1514" s="67"/>
      <c r="G1514" s="67"/>
      <c r="H1514" s="67"/>
      <c r="I1514" s="68"/>
    </row>
    <row r="1515" spans="5:9" x14ac:dyDescent="0.25">
      <c r="E1515" s="66"/>
      <c r="F1515" s="67"/>
      <c r="G1515" s="67"/>
      <c r="H1515" s="67"/>
      <c r="I1515" s="68"/>
    </row>
    <row r="1516" spans="5:9" x14ac:dyDescent="0.25">
      <c r="E1516" s="66"/>
      <c r="F1516" s="67"/>
      <c r="G1516" s="67"/>
      <c r="H1516" s="67"/>
      <c r="I1516" s="68"/>
    </row>
    <row r="1517" spans="5:9" x14ac:dyDescent="0.25">
      <c r="E1517" s="66"/>
      <c r="F1517" s="67"/>
      <c r="G1517" s="67"/>
      <c r="H1517" s="67"/>
      <c r="I1517" s="68"/>
    </row>
    <row r="1518" spans="5:9" x14ac:dyDescent="0.25">
      <c r="E1518" s="66"/>
      <c r="F1518" s="67"/>
      <c r="G1518" s="67"/>
      <c r="H1518" s="67"/>
      <c r="I1518" s="68"/>
    </row>
    <row r="1519" spans="5:9" x14ac:dyDescent="0.25">
      <c r="E1519" s="66"/>
      <c r="F1519" s="67"/>
      <c r="G1519" s="67"/>
      <c r="H1519" s="67"/>
      <c r="I1519" s="68"/>
    </row>
    <row r="1520" spans="5:9" x14ac:dyDescent="0.25">
      <c r="E1520" s="66"/>
      <c r="F1520" s="67"/>
      <c r="G1520" s="67"/>
      <c r="H1520" s="67"/>
      <c r="I1520" s="68"/>
    </row>
    <row r="1521" spans="5:9" x14ac:dyDescent="0.25">
      <c r="E1521" s="66"/>
      <c r="F1521" s="67"/>
      <c r="G1521" s="67"/>
      <c r="H1521" s="67"/>
      <c r="I1521" s="68"/>
    </row>
    <row r="1522" spans="5:9" x14ac:dyDescent="0.25">
      <c r="E1522" s="66"/>
      <c r="F1522" s="67"/>
      <c r="G1522" s="67"/>
      <c r="H1522" s="67"/>
      <c r="I1522" s="68"/>
    </row>
    <row r="1523" spans="5:9" x14ac:dyDescent="0.25">
      <c r="E1523" s="66"/>
      <c r="F1523" s="67"/>
      <c r="G1523" s="67"/>
      <c r="H1523" s="67"/>
      <c r="I1523" s="68"/>
    </row>
    <row r="1524" spans="5:9" x14ac:dyDescent="0.25">
      <c r="E1524" s="66"/>
      <c r="F1524" s="67"/>
      <c r="G1524" s="67"/>
      <c r="H1524" s="67"/>
      <c r="I1524" s="68"/>
    </row>
    <row r="1525" spans="5:9" x14ac:dyDescent="0.25">
      <c r="E1525" s="66"/>
      <c r="F1525" s="67"/>
      <c r="G1525" s="67"/>
      <c r="H1525" s="67"/>
      <c r="I1525" s="68"/>
    </row>
    <row r="1526" spans="5:9" x14ac:dyDescent="0.25">
      <c r="E1526" s="66"/>
      <c r="F1526" s="67"/>
      <c r="G1526" s="67"/>
      <c r="H1526" s="67"/>
      <c r="I1526" s="68"/>
    </row>
    <row r="1527" spans="5:9" x14ac:dyDescent="0.25">
      <c r="E1527" s="66"/>
      <c r="F1527" s="67"/>
      <c r="G1527" s="67"/>
      <c r="H1527" s="67"/>
      <c r="I1527" s="68"/>
    </row>
    <row r="1528" spans="5:9" x14ac:dyDescent="0.25">
      <c r="E1528" s="66"/>
      <c r="F1528" s="67"/>
      <c r="G1528" s="67"/>
      <c r="H1528" s="67"/>
      <c r="I1528" s="68"/>
    </row>
    <row r="1529" spans="5:9" x14ac:dyDescent="0.25">
      <c r="E1529" s="66"/>
      <c r="F1529" s="67"/>
      <c r="G1529" s="67"/>
      <c r="H1529" s="67"/>
      <c r="I1529" s="68"/>
    </row>
    <row r="1530" spans="5:9" x14ac:dyDescent="0.25">
      <c r="E1530" s="66"/>
      <c r="F1530" s="67"/>
      <c r="G1530" s="67"/>
      <c r="H1530" s="67"/>
      <c r="I1530" s="68"/>
    </row>
    <row r="1531" spans="5:9" x14ac:dyDescent="0.25">
      <c r="E1531" s="66"/>
      <c r="F1531" s="67"/>
      <c r="G1531" s="67"/>
      <c r="H1531" s="67"/>
      <c r="I1531" s="68"/>
    </row>
    <row r="1532" spans="5:9" x14ac:dyDescent="0.25">
      <c r="E1532" s="66"/>
      <c r="F1532" s="67"/>
      <c r="G1532" s="67"/>
      <c r="H1532" s="67"/>
      <c r="I1532" s="68"/>
    </row>
    <row r="1533" spans="5:9" x14ac:dyDescent="0.25">
      <c r="E1533" s="66"/>
      <c r="F1533" s="67"/>
      <c r="G1533" s="67"/>
      <c r="H1533" s="67"/>
      <c r="I1533" s="68"/>
    </row>
    <row r="1534" spans="5:9" x14ac:dyDescent="0.25">
      <c r="E1534" s="66"/>
      <c r="F1534" s="67"/>
      <c r="G1534" s="67"/>
      <c r="H1534" s="67"/>
      <c r="I1534" s="68"/>
    </row>
    <row r="1535" spans="5:9" x14ac:dyDescent="0.25">
      <c r="E1535" s="66"/>
      <c r="F1535" s="67"/>
      <c r="G1535" s="67"/>
      <c r="H1535" s="67"/>
      <c r="I1535" s="68"/>
    </row>
    <row r="1536" spans="5:9" x14ac:dyDescent="0.25">
      <c r="E1536" s="66"/>
      <c r="F1536" s="67"/>
      <c r="G1536" s="67"/>
      <c r="H1536" s="67"/>
      <c r="I1536" s="68"/>
    </row>
    <row r="1537" spans="5:9" x14ac:dyDescent="0.25">
      <c r="E1537" s="66"/>
      <c r="F1537" s="67"/>
      <c r="G1537" s="67"/>
      <c r="H1537" s="67"/>
      <c r="I1537" s="68"/>
    </row>
    <row r="1538" spans="5:9" x14ac:dyDescent="0.25">
      <c r="E1538" s="66"/>
      <c r="F1538" s="67"/>
      <c r="G1538" s="67"/>
      <c r="H1538" s="67"/>
      <c r="I1538" s="68"/>
    </row>
    <row r="1539" spans="5:9" x14ac:dyDescent="0.25">
      <c r="E1539" s="66"/>
      <c r="F1539" s="67"/>
      <c r="G1539" s="67"/>
      <c r="H1539" s="67"/>
      <c r="I1539" s="68"/>
    </row>
    <row r="1540" spans="5:9" x14ac:dyDescent="0.25">
      <c r="E1540" s="66"/>
      <c r="F1540" s="67"/>
      <c r="G1540" s="67"/>
      <c r="H1540" s="67"/>
      <c r="I1540" s="68"/>
    </row>
    <row r="1541" spans="5:9" x14ac:dyDescent="0.25">
      <c r="E1541" s="66"/>
      <c r="F1541" s="67"/>
      <c r="G1541" s="67"/>
      <c r="H1541" s="67"/>
      <c r="I1541" s="68"/>
    </row>
    <row r="1542" spans="5:9" x14ac:dyDescent="0.25">
      <c r="E1542" s="66"/>
      <c r="F1542" s="67"/>
      <c r="G1542" s="67"/>
      <c r="H1542" s="67"/>
      <c r="I1542" s="68"/>
    </row>
    <row r="1543" spans="5:9" x14ac:dyDescent="0.25">
      <c r="E1543" s="66"/>
      <c r="F1543" s="67"/>
      <c r="G1543" s="67"/>
      <c r="H1543" s="67"/>
      <c r="I1543" s="68"/>
    </row>
    <row r="1544" spans="5:9" x14ac:dyDescent="0.25">
      <c r="E1544" s="66"/>
      <c r="F1544" s="67"/>
      <c r="G1544" s="67"/>
      <c r="H1544" s="67"/>
      <c r="I1544" s="68"/>
    </row>
    <row r="1545" spans="5:9" x14ac:dyDescent="0.25">
      <c r="E1545" s="66"/>
      <c r="F1545" s="67"/>
      <c r="G1545" s="67"/>
      <c r="H1545" s="67"/>
      <c r="I1545" s="68"/>
    </row>
    <row r="1546" spans="5:9" x14ac:dyDescent="0.25">
      <c r="E1546" s="66"/>
      <c r="F1546" s="67"/>
      <c r="G1546" s="67"/>
      <c r="H1546" s="67"/>
      <c r="I1546" s="68"/>
    </row>
    <row r="1547" spans="5:9" x14ac:dyDescent="0.25">
      <c r="E1547" s="66"/>
      <c r="F1547" s="67"/>
      <c r="G1547" s="67"/>
      <c r="H1547" s="67"/>
      <c r="I1547" s="68"/>
    </row>
    <row r="1548" spans="5:9" x14ac:dyDescent="0.25">
      <c r="E1548" s="66"/>
      <c r="F1548" s="67"/>
      <c r="G1548" s="67"/>
      <c r="H1548" s="67"/>
      <c r="I1548" s="68"/>
    </row>
    <row r="1549" spans="5:9" x14ac:dyDescent="0.25">
      <c r="E1549" s="66"/>
      <c r="F1549" s="67"/>
      <c r="G1549" s="67"/>
      <c r="H1549" s="67"/>
      <c r="I1549" s="68"/>
    </row>
    <row r="1550" spans="5:9" x14ac:dyDescent="0.25">
      <c r="E1550" s="66"/>
      <c r="F1550" s="67"/>
      <c r="G1550" s="67"/>
      <c r="H1550" s="67"/>
      <c r="I1550" s="68"/>
    </row>
    <row r="1551" spans="5:9" x14ac:dyDescent="0.25">
      <c r="E1551" s="66"/>
      <c r="F1551" s="67"/>
      <c r="G1551" s="67"/>
      <c r="H1551" s="67"/>
      <c r="I1551" s="68"/>
    </row>
    <row r="1552" spans="5:9" x14ac:dyDescent="0.25">
      <c r="E1552" s="66"/>
      <c r="F1552" s="67"/>
      <c r="G1552" s="67"/>
      <c r="H1552" s="67"/>
      <c r="I1552" s="68"/>
    </row>
    <row r="1553" spans="5:9" x14ac:dyDescent="0.25">
      <c r="E1553" s="66"/>
      <c r="F1553" s="67"/>
      <c r="G1553" s="67"/>
      <c r="H1553" s="67"/>
      <c r="I1553" s="68"/>
    </row>
    <row r="1554" spans="5:9" x14ac:dyDescent="0.25">
      <c r="E1554" s="66"/>
      <c r="F1554" s="67"/>
      <c r="G1554" s="67"/>
      <c r="H1554" s="67"/>
      <c r="I1554" s="68"/>
    </row>
    <row r="1555" spans="5:9" x14ac:dyDescent="0.25">
      <c r="E1555" s="66"/>
      <c r="F1555" s="67"/>
      <c r="G1555" s="67"/>
      <c r="H1555" s="67"/>
      <c r="I1555" s="68"/>
    </row>
    <row r="1556" spans="5:9" x14ac:dyDescent="0.25">
      <c r="E1556" s="66"/>
      <c r="F1556" s="67"/>
      <c r="G1556" s="67"/>
      <c r="H1556" s="67"/>
      <c r="I1556" s="68"/>
    </row>
    <row r="1557" spans="5:9" x14ac:dyDescent="0.25">
      <c r="E1557" s="66"/>
      <c r="F1557" s="67"/>
      <c r="G1557" s="67"/>
      <c r="H1557" s="67"/>
      <c r="I1557" s="68"/>
    </row>
    <row r="1558" spans="5:9" x14ac:dyDescent="0.25">
      <c r="E1558" s="66"/>
      <c r="F1558" s="67"/>
      <c r="G1558" s="67"/>
      <c r="H1558" s="67"/>
      <c r="I1558" s="68"/>
    </row>
    <row r="1559" spans="5:9" x14ac:dyDescent="0.25">
      <c r="E1559" s="66"/>
      <c r="F1559" s="67"/>
      <c r="G1559" s="67"/>
      <c r="H1559" s="67"/>
      <c r="I1559" s="68"/>
    </row>
    <row r="1560" spans="5:9" x14ac:dyDescent="0.25">
      <c r="E1560" s="66"/>
      <c r="F1560" s="67"/>
      <c r="G1560" s="67"/>
      <c r="H1560" s="67"/>
      <c r="I1560" s="68"/>
    </row>
    <row r="1561" spans="5:9" x14ac:dyDescent="0.25">
      <c r="E1561" s="66"/>
      <c r="F1561" s="67"/>
      <c r="G1561" s="67"/>
      <c r="H1561" s="67"/>
      <c r="I1561" s="68"/>
    </row>
    <row r="1562" spans="5:9" x14ac:dyDescent="0.25">
      <c r="E1562" s="66"/>
      <c r="F1562" s="67"/>
      <c r="G1562" s="67"/>
      <c r="H1562" s="67"/>
      <c r="I1562" s="68"/>
    </row>
    <row r="1563" spans="5:9" x14ac:dyDescent="0.25">
      <c r="E1563" s="66"/>
      <c r="F1563" s="67"/>
      <c r="G1563" s="67"/>
      <c r="H1563" s="67"/>
      <c r="I1563" s="68"/>
    </row>
    <row r="1564" spans="5:9" x14ac:dyDescent="0.25">
      <c r="E1564" s="66"/>
      <c r="F1564" s="67"/>
      <c r="G1564" s="67"/>
      <c r="H1564" s="67"/>
      <c r="I1564" s="68"/>
    </row>
    <row r="1565" spans="5:9" x14ac:dyDescent="0.25">
      <c r="E1565" s="66"/>
      <c r="F1565" s="67"/>
      <c r="G1565" s="67"/>
      <c r="H1565" s="67"/>
      <c r="I1565" s="68"/>
    </row>
    <row r="1566" spans="5:9" x14ac:dyDescent="0.25">
      <c r="E1566" s="66"/>
      <c r="F1566" s="67"/>
      <c r="G1566" s="67"/>
      <c r="H1566" s="67"/>
      <c r="I1566" s="68"/>
    </row>
    <row r="1567" spans="5:9" x14ac:dyDescent="0.25">
      <c r="E1567" s="66"/>
      <c r="F1567" s="67"/>
      <c r="G1567" s="67"/>
      <c r="H1567" s="67"/>
      <c r="I1567" s="68"/>
    </row>
    <row r="1568" spans="5:9" x14ac:dyDescent="0.25">
      <c r="E1568" s="66"/>
      <c r="F1568" s="67"/>
      <c r="G1568" s="67"/>
      <c r="H1568" s="67"/>
      <c r="I1568" s="68"/>
    </row>
    <row r="1569" spans="5:9" x14ac:dyDescent="0.25">
      <c r="E1569" s="66"/>
      <c r="F1569" s="67"/>
      <c r="G1569" s="67"/>
      <c r="H1569" s="67"/>
      <c r="I1569" s="68"/>
    </row>
    <row r="1570" spans="5:9" x14ac:dyDescent="0.25">
      <c r="E1570" s="66"/>
      <c r="F1570" s="67"/>
      <c r="G1570" s="67"/>
      <c r="H1570" s="67"/>
      <c r="I1570" s="68"/>
    </row>
    <row r="1571" spans="5:9" x14ac:dyDescent="0.25">
      <c r="E1571" s="66"/>
      <c r="F1571" s="67"/>
      <c r="G1571" s="67"/>
      <c r="H1571" s="67"/>
      <c r="I1571" s="68"/>
    </row>
    <row r="1572" spans="5:9" x14ac:dyDescent="0.25">
      <c r="E1572" s="66"/>
      <c r="F1572" s="67"/>
      <c r="G1572" s="67"/>
      <c r="H1572" s="67"/>
      <c r="I1572" s="68"/>
    </row>
    <row r="1573" spans="5:9" x14ac:dyDescent="0.25">
      <c r="E1573" s="66"/>
      <c r="F1573" s="67"/>
      <c r="G1573" s="67"/>
      <c r="H1573" s="67"/>
      <c r="I1573" s="68"/>
    </row>
    <row r="1574" spans="5:9" x14ac:dyDescent="0.25">
      <c r="E1574" s="66"/>
      <c r="F1574" s="67"/>
      <c r="G1574" s="67"/>
      <c r="H1574" s="67"/>
      <c r="I1574" s="68"/>
    </row>
    <row r="1575" spans="5:9" x14ac:dyDescent="0.25">
      <c r="E1575" s="66"/>
      <c r="F1575" s="67"/>
      <c r="G1575" s="67"/>
      <c r="H1575" s="67"/>
      <c r="I1575" s="68"/>
    </row>
    <row r="1576" spans="5:9" x14ac:dyDescent="0.25">
      <c r="E1576" s="66"/>
      <c r="F1576" s="67"/>
      <c r="G1576" s="67"/>
      <c r="H1576" s="67"/>
      <c r="I1576" s="68"/>
    </row>
    <row r="1577" spans="5:9" x14ac:dyDescent="0.25">
      <c r="E1577" s="66"/>
      <c r="F1577" s="67"/>
      <c r="G1577" s="67"/>
      <c r="H1577" s="67"/>
      <c r="I1577" s="68"/>
    </row>
    <row r="1578" spans="5:9" x14ac:dyDescent="0.25">
      <c r="E1578" s="66"/>
      <c r="F1578" s="67"/>
      <c r="G1578" s="67"/>
      <c r="H1578" s="67"/>
      <c r="I1578" s="68"/>
    </row>
    <row r="1579" spans="5:9" x14ac:dyDescent="0.25">
      <c r="E1579" s="66"/>
      <c r="F1579" s="67"/>
      <c r="G1579" s="67"/>
      <c r="H1579" s="67"/>
      <c r="I1579" s="68"/>
    </row>
    <row r="1580" spans="5:9" x14ac:dyDescent="0.25">
      <c r="E1580" s="66"/>
      <c r="F1580" s="67"/>
      <c r="G1580" s="67"/>
      <c r="H1580" s="67"/>
      <c r="I1580" s="68"/>
    </row>
    <row r="1581" spans="5:9" x14ac:dyDescent="0.25">
      <c r="E1581" s="66"/>
      <c r="F1581" s="67"/>
      <c r="G1581" s="67"/>
      <c r="H1581" s="67"/>
      <c r="I1581" s="68"/>
    </row>
    <row r="1582" spans="5:9" x14ac:dyDescent="0.25">
      <c r="E1582" s="66"/>
      <c r="F1582" s="67"/>
      <c r="G1582" s="67"/>
      <c r="H1582" s="67"/>
      <c r="I1582" s="68"/>
    </row>
    <row r="1583" spans="5:9" x14ac:dyDescent="0.25">
      <c r="E1583" s="66"/>
      <c r="F1583" s="67"/>
      <c r="G1583" s="67"/>
      <c r="H1583" s="67"/>
      <c r="I1583" s="68"/>
    </row>
    <row r="1584" spans="5:9" x14ac:dyDescent="0.25">
      <c r="E1584" s="66"/>
      <c r="F1584" s="67"/>
      <c r="G1584" s="67"/>
      <c r="H1584" s="67"/>
      <c r="I1584" s="68"/>
    </row>
    <row r="1585" spans="5:9" x14ac:dyDescent="0.25">
      <c r="E1585" s="66"/>
      <c r="F1585" s="67"/>
      <c r="G1585" s="67"/>
      <c r="H1585" s="67"/>
      <c r="I1585" s="68"/>
    </row>
    <row r="1586" spans="5:9" x14ac:dyDescent="0.25">
      <c r="E1586" s="66"/>
      <c r="F1586" s="67"/>
      <c r="G1586" s="67"/>
      <c r="H1586" s="67"/>
      <c r="I1586" s="68"/>
    </row>
    <row r="1587" spans="5:9" x14ac:dyDescent="0.25">
      <c r="E1587" s="66"/>
      <c r="F1587" s="67"/>
      <c r="G1587" s="67"/>
      <c r="H1587" s="67"/>
      <c r="I1587" s="68"/>
    </row>
    <row r="1588" spans="5:9" x14ac:dyDescent="0.25">
      <c r="E1588" s="66"/>
      <c r="F1588" s="67"/>
      <c r="G1588" s="67"/>
      <c r="H1588" s="67"/>
      <c r="I1588" s="68"/>
    </row>
    <row r="1589" spans="5:9" x14ac:dyDescent="0.25">
      <c r="E1589" s="66"/>
      <c r="F1589" s="67"/>
      <c r="G1589" s="67"/>
      <c r="H1589" s="67"/>
      <c r="I1589" s="68"/>
    </row>
    <row r="1590" spans="5:9" x14ac:dyDescent="0.25">
      <c r="E1590" s="66"/>
      <c r="F1590" s="67"/>
      <c r="G1590" s="67"/>
      <c r="H1590" s="67"/>
      <c r="I1590" s="68"/>
    </row>
    <row r="1591" spans="5:9" x14ac:dyDescent="0.25">
      <c r="E1591" s="66"/>
      <c r="F1591" s="67"/>
      <c r="G1591" s="67"/>
      <c r="H1591" s="67"/>
      <c r="I1591" s="68"/>
    </row>
    <row r="1592" spans="5:9" x14ac:dyDescent="0.25">
      <c r="E1592" s="66"/>
      <c r="F1592" s="67"/>
      <c r="G1592" s="67"/>
      <c r="H1592" s="67"/>
      <c r="I1592" s="68"/>
    </row>
    <row r="1593" spans="5:9" x14ac:dyDescent="0.25">
      <c r="E1593" s="66"/>
      <c r="F1593" s="67"/>
      <c r="G1593" s="67"/>
      <c r="H1593" s="67"/>
      <c r="I1593" s="68"/>
    </row>
    <row r="1594" spans="5:9" x14ac:dyDescent="0.25">
      <c r="E1594" s="66"/>
      <c r="F1594" s="67"/>
      <c r="G1594" s="67"/>
      <c r="H1594" s="67"/>
      <c r="I1594" s="68"/>
    </row>
    <row r="1595" spans="5:9" x14ac:dyDescent="0.25">
      <c r="E1595" s="66"/>
      <c r="F1595" s="67"/>
      <c r="G1595" s="67"/>
      <c r="H1595" s="67"/>
      <c r="I1595" s="68"/>
    </row>
    <row r="1596" spans="5:9" x14ac:dyDescent="0.25">
      <c r="E1596" s="66"/>
      <c r="F1596" s="67"/>
      <c r="G1596" s="67"/>
      <c r="H1596" s="67"/>
      <c r="I1596" s="68"/>
    </row>
    <row r="1597" spans="5:9" x14ac:dyDescent="0.25">
      <c r="E1597" s="66"/>
      <c r="F1597" s="67"/>
      <c r="G1597" s="67"/>
      <c r="H1597" s="67"/>
      <c r="I1597" s="68"/>
    </row>
    <row r="1598" spans="5:9" x14ac:dyDescent="0.25">
      <c r="E1598" s="66"/>
      <c r="F1598" s="67"/>
      <c r="G1598" s="67"/>
      <c r="H1598" s="67"/>
      <c r="I1598" s="68"/>
    </row>
    <row r="1599" spans="5:9" x14ac:dyDescent="0.25">
      <c r="E1599" s="66"/>
      <c r="F1599" s="67"/>
      <c r="G1599" s="67"/>
      <c r="H1599" s="67"/>
      <c r="I1599" s="68"/>
    </row>
    <row r="1600" spans="5:9" x14ac:dyDescent="0.25">
      <c r="E1600" s="66"/>
      <c r="F1600" s="67"/>
      <c r="G1600" s="67"/>
      <c r="H1600" s="67"/>
      <c r="I1600" s="68"/>
    </row>
    <row r="1601" spans="5:9" x14ac:dyDescent="0.25">
      <c r="E1601" s="66"/>
      <c r="F1601" s="67"/>
      <c r="G1601" s="67"/>
      <c r="H1601" s="67"/>
      <c r="I1601" s="68"/>
    </row>
    <row r="1602" spans="5:9" x14ac:dyDescent="0.25">
      <c r="E1602" s="66"/>
      <c r="F1602" s="67"/>
      <c r="G1602" s="67"/>
      <c r="H1602" s="67"/>
      <c r="I1602" s="68"/>
    </row>
    <row r="1603" spans="5:9" x14ac:dyDescent="0.25">
      <c r="E1603" s="66"/>
      <c r="F1603" s="67"/>
      <c r="G1603" s="67"/>
      <c r="H1603" s="67"/>
      <c r="I1603" s="68"/>
    </row>
    <row r="1604" spans="5:9" x14ac:dyDescent="0.25">
      <c r="E1604" s="66"/>
      <c r="F1604" s="67"/>
      <c r="G1604" s="67"/>
      <c r="H1604" s="67"/>
      <c r="I1604" s="68"/>
    </row>
    <row r="1605" spans="5:9" x14ac:dyDescent="0.25">
      <c r="E1605" s="66"/>
      <c r="F1605" s="67"/>
      <c r="G1605" s="67"/>
      <c r="H1605" s="67"/>
      <c r="I1605" s="68"/>
    </row>
    <row r="1606" spans="5:9" x14ac:dyDescent="0.25">
      <c r="E1606" s="66"/>
      <c r="F1606" s="67"/>
      <c r="G1606" s="67"/>
      <c r="H1606" s="67"/>
      <c r="I1606" s="68"/>
    </row>
    <row r="1607" spans="5:9" x14ac:dyDescent="0.25">
      <c r="E1607" s="66"/>
      <c r="F1607" s="67"/>
      <c r="G1607" s="67"/>
      <c r="H1607" s="67"/>
      <c r="I1607" s="68"/>
    </row>
    <row r="1608" spans="5:9" x14ac:dyDescent="0.25">
      <c r="E1608" s="66"/>
      <c r="F1608" s="67"/>
      <c r="G1608" s="67"/>
      <c r="H1608" s="67"/>
      <c r="I1608" s="68"/>
    </row>
    <row r="1609" spans="5:9" x14ac:dyDescent="0.25">
      <c r="E1609" s="66"/>
      <c r="F1609" s="67"/>
      <c r="G1609" s="67"/>
      <c r="H1609" s="67"/>
      <c r="I1609" s="68"/>
    </row>
    <row r="1610" spans="5:9" x14ac:dyDescent="0.25">
      <c r="E1610" s="66"/>
      <c r="F1610" s="67"/>
      <c r="G1610" s="67"/>
      <c r="H1610" s="67"/>
      <c r="I1610" s="68"/>
    </row>
    <row r="1611" spans="5:9" x14ac:dyDescent="0.25">
      <c r="E1611" s="66"/>
      <c r="F1611" s="67"/>
      <c r="G1611" s="67"/>
      <c r="H1611" s="67"/>
      <c r="I1611" s="68"/>
    </row>
    <row r="1612" spans="5:9" x14ac:dyDescent="0.25">
      <c r="E1612" s="66"/>
      <c r="F1612" s="67"/>
      <c r="G1612" s="67"/>
      <c r="H1612" s="67"/>
      <c r="I1612" s="68"/>
    </row>
    <row r="1613" spans="5:9" x14ac:dyDescent="0.25">
      <c r="E1613" s="66"/>
      <c r="F1613" s="67"/>
      <c r="G1613" s="67"/>
      <c r="H1613" s="67"/>
      <c r="I1613" s="68"/>
    </row>
    <row r="1614" spans="5:9" x14ac:dyDescent="0.25">
      <c r="E1614" s="66"/>
      <c r="F1614" s="67"/>
      <c r="G1614" s="67"/>
      <c r="H1614" s="67"/>
      <c r="I1614" s="68"/>
    </row>
    <row r="1615" spans="5:9" x14ac:dyDescent="0.25">
      <c r="E1615" s="66"/>
      <c r="F1615" s="67"/>
      <c r="G1615" s="67"/>
      <c r="H1615" s="67"/>
      <c r="I1615" s="68"/>
    </row>
    <row r="1616" spans="5:9" x14ac:dyDescent="0.25">
      <c r="E1616" s="66"/>
      <c r="F1616" s="67"/>
      <c r="G1616" s="67"/>
      <c r="H1616" s="67"/>
      <c r="I1616" s="68"/>
    </row>
    <row r="1617" spans="5:9" x14ac:dyDescent="0.25">
      <c r="E1617" s="66"/>
      <c r="F1617" s="67"/>
      <c r="G1617" s="67"/>
      <c r="H1617" s="67"/>
      <c r="I1617" s="68"/>
    </row>
    <row r="1618" spans="5:9" x14ac:dyDescent="0.25">
      <c r="E1618" s="66"/>
      <c r="F1618" s="67"/>
      <c r="G1618" s="67"/>
      <c r="H1618" s="67"/>
      <c r="I1618" s="68"/>
    </row>
    <row r="1619" spans="5:9" x14ac:dyDescent="0.25">
      <c r="E1619" s="66"/>
      <c r="F1619" s="67"/>
      <c r="G1619" s="67"/>
      <c r="H1619" s="67"/>
      <c r="I1619" s="68"/>
    </row>
    <row r="1620" spans="5:9" x14ac:dyDescent="0.25">
      <c r="E1620" s="66"/>
      <c r="F1620" s="67"/>
      <c r="G1620" s="67"/>
      <c r="H1620" s="67"/>
      <c r="I1620" s="68"/>
    </row>
    <row r="1621" spans="5:9" x14ac:dyDescent="0.25">
      <c r="E1621" s="66"/>
      <c r="F1621" s="67"/>
      <c r="G1621" s="67"/>
      <c r="H1621" s="67"/>
      <c r="I1621" s="68"/>
    </row>
    <row r="1622" spans="5:9" x14ac:dyDescent="0.25">
      <c r="E1622" s="66"/>
      <c r="F1622" s="67"/>
      <c r="G1622" s="67"/>
      <c r="H1622" s="67"/>
      <c r="I1622" s="68"/>
    </row>
    <row r="1623" spans="5:9" x14ac:dyDescent="0.25">
      <c r="E1623" s="66"/>
      <c r="F1623" s="67"/>
      <c r="G1623" s="67"/>
      <c r="H1623" s="67"/>
      <c r="I1623" s="68"/>
    </row>
    <row r="1624" spans="5:9" x14ac:dyDescent="0.25">
      <c r="E1624" s="66"/>
      <c r="F1624" s="67"/>
      <c r="G1624" s="67"/>
      <c r="H1624" s="67"/>
      <c r="I1624" s="68"/>
    </row>
    <row r="1625" spans="5:9" x14ac:dyDescent="0.25">
      <c r="E1625" s="66"/>
      <c r="F1625" s="67"/>
      <c r="G1625" s="67"/>
      <c r="H1625" s="67"/>
      <c r="I1625" s="68"/>
    </row>
    <row r="1626" spans="5:9" x14ac:dyDescent="0.25">
      <c r="E1626" s="66"/>
      <c r="F1626" s="67"/>
      <c r="G1626" s="67"/>
      <c r="H1626" s="67"/>
      <c r="I1626" s="68"/>
    </row>
    <row r="1627" spans="5:9" x14ac:dyDescent="0.25">
      <c r="E1627" s="66"/>
      <c r="F1627" s="67"/>
      <c r="G1627" s="67"/>
      <c r="H1627" s="67"/>
      <c r="I1627" s="68"/>
    </row>
    <row r="1628" spans="5:9" x14ac:dyDescent="0.25">
      <c r="E1628" s="66"/>
      <c r="F1628" s="67"/>
      <c r="G1628" s="67"/>
      <c r="H1628" s="67"/>
      <c r="I1628" s="68"/>
    </row>
    <row r="1629" spans="5:9" x14ac:dyDescent="0.25">
      <c r="E1629" s="66"/>
      <c r="F1629" s="67"/>
      <c r="G1629" s="67"/>
      <c r="H1629" s="67"/>
      <c r="I1629" s="68"/>
    </row>
    <row r="1630" spans="5:9" x14ac:dyDescent="0.25">
      <c r="E1630" s="66"/>
      <c r="F1630" s="67"/>
      <c r="G1630" s="67"/>
      <c r="H1630" s="67"/>
      <c r="I1630" s="68"/>
    </row>
    <row r="1631" spans="5:9" x14ac:dyDescent="0.25">
      <c r="E1631" s="66"/>
      <c r="F1631" s="67"/>
      <c r="G1631" s="67"/>
      <c r="H1631" s="67"/>
      <c r="I1631" s="68"/>
    </row>
    <row r="1632" spans="5:9" x14ac:dyDescent="0.25">
      <c r="E1632" s="66"/>
      <c r="F1632" s="67"/>
      <c r="G1632" s="67"/>
      <c r="H1632" s="67"/>
      <c r="I1632" s="68"/>
    </row>
    <row r="1633" spans="5:9" x14ac:dyDescent="0.25">
      <c r="E1633" s="66"/>
      <c r="F1633" s="67"/>
      <c r="G1633" s="67"/>
      <c r="H1633" s="67"/>
      <c r="I1633" s="68"/>
    </row>
    <row r="1634" spans="5:9" x14ac:dyDescent="0.25">
      <c r="E1634" s="66"/>
      <c r="F1634" s="67"/>
      <c r="G1634" s="67"/>
      <c r="H1634" s="67"/>
      <c r="I1634" s="68"/>
    </row>
    <row r="1635" spans="5:9" x14ac:dyDescent="0.25">
      <c r="E1635" s="66"/>
      <c r="F1635" s="67"/>
      <c r="G1635" s="67"/>
      <c r="H1635" s="67"/>
      <c r="I1635" s="68"/>
    </row>
    <row r="1636" spans="5:9" x14ac:dyDescent="0.25">
      <c r="E1636" s="66"/>
      <c r="F1636" s="67"/>
      <c r="G1636" s="67"/>
      <c r="H1636" s="67"/>
      <c r="I1636" s="68"/>
    </row>
    <row r="1637" spans="5:9" x14ac:dyDescent="0.25">
      <c r="E1637" s="66"/>
      <c r="F1637" s="67"/>
      <c r="G1637" s="67"/>
      <c r="H1637" s="67"/>
      <c r="I1637" s="68"/>
    </row>
    <row r="1638" spans="5:9" x14ac:dyDescent="0.25">
      <c r="E1638" s="66"/>
      <c r="F1638" s="67"/>
      <c r="G1638" s="67"/>
      <c r="H1638" s="67"/>
      <c r="I1638" s="68"/>
    </row>
    <row r="1639" spans="5:9" x14ac:dyDescent="0.25">
      <c r="E1639" s="66"/>
      <c r="F1639" s="67"/>
      <c r="G1639" s="67"/>
      <c r="H1639" s="67"/>
      <c r="I1639" s="68"/>
    </row>
    <row r="1640" spans="5:9" x14ac:dyDescent="0.25">
      <c r="E1640" s="66"/>
      <c r="F1640" s="67"/>
      <c r="G1640" s="67"/>
      <c r="H1640" s="67"/>
      <c r="I1640" s="68"/>
    </row>
    <row r="1641" spans="5:9" x14ac:dyDescent="0.25">
      <c r="E1641" s="66"/>
      <c r="F1641" s="67"/>
      <c r="G1641" s="67"/>
      <c r="H1641" s="67"/>
      <c r="I1641" s="68"/>
    </row>
    <row r="1642" spans="5:9" x14ac:dyDescent="0.25">
      <c r="E1642" s="66"/>
      <c r="F1642" s="67"/>
      <c r="G1642" s="67"/>
      <c r="H1642" s="67"/>
      <c r="I1642" s="68"/>
    </row>
    <row r="1643" spans="5:9" x14ac:dyDescent="0.25">
      <c r="E1643" s="66"/>
      <c r="F1643" s="67"/>
      <c r="G1643" s="67"/>
      <c r="H1643" s="67"/>
      <c r="I1643" s="68"/>
    </row>
    <row r="1644" spans="5:9" x14ac:dyDescent="0.25">
      <c r="E1644" s="66"/>
      <c r="F1644" s="67"/>
      <c r="G1644" s="67"/>
      <c r="H1644" s="67"/>
      <c r="I1644" s="68"/>
    </row>
    <row r="1645" spans="5:9" x14ac:dyDescent="0.25">
      <c r="E1645" s="66"/>
      <c r="F1645" s="67"/>
      <c r="G1645" s="67"/>
      <c r="H1645" s="67"/>
      <c r="I1645" s="68"/>
    </row>
    <row r="1646" spans="5:9" x14ac:dyDescent="0.25">
      <c r="E1646" s="66"/>
      <c r="F1646" s="67"/>
      <c r="G1646" s="67"/>
      <c r="H1646" s="67"/>
      <c r="I1646" s="68"/>
    </row>
    <row r="1647" spans="5:9" x14ac:dyDescent="0.25">
      <c r="E1647" s="66"/>
      <c r="F1647" s="67"/>
      <c r="G1647" s="67"/>
      <c r="H1647" s="67"/>
      <c r="I1647" s="68"/>
    </row>
    <row r="1648" spans="5:9" x14ac:dyDescent="0.25">
      <c r="E1648" s="66"/>
      <c r="F1648" s="67"/>
      <c r="G1648" s="67"/>
      <c r="H1648" s="67"/>
      <c r="I1648" s="68"/>
    </row>
    <row r="1649" spans="5:9" x14ac:dyDescent="0.25">
      <c r="E1649" s="66"/>
      <c r="F1649" s="67"/>
      <c r="G1649" s="67"/>
      <c r="H1649" s="67"/>
      <c r="I1649" s="68"/>
    </row>
    <row r="1650" spans="5:9" x14ac:dyDescent="0.25">
      <c r="E1650" s="66"/>
      <c r="F1650" s="67"/>
      <c r="G1650" s="67"/>
      <c r="H1650" s="67"/>
      <c r="I1650" s="68"/>
    </row>
    <row r="1651" spans="5:9" x14ac:dyDescent="0.25">
      <c r="E1651" s="66"/>
      <c r="F1651" s="67"/>
      <c r="G1651" s="67"/>
      <c r="H1651" s="67"/>
      <c r="I1651" s="68"/>
    </row>
    <row r="1652" spans="5:9" x14ac:dyDescent="0.25">
      <c r="E1652" s="66"/>
      <c r="F1652" s="67"/>
      <c r="G1652" s="67"/>
      <c r="H1652" s="67"/>
      <c r="I1652" s="68"/>
    </row>
    <row r="1653" spans="5:9" x14ac:dyDescent="0.25">
      <c r="E1653" s="66"/>
      <c r="F1653" s="67"/>
      <c r="G1653" s="67"/>
      <c r="H1653" s="67"/>
      <c r="I1653" s="68"/>
    </row>
    <row r="1654" spans="5:9" x14ac:dyDescent="0.25">
      <c r="E1654" s="66"/>
      <c r="F1654" s="67"/>
      <c r="G1654" s="67"/>
      <c r="H1654" s="67"/>
      <c r="I1654" s="68"/>
    </row>
    <row r="1655" spans="5:9" x14ac:dyDescent="0.25">
      <c r="E1655" s="66"/>
      <c r="F1655" s="67"/>
      <c r="G1655" s="67"/>
      <c r="H1655" s="67"/>
      <c r="I1655" s="68"/>
    </row>
    <row r="1656" spans="5:9" x14ac:dyDescent="0.25">
      <c r="E1656" s="66"/>
      <c r="F1656" s="67"/>
      <c r="G1656" s="67"/>
      <c r="H1656" s="67"/>
      <c r="I1656" s="68"/>
    </row>
    <row r="1657" spans="5:9" x14ac:dyDescent="0.25">
      <c r="E1657" s="66"/>
      <c r="F1657" s="67"/>
      <c r="G1657" s="67"/>
      <c r="H1657" s="67"/>
      <c r="I1657" s="68"/>
    </row>
    <row r="1658" spans="5:9" x14ac:dyDescent="0.25">
      <c r="E1658" s="66"/>
      <c r="F1658" s="67"/>
      <c r="G1658" s="67"/>
      <c r="H1658" s="67"/>
      <c r="I1658" s="68"/>
    </row>
    <row r="1659" spans="5:9" x14ac:dyDescent="0.25">
      <c r="E1659" s="66"/>
      <c r="F1659" s="67"/>
      <c r="G1659" s="67"/>
      <c r="H1659" s="67"/>
      <c r="I1659" s="68"/>
    </row>
    <row r="1660" spans="5:9" x14ac:dyDescent="0.25">
      <c r="E1660" s="66"/>
      <c r="F1660" s="67"/>
      <c r="G1660" s="67"/>
      <c r="H1660" s="67"/>
      <c r="I1660" s="68"/>
    </row>
    <row r="1661" spans="5:9" x14ac:dyDescent="0.25">
      <c r="E1661" s="66"/>
      <c r="F1661" s="67"/>
      <c r="G1661" s="67"/>
      <c r="H1661" s="67"/>
      <c r="I1661" s="68"/>
    </row>
    <row r="1662" spans="5:9" x14ac:dyDescent="0.25">
      <c r="E1662" s="66"/>
      <c r="F1662" s="67"/>
      <c r="G1662" s="67"/>
      <c r="H1662" s="67"/>
      <c r="I1662" s="68"/>
    </row>
    <row r="1663" spans="5:9" x14ac:dyDescent="0.25">
      <c r="E1663" s="66"/>
      <c r="F1663" s="67"/>
      <c r="G1663" s="67"/>
      <c r="H1663" s="67"/>
      <c r="I1663" s="68"/>
    </row>
    <row r="1664" spans="5:9" x14ac:dyDescent="0.25">
      <c r="E1664" s="66"/>
      <c r="F1664" s="67"/>
      <c r="G1664" s="67"/>
      <c r="H1664" s="67"/>
      <c r="I1664" s="68"/>
    </row>
    <row r="1665" spans="5:9" x14ac:dyDescent="0.25">
      <c r="E1665" s="66"/>
      <c r="F1665" s="67"/>
      <c r="G1665" s="67"/>
      <c r="H1665" s="67"/>
      <c r="I1665" s="68"/>
    </row>
    <row r="1666" spans="5:9" x14ac:dyDescent="0.25">
      <c r="E1666" s="66"/>
      <c r="F1666" s="67"/>
      <c r="G1666" s="67"/>
      <c r="H1666" s="67"/>
      <c r="I1666" s="68"/>
    </row>
    <row r="1667" spans="5:9" x14ac:dyDescent="0.25">
      <c r="E1667" s="66"/>
      <c r="F1667" s="67"/>
      <c r="G1667" s="67"/>
      <c r="H1667" s="67"/>
      <c r="I1667" s="68"/>
    </row>
    <row r="1668" spans="5:9" x14ac:dyDescent="0.25">
      <c r="E1668" s="66"/>
      <c r="F1668" s="67"/>
      <c r="G1668" s="67"/>
      <c r="H1668" s="67"/>
      <c r="I1668" s="68"/>
    </row>
    <row r="1669" spans="5:9" x14ac:dyDescent="0.25">
      <c r="E1669" s="66"/>
      <c r="F1669" s="67"/>
      <c r="G1669" s="67"/>
      <c r="H1669" s="67"/>
      <c r="I1669" s="68"/>
    </row>
    <row r="1670" spans="5:9" x14ac:dyDescent="0.25">
      <c r="E1670" s="66"/>
      <c r="F1670" s="67"/>
      <c r="G1670" s="67"/>
      <c r="H1670" s="67"/>
      <c r="I1670" s="68"/>
    </row>
    <row r="1671" spans="5:9" x14ac:dyDescent="0.25">
      <c r="E1671" s="66"/>
      <c r="F1671" s="67"/>
      <c r="G1671" s="67"/>
      <c r="H1671" s="67"/>
      <c r="I1671" s="68"/>
    </row>
    <row r="1672" spans="5:9" x14ac:dyDescent="0.25">
      <c r="E1672" s="66"/>
      <c r="F1672" s="67"/>
      <c r="G1672" s="67"/>
      <c r="H1672" s="67"/>
      <c r="I1672" s="68"/>
    </row>
    <row r="1673" spans="5:9" x14ac:dyDescent="0.25">
      <c r="E1673" s="66"/>
      <c r="F1673" s="67"/>
      <c r="G1673" s="67"/>
      <c r="H1673" s="67"/>
      <c r="I1673" s="68"/>
    </row>
    <row r="1674" spans="5:9" x14ac:dyDescent="0.25">
      <c r="E1674" s="66"/>
      <c r="F1674" s="67"/>
      <c r="G1674" s="67"/>
      <c r="H1674" s="67"/>
      <c r="I1674" s="68"/>
    </row>
    <row r="1675" spans="5:9" x14ac:dyDescent="0.25">
      <c r="E1675" s="66"/>
      <c r="F1675" s="67"/>
      <c r="G1675" s="67"/>
      <c r="H1675" s="67"/>
      <c r="I1675" s="68"/>
    </row>
    <row r="1676" spans="5:9" x14ac:dyDescent="0.25">
      <c r="E1676" s="66"/>
      <c r="F1676" s="67"/>
      <c r="G1676" s="67"/>
      <c r="H1676" s="67"/>
      <c r="I1676" s="68"/>
    </row>
    <row r="1677" spans="5:9" x14ac:dyDescent="0.25">
      <c r="E1677" s="66"/>
      <c r="F1677" s="67"/>
      <c r="G1677" s="67"/>
      <c r="H1677" s="67"/>
      <c r="I1677" s="68"/>
    </row>
    <row r="1678" spans="5:9" x14ac:dyDescent="0.25">
      <c r="E1678" s="66"/>
      <c r="F1678" s="67"/>
      <c r="G1678" s="67"/>
      <c r="H1678" s="67"/>
      <c r="I1678" s="68"/>
    </row>
    <row r="1679" spans="5:9" x14ac:dyDescent="0.25">
      <c r="E1679" s="66"/>
      <c r="F1679" s="67"/>
      <c r="G1679" s="67"/>
      <c r="H1679" s="67"/>
      <c r="I1679" s="68"/>
    </row>
    <row r="1680" spans="5:9" x14ac:dyDescent="0.25">
      <c r="E1680" s="66"/>
      <c r="F1680" s="67"/>
      <c r="G1680" s="67"/>
      <c r="H1680" s="67"/>
      <c r="I1680" s="68"/>
    </row>
    <row r="1681" spans="5:9" x14ac:dyDescent="0.25">
      <c r="E1681" s="66"/>
      <c r="F1681" s="67"/>
      <c r="G1681" s="67"/>
      <c r="H1681" s="67"/>
      <c r="I1681" s="68"/>
    </row>
    <row r="1682" spans="5:9" x14ac:dyDescent="0.25">
      <c r="E1682" s="66"/>
      <c r="F1682" s="67"/>
      <c r="G1682" s="67"/>
      <c r="H1682" s="67"/>
      <c r="I1682" s="68"/>
    </row>
    <row r="1683" spans="5:9" x14ac:dyDescent="0.25">
      <c r="E1683" s="66"/>
      <c r="F1683" s="67"/>
      <c r="G1683" s="67"/>
      <c r="H1683" s="67"/>
      <c r="I1683" s="68"/>
    </row>
    <row r="1684" spans="5:9" x14ac:dyDescent="0.25">
      <c r="E1684" s="66"/>
      <c r="F1684" s="67"/>
      <c r="G1684" s="67"/>
      <c r="H1684" s="67"/>
      <c r="I1684" s="68"/>
    </row>
    <row r="1685" spans="5:9" x14ac:dyDescent="0.25">
      <c r="E1685" s="66"/>
      <c r="F1685" s="67"/>
      <c r="G1685" s="67"/>
      <c r="H1685" s="67"/>
      <c r="I1685" s="68"/>
    </row>
    <row r="1686" spans="5:9" x14ac:dyDescent="0.25">
      <c r="E1686" s="66"/>
      <c r="F1686" s="67"/>
      <c r="G1686" s="67"/>
      <c r="H1686" s="67"/>
      <c r="I1686" s="68"/>
    </row>
    <row r="1687" spans="5:9" x14ac:dyDescent="0.25">
      <c r="E1687" s="66"/>
      <c r="F1687" s="67"/>
      <c r="G1687" s="67"/>
      <c r="H1687" s="67"/>
      <c r="I1687" s="68"/>
    </row>
    <row r="1688" spans="5:9" x14ac:dyDescent="0.25">
      <c r="E1688" s="66"/>
      <c r="F1688" s="67"/>
      <c r="G1688" s="67"/>
      <c r="H1688" s="67"/>
      <c r="I1688" s="68"/>
    </row>
    <row r="1689" spans="5:9" x14ac:dyDescent="0.25">
      <c r="E1689" s="66"/>
      <c r="F1689" s="67"/>
      <c r="G1689" s="67"/>
      <c r="H1689" s="67"/>
      <c r="I1689" s="68"/>
    </row>
    <row r="1690" spans="5:9" x14ac:dyDescent="0.25">
      <c r="E1690" s="66"/>
      <c r="F1690" s="67"/>
      <c r="G1690" s="67"/>
      <c r="H1690" s="67"/>
      <c r="I1690" s="68"/>
    </row>
    <row r="1691" spans="5:9" x14ac:dyDescent="0.25">
      <c r="E1691" s="66"/>
      <c r="F1691" s="67"/>
      <c r="G1691" s="67"/>
      <c r="H1691" s="67"/>
      <c r="I1691" s="68"/>
    </row>
    <row r="1692" spans="5:9" x14ac:dyDescent="0.25">
      <c r="E1692" s="66"/>
      <c r="F1692" s="67"/>
      <c r="G1692" s="67"/>
      <c r="H1692" s="67"/>
      <c r="I1692" s="68"/>
    </row>
    <row r="1693" spans="5:9" x14ac:dyDescent="0.25">
      <c r="E1693" s="66"/>
      <c r="F1693" s="67"/>
      <c r="G1693" s="67"/>
      <c r="H1693" s="67"/>
      <c r="I1693" s="68"/>
    </row>
    <row r="1694" spans="5:9" x14ac:dyDescent="0.25">
      <c r="E1694" s="66"/>
      <c r="F1694" s="67"/>
      <c r="G1694" s="67"/>
      <c r="H1694" s="67"/>
      <c r="I1694" s="68"/>
    </row>
    <row r="1695" spans="5:9" x14ac:dyDescent="0.25">
      <c r="E1695" s="66"/>
      <c r="F1695" s="67"/>
      <c r="G1695" s="67"/>
      <c r="H1695" s="67"/>
      <c r="I1695" s="68"/>
    </row>
    <row r="1696" spans="5:9" x14ac:dyDescent="0.25">
      <c r="E1696" s="66"/>
      <c r="F1696" s="67"/>
      <c r="G1696" s="67"/>
      <c r="H1696" s="67"/>
      <c r="I1696" s="68"/>
    </row>
    <row r="1697" spans="5:9" x14ac:dyDescent="0.25">
      <c r="E1697" s="66"/>
      <c r="F1697" s="67"/>
      <c r="G1697" s="67"/>
      <c r="H1697" s="67"/>
      <c r="I1697" s="68"/>
    </row>
    <row r="1698" spans="5:9" x14ac:dyDescent="0.25">
      <c r="E1698" s="66"/>
      <c r="F1698" s="67"/>
      <c r="G1698" s="67"/>
      <c r="H1698" s="67"/>
      <c r="I1698" s="68"/>
    </row>
    <row r="1699" spans="5:9" x14ac:dyDescent="0.25">
      <c r="E1699" s="66"/>
      <c r="F1699" s="67"/>
      <c r="G1699" s="67"/>
      <c r="H1699" s="67"/>
      <c r="I1699" s="68"/>
    </row>
    <row r="1700" spans="5:9" x14ac:dyDescent="0.25">
      <c r="E1700" s="66"/>
      <c r="F1700" s="67"/>
      <c r="G1700" s="67"/>
      <c r="H1700" s="67"/>
      <c r="I1700" s="68"/>
    </row>
    <row r="1701" spans="5:9" x14ac:dyDescent="0.25">
      <c r="E1701" s="66"/>
      <c r="F1701" s="67"/>
      <c r="G1701" s="67"/>
      <c r="H1701" s="67"/>
      <c r="I1701" s="68"/>
    </row>
    <row r="1702" spans="5:9" x14ac:dyDescent="0.25">
      <c r="E1702" s="66"/>
      <c r="F1702" s="67"/>
      <c r="G1702" s="67"/>
      <c r="H1702" s="67"/>
      <c r="I1702" s="68"/>
    </row>
    <row r="1703" spans="5:9" x14ac:dyDescent="0.25">
      <c r="E1703" s="66"/>
      <c r="F1703" s="67"/>
      <c r="G1703" s="67"/>
      <c r="H1703" s="67"/>
      <c r="I1703" s="68"/>
    </row>
    <row r="1704" spans="5:9" x14ac:dyDescent="0.25">
      <c r="E1704" s="66"/>
      <c r="F1704" s="67"/>
      <c r="G1704" s="67"/>
      <c r="H1704" s="67"/>
      <c r="I1704" s="68"/>
    </row>
    <row r="1705" spans="5:9" x14ac:dyDescent="0.25">
      <c r="E1705" s="66"/>
      <c r="F1705" s="67"/>
      <c r="G1705" s="67"/>
      <c r="H1705" s="67"/>
      <c r="I1705" s="68"/>
    </row>
    <row r="1706" spans="5:9" x14ac:dyDescent="0.25">
      <c r="E1706" s="66"/>
      <c r="F1706" s="67"/>
      <c r="G1706" s="67"/>
      <c r="H1706" s="67"/>
      <c r="I1706" s="68"/>
    </row>
    <row r="1707" spans="5:9" x14ac:dyDescent="0.25">
      <c r="E1707" s="66"/>
      <c r="F1707" s="67"/>
      <c r="G1707" s="67"/>
      <c r="H1707" s="67"/>
      <c r="I1707" s="68"/>
    </row>
    <row r="1708" spans="5:9" x14ac:dyDescent="0.25">
      <c r="E1708" s="66"/>
      <c r="F1708" s="67"/>
      <c r="G1708" s="67"/>
      <c r="H1708" s="67"/>
      <c r="I1708" s="68"/>
    </row>
    <row r="1709" spans="5:9" x14ac:dyDescent="0.25">
      <c r="E1709" s="66"/>
      <c r="F1709" s="67"/>
      <c r="G1709" s="67"/>
      <c r="H1709" s="67"/>
      <c r="I1709" s="68"/>
    </row>
    <row r="1710" spans="5:9" x14ac:dyDescent="0.25">
      <c r="E1710" s="66"/>
      <c r="F1710" s="67"/>
      <c r="G1710" s="67"/>
      <c r="H1710" s="67"/>
      <c r="I1710" s="68"/>
    </row>
    <row r="1711" spans="5:9" x14ac:dyDescent="0.25">
      <c r="E1711" s="66"/>
      <c r="F1711" s="67"/>
      <c r="G1711" s="67"/>
      <c r="H1711" s="67"/>
      <c r="I1711" s="68"/>
    </row>
    <row r="1712" spans="5:9" x14ac:dyDescent="0.25">
      <c r="E1712" s="66"/>
      <c r="F1712" s="67"/>
      <c r="G1712" s="67"/>
      <c r="H1712" s="67"/>
      <c r="I1712" s="68"/>
    </row>
    <row r="1713" spans="5:9" x14ac:dyDescent="0.25">
      <c r="E1713" s="66"/>
      <c r="F1713" s="67"/>
      <c r="G1713" s="67"/>
      <c r="H1713" s="67"/>
      <c r="I1713" s="68"/>
    </row>
    <row r="1714" spans="5:9" x14ac:dyDescent="0.25">
      <c r="E1714" s="66"/>
      <c r="F1714" s="67"/>
      <c r="G1714" s="67"/>
      <c r="H1714" s="67"/>
      <c r="I1714" s="68"/>
    </row>
    <row r="1715" spans="5:9" x14ac:dyDescent="0.25">
      <c r="E1715" s="66"/>
      <c r="F1715" s="67"/>
      <c r="G1715" s="67"/>
      <c r="H1715" s="67"/>
      <c r="I1715" s="68"/>
    </row>
    <row r="1716" spans="5:9" x14ac:dyDescent="0.25">
      <c r="E1716" s="66"/>
      <c r="F1716" s="67"/>
      <c r="G1716" s="67"/>
      <c r="H1716" s="67"/>
      <c r="I1716" s="68"/>
    </row>
    <row r="1717" spans="5:9" x14ac:dyDescent="0.25">
      <c r="E1717" s="66"/>
      <c r="F1717" s="67"/>
      <c r="G1717" s="67"/>
      <c r="H1717" s="67"/>
      <c r="I1717" s="68"/>
    </row>
    <row r="1718" spans="5:9" x14ac:dyDescent="0.25">
      <c r="E1718" s="66"/>
      <c r="F1718" s="67"/>
      <c r="G1718" s="67"/>
      <c r="H1718" s="67"/>
      <c r="I1718" s="68"/>
    </row>
    <row r="1719" spans="5:9" x14ac:dyDescent="0.25">
      <c r="E1719" s="66"/>
      <c r="F1719" s="67"/>
      <c r="G1719" s="67"/>
      <c r="H1719" s="67"/>
      <c r="I1719" s="68"/>
    </row>
    <row r="1720" spans="5:9" x14ac:dyDescent="0.25">
      <c r="E1720" s="66"/>
      <c r="F1720" s="67"/>
      <c r="G1720" s="67"/>
      <c r="H1720" s="67"/>
      <c r="I1720" s="68"/>
    </row>
    <row r="1721" spans="5:9" x14ac:dyDescent="0.25">
      <c r="E1721" s="66"/>
      <c r="F1721" s="67"/>
      <c r="G1721" s="67"/>
      <c r="H1721" s="67"/>
      <c r="I1721" s="68"/>
    </row>
    <row r="1722" spans="5:9" x14ac:dyDescent="0.25">
      <c r="E1722" s="66"/>
      <c r="F1722" s="67"/>
      <c r="G1722" s="67"/>
      <c r="H1722" s="67"/>
      <c r="I1722" s="68"/>
    </row>
    <row r="1723" spans="5:9" x14ac:dyDescent="0.25">
      <c r="E1723" s="66"/>
      <c r="F1723" s="67"/>
      <c r="G1723" s="67"/>
      <c r="H1723" s="67"/>
      <c r="I1723" s="68"/>
    </row>
    <row r="1724" spans="5:9" x14ac:dyDescent="0.25">
      <c r="E1724" s="66"/>
      <c r="F1724" s="67"/>
      <c r="G1724" s="67"/>
      <c r="H1724" s="67"/>
      <c r="I1724" s="68"/>
    </row>
    <row r="1725" spans="5:9" x14ac:dyDescent="0.25">
      <c r="E1725" s="66"/>
      <c r="F1725" s="67"/>
      <c r="G1725" s="67"/>
      <c r="H1725" s="67"/>
      <c r="I1725" s="68"/>
    </row>
    <row r="1726" spans="5:9" x14ac:dyDescent="0.25">
      <c r="E1726" s="66"/>
      <c r="F1726" s="67"/>
      <c r="G1726" s="67"/>
      <c r="H1726" s="67"/>
      <c r="I1726" s="68"/>
    </row>
    <row r="1727" spans="5:9" x14ac:dyDescent="0.25">
      <c r="E1727" s="66"/>
      <c r="F1727" s="67"/>
      <c r="G1727" s="67"/>
      <c r="H1727" s="67"/>
      <c r="I1727" s="68"/>
    </row>
    <row r="1728" spans="5:9" x14ac:dyDescent="0.25">
      <c r="E1728" s="66"/>
      <c r="F1728" s="67"/>
      <c r="G1728" s="67"/>
      <c r="H1728" s="67"/>
      <c r="I1728" s="68"/>
    </row>
    <row r="1729" spans="5:9" x14ac:dyDescent="0.25">
      <c r="E1729" s="66"/>
      <c r="F1729" s="67"/>
      <c r="G1729" s="67"/>
      <c r="H1729" s="67"/>
      <c r="I1729" s="68"/>
    </row>
    <row r="1730" spans="5:9" x14ac:dyDescent="0.25">
      <c r="E1730" s="66"/>
      <c r="F1730" s="67"/>
      <c r="G1730" s="67"/>
      <c r="H1730" s="67"/>
      <c r="I1730" s="68"/>
    </row>
    <row r="1731" spans="5:9" x14ac:dyDescent="0.25">
      <c r="E1731" s="66"/>
      <c r="F1731" s="67"/>
      <c r="G1731" s="67"/>
      <c r="H1731" s="67"/>
      <c r="I1731" s="68"/>
    </row>
    <row r="1732" spans="5:9" x14ac:dyDescent="0.25">
      <c r="E1732" s="66"/>
      <c r="F1732" s="67"/>
      <c r="G1732" s="67"/>
      <c r="H1732" s="67"/>
      <c r="I1732" s="68"/>
    </row>
    <row r="1733" spans="5:9" x14ac:dyDescent="0.25">
      <c r="E1733" s="66"/>
      <c r="F1733" s="67"/>
      <c r="G1733" s="67"/>
      <c r="H1733" s="67"/>
      <c r="I1733" s="68"/>
    </row>
    <row r="1734" spans="5:9" x14ac:dyDescent="0.25">
      <c r="E1734" s="66"/>
      <c r="F1734" s="67"/>
      <c r="G1734" s="67"/>
      <c r="H1734" s="67"/>
      <c r="I1734" s="68"/>
    </row>
    <row r="1735" spans="5:9" x14ac:dyDescent="0.25">
      <c r="E1735" s="66"/>
      <c r="F1735" s="67"/>
      <c r="G1735" s="67"/>
      <c r="H1735" s="67"/>
      <c r="I1735" s="68"/>
    </row>
    <row r="1736" spans="5:9" x14ac:dyDescent="0.25">
      <c r="E1736" s="66"/>
      <c r="F1736" s="67"/>
      <c r="G1736" s="67"/>
      <c r="H1736" s="67"/>
      <c r="I1736" s="68"/>
    </row>
    <row r="1737" spans="5:9" x14ac:dyDescent="0.25">
      <c r="E1737" s="66"/>
      <c r="F1737" s="67"/>
      <c r="G1737" s="67"/>
      <c r="H1737" s="67"/>
      <c r="I1737" s="68"/>
    </row>
    <row r="1738" spans="5:9" x14ac:dyDescent="0.25">
      <c r="E1738" s="66"/>
      <c r="F1738" s="67"/>
      <c r="G1738" s="67"/>
      <c r="H1738" s="67"/>
      <c r="I1738" s="68"/>
    </row>
    <row r="1739" spans="5:9" x14ac:dyDescent="0.25">
      <c r="E1739" s="66"/>
      <c r="F1739" s="67"/>
      <c r="G1739" s="67"/>
      <c r="H1739" s="67"/>
      <c r="I1739" s="68"/>
    </row>
    <row r="1740" spans="5:9" x14ac:dyDescent="0.25">
      <c r="E1740" s="66"/>
      <c r="F1740" s="67"/>
      <c r="G1740" s="67"/>
      <c r="H1740" s="67"/>
      <c r="I1740" s="68"/>
    </row>
    <row r="1741" spans="5:9" x14ac:dyDescent="0.25">
      <c r="E1741" s="66"/>
      <c r="F1741" s="67"/>
      <c r="G1741" s="67"/>
      <c r="H1741" s="67"/>
      <c r="I1741" s="68"/>
    </row>
    <row r="1742" spans="5:9" x14ac:dyDescent="0.25">
      <c r="E1742" s="66"/>
      <c r="F1742" s="67"/>
      <c r="G1742" s="67"/>
      <c r="H1742" s="67"/>
      <c r="I1742" s="68"/>
    </row>
    <row r="1743" spans="5:9" x14ac:dyDescent="0.25">
      <c r="E1743" s="66"/>
      <c r="F1743" s="67"/>
      <c r="G1743" s="67"/>
      <c r="H1743" s="67"/>
      <c r="I1743" s="68"/>
    </row>
    <row r="1744" spans="5:9" x14ac:dyDescent="0.25">
      <c r="E1744" s="66"/>
      <c r="F1744" s="67"/>
      <c r="G1744" s="67"/>
      <c r="H1744" s="67"/>
      <c r="I1744" s="68"/>
    </row>
    <row r="1745" spans="5:9" x14ac:dyDescent="0.25">
      <c r="E1745" s="66"/>
      <c r="F1745" s="67"/>
      <c r="G1745" s="67"/>
      <c r="H1745" s="67"/>
      <c r="I1745" s="68"/>
    </row>
    <row r="1746" spans="5:9" x14ac:dyDescent="0.25">
      <c r="E1746" s="66"/>
      <c r="F1746" s="67"/>
      <c r="G1746" s="67"/>
      <c r="H1746" s="67"/>
      <c r="I1746" s="68"/>
    </row>
    <row r="1747" spans="5:9" x14ac:dyDescent="0.25">
      <c r="E1747" s="66"/>
      <c r="F1747" s="67"/>
      <c r="G1747" s="67"/>
      <c r="H1747" s="67"/>
      <c r="I1747" s="68"/>
    </row>
    <row r="1748" spans="5:9" x14ac:dyDescent="0.25">
      <c r="E1748" s="66"/>
      <c r="F1748" s="67"/>
      <c r="G1748" s="67"/>
      <c r="H1748" s="67"/>
      <c r="I1748" s="68"/>
    </row>
    <row r="1749" spans="5:9" x14ac:dyDescent="0.25">
      <c r="E1749" s="66"/>
      <c r="F1749" s="67"/>
      <c r="G1749" s="67"/>
      <c r="H1749" s="67"/>
      <c r="I1749" s="68"/>
    </row>
    <row r="1750" spans="5:9" x14ac:dyDescent="0.25">
      <c r="E1750" s="66"/>
      <c r="F1750" s="67"/>
      <c r="G1750" s="67"/>
      <c r="H1750" s="67"/>
      <c r="I1750" s="68"/>
    </row>
    <row r="1751" spans="5:9" x14ac:dyDescent="0.25">
      <c r="E1751" s="66"/>
      <c r="F1751" s="67"/>
      <c r="G1751" s="67"/>
      <c r="H1751" s="67"/>
      <c r="I1751" s="68"/>
    </row>
    <row r="1752" spans="5:9" x14ac:dyDescent="0.25">
      <c r="E1752" s="66"/>
      <c r="F1752" s="67"/>
      <c r="G1752" s="67"/>
      <c r="H1752" s="67"/>
      <c r="I1752" s="68"/>
    </row>
    <row r="1753" spans="5:9" x14ac:dyDescent="0.25">
      <c r="E1753" s="66"/>
      <c r="F1753" s="67"/>
      <c r="G1753" s="67"/>
      <c r="H1753" s="67"/>
      <c r="I1753" s="68"/>
    </row>
    <row r="1754" spans="5:9" x14ac:dyDescent="0.25">
      <c r="E1754" s="66"/>
      <c r="F1754" s="67"/>
      <c r="G1754" s="67"/>
      <c r="H1754" s="67"/>
      <c r="I1754" s="68"/>
    </row>
    <row r="1755" spans="5:9" x14ac:dyDescent="0.25">
      <c r="E1755" s="66"/>
      <c r="F1755" s="67"/>
      <c r="G1755" s="67"/>
      <c r="H1755" s="67"/>
      <c r="I1755" s="68"/>
    </row>
    <row r="1756" spans="5:9" x14ac:dyDescent="0.25">
      <c r="E1756" s="66"/>
      <c r="F1756" s="67"/>
      <c r="G1756" s="67"/>
      <c r="H1756" s="67"/>
      <c r="I1756" s="68"/>
    </row>
    <row r="1757" spans="5:9" x14ac:dyDescent="0.25">
      <c r="E1757" s="66"/>
      <c r="F1757" s="67"/>
      <c r="G1757" s="67"/>
      <c r="H1757" s="67"/>
      <c r="I1757" s="68"/>
    </row>
    <row r="1758" spans="5:9" x14ac:dyDescent="0.25">
      <c r="E1758" s="66"/>
      <c r="F1758" s="67"/>
      <c r="G1758" s="67"/>
      <c r="H1758" s="67"/>
      <c r="I1758" s="68"/>
    </row>
    <row r="1759" spans="5:9" x14ac:dyDescent="0.25">
      <c r="E1759" s="66"/>
      <c r="F1759" s="67"/>
      <c r="G1759" s="67"/>
      <c r="H1759" s="67"/>
      <c r="I1759" s="68"/>
    </row>
    <row r="1760" spans="5:9" x14ac:dyDescent="0.25">
      <c r="E1760" s="66"/>
      <c r="F1760" s="67"/>
      <c r="G1760" s="67"/>
      <c r="H1760" s="67"/>
      <c r="I1760" s="68"/>
    </row>
    <row r="1761" spans="5:9" x14ac:dyDescent="0.25">
      <c r="E1761" s="66"/>
      <c r="F1761" s="67"/>
      <c r="G1761" s="67"/>
      <c r="H1761" s="67"/>
      <c r="I1761" s="68"/>
    </row>
    <row r="1762" spans="5:9" x14ac:dyDescent="0.25">
      <c r="E1762" s="66"/>
      <c r="F1762" s="67"/>
      <c r="G1762" s="67"/>
      <c r="H1762" s="67"/>
      <c r="I1762" s="68"/>
    </row>
    <row r="1763" spans="5:9" x14ac:dyDescent="0.25">
      <c r="E1763" s="66"/>
      <c r="F1763" s="67"/>
      <c r="G1763" s="67"/>
      <c r="H1763" s="67"/>
      <c r="I1763" s="68"/>
    </row>
    <row r="1764" spans="5:9" x14ac:dyDescent="0.25">
      <c r="E1764" s="66"/>
      <c r="F1764" s="67"/>
      <c r="G1764" s="67"/>
      <c r="H1764" s="67"/>
      <c r="I1764" s="68"/>
    </row>
    <row r="1765" spans="5:9" x14ac:dyDescent="0.25">
      <c r="E1765" s="66"/>
      <c r="F1765" s="67"/>
      <c r="G1765" s="67"/>
      <c r="H1765" s="67"/>
      <c r="I1765" s="68"/>
    </row>
    <row r="1766" spans="5:9" x14ac:dyDescent="0.25">
      <c r="E1766" s="66"/>
      <c r="F1766" s="67"/>
      <c r="G1766" s="67"/>
      <c r="H1766" s="67"/>
      <c r="I1766" s="68"/>
    </row>
    <row r="1767" spans="5:9" x14ac:dyDescent="0.25">
      <c r="E1767" s="66"/>
      <c r="F1767" s="67"/>
      <c r="G1767" s="67"/>
      <c r="H1767" s="67"/>
      <c r="I1767" s="68"/>
    </row>
    <row r="1768" spans="5:9" x14ac:dyDescent="0.25">
      <c r="E1768" s="66"/>
      <c r="F1768" s="67"/>
      <c r="G1768" s="67"/>
      <c r="H1768" s="67"/>
      <c r="I1768" s="68"/>
    </row>
    <row r="1769" spans="5:9" x14ac:dyDescent="0.25">
      <c r="E1769" s="66"/>
      <c r="F1769" s="67"/>
      <c r="G1769" s="67"/>
      <c r="H1769" s="67"/>
      <c r="I1769" s="68"/>
    </row>
    <row r="1770" spans="5:9" x14ac:dyDescent="0.25">
      <c r="E1770" s="66"/>
      <c r="F1770" s="67"/>
      <c r="G1770" s="67"/>
      <c r="H1770" s="67"/>
      <c r="I1770" s="68"/>
    </row>
    <row r="1771" spans="5:9" x14ac:dyDescent="0.25">
      <c r="E1771" s="66"/>
      <c r="F1771" s="67"/>
      <c r="G1771" s="67"/>
      <c r="H1771" s="67"/>
      <c r="I1771" s="68"/>
    </row>
    <row r="1772" spans="5:9" x14ac:dyDescent="0.25">
      <c r="E1772" s="66"/>
      <c r="F1772" s="67"/>
      <c r="G1772" s="67"/>
      <c r="H1772" s="67"/>
      <c r="I1772" s="68"/>
    </row>
    <row r="1773" spans="5:9" x14ac:dyDescent="0.25">
      <c r="E1773" s="66"/>
      <c r="F1773" s="67"/>
      <c r="G1773" s="67"/>
      <c r="H1773" s="67"/>
      <c r="I1773" s="68"/>
    </row>
    <row r="1774" spans="5:9" x14ac:dyDescent="0.25">
      <c r="E1774" s="66"/>
      <c r="F1774" s="67"/>
      <c r="G1774" s="67"/>
      <c r="H1774" s="67"/>
      <c r="I1774" s="68"/>
    </row>
    <row r="1775" spans="5:9" x14ac:dyDescent="0.25">
      <c r="E1775" s="66"/>
      <c r="F1775" s="67"/>
      <c r="G1775" s="67"/>
      <c r="H1775" s="67"/>
      <c r="I1775" s="68"/>
    </row>
    <row r="1776" spans="5:9" x14ac:dyDescent="0.25">
      <c r="E1776" s="66"/>
      <c r="F1776" s="67"/>
      <c r="G1776" s="67"/>
      <c r="H1776" s="67"/>
      <c r="I1776" s="68"/>
    </row>
    <row r="1777" spans="5:9" x14ac:dyDescent="0.25">
      <c r="E1777" s="66"/>
      <c r="F1777" s="67"/>
      <c r="G1777" s="67"/>
      <c r="H1777" s="67"/>
      <c r="I1777" s="68"/>
    </row>
    <row r="1778" spans="5:9" x14ac:dyDescent="0.25">
      <c r="E1778" s="66"/>
      <c r="F1778" s="67"/>
      <c r="G1778" s="67"/>
      <c r="H1778" s="67"/>
      <c r="I1778" s="68"/>
    </row>
    <row r="1779" spans="5:9" x14ac:dyDescent="0.25">
      <c r="E1779" s="66"/>
      <c r="F1779" s="67"/>
      <c r="G1779" s="67"/>
      <c r="H1779" s="67"/>
      <c r="I1779" s="68"/>
    </row>
    <row r="1780" spans="5:9" x14ac:dyDescent="0.25">
      <c r="E1780" s="66"/>
      <c r="F1780" s="67"/>
      <c r="G1780" s="67"/>
      <c r="H1780" s="67"/>
      <c r="I1780" s="68"/>
    </row>
    <row r="1781" spans="5:9" x14ac:dyDescent="0.25">
      <c r="E1781" s="66"/>
      <c r="F1781" s="67"/>
      <c r="G1781" s="67"/>
      <c r="H1781" s="67"/>
      <c r="I1781" s="68"/>
    </row>
    <row r="1782" spans="5:9" x14ac:dyDescent="0.25">
      <c r="E1782" s="66"/>
      <c r="F1782" s="67"/>
      <c r="G1782" s="67"/>
      <c r="H1782" s="67"/>
      <c r="I1782" s="68"/>
    </row>
    <row r="1783" spans="5:9" x14ac:dyDescent="0.25">
      <c r="E1783" s="66"/>
      <c r="F1783" s="67"/>
      <c r="G1783" s="67"/>
      <c r="H1783" s="67"/>
      <c r="I1783" s="68"/>
    </row>
    <row r="1784" spans="5:9" x14ac:dyDescent="0.25">
      <c r="E1784" s="66"/>
      <c r="F1784" s="67"/>
      <c r="G1784" s="67"/>
      <c r="H1784" s="67"/>
      <c r="I1784" s="68"/>
    </row>
    <row r="1785" spans="5:9" x14ac:dyDescent="0.25">
      <c r="E1785" s="66"/>
      <c r="F1785" s="67"/>
      <c r="G1785" s="67"/>
      <c r="H1785" s="67"/>
      <c r="I1785" s="68"/>
    </row>
    <row r="1786" spans="5:9" x14ac:dyDescent="0.25">
      <c r="E1786" s="66"/>
      <c r="F1786" s="67"/>
      <c r="G1786" s="67"/>
      <c r="H1786" s="67"/>
      <c r="I1786" s="68"/>
    </row>
    <row r="1787" spans="5:9" x14ac:dyDescent="0.25">
      <c r="E1787" s="66"/>
      <c r="F1787" s="67"/>
      <c r="G1787" s="67"/>
      <c r="H1787" s="67"/>
      <c r="I1787" s="68"/>
    </row>
    <row r="1788" spans="5:9" x14ac:dyDescent="0.25">
      <c r="E1788" s="66"/>
      <c r="F1788" s="67"/>
      <c r="G1788" s="67"/>
      <c r="H1788" s="67"/>
      <c r="I1788" s="68"/>
    </row>
    <row r="1789" spans="5:9" x14ac:dyDescent="0.25">
      <c r="E1789" s="66"/>
      <c r="F1789" s="67"/>
      <c r="G1789" s="67"/>
      <c r="H1789" s="67"/>
      <c r="I1789" s="68"/>
    </row>
    <row r="1790" spans="5:9" x14ac:dyDescent="0.25">
      <c r="E1790" s="66"/>
      <c r="F1790" s="67"/>
      <c r="G1790" s="67"/>
      <c r="H1790" s="67"/>
      <c r="I1790" s="68"/>
    </row>
    <row r="1791" spans="5:9" x14ac:dyDescent="0.25">
      <c r="E1791" s="66"/>
      <c r="F1791" s="67"/>
      <c r="G1791" s="67"/>
      <c r="H1791" s="67"/>
      <c r="I1791" s="68"/>
    </row>
    <row r="1792" spans="5:9" x14ac:dyDescent="0.25">
      <c r="E1792" s="66"/>
      <c r="F1792" s="67"/>
      <c r="G1792" s="67"/>
      <c r="H1792" s="67"/>
      <c r="I1792" s="68"/>
    </row>
    <row r="1793" spans="5:9" x14ac:dyDescent="0.25">
      <c r="E1793" s="66"/>
      <c r="F1793" s="67"/>
      <c r="G1793" s="67"/>
      <c r="H1793" s="67"/>
      <c r="I1793" s="68"/>
    </row>
    <row r="1794" spans="5:9" x14ac:dyDescent="0.25">
      <c r="E1794" s="66"/>
      <c r="F1794" s="67"/>
      <c r="G1794" s="67"/>
      <c r="H1794" s="67"/>
      <c r="I1794" s="68"/>
    </row>
    <row r="1795" spans="5:9" x14ac:dyDescent="0.25">
      <c r="E1795" s="66"/>
      <c r="F1795" s="67"/>
      <c r="G1795" s="67"/>
      <c r="H1795" s="67"/>
      <c r="I1795" s="68"/>
    </row>
    <row r="1796" spans="5:9" x14ac:dyDescent="0.25">
      <c r="E1796" s="66"/>
      <c r="F1796" s="67"/>
      <c r="G1796" s="67"/>
      <c r="H1796" s="67"/>
      <c r="I1796" s="68"/>
    </row>
    <row r="1797" spans="5:9" x14ac:dyDescent="0.25">
      <c r="E1797" s="66"/>
      <c r="F1797" s="67"/>
      <c r="G1797" s="67"/>
      <c r="H1797" s="67"/>
      <c r="I1797" s="68"/>
    </row>
    <row r="1798" spans="5:9" x14ac:dyDescent="0.25">
      <c r="E1798" s="66"/>
      <c r="F1798" s="67"/>
      <c r="G1798" s="67"/>
      <c r="H1798" s="67"/>
      <c r="I1798" s="68"/>
    </row>
    <row r="1799" spans="5:9" x14ac:dyDescent="0.25">
      <c r="E1799" s="66"/>
      <c r="F1799" s="67"/>
      <c r="G1799" s="67"/>
      <c r="H1799" s="67"/>
      <c r="I1799" s="68"/>
    </row>
    <row r="1800" spans="5:9" x14ac:dyDescent="0.25">
      <c r="E1800" s="66"/>
      <c r="F1800" s="67"/>
      <c r="G1800" s="67"/>
      <c r="H1800" s="67"/>
      <c r="I1800" s="68"/>
    </row>
    <row r="1801" spans="5:9" x14ac:dyDescent="0.25">
      <c r="E1801" s="66"/>
      <c r="F1801" s="67"/>
      <c r="G1801" s="67"/>
      <c r="H1801" s="67"/>
      <c r="I1801" s="68"/>
    </row>
    <row r="1802" spans="5:9" x14ac:dyDescent="0.25">
      <c r="E1802" s="66"/>
      <c r="F1802" s="67"/>
      <c r="G1802" s="67"/>
      <c r="H1802" s="67"/>
      <c r="I1802" s="68"/>
    </row>
    <row r="1803" spans="5:9" x14ac:dyDescent="0.25">
      <c r="E1803" s="66"/>
      <c r="F1803" s="67"/>
      <c r="G1803" s="67"/>
      <c r="H1803" s="67"/>
      <c r="I1803" s="68"/>
    </row>
    <row r="1804" spans="5:9" x14ac:dyDescent="0.25">
      <c r="E1804" s="66"/>
      <c r="F1804" s="67"/>
      <c r="G1804" s="67"/>
      <c r="H1804" s="67"/>
      <c r="I1804" s="68"/>
    </row>
    <row r="1805" spans="5:9" x14ac:dyDescent="0.25">
      <c r="E1805" s="66"/>
      <c r="F1805" s="67"/>
      <c r="G1805" s="67"/>
      <c r="H1805" s="67"/>
      <c r="I1805" s="68"/>
    </row>
    <row r="1806" spans="5:9" x14ac:dyDescent="0.25">
      <c r="E1806" s="66"/>
      <c r="F1806" s="67"/>
      <c r="G1806" s="67"/>
      <c r="H1806" s="67"/>
      <c r="I1806" s="68"/>
    </row>
    <row r="1807" spans="5:9" x14ac:dyDescent="0.25">
      <c r="E1807" s="66"/>
      <c r="F1807" s="67"/>
      <c r="G1807" s="67"/>
      <c r="H1807" s="67"/>
      <c r="I1807" s="68"/>
    </row>
    <row r="1808" spans="5:9" x14ac:dyDescent="0.25">
      <c r="E1808" s="66"/>
      <c r="F1808" s="67"/>
      <c r="G1808" s="67"/>
      <c r="H1808" s="67"/>
      <c r="I1808" s="68"/>
    </row>
    <row r="1809" spans="5:9" x14ac:dyDescent="0.25">
      <c r="E1809" s="66"/>
      <c r="F1809" s="67"/>
      <c r="G1809" s="67"/>
      <c r="H1809" s="67"/>
      <c r="I1809" s="68"/>
    </row>
    <row r="1810" spans="5:9" x14ac:dyDescent="0.25">
      <c r="E1810" s="66"/>
      <c r="F1810" s="67"/>
      <c r="G1810" s="67"/>
      <c r="H1810" s="67"/>
      <c r="I1810" s="68"/>
    </row>
    <row r="1811" spans="5:9" x14ac:dyDescent="0.25">
      <c r="E1811" s="66"/>
      <c r="F1811" s="67"/>
      <c r="G1811" s="67"/>
      <c r="H1811" s="67"/>
      <c r="I1811" s="68"/>
    </row>
    <row r="1812" spans="5:9" x14ac:dyDescent="0.25">
      <c r="E1812" s="66"/>
      <c r="F1812" s="67"/>
      <c r="G1812" s="67"/>
      <c r="H1812" s="67"/>
      <c r="I1812" s="68"/>
    </row>
    <row r="1813" spans="5:9" x14ac:dyDescent="0.25">
      <c r="E1813" s="66"/>
      <c r="F1813" s="67"/>
      <c r="G1813" s="67"/>
      <c r="H1813" s="67"/>
      <c r="I1813" s="68"/>
    </row>
    <row r="1814" spans="5:9" x14ac:dyDescent="0.25">
      <c r="E1814" s="66"/>
      <c r="F1814" s="67"/>
      <c r="G1814" s="67"/>
      <c r="H1814" s="67"/>
      <c r="I1814" s="68"/>
    </row>
    <row r="1815" spans="5:9" x14ac:dyDescent="0.25">
      <c r="E1815" s="66"/>
      <c r="F1815" s="67"/>
      <c r="G1815" s="67"/>
      <c r="H1815" s="67"/>
      <c r="I1815" s="68"/>
    </row>
    <row r="1816" spans="5:9" x14ac:dyDescent="0.25">
      <c r="E1816" s="66"/>
      <c r="F1816" s="67"/>
      <c r="G1816" s="67"/>
      <c r="H1816" s="67"/>
      <c r="I1816" s="68"/>
    </row>
    <row r="1817" spans="5:9" x14ac:dyDescent="0.25">
      <c r="E1817" s="66"/>
      <c r="F1817" s="67"/>
      <c r="G1817" s="67"/>
      <c r="H1817" s="67"/>
      <c r="I1817" s="68"/>
    </row>
    <row r="1818" spans="5:9" x14ac:dyDescent="0.25">
      <c r="E1818" s="66"/>
      <c r="F1818" s="67"/>
      <c r="G1818" s="67"/>
      <c r="H1818" s="67"/>
      <c r="I1818" s="68"/>
    </row>
    <row r="1819" spans="5:9" x14ac:dyDescent="0.25">
      <c r="E1819" s="66"/>
      <c r="F1819" s="67"/>
      <c r="G1819" s="67"/>
      <c r="H1819" s="67"/>
      <c r="I1819" s="68"/>
    </row>
    <row r="1820" spans="5:9" x14ac:dyDescent="0.25">
      <c r="E1820" s="66"/>
      <c r="F1820" s="67"/>
      <c r="G1820" s="67"/>
      <c r="H1820" s="67"/>
      <c r="I1820" s="68"/>
    </row>
    <row r="1821" spans="5:9" x14ac:dyDescent="0.25">
      <c r="E1821" s="66"/>
      <c r="F1821" s="67"/>
      <c r="G1821" s="67"/>
      <c r="H1821" s="67"/>
      <c r="I1821" s="68"/>
    </row>
    <row r="1822" spans="5:9" x14ac:dyDescent="0.25">
      <c r="E1822" s="66"/>
      <c r="F1822" s="67"/>
      <c r="G1822" s="67"/>
      <c r="H1822" s="67"/>
      <c r="I1822" s="68"/>
    </row>
    <row r="1823" spans="5:9" x14ac:dyDescent="0.25">
      <c r="E1823" s="66"/>
      <c r="F1823" s="67"/>
      <c r="G1823" s="67"/>
      <c r="H1823" s="67"/>
      <c r="I1823" s="68"/>
    </row>
    <row r="1824" spans="5:9" x14ac:dyDescent="0.25">
      <c r="E1824" s="66"/>
      <c r="F1824" s="67"/>
      <c r="G1824" s="67"/>
      <c r="H1824" s="67"/>
      <c r="I1824" s="68"/>
    </row>
    <row r="1825" spans="5:9" x14ac:dyDescent="0.25">
      <c r="E1825" s="66"/>
      <c r="F1825" s="67"/>
      <c r="G1825" s="67"/>
      <c r="H1825" s="67"/>
      <c r="I1825" s="68"/>
    </row>
    <row r="1826" spans="5:9" x14ac:dyDescent="0.25">
      <c r="E1826" s="66"/>
      <c r="F1826" s="67"/>
      <c r="G1826" s="67"/>
      <c r="H1826" s="67"/>
      <c r="I1826" s="68"/>
    </row>
    <row r="1827" spans="5:9" x14ac:dyDescent="0.25">
      <c r="E1827" s="66"/>
      <c r="F1827" s="67"/>
      <c r="G1827" s="67"/>
      <c r="H1827" s="67"/>
      <c r="I1827" s="68"/>
    </row>
    <row r="1828" spans="5:9" x14ac:dyDescent="0.25">
      <c r="E1828" s="66"/>
      <c r="F1828" s="67"/>
      <c r="G1828" s="67"/>
      <c r="H1828" s="67"/>
      <c r="I1828" s="68"/>
    </row>
    <row r="1829" spans="5:9" x14ac:dyDescent="0.25">
      <c r="E1829" s="66"/>
      <c r="F1829" s="67"/>
      <c r="G1829" s="67"/>
      <c r="H1829" s="67"/>
      <c r="I1829" s="68"/>
    </row>
    <row r="1830" spans="5:9" x14ac:dyDescent="0.25">
      <c r="E1830" s="66"/>
      <c r="F1830" s="67"/>
      <c r="G1830" s="67"/>
      <c r="H1830" s="67"/>
      <c r="I1830" s="68"/>
    </row>
    <row r="1831" spans="5:9" x14ac:dyDescent="0.25">
      <c r="E1831" s="66"/>
      <c r="F1831" s="67"/>
      <c r="G1831" s="67"/>
      <c r="H1831" s="67"/>
      <c r="I1831" s="68"/>
    </row>
    <row r="1832" spans="5:9" x14ac:dyDescent="0.25">
      <c r="E1832" s="66"/>
      <c r="F1832" s="67"/>
      <c r="G1832" s="67"/>
      <c r="H1832" s="67"/>
      <c r="I1832" s="68"/>
    </row>
    <row r="1833" spans="5:9" x14ac:dyDescent="0.25">
      <c r="E1833" s="66"/>
      <c r="F1833" s="67"/>
      <c r="G1833" s="67"/>
      <c r="H1833" s="67"/>
      <c r="I1833" s="68"/>
    </row>
    <row r="1834" spans="5:9" x14ac:dyDescent="0.25">
      <c r="E1834" s="66"/>
      <c r="F1834" s="67"/>
      <c r="G1834" s="67"/>
      <c r="H1834" s="67"/>
      <c r="I1834" s="68"/>
    </row>
    <row r="1835" spans="5:9" x14ac:dyDescent="0.25">
      <c r="E1835" s="66"/>
      <c r="F1835" s="67"/>
      <c r="G1835" s="67"/>
      <c r="H1835" s="67"/>
      <c r="I1835" s="68"/>
    </row>
    <row r="1836" spans="5:9" x14ac:dyDescent="0.25">
      <c r="E1836" s="66"/>
      <c r="F1836" s="67"/>
      <c r="G1836" s="67"/>
      <c r="H1836" s="67"/>
      <c r="I1836" s="68"/>
    </row>
    <row r="1837" spans="5:9" x14ac:dyDescent="0.25">
      <c r="E1837" s="66"/>
      <c r="F1837" s="67"/>
      <c r="G1837" s="67"/>
      <c r="H1837" s="67"/>
      <c r="I1837" s="68"/>
    </row>
    <row r="1838" spans="5:9" x14ac:dyDescent="0.25">
      <c r="E1838" s="66"/>
      <c r="F1838" s="67"/>
      <c r="G1838" s="67"/>
      <c r="H1838" s="67"/>
      <c r="I1838" s="68"/>
    </row>
    <row r="1839" spans="5:9" x14ac:dyDescent="0.25">
      <c r="E1839" s="66"/>
      <c r="F1839" s="67"/>
      <c r="G1839" s="67"/>
      <c r="H1839" s="67"/>
      <c r="I1839" s="68"/>
    </row>
    <row r="1840" spans="5:9" x14ac:dyDescent="0.25">
      <c r="E1840" s="66"/>
      <c r="F1840" s="67"/>
      <c r="G1840" s="67"/>
      <c r="H1840" s="67"/>
      <c r="I1840" s="68"/>
    </row>
    <row r="1841" spans="5:9" x14ac:dyDescent="0.25">
      <c r="E1841" s="66"/>
      <c r="F1841" s="67"/>
      <c r="G1841" s="67"/>
      <c r="H1841" s="67"/>
      <c r="I1841" s="68"/>
    </row>
    <row r="1842" spans="5:9" x14ac:dyDescent="0.25">
      <c r="E1842" s="66"/>
      <c r="F1842" s="67"/>
      <c r="G1842" s="67"/>
      <c r="H1842" s="67"/>
      <c r="I1842" s="68"/>
    </row>
    <row r="1843" spans="5:9" x14ac:dyDescent="0.25">
      <c r="E1843" s="66"/>
      <c r="F1843" s="67"/>
      <c r="G1843" s="67"/>
      <c r="H1843" s="67"/>
      <c r="I1843" s="68"/>
    </row>
    <row r="1844" spans="5:9" x14ac:dyDescent="0.25">
      <c r="E1844" s="66"/>
      <c r="F1844" s="67"/>
      <c r="G1844" s="67"/>
      <c r="H1844" s="67"/>
      <c r="I1844" s="68"/>
    </row>
    <row r="1845" spans="5:9" x14ac:dyDescent="0.25">
      <c r="E1845" s="66"/>
      <c r="F1845" s="67"/>
      <c r="G1845" s="67"/>
      <c r="H1845" s="67"/>
      <c r="I1845" s="68"/>
    </row>
    <row r="1846" spans="5:9" x14ac:dyDescent="0.25">
      <c r="E1846" s="66"/>
      <c r="F1846" s="67"/>
      <c r="G1846" s="67"/>
      <c r="H1846" s="67"/>
      <c r="I1846" s="68"/>
    </row>
    <row r="1847" spans="5:9" x14ac:dyDescent="0.25">
      <c r="E1847" s="66"/>
      <c r="F1847" s="67"/>
      <c r="G1847" s="67"/>
      <c r="H1847" s="67"/>
      <c r="I1847" s="68"/>
    </row>
    <row r="1848" spans="5:9" x14ac:dyDescent="0.25">
      <c r="E1848" s="66"/>
      <c r="F1848" s="67"/>
      <c r="G1848" s="67"/>
      <c r="H1848" s="67"/>
      <c r="I1848" s="68"/>
    </row>
    <row r="1849" spans="5:9" x14ac:dyDescent="0.25">
      <c r="E1849" s="66"/>
      <c r="F1849" s="67"/>
      <c r="G1849" s="67"/>
      <c r="H1849" s="67"/>
      <c r="I1849" s="68"/>
    </row>
    <row r="1850" spans="5:9" x14ac:dyDescent="0.25">
      <c r="E1850" s="66"/>
      <c r="F1850" s="67"/>
      <c r="G1850" s="67"/>
      <c r="H1850" s="67"/>
      <c r="I1850" s="68"/>
    </row>
    <row r="1851" spans="5:9" x14ac:dyDescent="0.25">
      <c r="E1851" s="66"/>
      <c r="F1851" s="67"/>
      <c r="G1851" s="67"/>
      <c r="H1851" s="67"/>
      <c r="I1851" s="68"/>
    </row>
    <row r="1852" spans="5:9" x14ac:dyDescent="0.25">
      <c r="E1852" s="66"/>
      <c r="F1852" s="67"/>
      <c r="G1852" s="67"/>
      <c r="H1852" s="67"/>
      <c r="I1852" s="68"/>
    </row>
    <row r="1853" spans="5:9" x14ac:dyDescent="0.25">
      <c r="E1853" s="66"/>
      <c r="F1853" s="67"/>
      <c r="G1853" s="67"/>
      <c r="H1853" s="67"/>
      <c r="I1853" s="68"/>
    </row>
    <row r="1854" spans="5:9" x14ac:dyDescent="0.25">
      <c r="E1854" s="66"/>
      <c r="F1854" s="67"/>
      <c r="G1854" s="67"/>
      <c r="H1854" s="67"/>
      <c r="I1854" s="68"/>
    </row>
    <row r="1855" spans="5:9" x14ac:dyDescent="0.25">
      <c r="E1855" s="66"/>
      <c r="F1855" s="67"/>
      <c r="G1855" s="67"/>
      <c r="H1855" s="67"/>
      <c r="I1855" s="68"/>
    </row>
    <row r="1856" spans="5:9" x14ac:dyDescent="0.25">
      <c r="E1856" s="66"/>
      <c r="F1856" s="67"/>
      <c r="G1856" s="67"/>
      <c r="H1856" s="67"/>
      <c r="I1856" s="68"/>
    </row>
    <row r="1857" spans="5:9" x14ac:dyDescent="0.25">
      <c r="E1857" s="66"/>
      <c r="F1857" s="67"/>
      <c r="G1857" s="67"/>
      <c r="H1857" s="67"/>
      <c r="I1857" s="68"/>
    </row>
    <row r="1858" spans="5:9" x14ac:dyDescent="0.25">
      <c r="E1858" s="66"/>
      <c r="F1858" s="67"/>
      <c r="G1858" s="67"/>
      <c r="H1858" s="67"/>
      <c r="I1858" s="68"/>
    </row>
    <row r="1859" spans="5:9" x14ac:dyDescent="0.25">
      <c r="E1859" s="66"/>
      <c r="F1859" s="67"/>
      <c r="G1859" s="67"/>
      <c r="H1859" s="67"/>
      <c r="I1859" s="68"/>
    </row>
    <row r="1860" spans="5:9" x14ac:dyDescent="0.25">
      <c r="E1860" s="66"/>
      <c r="F1860" s="67"/>
      <c r="G1860" s="67"/>
      <c r="H1860" s="67"/>
      <c r="I1860" s="68"/>
    </row>
    <row r="1861" spans="5:9" x14ac:dyDescent="0.25">
      <c r="E1861" s="66"/>
      <c r="F1861" s="67"/>
      <c r="G1861" s="67"/>
      <c r="H1861" s="67"/>
      <c r="I1861" s="68"/>
    </row>
    <row r="1862" spans="5:9" x14ac:dyDescent="0.25">
      <c r="E1862" s="66"/>
      <c r="F1862" s="67"/>
      <c r="G1862" s="67"/>
      <c r="H1862" s="67"/>
      <c r="I1862" s="68"/>
    </row>
    <row r="1863" spans="5:9" x14ac:dyDescent="0.25">
      <c r="E1863" s="66"/>
      <c r="F1863" s="67"/>
      <c r="G1863" s="67"/>
      <c r="H1863" s="67"/>
      <c r="I1863" s="68"/>
    </row>
    <row r="1864" spans="5:9" x14ac:dyDescent="0.25">
      <c r="E1864" s="66"/>
      <c r="F1864" s="67"/>
      <c r="G1864" s="67"/>
      <c r="H1864" s="67"/>
      <c r="I1864" s="68"/>
    </row>
    <row r="1865" spans="5:9" x14ac:dyDescent="0.25">
      <c r="E1865" s="66"/>
      <c r="F1865" s="67"/>
      <c r="G1865" s="67"/>
      <c r="H1865" s="67"/>
      <c r="I1865" s="68"/>
    </row>
    <row r="1866" spans="5:9" x14ac:dyDescent="0.25">
      <c r="E1866" s="66"/>
      <c r="F1866" s="67"/>
      <c r="G1866" s="67"/>
      <c r="H1866" s="67"/>
      <c r="I1866" s="68"/>
    </row>
    <row r="1867" spans="5:9" x14ac:dyDescent="0.25">
      <c r="E1867" s="66"/>
      <c r="F1867" s="67"/>
      <c r="G1867" s="67"/>
      <c r="H1867" s="67"/>
      <c r="I1867" s="68"/>
    </row>
    <row r="1868" spans="5:9" x14ac:dyDescent="0.25">
      <c r="E1868" s="66"/>
      <c r="F1868" s="67"/>
      <c r="G1868" s="67"/>
      <c r="H1868" s="67"/>
      <c r="I1868" s="68"/>
    </row>
    <row r="1869" spans="5:9" x14ac:dyDescent="0.25">
      <c r="E1869" s="66"/>
      <c r="F1869" s="67"/>
      <c r="G1869" s="67"/>
      <c r="H1869" s="67"/>
      <c r="I1869" s="68"/>
    </row>
    <row r="1870" spans="5:9" x14ac:dyDescent="0.25">
      <c r="E1870" s="66"/>
      <c r="F1870" s="67"/>
      <c r="G1870" s="67"/>
      <c r="H1870" s="67"/>
      <c r="I1870" s="68"/>
    </row>
    <row r="1871" spans="5:9" x14ac:dyDescent="0.25">
      <c r="E1871" s="66"/>
      <c r="F1871" s="67"/>
      <c r="G1871" s="67"/>
      <c r="H1871" s="67"/>
      <c r="I1871" s="68"/>
    </row>
    <row r="1872" spans="5:9" x14ac:dyDescent="0.25">
      <c r="E1872" s="66"/>
      <c r="F1872" s="67"/>
      <c r="G1872" s="67"/>
      <c r="H1872" s="67"/>
      <c r="I1872" s="68"/>
    </row>
    <row r="1873" spans="5:9" x14ac:dyDescent="0.25">
      <c r="E1873" s="66"/>
      <c r="F1873" s="67"/>
      <c r="G1873" s="67"/>
      <c r="H1873" s="67"/>
      <c r="I1873" s="68"/>
    </row>
    <row r="1874" spans="5:9" x14ac:dyDescent="0.25">
      <c r="E1874" s="66"/>
      <c r="F1874" s="67"/>
      <c r="G1874" s="67"/>
      <c r="H1874" s="67"/>
      <c r="I1874" s="68"/>
    </row>
    <row r="1875" spans="5:9" x14ac:dyDescent="0.25">
      <c r="E1875" s="66"/>
      <c r="F1875" s="67"/>
      <c r="G1875" s="67"/>
      <c r="H1875" s="67"/>
      <c r="I1875" s="68"/>
    </row>
    <row r="1876" spans="5:9" x14ac:dyDescent="0.25">
      <c r="E1876" s="66"/>
      <c r="F1876" s="67"/>
      <c r="G1876" s="67"/>
      <c r="H1876" s="67"/>
      <c r="I1876" s="68"/>
    </row>
    <row r="1877" spans="5:9" x14ac:dyDescent="0.25">
      <c r="E1877" s="66"/>
      <c r="F1877" s="67"/>
      <c r="G1877" s="67"/>
      <c r="H1877" s="67"/>
      <c r="I1877" s="68"/>
    </row>
    <row r="1878" spans="5:9" x14ac:dyDescent="0.25">
      <c r="E1878" s="66"/>
      <c r="F1878" s="67"/>
      <c r="G1878" s="67"/>
      <c r="H1878" s="67"/>
      <c r="I1878" s="68"/>
    </row>
    <row r="1879" spans="5:9" x14ac:dyDescent="0.25">
      <c r="E1879" s="66"/>
      <c r="F1879" s="67"/>
      <c r="G1879" s="67"/>
      <c r="H1879" s="67"/>
      <c r="I1879" s="68"/>
    </row>
    <row r="1880" spans="5:9" x14ac:dyDescent="0.25">
      <c r="E1880" s="66"/>
      <c r="F1880" s="67"/>
      <c r="G1880" s="67"/>
      <c r="H1880" s="67"/>
      <c r="I1880" s="68"/>
    </row>
    <row r="1881" spans="5:9" x14ac:dyDescent="0.25">
      <c r="E1881" s="66"/>
      <c r="F1881" s="67"/>
      <c r="G1881" s="67"/>
      <c r="H1881" s="67"/>
      <c r="I1881" s="68"/>
    </row>
    <row r="1882" spans="5:9" x14ac:dyDescent="0.25">
      <c r="E1882" s="66"/>
      <c r="F1882" s="67"/>
      <c r="G1882" s="67"/>
      <c r="H1882" s="67"/>
      <c r="I1882" s="68"/>
    </row>
    <row r="1883" spans="5:9" x14ac:dyDescent="0.25">
      <c r="E1883" s="66"/>
      <c r="F1883" s="67"/>
      <c r="G1883" s="67"/>
      <c r="H1883" s="67"/>
      <c r="I1883" s="68"/>
    </row>
    <row r="1884" spans="5:9" x14ac:dyDescent="0.25">
      <c r="E1884" s="66"/>
      <c r="F1884" s="67"/>
      <c r="G1884" s="67"/>
      <c r="H1884" s="67"/>
      <c r="I1884" s="68"/>
    </row>
    <row r="1885" spans="5:9" x14ac:dyDescent="0.25">
      <c r="E1885" s="66"/>
      <c r="F1885" s="67"/>
      <c r="G1885" s="67"/>
      <c r="H1885" s="67"/>
      <c r="I1885" s="68"/>
    </row>
    <row r="1886" spans="5:9" x14ac:dyDescent="0.25">
      <c r="E1886" s="66"/>
      <c r="F1886" s="67"/>
      <c r="G1886" s="67"/>
      <c r="H1886" s="67"/>
      <c r="I1886" s="68"/>
    </row>
    <row r="1887" spans="5:9" x14ac:dyDescent="0.25">
      <c r="E1887" s="66"/>
      <c r="F1887" s="67"/>
      <c r="G1887" s="67"/>
      <c r="H1887" s="67"/>
      <c r="I1887" s="68"/>
    </row>
    <row r="1888" spans="5:9" x14ac:dyDescent="0.25">
      <c r="E1888" s="66"/>
      <c r="F1888" s="67"/>
      <c r="G1888" s="67"/>
      <c r="H1888" s="67"/>
      <c r="I1888" s="68"/>
    </row>
    <row r="1889" spans="5:9" x14ac:dyDescent="0.25">
      <c r="E1889" s="66"/>
      <c r="F1889" s="67"/>
      <c r="G1889" s="67"/>
      <c r="H1889" s="67"/>
      <c r="I1889" s="68"/>
    </row>
    <row r="1890" spans="5:9" x14ac:dyDescent="0.25">
      <c r="E1890" s="66"/>
      <c r="F1890" s="67"/>
      <c r="G1890" s="67"/>
      <c r="H1890" s="67"/>
      <c r="I1890" s="68"/>
    </row>
    <row r="1891" spans="5:9" x14ac:dyDescent="0.25">
      <c r="E1891" s="66"/>
      <c r="F1891" s="67"/>
      <c r="G1891" s="67"/>
      <c r="H1891" s="67"/>
      <c r="I1891" s="68"/>
    </row>
    <row r="1892" spans="5:9" x14ac:dyDescent="0.25">
      <c r="E1892" s="66"/>
      <c r="F1892" s="67"/>
      <c r="G1892" s="67"/>
      <c r="H1892" s="67"/>
      <c r="I1892" s="68"/>
    </row>
    <row r="1893" spans="5:9" x14ac:dyDescent="0.25">
      <c r="E1893" s="66"/>
      <c r="F1893" s="67"/>
      <c r="G1893" s="67"/>
      <c r="H1893" s="67"/>
      <c r="I1893" s="68"/>
    </row>
    <row r="1894" spans="5:9" x14ac:dyDescent="0.25">
      <c r="E1894" s="66"/>
      <c r="F1894" s="67"/>
      <c r="G1894" s="67"/>
      <c r="H1894" s="67"/>
      <c r="I1894" s="68"/>
    </row>
    <row r="1895" spans="5:9" x14ac:dyDescent="0.25">
      <c r="E1895" s="66"/>
      <c r="F1895" s="67"/>
      <c r="G1895" s="67"/>
      <c r="H1895" s="67"/>
      <c r="I1895" s="68"/>
    </row>
    <row r="1896" spans="5:9" x14ac:dyDescent="0.25">
      <c r="E1896" s="66"/>
      <c r="F1896" s="67"/>
      <c r="G1896" s="67"/>
      <c r="H1896" s="67"/>
      <c r="I1896" s="68"/>
    </row>
    <row r="1897" spans="5:9" x14ac:dyDescent="0.25">
      <c r="E1897" s="66"/>
      <c r="F1897" s="67"/>
      <c r="G1897" s="67"/>
      <c r="H1897" s="67"/>
      <c r="I1897" s="68"/>
    </row>
    <row r="1898" spans="5:9" x14ac:dyDescent="0.25">
      <c r="E1898" s="66"/>
      <c r="F1898" s="67"/>
      <c r="G1898" s="67"/>
      <c r="H1898" s="67"/>
      <c r="I1898" s="68"/>
    </row>
    <row r="1899" spans="5:9" x14ac:dyDescent="0.25">
      <c r="E1899" s="66"/>
      <c r="F1899" s="67"/>
      <c r="G1899" s="67"/>
      <c r="H1899" s="67"/>
      <c r="I1899" s="68"/>
    </row>
    <row r="1900" spans="5:9" x14ac:dyDescent="0.25">
      <c r="E1900" s="66"/>
      <c r="F1900" s="67"/>
      <c r="G1900" s="67"/>
      <c r="H1900" s="67"/>
      <c r="I1900" s="68"/>
    </row>
    <row r="1901" spans="5:9" x14ac:dyDescent="0.25">
      <c r="E1901" s="66"/>
      <c r="F1901" s="67"/>
      <c r="G1901" s="67"/>
      <c r="H1901" s="67"/>
      <c r="I1901" s="68"/>
    </row>
    <row r="1902" spans="5:9" x14ac:dyDescent="0.25">
      <c r="E1902" s="66"/>
      <c r="F1902" s="67"/>
      <c r="G1902" s="67"/>
      <c r="H1902" s="67"/>
      <c r="I1902" s="68"/>
    </row>
    <row r="1903" spans="5:9" x14ac:dyDescent="0.25">
      <c r="E1903" s="66"/>
      <c r="F1903" s="67"/>
      <c r="G1903" s="67"/>
      <c r="H1903" s="67"/>
      <c r="I1903" s="68"/>
    </row>
    <row r="1904" spans="5:9" x14ac:dyDescent="0.25">
      <c r="E1904" s="66"/>
      <c r="F1904" s="67"/>
      <c r="G1904" s="67"/>
      <c r="H1904" s="67"/>
      <c r="I1904" s="68"/>
    </row>
    <row r="1905" spans="5:9" x14ac:dyDescent="0.25">
      <c r="E1905" s="66"/>
      <c r="F1905" s="67"/>
      <c r="G1905" s="67"/>
      <c r="H1905" s="67"/>
      <c r="I1905" s="68"/>
    </row>
    <row r="1906" spans="5:9" x14ac:dyDescent="0.25">
      <c r="E1906" s="66"/>
      <c r="F1906" s="67"/>
      <c r="G1906" s="67"/>
      <c r="H1906" s="67"/>
      <c r="I1906" s="68"/>
    </row>
    <row r="1907" spans="5:9" x14ac:dyDescent="0.25">
      <c r="E1907" s="66"/>
      <c r="F1907" s="67"/>
      <c r="G1907" s="67"/>
      <c r="H1907" s="67"/>
      <c r="I1907" s="68"/>
    </row>
    <row r="1908" spans="5:9" x14ac:dyDescent="0.25">
      <c r="E1908" s="66"/>
      <c r="F1908" s="67"/>
      <c r="G1908" s="67"/>
      <c r="H1908" s="67"/>
      <c r="I1908" s="68"/>
    </row>
    <row r="1909" spans="5:9" x14ac:dyDescent="0.25">
      <c r="E1909" s="66"/>
      <c r="F1909" s="67"/>
      <c r="G1909" s="67"/>
      <c r="H1909" s="67"/>
      <c r="I1909" s="68"/>
    </row>
    <row r="1910" spans="5:9" x14ac:dyDescent="0.25">
      <c r="E1910" s="66"/>
      <c r="F1910" s="67"/>
      <c r="G1910" s="67"/>
      <c r="H1910" s="67"/>
      <c r="I1910" s="68"/>
    </row>
    <row r="1911" spans="5:9" x14ac:dyDescent="0.25">
      <c r="E1911" s="66"/>
      <c r="F1911" s="67"/>
      <c r="G1911" s="67"/>
      <c r="H1911" s="67"/>
      <c r="I1911" s="68"/>
    </row>
    <row r="1912" spans="5:9" x14ac:dyDescent="0.25">
      <c r="E1912" s="66"/>
      <c r="F1912" s="67"/>
      <c r="G1912" s="67"/>
      <c r="H1912" s="67"/>
      <c r="I1912" s="68"/>
    </row>
    <row r="1913" spans="5:9" x14ac:dyDescent="0.25">
      <c r="E1913" s="66"/>
      <c r="F1913" s="67"/>
      <c r="G1913" s="67"/>
      <c r="H1913" s="67"/>
      <c r="I1913" s="68"/>
    </row>
    <row r="1914" spans="5:9" x14ac:dyDescent="0.25">
      <c r="E1914" s="66"/>
      <c r="F1914" s="67"/>
      <c r="G1914" s="67"/>
      <c r="H1914" s="67"/>
      <c r="I1914" s="68"/>
    </row>
    <row r="1915" spans="5:9" x14ac:dyDescent="0.25">
      <c r="E1915" s="66"/>
      <c r="F1915" s="67"/>
      <c r="G1915" s="67"/>
      <c r="H1915" s="67"/>
      <c r="I1915" s="68"/>
    </row>
    <row r="1916" spans="5:9" x14ac:dyDescent="0.25">
      <c r="E1916" s="66"/>
      <c r="F1916" s="67"/>
      <c r="G1916" s="67"/>
      <c r="H1916" s="67"/>
      <c r="I1916" s="68"/>
    </row>
    <row r="1917" spans="5:9" x14ac:dyDescent="0.25">
      <c r="E1917" s="66"/>
      <c r="F1917" s="67"/>
      <c r="G1917" s="67"/>
      <c r="H1917" s="67"/>
      <c r="I1917" s="68"/>
    </row>
    <row r="1918" spans="5:9" x14ac:dyDescent="0.25">
      <c r="E1918" s="66"/>
      <c r="F1918" s="67"/>
      <c r="G1918" s="67"/>
      <c r="H1918" s="67"/>
      <c r="I1918" s="68"/>
    </row>
    <row r="1919" spans="5:9" x14ac:dyDescent="0.25">
      <c r="E1919" s="66"/>
      <c r="F1919" s="67"/>
      <c r="G1919" s="67"/>
      <c r="H1919" s="67"/>
      <c r="I1919" s="68"/>
    </row>
    <row r="1920" spans="5:9" x14ac:dyDescent="0.25">
      <c r="E1920" s="66"/>
      <c r="F1920" s="67"/>
      <c r="G1920" s="67"/>
      <c r="H1920" s="67"/>
      <c r="I1920" s="68"/>
    </row>
    <row r="1921" spans="5:9" x14ac:dyDescent="0.25">
      <c r="E1921" s="66"/>
      <c r="F1921" s="67"/>
      <c r="G1921" s="67"/>
      <c r="H1921" s="67"/>
      <c r="I1921" s="68"/>
    </row>
    <row r="1922" spans="5:9" x14ac:dyDescent="0.25">
      <c r="E1922" s="66"/>
      <c r="F1922" s="67"/>
      <c r="G1922" s="67"/>
      <c r="H1922" s="67"/>
      <c r="I1922" s="68"/>
    </row>
    <row r="1923" spans="5:9" x14ac:dyDescent="0.25">
      <c r="E1923" s="66"/>
      <c r="F1923" s="67"/>
      <c r="G1923" s="67"/>
      <c r="H1923" s="67"/>
      <c r="I1923" s="68"/>
    </row>
    <row r="1924" spans="5:9" x14ac:dyDescent="0.25">
      <c r="E1924" s="66"/>
      <c r="F1924" s="67"/>
      <c r="G1924" s="67"/>
      <c r="H1924" s="67"/>
      <c r="I1924" s="68"/>
    </row>
    <row r="1925" spans="5:9" x14ac:dyDescent="0.25">
      <c r="E1925" s="66"/>
      <c r="F1925" s="67"/>
      <c r="G1925" s="67"/>
      <c r="H1925" s="67"/>
      <c r="I1925" s="68"/>
    </row>
    <row r="1926" spans="5:9" x14ac:dyDescent="0.25">
      <c r="E1926" s="66"/>
      <c r="F1926" s="67"/>
      <c r="G1926" s="67"/>
      <c r="H1926" s="67"/>
      <c r="I1926" s="68"/>
    </row>
    <row r="1927" spans="5:9" x14ac:dyDescent="0.25">
      <c r="E1927" s="66"/>
      <c r="F1927" s="67"/>
      <c r="G1927" s="67"/>
      <c r="H1927" s="67"/>
      <c r="I1927" s="68"/>
    </row>
    <row r="1928" spans="5:9" x14ac:dyDescent="0.25">
      <c r="E1928" s="66"/>
      <c r="F1928" s="67"/>
      <c r="G1928" s="67"/>
      <c r="H1928" s="67"/>
      <c r="I1928" s="68"/>
    </row>
    <row r="1929" spans="5:9" x14ac:dyDescent="0.25">
      <c r="E1929" s="66"/>
      <c r="F1929" s="67"/>
      <c r="G1929" s="67"/>
      <c r="H1929" s="67"/>
      <c r="I1929" s="68"/>
    </row>
    <row r="1930" spans="5:9" x14ac:dyDescent="0.25">
      <c r="E1930" s="66"/>
      <c r="F1930" s="67"/>
      <c r="G1930" s="67"/>
      <c r="H1930" s="67"/>
      <c r="I1930" s="68"/>
    </row>
    <row r="1931" spans="5:9" x14ac:dyDescent="0.25">
      <c r="E1931" s="66"/>
      <c r="F1931" s="67"/>
      <c r="G1931" s="67"/>
      <c r="H1931" s="67"/>
      <c r="I1931" s="68"/>
    </row>
    <row r="1932" spans="5:9" x14ac:dyDescent="0.25">
      <c r="E1932" s="66"/>
      <c r="F1932" s="67"/>
      <c r="G1932" s="67"/>
      <c r="H1932" s="67"/>
      <c r="I1932" s="68"/>
    </row>
    <row r="1933" spans="5:9" x14ac:dyDescent="0.25">
      <c r="E1933" s="66"/>
      <c r="F1933" s="67"/>
      <c r="G1933" s="67"/>
      <c r="H1933" s="67"/>
      <c r="I1933" s="68"/>
    </row>
    <row r="1934" spans="5:9" x14ac:dyDescent="0.25">
      <c r="E1934" s="66"/>
      <c r="F1934" s="67"/>
      <c r="G1934" s="67"/>
      <c r="H1934" s="67"/>
      <c r="I1934" s="68"/>
    </row>
    <row r="1935" spans="5:9" x14ac:dyDescent="0.25">
      <c r="E1935" s="66"/>
      <c r="F1935" s="67"/>
      <c r="G1935" s="67"/>
      <c r="H1935" s="67"/>
      <c r="I1935" s="68"/>
    </row>
    <row r="1936" spans="5:9" x14ac:dyDescent="0.25">
      <c r="E1936" s="66"/>
      <c r="F1936" s="67"/>
      <c r="G1936" s="67"/>
      <c r="H1936" s="67"/>
      <c r="I1936" s="68"/>
    </row>
    <row r="1937" spans="5:9" x14ac:dyDescent="0.25">
      <c r="E1937" s="66"/>
      <c r="F1937" s="67"/>
      <c r="G1937" s="67"/>
      <c r="H1937" s="67"/>
      <c r="I1937" s="68"/>
    </row>
    <row r="1938" spans="5:9" x14ac:dyDescent="0.25">
      <c r="E1938" s="66"/>
      <c r="F1938" s="67"/>
      <c r="G1938" s="67"/>
      <c r="H1938" s="67"/>
      <c r="I1938" s="68"/>
    </row>
    <row r="1939" spans="5:9" x14ac:dyDescent="0.25">
      <c r="E1939" s="66"/>
      <c r="F1939" s="67"/>
      <c r="G1939" s="67"/>
      <c r="H1939" s="67"/>
      <c r="I1939" s="68"/>
    </row>
    <row r="1940" spans="5:9" x14ac:dyDescent="0.25">
      <c r="E1940" s="66"/>
      <c r="F1940" s="67"/>
      <c r="G1940" s="67"/>
      <c r="H1940" s="67"/>
      <c r="I1940" s="68"/>
    </row>
    <row r="1941" spans="5:9" x14ac:dyDescent="0.25">
      <c r="E1941" s="66"/>
      <c r="F1941" s="67"/>
      <c r="G1941" s="67"/>
      <c r="H1941" s="67"/>
      <c r="I1941" s="68"/>
    </row>
    <row r="1942" spans="5:9" x14ac:dyDescent="0.25">
      <c r="E1942" s="66"/>
      <c r="F1942" s="67"/>
      <c r="G1942" s="67"/>
      <c r="H1942" s="67"/>
      <c r="I1942" s="68"/>
    </row>
    <row r="1943" spans="5:9" x14ac:dyDescent="0.25">
      <c r="E1943" s="66"/>
      <c r="F1943" s="67"/>
      <c r="G1943" s="67"/>
      <c r="H1943" s="67"/>
      <c r="I1943" s="68"/>
    </row>
    <row r="1944" spans="5:9" x14ac:dyDescent="0.25">
      <c r="E1944" s="66"/>
      <c r="F1944" s="67"/>
      <c r="G1944" s="67"/>
      <c r="H1944" s="67"/>
      <c r="I1944" s="68"/>
    </row>
    <row r="1945" spans="5:9" x14ac:dyDescent="0.25">
      <c r="E1945" s="66"/>
      <c r="F1945" s="67"/>
      <c r="G1945" s="67"/>
      <c r="H1945" s="67"/>
      <c r="I1945" s="68"/>
    </row>
    <row r="1946" spans="5:9" x14ac:dyDescent="0.25">
      <c r="E1946" s="66"/>
      <c r="F1946" s="67"/>
      <c r="G1946" s="67"/>
      <c r="H1946" s="67"/>
      <c r="I1946" s="68"/>
    </row>
    <row r="1947" spans="5:9" x14ac:dyDescent="0.25">
      <c r="E1947" s="66"/>
      <c r="F1947" s="67"/>
      <c r="G1947" s="67"/>
      <c r="H1947" s="67"/>
      <c r="I1947" s="68"/>
    </row>
    <row r="1948" spans="5:9" x14ac:dyDescent="0.25">
      <c r="E1948" s="66"/>
      <c r="F1948" s="67"/>
      <c r="G1948" s="67"/>
      <c r="H1948" s="67"/>
      <c r="I1948" s="68"/>
    </row>
    <row r="1949" spans="5:9" x14ac:dyDescent="0.25">
      <c r="E1949" s="66"/>
      <c r="F1949" s="67"/>
      <c r="G1949" s="67"/>
      <c r="H1949" s="67"/>
      <c r="I1949" s="68"/>
    </row>
    <row r="1950" spans="5:9" x14ac:dyDescent="0.25">
      <c r="E1950" s="66"/>
      <c r="F1950" s="67"/>
      <c r="G1950" s="67"/>
      <c r="H1950" s="67"/>
      <c r="I1950" s="68"/>
    </row>
    <row r="1951" spans="5:9" x14ac:dyDescent="0.25">
      <c r="E1951" s="66"/>
      <c r="F1951" s="67"/>
      <c r="G1951" s="67"/>
      <c r="H1951" s="67"/>
      <c r="I1951" s="68"/>
    </row>
    <row r="1952" spans="5:9" x14ac:dyDescent="0.25">
      <c r="E1952" s="66"/>
      <c r="F1952" s="67"/>
      <c r="G1952" s="67"/>
      <c r="H1952" s="67"/>
      <c r="I1952" s="68"/>
    </row>
    <row r="1953" spans="5:9" x14ac:dyDescent="0.25">
      <c r="E1953" s="66"/>
      <c r="F1953" s="67"/>
      <c r="G1953" s="67"/>
      <c r="H1953" s="67"/>
      <c r="I1953" s="68"/>
    </row>
    <row r="1954" spans="5:9" x14ac:dyDescent="0.25">
      <c r="E1954" s="66"/>
      <c r="F1954" s="67"/>
      <c r="G1954" s="67"/>
      <c r="H1954" s="67"/>
      <c r="I1954" s="68"/>
    </row>
    <row r="1955" spans="5:9" x14ac:dyDescent="0.25">
      <c r="E1955" s="66"/>
      <c r="F1955" s="67"/>
      <c r="G1955" s="67"/>
      <c r="H1955" s="67"/>
      <c r="I1955" s="68"/>
    </row>
    <row r="1956" spans="5:9" x14ac:dyDescent="0.25">
      <c r="E1956" s="66"/>
      <c r="F1956" s="67"/>
      <c r="G1956" s="67"/>
      <c r="H1956" s="67"/>
      <c r="I1956" s="68"/>
    </row>
    <row r="1957" spans="5:9" x14ac:dyDescent="0.25">
      <c r="E1957" s="66"/>
      <c r="F1957" s="67"/>
      <c r="G1957" s="67"/>
      <c r="H1957" s="67"/>
      <c r="I1957" s="68"/>
    </row>
    <row r="1958" spans="5:9" x14ac:dyDescent="0.25">
      <c r="E1958" s="66"/>
      <c r="F1958" s="67"/>
      <c r="G1958" s="67"/>
      <c r="H1958" s="67"/>
      <c r="I1958" s="68"/>
    </row>
    <row r="1959" spans="5:9" x14ac:dyDescent="0.25">
      <c r="E1959" s="66"/>
      <c r="F1959" s="67"/>
      <c r="G1959" s="67"/>
      <c r="H1959" s="67"/>
      <c r="I1959" s="68"/>
    </row>
    <row r="1960" spans="5:9" x14ac:dyDescent="0.25">
      <c r="E1960" s="66"/>
      <c r="F1960" s="67"/>
      <c r="G1960" s="67"/>
      <c r="H1960" s="67"/>
      <c r="I1960" s="68"/>
    </row>
    <row r="1961" spans="5:9" x14ac:dyDescent="0.25">
      <c r="E1961" s="66"/>
      <c r="F1961" s="67"/>
      <c r="G1961" s="67"/>
      <c r="H1961" s="67"/>
      <c r="I1961" s="68"/>
    </row>
    <row r="1962" spans="5:9" x14ac:dyDescent="0.25">
      <c r="E1962" s="66"/>
      <c r="F1962" s="67"/>
      <c r="G1962" s="67"/>
      <c r="H1962" s="67"/>
      <c r="I1962" s="68"/>
    </row>
    <row r="1963" spans="5:9" x14ac:dyDescent="0.25">
      <c r="E1963" s="66"/>
      <c r="F1963" s="67"/>
      <c r="G1963" s="67"/>
      <c r="H1963" s="67"/>
      <c r="I1963" s="68"/>
    </row>
    <row r="1964" spans="5:9" x14ac:dyDescent="0.25">
      <c r="E1964" s="66"/>
      <c r="F1964" s="67"/>
      <c r="G1964" s="67"/>
      <c r="H1964" s="67"/>
      <c r="I1964" s="68"/>
    </row>
    <row r="1965" spans="5:9" x14ac:dyDescent="0.25">
      <c r="E1965" s="66"/>
      <c r="F1965" s="67"/>
      <c r="G1965" s="67"/>
      <c r="H1965" s="67"/>
      <c r="I1965" s="68"/>
    </row>
    <row r="1966" spans="5:9" x14ac:dyDescent="0.25">
      <c r="E1966" s="66"/>
      <c r="F1966" s="67"/>
      <c r="G1966" s="67"/>
      <c r="H1966" s="67"/>
      <c r="I1966" s="68"/>
    </row>
    <row r="1967" spans="5:9" x14ac:dyDescent="0.25">
      <c r="E1967" s="66"/>
      <c r="F1967" s="67"/>
      <c r="G1967" s="67"/>
      <c r="H1967" s="67"/>
      <c r="I1967" s="68"/>
    </row>
    <row r="1968" spans="5:9" x14ac:dyDescent="0.25">
      <c r="E1968" s="66"/>
      <c r="F1968" s="67"/>
      <c r="G1968" s="67"/>
      <c r="H1968" s="67"/>
      <c r="I1968" s="68"/>
    </row>
    <row r="1969" spans="5:9" x14ac:dyDescent="0.25">
      <c r="E1969" s="66"/>
      <c r="F1969" s="67"/>
      <c r="G1969" s="67"/>
      <c r="H1969" s="67"/>
      <c r="I1969" s="68"/>
    </row>
    <row r="1970" spans="5:9" x14ac:dyDescent="0.25">
      <c r="E1970" s="66"/>
      <c r="F1970" s="67"/>
      <c r="G1970" s="67"/>
      <c r="H1970" s="67"/>
      <c r="I1970" s="68"/>
    </row>
    <row r="1971" spans="5:9" x14ac:dyDescent="0.25">
      <c r="E1971" s="66"/>
      <c r="F1971" s="67"/>
      <c r="G1971" s="67"/>
      <c r="H1971" s="67"/>
      <c r="I1971" s="68"/>
    </row>
    <row r="1972" spans="5:9" x14ac:dyDescent="0.25">
      <c r="E1972" s="66"/>
      <c r="F1972" s="67"/>
      <c r="G1972" s="67"/>
      <c r="H1972" s="67"/>
      <c r="I1972" s="68"/>
    </row>
    <row r="1973" spans="5:9" x14ac:dyDescent="0.25">
      <c r="E1973" s="66"/>
      <c r="F1973" s="67"/>
      <c r="G1973" s="67"/>
      <c r="H1973" s="67"/>
      <c r="I1973" s="68"/>
    </row>
    <row r="1974" spans="5:9" x14ac:dyDescent="0.25">
      <c r="E1974" s="66"/>
      <c r="F1974" s="67"/>
      <c r="G1974" s="67"/>
      <c r="H1974" s="67"/>
      <c r="I1974" s="68"/>
    </row>
    <row r="1975" spans="5:9" x14ac:dyDescent="0.25">
      <c r="E1975" s="66"/>
      <c r="F1975" s="67"/>
      <c r="G1975" s="67"/>
      <c r="H1975" s="67"/>
      <c r="I1975" s="68"/>
    </row>
    <row r="1976" spans="5:9" x14ac:dyDescent="0.25">
      <c r="E1976" s="66"/>
      <c r="F1976" s="67"/>
      <c r="G1976" s="67"/>
      <c r="H1976" s="67"/>
      <c r="I1976" s="68"/>
    </row>
    <row r="1977" spans="5:9" x14ac:dyDescent="0.25">
      <c r="E1977" s="66"/>
      <c r="F1977" s="67"/>
      <c r="G1977" s="67"/>
      <c r="H1977" s="67"/>
      <c r="I1977" s="68"/>
    </row>
    <row r="1978" spans="5:9" x14ac:dyDescent="0.25">
      <c r="E1978" s="66"/>
      <c r="F1978" s="67"/>
      <c r="G1978" s="67"/>
      <c r="H1978" s="67"/>
      <c r="I1978" s="68"/>
    </row>
    <row r="1979" spans="5:9" x14ac:dyDescent="0.25">
      <c r="E1979" s="66"/>
      <c r="F1979" s="67"/>
      <c r="G1979" s="67"/>
      <c r="H1979" s="67"/>
      <c r="I1979" s="68"/>
    </row>
    <row r="1980" spans="5:9" x14ac:dyDescent="0.25">
      <c r="E1980" s="66"/>
      <c r="F1980" s="67"/>
      <c r="G1980" s="67"/>
      <c r="H1980" s="67"/>
      <c r="I1980" s="68"/>
    </row>
    <row r="1981" spans="5:9" x14ac:dyDescent="0.25">
      <c r="E1981" s="66"/>
      <c r="F1981" s="67"/>
      <c r="G1981" s="67"/>
      <c r="H1981" s="67"/>
      <c r="I1981" s="68"/>
    </row>
    <row r="1982" spans="5:9" x14ac:dyDescent="0.25">
      <c r="E1982" s="66"/>
      <c r="F1982" s="67"/>
      <c r="G1982" s="67"/>
      <c r="H1982" s="67"/>
      <c r="I1982" s="68"/>
    </row>
    <row r="1983" spans="5:9" x14ac:dyDescent="0.25">
      <c r="E1983" s="66"/>
      <c r="F1983" s="67"/>
      <c r="G1983" s="67"/>
      <c r="H1983" s="67"/>
      <c r="I1983" s="68"/>
    </row>
    <row r="1984" spans="5:9" x14ac:dyDescent="0.25">
      <c r="E1984" s="66"/>
      <c r="F1984" s="67"/>
      <c r="G1984" s="67"/>
      <c r="H1984" s="67"/>
      <c r="I1984" s="68"/>
    </row>
    <row r="1985" spans="5:9" x14ac:dyDescent="0.25">
      <c r="E1985" s="66"/>
      <c r="F1985" s="67"/>
      <c r="G1985" s="67"/>
      <c r="H1985" s="67"/>
      <c r="I1985" s="68"/>
    </row>
    <row r="1986" spans="5:9" x14ac:dyDescent="0.25">
      <c r="E1986" s="66"/>
      <c r="F1986" s="67"/>
      <c r="G1986" s="67"/>
      <c r="H1986" s="67"/>
      <c r="I1986" s="68"/>
    </row>
    <row r="1987" spans="5:9" x14ac:dyDescent="0.25">
      <c r="E1987" s="66"/>
      <c r="F1987" s="67"/>
      <c r="G1987" s="67"/>
      <c r="H1987" s="67"/>
      <c r="I1987" s="68"/>
    </row>
    <row r="1988" spans="5:9" x14ac:dyDescent="0.25">
      <c r="E1988" s="66"/>
      <c r="F1988" s="67"/>
      <c r="G1988" s="67"/>
      <c r="H1988" s="67"/>
      <c r="I1988" s="68"/>
    </row>
    <row r="1989" spans="5:9" x14ac:dyDescent="0.25">
      <c r="E1989" s="66"/>
      <c r="F1989" s="67"/>
      <c r="G1989" s="67"/>
      <c r="H1989" s="67"/>
      <c r="I1989" s="68"/>
    </row>
    <row r="1990" spans="5:9" x14ac:dyDescent="0.25">
      <c r="E1990" s="66"/>
      <c r="F1990" s="67"/>
      <c r="G1990" s="67"/>
      <c r="H1990" s="67"/>
      <c r="I1990" s="68"/>
    </row>
    <row r="1991" spans="5:9" x14ac:dyDescent="0.25">
      <c r="E1991" s="66"/>
      <c r="F1991" s="67"/>
      <c r="G1991" s="67"/>
      <c r="H1991" s="67"/>
      <c r="I1991" s="68"/>
    </row>
    <row r="1992" spans="5:9" x14ac:dyDescent="0.25">
      <c r="E1992" s="66"/>
      <c r="F1992" s="67"/>
      <c r="G1992" s="67"/>
      <c r="H1992" s="67"/>
      <c r="I1992" s="68"/>
    </row>
    <row r="1993" spans="5:9" x14ac:dyDescent="0.25">
      <c r="E1993" s="66"/>
      <c r="F1993" s="67"/>
      <c r="G1993" s="67"/>
      <c r="H1993" s="67"/>
      <c r="I1993" s="68"/>
    </row>
    <row r="1994" spans="5:9" x14ac:dyDescent="0.25">
      <c r="E1994" s="66"/>
      <c r="F1994" s="67"/>
      <c r="G1994" s="67"/>
      <c r="H1994" s="67"/>
      <c r="I1994" s="68"/>
    </row>
    <row r="1995" spans="5:9" x14ac:dyDescent="0.25">
      <c r="E1995" s="66"/>
      <c r="F1995" s="67"/>
      <c r="G1995" s="67"/>
      <c r="H1995" s="67"/>
      <c r="I1995" s="68"/>
    </row>
    <row r="1996" spans="5:9" x14ac:dyDescent="0.25">
      <c r="E1996" s="66"/>
      <c r="F1996" s="67"/>
      <c r="G1996" s="67"/>
      <c r="H1996" s="67"/>
      <c r="I1996" s="68"/>
    </row>
    <row r="1997" spans="5:9" x14ac:dyDescent="0.25">
      <c r="E1997" s="66"/>
      <c r="F1997" s="67"/>
      <c r="G1997" s="67"/>
      <c r="H1997" s="67"/>
      <c r="I1997" s="68"/>
    </row>
    <row r="1998" spans="5:9" x14ac:dyDescent="0.25">
      <c r="E1998" s="66"/>
      <c r="F1998" s="67"/>
      <c r="G1998" s="67"/>
      <c r="H1998" s="67"/>
      <c r="I1998" s="68"/>
    </row>
    <row r="1999" spans="5:9" x14ac:dyDescent="0.25">
      <c r="E1999" s="66"/>
      <c r="F1999" s="67"/>
      <c r="G1999" s="67"/>
      <c r="H1999" s="67"/>
      <c r="I1999" s="68"/>
    </row>
    <row r="2000" spans="5:9" x14ac:dyDescent="0.25">
      <c r="E2000" s="66"/>
      <c r="F2000" s="67"/>
      <c r="G2000" s="67"/>
      <c r="H2000" s="67"/>
      <c r="I2000" s="68"/>
    </row>
    <row r="2001" spans="5:9" x14ac:dyDescent="0.25">
      <c r="E2001" s="418"/>
      <c r="F2001" s="419"/>
      <c r="G2001" s="419"/>
      <c r="H2001" s="419"/>
      <c r="I2001" s="420"/>
    </row>
  </sheetData>
  <sortState xmlns:xlrd2="http://schemas.microsoft.com/office/spreadsheetml/2017/richdata2" ref="A4:C84">
    <sortCondition ref="A4"/>
  </sortState>
  <mergeCells count="2">
    <mergeCell ref="A1:C1"/>
    <mergeCell ref="E1:I1"/>
  </mergeCells>
  <dataValidations count="4">
    <dataValidation type="list" allowBlank="1" showInputMessage="1" showErrorMessage="1" sqref="E4:E37 E74:E401" xr:uid="{00000000-0002-0000-0100-000000000000}">
      <formula1>Year</formula1>
    </dataValidation>
    <dataValidation type="list" allowBlank="1" showInputMessage="1" showErrorMessage="1" sqref="H27:H31 H4:H25 H33:H36 H74:H401 H40:H72" xr:uid="{00000000-0002-0000-0100-000001000000}">
      <formula1>P_LAccount_Name</formula1>
    </dataValidation>
    <dataValidation type="list" allowBlank="1" showInputMessage="1" showErrorMessage="1" sqref="F74:F401 F4:F70" xr:uid="{00000000-0002-0000-0100-000002000000}">
      <formula1>P_LGroup</formula1>
    </dataValidation>
    <dataValidation type="list" allowBlank="1" showInputMessage="1" showErrorMessage="1" sqref="G74:G401 G4:G70" xr:uid="{00000000-0002-0000-0100-000003000000}">
      <formula1>P_LSub_Group</formula1>
    </dataValidation>
  </dataValidations>
  <pageMargins left="0.7" right="0.7" top="0.75" bottom="0.75" header="0.3" footer="0.3"/>
  <pageSetup orientation="portrait" r:id="rId1"/>
  <picture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218"/>
  <sheetViews>
    <sheetView showGridLines="0" tabSelected="1" workbookViewId="0">
      <pane xSplit="2" ySplit="4" topLeftCell="C101" activePane="bottomRight" state="frozen"/>
      <selection pane="topRight" activeCell="C1" sqref="C1"/>
      <selection pane="bottomLeft" activeCell="A4" sqref="A4"/>
      <selection pane="bottomRight" activeCell="F214" sqref="F214"/>
    </sheetView>
  </sheetViews>
  <sheetFormatPr defaultRowHeight="16.5" outlineLevelRow="1" x14ac:dyDescent="0.3"/>
  <cols>
    <col min="1" max="1" width="41.42578125" style="345" bestFit="1" customWidth="1"/>
    <col min="2" max="2" width="9.140625" style="345"/>
    <col min="3" max="3" width="15.7109375" style="345" bestFit="1" customWidth="1"/>
    <col min="4" max="4" width="18.7109375" style="447" customWidth="1"/>
    <col min="5" max="5" width="20.140625" style="447" bestFit="1" customWidth="1"/>
    <col min="6" max="6" width="16.85546875" style="447" bestFit="1" customWidth="1"/>
    <col min="7" max="10" width="15.7109375" style="447" customWidth="1"/>
    <col min="11" max="11" width="22.85546875" style="447" bestFit="1" customWidth="1"/>
    <col min="12" max="12" width="13.7109375" style="345" bestFit="1" customWidth="1"/>
    <col min="13" max="16384" width="9.140625" style="345"/>
  </cols>
  <sheetData>
    <row r="1" spans="1:11" ht="45.75" customHeight="1" x14ac:dyDescent="0.3">
      <c r="A1" s="673" t="str">
        <f>A2</f>
        <v>© Juma Discovery Company</v>
      </c>
      <c r="B1" s="673"/>
      <c r="C1" s="672" t="s">
        <v>619</v>
      </c>
      <c r="D1" s="672"/>
      <c r="E1" s="672"/>
      <c r="F1" s="672"/>
      <c r="G1" s="672"/>
      <c r="H1" s="672"/>
      <c r="I1" s="672"/>
      <c r="J1" s="672"/>
      <c r="K1" s="672"/>
    </row>
    <row r="2" spans="1:11" ht="18" x14ac:dyDescent="0.35">
      <c r="A2" s="669" t="s">
        <v>628</v>
      </c>
      <c r="B2" s="670"/>
      <c r="C2" s="671"/>
      <c r="D2" s="667" t="s">
        <v>553</v>
      </c>
      <c r="E2" s="667"/>
      <c r="F2" s="668" t="s">
        <v>552</v>
      </c>
      <c r="G2" s="668"/>
      <c r="H2" s="668"/>
      <c r="I2" s="668"/>
      <c r="J2" s="668"/>
      <c r="K2" s="668"/>
    </row>
    <row r="3" spans="1:11" ht="18" x14ac:dyDescent="0.35">
      <c r="A3" s="518" t="s">
        <v>625</v>
      </c>
      <c r="B3" s="507">
        <v>1</v>
      </c>
      <c r="C3" s="499"/>
      <c r="D3" s="434">
        <v>2020</v>
      </c>
      <c r="E3" s="434">
        <f>D3+1</f>
        <v>2021</v>
      </c>
      <c r="F3" s="435">
        <f t="shared" ref="F3:K3" si="0">E3+1</f>
        <v>2022</v>
      </c>
      <c r="G3" s="435">
        <f t="shared" si="0"/>
        <v>2023</v>
      </c>
      <c r="H3" s="435">
        <f t="shared" si="0"/>
        <v>2024</v>
      </c>
      <c r="I3" s="435">
        <f t="shared" si="0"/>
        <v>2025</v>
      </c>
      <c r="J3" s="435">
        <f t="shared" si="0"/>
        <v>2026</v>
      </c>
      <c r="K3" s="435">
        <f t="shared" si="0"/>
        <v>2027</v>
      </c>
    </row>
    <row r="4" spans="1:11" ht="18" x14ac:dyDescent="0.35">
      <c r="A4" s="438" t="s">
        <v>567</v>
      </c>
      <c r="B4" s="438"/>
      <c r="C4" s="438"/>
      <c r="D4" s="498" t="str">
        <f>IFERROR(IF(D143&lt;=0,"Balanced","Not Balanced"),"")</f>
        <v>Balanced</v>
      </c>
      <c r="E4" s="498" t="str">
        <f t="shared" ref="E4:K4" si="1">IFERROR(IF(E143&lt;=0,"Balanced","Not Balanced"),"")</f>
        <v>Balanced</v>
      </c>
      <c r="F4" s="498" t="str">
        <f t="shared" si="1"/>
        <v>Balanced</v>
      </c>
      <c r="G4" s="498" t="str">
        <f t="shared" si="1"/>
        <v>Balanced</v>
      </c>
      <c r="H4" s="498" t="str">
        <f t="shared" si="1"/>
        <v>Balanced</v>
      </c>
      <c r="I4" s="498" t="str">
        <f t="shared" si="1"/>
        <v>Balanced</v>
      </c>
      <c r="J4" s="498" t="str">
        <f t="shared" si="1"/>
        <v>Balanced</v>
      </c>
      <c r="K4" s="498" t="str">
        <f t="shared" si="1"/>
        <v>Balanced</v>
      </c>
    </row>
    <row r="5" spans="1:11" ht="18" x14ac:dyDescent="0.35">
      <c r="A5" s="438"/>
      <c r="B5" s="438"/>
      <c r="C5" s="438"/>
      <c r="D5" s="439"/>
      <c r="E5" s="439"/>
      <c r="F5" s="440"/>
      <c r="G5" s="440"/>
      <c r="H5" s="440"/>
      <c r="I5" s="440"/>
      <c r="J5" s="440"/>
      <c r="K5" s="440"/>
    </row>
    <row r="6" spans="1:11" x14ac:dyDescent="0.3">
      <c r="D6" s="345"/>
      <c r="E6" s="345"/>
      <c r="F6" s="345"/>
      <c r="G6" s="345"/>
      <c r="H6" s="497">
        <v>0</v>
      </c>
      <c r="I6" s="345"/>
      <c r="J6" s="345"/>
      <c r="K6" s="345"/>
    </row>
    <row r="7" spans="1:11" ht="17.25" x14ac:dyDescent="0.35">
      <c r="A7" s="433" t="s">
        <v>620</v>
      </c>
      <c r="B7" s="436"/>
      <c r="C7" s="436"/>
      <c r="D7" s="436"/>
      <c r="E7" s="436"/>
      <c r="F7" s="436"/>
      <c r="G7" s="436"/>
      <c r="H7" s="436"/>
      <c r="I7" s="436"/>
      <c r="J7" s="436"/>
      <c r="K7" s="436"/>
    </row>
    <row r="8" spans="1:11" ht="20.25" hidden="1" outlineLevel="1" x14ac:dyDescent="0.35">
      <c r="A8" s="514" t="s">
        <v>622</v>
      </c>
    </row>
    <row r="9" spans="1:11" hidden="1" outlineLevel="1" x14ac:dyDescent="0.3">
      <c r="A9" s="345" t="s">
        <v>554</v>
      </c>
      <c r="D9" s="500"/>
      <c r="E9" s="472"/>
      <c r="F9" s="472">
        <v>0.4</v>
      </c>
      <c r="G9" s="472">
        <v>0.4</v>
      </c>
      <c r="H9" s="472">
        <v>0.4</v>
      </c>
      <c r="I9" s="472">
        <v>0.4</v>
      </c>
      <c r="J9" s="472">
        <v>0.4</v>
      </c>
      <c r="K9" s="450">
        <v>0.4</v>
      </c>
    </row>
    <row r="10" spans="1:11" hidden="1" outlineLevel="1" x14ac:dyDescent="0.3">
      <c r="A10" s="345" t="s">
        <v>555</v>
      </c>
      <c r="D10" s="450"/>
      <c r="E10" s="450"/>
      <c r="F10" s="472">
        <v>0.92833146601655536</v>
      </c>
      <c r="G10" s="472">
        <v>0.92833146601655536</v>
      </c>
      <c r="H10" s="472">
        <v>0.92833146601655536</v>
      </c>
      <c r="I10" s="472">
        <v>0.92833146601655536</v>
      </c>
      <c r="J10" s="472">
        <v>0.92833146601655536</v>
      </c>
      <c r="K10" s="450">
        <v>0.92833146601655536</v>
      </c>
    </row>
    <row r="11" spans="1:11" hidden="1" outlineLevel="1" x14ac:dyDescent="0.3">
      <c r="A11" s="345" t="s">
        <v>556</v>
      </c>
      <c r="D11" s="450"/>
      <c r="E11" s="450"/>
      <c r="F11" s="472">
        <v>0.02</v>
      </c>
      <c r="G11" s="472">
        <v>0.02</v>
      </c>
      <c r="H11" s="472">
        <v>0.02</v>
      </c>
      <c r="I11" s="472">
        <v>0.02</v>
      </c>
      <c r="J11" s="472">
        <v>0.02</v>
      </c>
      <c r="K11" s="450">
        <v>0.02</v>
      </c>
    </row>
    <row r="12" spans="1:11" hidden="1" outlineLevel="1" x14ac:dyDescent="0.3">
      <c r="A12" s="345" t="s">
        <v>557</v>
      </c>
      <c r="D12" s="488"/>
      <c r="E12" s="488"/>
      <c r="F12" s="510">
        <v>2425713</v>
      </c>
      <c r="G12" s="510">
        <v>2425713</v>
      </c>
      <c r="H12" s="510">
        <v>2425713</v>
      </c>
      <c r="I12" s="510">
        <v>2425713</v>
      </c>
      <c r="J12" s="510">
        <v>2425713</v>
      </c>
      <c r="K12" s="447">
        <v>2425713</v>
      </c>
    </row>
    <row r="13" spans="1:11" hidden="1" outlineLevel="1" x14ac:dyDescent="0.3">
      <c r="A13" s="345" t="s">
        <v>166</v>
      </c>
      <c r="F13" s="510">
        <v>2425713</v>
      </c>
      <c r="G13" s="510">
        <v>2425713</v>
      </c>
      <c r="H13" s="510">
        <v>2425713</v>
      </c>
      <c r="I13" s="510">
        <v>2425713</v>
      </c>
      <c r="J13" s="510">
        <v>2425713</v>
      </c>
      <c r="K13" s="447">
        <v>2425713</v>
      </c>
    </row>
    <row r="14" spans="1:11" hidden="1" outlineLevel="1" x14ac:dyDescent="0.3">
      <c r="A14" s="345" t="s">
        <v>558</v>
      </c>
      <c r="F14" s="510"/>
      <c r="G14" s="510"/>
      <c r="H14" s="510"/>
      <c r="I14" s="510"/>
      <c r="J14" s="510"/>
    </row>
    <row r="15" spans="1:11" hidden="1" outlineLevel="1" x14ac:dyDescent="0.3">
      <c r="A15" s="479" t="s">
        <v>614</v>
      </c>
      <c r="D15" s="450"/>
      <c r="E15" s="450"/>
      <c r="F15" s="472">
        <v>0.25</v>
      </c>
      <c r="G15" s="472">
        <v>0.25</v>
      </c>
      <c r="H15" s="472">
        <v>0.25</v>
      </c>
      <c r="I15" s="472">
        <v>0.25</v>
      </c>
      <c r="J15" s="472">
        <v>0.25</v>
      </c>
      <c r="K15" s="450">
        <v>0.25</v>
      </c>
    </row>
    <row r="16" spans="1:11" hidden="1" outlineLevel="1" x14ac:dyDescent="0.3">
      <c r="A16" s="479" t="s">
        <v>613</v>
      </c>
      <c r="D16" s="450"/>
      <c r="E16" s="450"/>
      <c r="F16" s="472">
        <v>0.25</v>
      </c>
      <c r="G16" s="472">
        <v>0.25</v>
      </c>
      <c r="H16" s="472">
        <v>0.25</v>
      </c>
      <c r="I16" s="472">
        <v>0.25</v>
      </c>
      <c r="J16" s="472">
        <v>0.25</v>
      </c>
      <c r="K16" s="450">
        <v>0.25</v>
      </c>
    </row>
    <row r="17" spans="1:11" hidden="1" outlineLevel="1" x14ac:dyDescent="0.3">
      <c r="A17" s="451" t="s">
        <v>576</v>
      </c>
      <c r="D17" s="450"/>
      <c r="E17" s="450"/>
      <c r="F17" s="472">
        <v>0.1</v>
      </c>
      <c r="G17" s="472">
        <v>0.1</v>
      </c>
      <c r="H17" s="472">
        <v>0.1</v>
      </c>
      <c r="I17" s="472">
        <v>0.1</v>
      </c>
      <c r="J17" s="472">
        <v>0.1</v>
      </c>
      <c r="K17" s="450">
        <v>0.1</v>
      </c>
    </row>
    <row r="18" spans="1:11" hidden="1" outlineLevel="1" x14ac:dyDescent="0.3">
      <c r="A18" s="452" t="s">
        <v>577</v>
      </c>
      <c r="D18" s="453"/>
      <c r="E18" s="453"/>
      <c r="F18" s="511">
        <v>2595572</v>
      </c>
      <c r="G18" s="511">
        <v>2595572</v>
      </c>
      <c r="H18" s="511">
        <v>2595572</v>
      </c>
      <c r="I18" s="511">
        <v>2595572</v>
      </c>
      <c r="J18" s="511">
        <v>2595572</v>
      </c>
      <c r="K18" s="453">
        <v>2595572</v>
      </c>
    </row>
    <row r="19" spans="1:11" hidden="1" outlineLevel="1" x14ac:dyDescent="0.3">
      <c r="A19" s="345" t="s">
        <v>559</v>
      </c>
      <c r="D19" s="450"/>
      <c r="E19" s="450"/>
      <c r="F19" s="472">
        <v>0.13859247035299677</v>
      </c>
      <c r="G19" s="472">
        <v>0.13859247035299677</v>
      </c>
      <c r="H19" s="472">
        <v>0.13859247035299677</v>
      </c>
      <c r="I19" s="472">
        <v>0.13859247035299677</v>
      </c>
      <c r="J19" s="472">
        <v>0.13859247035299677</v>
      </c>
      <c r="K19" s="450">
        <v>0.13859247035299677</v>
      </c>
    </row>
    <row r="20" spans="1:11" hidden="1" outlineLevel="1" x14ac:dyDescent="0.3">
      <c r="A20" s="345" t="s">
        <v>560</v>
      </c>
      <c r="D20" s="450"/>
      <c r="E20" s="450"/>
      <c r="F20" s="472">
        <v>0.3</v>
      </c>
      <c r="G20" s="472">
        <v>0.3</v>
      </c>
      <c r="H20" s="472">
        <v>0.3</v>
      </c>
      <c r="I20" s="472">
        <v>0.3</v>
      </c>
      <c r="J20" s="472">
        <v>0.3</v>
      </c>
      <c r="K20" s="450">
        <v>0.3</v>
      </c>
    </row>
    <row r="21" spans="1:11" ht="17.25" hidden="1" outlineLevel="1" x14ac:dyDescent="0.35">
      <c r="A21" s="376"/>
      <c r="D21" s="345"/>
      <c r="E21" s="345"/>
      <c r="F21" s="513"/>
      <c r="G21" s="513"/>
      <c r="H21" s="513"/>
      <c r="I21" s="513"/>
      <c r="J21" s="513"/>
      <c r="K21" s="345"/>
    </row>
    <row r="22" spans="1:11" ht="17.25" hidden="1" outlineLevel="1" x14ac:dyDescent="0.35">
      <c r="A22" s="437" t="s">
        <v>56</v>
      </c>
      <c r="D22" s="504"/>
      <c r="E22" s="504"/>
      <c r="F22" s="510"/>
      <c r="G22" s="510"/>
      <c r="H22" s="510"/>
      <c r="I22" s="510"/>
      <c r="J22" s="510"/>
    </row>
    <row r="23" spans="1:11" hidden="1" outlineLevel="1" x14ac:dyDescent="0.3">
      <c r="A23" s="345" t="s">
        <v>561</v>
      </c>
      <c r="D23" s="506"/>
      <c r="E23" s="506"/>
      <c r="F23" s="512">
        <v>18</v>
      </c>
      <c r="G23" s="512">
        <v>18</v>
      </c>
      <c r="H23" s="512">
        <v>18</v>
      </c>
      <c r="I23" s="512">
        <v>18</v>
      </c>
      <c r="J23" s="512">
        <v>18</v>
      </c>
      <c r="K23" s="448">
        <v>18</v>
      </c>
    </row>
    <row r="24" spans="1:11" hidden="1" outlineLevel="1" x14ac:dyDescent="0.3">
      <c r="A24" s="345" t="s">
        <v>562</v>
      </c>
      <c r="D24" s="504"/>
      <c r="E24" s="504"/>
      <c r="F24" s="512">
        <v>15</v>
      </c>
      <c r="G24" s="512">
        <v>15</v>
      </c>
      <c r="H24" s="512">
        <v>15</v>
      </c>
      <c r="I24" s="512">
        <v>15</v>
      </c>
      <c r="J24" s="512">
        <v>15</v>
      </c>
      <c r="K24" s="448">
        <v>15</v>
      </c>
    </row>
    <row r="25" spans="1:11" hidden="1" outlineLevel="1" x14ac:dyDescent="0.3">
      <c r="A25" s="345" t="s">
        <v>563</v>
      </c>
      <c r="D25" s="504"/>
      <c r="E25" s="504"/>
      <c r="F25" s="512">
        <v>8</v>
      </c>
      <c r="G25" s="512">
        <v>8</v>
      </c>
      <c r="H25" s="512">
        <v>8</v>
      </c>
      <c r="I25" s="512">
        <v>8</v>
      </c>
      <c r="J25" s="512">
        <v>8</v>
      </c>
      <c r="K25" s="448">
        <v>8</v>
      </c>
    </row>
    <row r="26" spans="1:11" hidden="1" outlineLevel="1" x14ac:dyDescent="0.3">
      <c r="A26" s="345" t="s">
        <v>564</v>
      </c>
      <c r="D26" s="504"/>
      <c r="E26" s="504"/>
      <c r="F26" s="510"/>
      <c r="G26" s="510"/>
      <c r="H26" s="510"/>
      <c r="I26" s="510"/>
      <c r="J26" s="510"/>
    </row>
    <row r="27" spans="1:11" hidden="1" outlineLevel="1" x14ac:dyDescent="0.3">
      <c r="A27" s="345" t="s">
        <v>565</v>
      </c>
      <c r="D27" s="504"/>
      <c r="E27" s="504"/>
      <c r="F27" s="510">
        <v>3696195.75</v>
      </c>
      <c r="G27" s="510">
        <v>3696195.75</v>
      </c>
      <c r="H27" s="510">
        <v>3696195.75</v>
      </c>
      <c r="I27" s="510">
        <v>3696195.75</v>
      </c>
      <c r="J27" s="510">
        <v>3696195.75</v>
      </c>
      <c r="K27" s="447">
        <v>3696195.75</v>
      </c>
    </row>
    <row r="28" spans="1:11" hidden="1" outlineLevel="1" x14ac:dyDescent="0.3">
      <c r="A28" s="345" t="s">
        <v>566</v>
      </c>
      <c r="D28" s="447">
        <v>0</v>
      </c>
      <c r="E28" s="447">
        <v>0</v>
      </c>
      <c r="F28" s="510">
        <v>0</v>
      </c>
      <c r="G28" s="510">
        <v>0</v>
      </c>
      <c r="H28" s="510">
        <v>0</v>
      </c>
      <c r="I28" s="510">
        <v>0</v>
      </c>
      <c r="J28" s="510">
        <v>0</v>
      </c>
      <c r="K28" s="447">
        <v>0</v>
      </c>
    </row>
    <row r="29" spans="1:11" ht="17.25" hidden="1" outlineLevel="1" x14ac:dyDescent="0.35">
      <c r="A29" s="376"/>
      <c r="D29" s="345"/>
      <c r="E29" s="345"/>
      <c r="F29" s="513"/>
      <c r="G29" s="513"/>
      <c r="H29" s="513"/>
      <c r="I29" s="513"/>
      <c r="J29" s="513"/>
      <c r="K29" s="345"/>
    </row>
    <row r="30" spans="1:11" ht="17.25" hidden="1" outlineLevel="1" x14ac:dyDescent="0.35">
      <c r="A30" s="515"/>
      <c r="B30" s="516"/>
      <c r="C30" s="516"/>
      <c r="D30" s="516"/>
      <c r="E30" s="516"/>
      <c r="F30" s="517"/>
      <c r="G30" s="517"/>
      <c r="H30" s="517"/>
      <c r="I30" s="517"/>
      <c r="J30" s="517"/>
      <c r="K30" s="516"/>
    </row>
    <row r="31" spans="1:11" ht="20.25" hidden="1" outlineLevel="1" x14ac:dyDescent="0.35">
      <c r="A31" s="514" t="s">
        <v>623</v>
      </c>
      <c r="F31" s="510"/>
      <c r="G31" s="510"/>
      <c r="H31" s="510"/>
      <c r="I31" s="510"/>
      <c r="J31" s="510"/>
    </row>
    <row r="32" spans="1:11" hidden="1" outlineLevel="1" x14ac:dyDescent="0.3">
      <c r="A32" s="345" t="s">
        <v>554</v>
      </c>
      <c r="D32" s="500"/>
      <c r="E32" s="501"/>
      <c r="F32" s="472">
        <v>0.5</v>
      </c>
      <c r="G32" s="472">
        <v>0.5</v>
      </c>
      <c r="H32" s="472">
        <v>0.5</v>
      </c>
      <c r="I32" s="472">
        <v>0.5</v>
      </c>
      <c r="J32" s="472">
        <v>0.5</v>
      </c>
      <c r="K32" s="450">
        <v>0.5</v>
      </c>
    </row>
    <row r="33" spans="1:11" hidden="1" outlineLevel="1" x14ac:dyDescent="0.3">
      <c r="A33" s="345" t="s">
        <v>555</v>
      </c>
      <c r="D33" s="502"/>
      <c r="E33" s="502"/>
      <c r="F33" s="472">
        <v>0.95</v>
      </c>
      <c r="G33" s="472">
        <v>0.95</v>
      </c>
      <c r="H33" s="472">
        <v>0.95</v>
      </c>
      <c r="I33" s="472">
        <v>0.95</v>
      </c>
      <c r="J33" s="472">
        <v>0.95</v>
      </c>
      <c r="K33" s="450">
        <v>0.95</v>
      </c>
    </row>
    <row r="34" spans="1:11" hidden="1" outlineLevel="1" x14ac:dyDescent="0.3">
      <c r="A34" s="345" t="s">
        <v>556</v>
      </c>
      <c r="D34" s="502"/>
      <c r="E34" s="502"/>
      <c r="F34" s="472">
        <v>0.02</v>
      </c>
      <c r="G34" s="472">
        <v>0.02</v>
      </c>
      <c r="H34" s="472">
        <v>0.02</v>
      </c>
      <c r="I34" s="472">
        <v>0.02</v>
      </c>
      <c r="J34" s="472">
        <v>0.02</v>
      </c>
      <c r="K34" s="450">
        <v>0.02</v>
      </c>
    </row>
    <row r="35" spans="1:11" hidden="1" outlineLevel="1" x14ac:dyDescent="0.3">
      <c r="A35" s="345" t="s">
        <v>557</v>
      </c>
      <c r="D35" s="503"/>
      <c r="E35" s="503"/>
      <c r="F35" s="510">
        <v>2425713</v>
      </c>
      <c r="G35" s="510">
        <v>2425713</v>
      </c>
      <c r="H35" s="510">
        <v>2425713</v>
      </c>
      <c r="I35" s="510">
        <v>2425713</v>
      </c>
      <c r="J35" s="510">
        <v>2425713</v>
      </c>
      <c r="K35" s="447">
        <v>2425713</v>
      </c>
    </row>
    <row r="36" spans="1:11" hidden="1" outlineLevel="1" x14ac:dyDescent="0.3">
      <c r="A36" s="345" t="s">
        <v>166</v>
      </c>
      <c r="D36" s="504"/>
      <c r="E36" s="504"/>
      <c r="F36" s="510">
        <v>2425713</v>
      </c>
      <c r="G36" s="510">
        <v>2425713</v>
      </c>
      <c r="H36" s="510">
        <v>2425713</v>
      </c>
      <c r="I36" s="510">
        <v>2425713</v>
      </c>
      <c r="J36" s="510">
        <v>2425713</v>
      </c>
      <c r="K36" s="447">
        <v>2425713</v>
      </c>
    </row>
    <row r="37" spans="1:11" hidden="1" outlineLevel="1" x14ac:dyDescent="0.3">
      <c r="A37" s="345" t="s">
        <v>558</v>
      </c>
      <c r="D37" s="504"/>
      <c r="E37" s="504"/>
      <c r="F37" s="510"/>
      <c r="G37" s="510"/>
      <c r="H37" s="510"/>
      <c r="I37" s="510"/>
      <c r="J37" s="510"/>
    </row>
    <row r="38" spans="1:11" hidden="1" outlineLevel="1" x14ac:dyDescent="0.3">
      <c r="A38" s="479" t="s">
        <v>614</v>
      </c>
      <c r="D38" s="502"/>
      <c r="E38" s="502"/>
      <c r="F38" s="472">
        <v>0.25</v>
      </c>
      <c r="G38" s="472">
        <v>0.25</v>
      </c>
      <c r="H38" s="472">
        <v>0.25</v>
      </c>
      <c r="I38" s="472">
        <v>0.25</v>
      </c>
      <c r="J38" s="472">
        <v>0.25</v>
      </c>
      <c r="K38" s="450">
        <v>0.25</v>
      </c>
    </row>
    <row r="39" spans="1:11" hidden="1" outlineLevel="1" x14ac:dyDescent="0.3">
      <c r="A39" s="479" t="s">
        <v>613</v>
      </c>
      <c r="D39" s="502"/>
      <c r="E39" s="502"/>
      <c r="F39" s="472">
        <v>0.25</v>
      </c>
      <c r="G39" s="472">
        <v>0.25</v>
      </c>
      <c r="H39" s="472">
        <v>0.25</v>
      </c>
      <c r="I39" s="472">
        <v>0.25</v>
      </c>
      <c r="J39" s="472">
        <v>0.25</v>
      </c>
      <c r="K39" s="450">
        <v>0.25</v>
      </c>
    </row>
    <row r="40" spans="1:11" hidden="1" outlineLevel="1" x14ac:dyDescent="0.3">
      <c r="A40" s="451" t="s">
        <v>576</v>
      </c>
      <c r="D40" s="502"/>
      <c r="E40" s="502"/>
      <c r="F40" s="472">
        <v>0.1</v>
      </c>
      <c r="G40" s="472">
        <v>0.1</v>
      </c>
      <c r="H40" s="472">
        <v>0.1</v>
      </c>
      <c r="I40" s="472">
        <v>0.1</v>
      </c>
      <c r="J40" s="472">
        <v>0.1</v>
      </c>
      <c r="K40" s="450">
        <v>0.1</v>
      </c>
    </row>
    <row r="41" spans="1:11" hidden="1" outlineLevel="1" x14ac:dyDescent="0.3">
      <c r="A41" s="452" t="s">
        <v>577</v>
      </c>
      <c r="D41" s="505"/>
      <c r="E41" s="505"/>
      <c r="F41" s="511">
        <v>2595572</v>
      </c>
      <c r="G41" s="511">
        <v>2595572</v>
      </c>
      <c r="H41" s="511">
        <v>2595572</v>
      </c>
      <c r="I41" s="511">
        <v>2595572</v>
      </c>
      <c r="J41" s="511">
        <v>2595572</v>
      </c>
      <c r="K41" s="453">
        <v>2595572</v>
      </c>
    </row>
    <row r="42" spans="1:11" hidden="1" outlineLevel="1" x14ac:dyDescent="0.3">
      <c r="A42" s="345" t="s">
        <v>559</v>
      </c>
      <c r="D42" s="502"/>
      <c r="E42" s="502"/>
      <c r="F42" s="472">
        <v>0.12</v>
      </c>
      <c r="G42" s="472">
        <v>0.12</v>
      </c>
      <c r="H42" s="472">
        <v>0.12</v>
      </c>
      <c r="I42" s="472">
        <v>0.12</v>
      </c>
      <c r="J42" s="472">
        <v>0.12</v>
      </c>
      <c r="K42" s="450">
        <v>0.12</v>
      </c>
    </row>
    <row r="43" spans="1:11" hidden="1" outlineLevel="1" x14ac:dyDescent="0.3">
      <c r="A43" s="345" t="s">
        <v>560</v>
      </c>
      <c r="D43" s="502"/>
      <c r="E43" s="502"/>
      <c r="F43" s="472">
        <v>0.3</v>
      </c>
      <c r="G43" s="472">
        <v>0.3</v>
      </c>
      <c r="H43" s="472">
        <v>0.3</v>
      </c>
      <c r="I43" s="472">
        <v>0.3</v>
      </c>
      <c r="J43" s="472">
        <v>0.3</v>
      </c>
      <c r="K43" s="450">
        <v>0.3</v>
      </c>
    </row>
    <row r="44" spans="1:11" hidden="1" outlineLevel="1" x14ac:dyDescent="0.3">
      <c r="D44" s="504"/>
      <c r="E44" s="504"/>
      <c r="F44" s="510"/>
      <c r="G44" s="510"/>
      <c r="H44" s="510"/>
      <c r="I44" s="510"/>
      <c r="J44" s="510"/>
    </row>
    <row r="45" spans="1:11" ht="17.25" hidden="1" outlineLevel="1" x14ac:dyDescent="0.35">
      <c r="A45" s="437" t="s">
        <v>56</v>
      </c>
      <c r="D45" s="504"/>
      <c r="E45" s="504"/>
      <c r="F45" s="510"/>
      <c r="G45" s="510"/>
      <c r="H45" s="510"/>
      <c r="I45" s="510"/>
      <c r="J45" s="510"/>
    </row>
    <row r="46" spans="1:11" hidden="1" outlineLevel="1" x14ac:dyDescent="0.3">
      <c r="A46" s="345" t="s">
        <v>561</v>
      </c>
      <c r="D46" s="506"/>
      <c r="E46" s="506"/>
      <c r="F46" s="512">
        <v>10</v>
      </c>
      <c r="G46" s="512">
        <v>10</v>
      </c>
      <c r="H46" s="512">
        <v>10</v>
      </c>
      <c r="I46" s="512">
        <v>10</v>
      </c>
      <c r="J46" s="512">
        <v>10</v>
      </c>
      <c r="K46" s="448">
        <v>10</v>
      </c>
    </row>
    <row r="47" spans="1:11" hidden="1" outlineLevel="1" x14ac:dyDescent="0.3">
      <c r="A47" s="345" t="s">
        <v>562</v>
      </c>
      <c r="D47" s="504"/>
      <c r="E47" s="504"/>
      <c r="F47" s="512">
        <v>25</v>
      </c>
      <c r="G47" s="512">
        <v>25</v>
      </c>
      <c r="H47" s="512">
        <v>25</v>
      </c>
      <c r="I47" s="512">
        <v>25</v>
      </c>
      <c r="J47" s="512">
        <v>25</v>
      </c>
      <c r="K47" s="448">
        <v>25</v>
      </c>
    </row>
    <row r="48" spans="1:11" hidden="1" outlineLevel="1" x14ac:dyDescent="0.3">
      <c r="A48" s="345" t="s">
        <v>563</v>
      </c>
      <c r="D48" s="504"/>
      <c r="E48" s="504"/>
      <c r="F48" s="512">
        <v>5</v>
      </c>
      <c r="G48" s="512">
        <v>5</v>
      </c>
      <c r="H48" s="512">
        <v>5</v>
      </c>
      <c r="I48" s="512">
        <v>5</v>
      </c>
      <c r="J48" s="512">
        <v>5</v>
      </c>
      <c r="K48" s="448">
        <v>5</v>
      </c>
    </row>
    <row r="49" spans="1:11" hidden="1" outlineLevel="1" x14ac:dyDescent="0.3">
      <c r="A49" s="345" t="s">
        <v>564</v>
      </c>
      <c r="D49" s="504"/>
      <c r="E49" s="504"/>
      <c r="F49" s="510"/>
      <c r="G49" s="510"/>
      <c r="H49" s="510"/>
      <c r="I49" s="510"/>
      <c r="J49" s="510"/>
    </row>
    <row r="50" spans="1:11" hidden="1" outlineLevel="1" x14ac:dyDescent="0.3">
      <c r="A50" s="345" t="s">
        <v>565</v>
      </c>
      <c r="D50" s="504"/>
      <c r="E50" s="504"/>
      <c r="F50" s="510">
        <v>3696195.75</v>
      </c>
      <c r="G50" s="510">
        <v>3696195.75</v>
      </c>
      <c r="H50" s="510">
        <v>3696195.75</v>
      </c>
      <c r="I50" s="510">
        <v>3696195.75</v>
      </c>
      <c r="J50" s="510">
        <v>3696195.75</v>
      </c>
      <c r="K50" s="447">
        <v>3696195.75</v>
      </c>
    </row>
    <row r="51" spans="1:11" hidden="1" outlineLevel="1" x14ac:dyDescent="0.3">
      <c r="A51" s="345" t="s">
        <v>566</v>
      </c>
      <c r="D51" s="447">
        <v>0</v>
      </c>
      <c r="E51" s="447">
        <v>0</v>
      </c>
      <c r="F51" s="510">
        <v>0</v>
      </c>
      <c r="G51" s="510">
        <v>0</v>
      </c>
      <c r="H51" s="510">
        <v>0</v>
      </c>
      <c r="I51" s="510">
        <v>0</v>
      </c>
      <c r="J51" s="510">
        <v>0</v>
      </c>
      <c r="K51" s="447">
        <v>0</v>
      </c>
    </row>
    <row r="52" spans="1:11" hidden="1" outlineLevel="1" x14ac:dyDescent="0.3">
      <c r="F52" s="510"/>
      <c r="G52" s="510"/>
      <c r="H52" s="510"/>
      <c r="I52" s="510"/>
      <c r="J52" s="510"/>
    </row>
    <row r="53" spans="1:11" ht="17.25" hidden="1" outlineLevel="1" x14ac:dyDescent="0.35">
      <c r="A53" s="376"/>
      <c r="D53" s="345"/>
      <c r="E53" s="345"/>
      <c r="F53" s="513"/>
      <c r="G53" s="513"/>
      <c r="H53" s="513"/>
      <c r="I53" s="513"/>
      <c r="J53" s="513"/>
      <c r="K53" s="345"/>
    </row>
    <row r="54" spans="1:11" ht="17.25" hidden="1" outlineLevel="1" x14ac:dyDescent="0.35">
      <c r="A54" s="515"/>
      <c r="B54" s="516"/>
      <c r="C54" s="516"/>
      <c r="D54" s="516"/>
      <c r="E54" s="516"/>
      <c r="F54" s="517"/>
      <c r="G54" s="517"/>
      <c r="H54" s="517"/>
      <c r="I54" s="517"/>
      <c r="J54" s="517"/>
      <c r="K54" s="516"/>
    </row>
    <row r="55" spans="1:11" ht="20.25" hidden="1" outlineLevel="1" x14ac:dyDescent="0.35">
      <c r="A55" s="514" t="s">
        <v>624</v>
      </c>
      <c r="F55" s="510"/>
      <c r="G55" s="510"/>
      <c r="H55" s="510"/>
      <c r="I55" s="510"/>
      <c r="J55" s="510"/>
    </row>
    <row r="56" spans="1:11" hidden="1" outlineLevel="1" x14ac:dyDescent="0.3">
      <c r="A56" s="345" t="s">
        <v>554</v>
      </c>
      <c r="D56" s="500"/>
      <c r="E56" s="501"/>
      <c r="F56" s="472">
        <v>0.25</v>
      </c>
      <c r="G56" s="472">
        <v>0.25</v>
      </c>
      <c r="H56" s="472">
        <v>0.25</v>
      </c>
      <c r="I56" s="472">
        <v>0.25</v>
      </c>
      <c r="J56" s="472">
        <v>0.25</v>
      </c>
      <c r="K56" s="450">
        <v>0.25</v>
      </c>
    </row>
    <row r="57" spans="1:11" hidden="1" outlineLevel="1" x14ac:dyDescent="0.3">
      <c r="A57" s="345" t="s">
        <v>555</v>
      </c>
      <c r="D57" s="502"/>
      <c r="E57" s="502"/>
      <c r="F57" s="472">
        <v>0.92833146601655536</v>
      </c>
      <c r="G57" s="472">
        <v>0.92833146601655536</v>
      </c>
      <c r="H57" s="472">
        <v>0.92833146601655536</v>
      </c>
      <c r="I57" s="472">
        <v>0.92833146601655536</v>
      </c>
      <c r="J57" s="472">
        <v>0.92833146601655536</v>
      </c>
      <c r="K57" s="450">
        <v>0.92833146601655536</v>
      </c>
    </row>
    <row r="58" spans="1:11" hidden="1" outlineLevel="1" x14ac:dyDescent="0.3">
      <c r="A58" s="345" t="s">
        <v>556</v>
      </c>
      <c r="D58" s="502"/>
      <c r="E58" s="502"/>
      <c r="F58" s="472">
        <v>0.02</v>
      </c>
      <c r="G58" s="472">
        <v>0.02</v>
      </c>
      <c r="H58" s="472">
        <v>0.02</v>
      </c>
      <c r="I58" s="472">
        <v>0.02</v>
      </c>
      <c r="J58" s="472">
        <v>0.02</v>
      </c>
      <c r="K58" s="450">
        <v>0.02</v>
      </c>
    </row>
    <row r="59" spans="1:11" hidden="1" outlineLevel="1" x14ac:dyDescent="0.3">
      <c r="A59" s="345" t="s">
        <v>557</v>
      </c>
      <c r="D59" s="503"/>
      <c r="E59" s="503"/>
      <c r="F59" s="510">
        <v>2425713</v>
      </c>
      <c r="G59" s="510">
        <v>2425713</v>
      </c>
      <c r="H59" s="510">
        <v>2425713</v>
      </c>
      <c r="I59" s="510">
        <v>2425713</v>
      </c>
      <c r="J59" s="510">
        <v>2425713</v>
      </c>
      <c r="K59" s="447">
        <v>2425713</v>
      </c>
    </row>
    <row r="60" spans="1:11" hidden="1" outlineLevel="1" x14ac:dyDescent="0.3">
      <c r="A60" s="345" t="s">
        <v>166</v>
      </c>
      <c r="D60" s="504"/>
      <c r="E60" s="504"/>
      <c r="F60" s="510">
        <f>2425713+500000</f>
        <v>2925713</v>
      </c>
      <c r="G60" s="510">
        <f t="shared" ref="G60:K60" si="2">2425713+500000</f>
        <v>2925713</v>
      </c>
      <c r="H60" s="510">
        <f t="shared" si="2"/>
        <v>2925713</v>
      </c>
      <c r="I60" s="510">
        <f t="shared" si="2"/>
        <v>2925713</v>
      </c>
      <c r="J60" s="510">
        <f t="shared" si="2"/>
        <v>2925713</v>
      </c>
      <c r="K60" s="447">
        <f t="shared" si="2"/>
        <v>2925713</v>
      </c>
    </row>
    <row r="61" spans="1:11" hidden="1" outlineLevel="1" x14ac:dyDescent="0.3">
      <c r="A61" s="345" t="s">
        <v>558</v>
      </c>
      <c r="D61" s="504"/>
      <c r="E61" s="504"/>
      <c r="F61" s="510"/>
      <c r="G61" s="510"/>
      <c r="H61" s="510"/>
      <c r="I61" s="510"/>
      <c r="J61" s="510"/>
    </row>
    <row r="62" spans="1:11" hidden="1" outlineLevel="1" x14ac:dyDescent="0.3">
      <c r="A62" s="479" t="s">
        <v>614</v>
      </c>
      <c r="D62" s="502"/>
      <c r="E62" s="502"/>
      <c r="F62" s="472">
        <v>0.25</v>
      </c>
      <c r="G62" s="472">
        <v>0.25</v>
      </c>
      <c r="H62" s="472">
        <v>0.25</v>
      </c>
      <c r="I62" s="472">
        <v>0.25</v>
      </c>
      <c r="J62" s="472">
        <v>0.25</v>
      </c>
      <c r="K62" s="450">
        <v>0.25</v>
      </c>
    </row>
    <row r="63" spans="1:11" hidden="1" outlineLevel="1" x14ac:dyDescent="0.3">
      <c r="A63" s="479" t="s">
        <v>613</v>
      </c>
      <c r="D63" s="502"/>
      <c r="E63" s="502"/>
      <c r="F63" s="472">
        <v>0.25</v>
      </c>
      <c r="G63" s="472">
        <v>0.25</v>
      </c>
      <c r="H63" s="472">
        <v>0.25</v>
      </c>
      <c r="I63" s="472">
        <v>0.25</v>
      </c>
      <c r="J63" s="472">
        <v>0.25</v>
      </c>
      <c r="K63" s="450">
        <v>0.25</v>
      </c>
    </row>
    <row r="64" spans="1:11" hidden="1" outlineLevel="1" x14ac:dyDescent="0.3">
      <c r="A64" s="451" t="s">
        <v>576</v>
      </c>
      <c r="D64" s="502"/>
      <c r="E64" s="502"/>
      <c r="F64" s="472">
        <v>0.1</v>
      </c>
      <c r="G64" s="472">
        <v>0.1</v>
      </c>
      <c r="H64" s="472">
        <v>0.1</v>
      </c>
      <c r="I64" s="472">
        <v>0.1</v>
      </c>
      <c r="J64" s="472">
        <v>0.1</v>
      </c>
      <c r="K64" s="450">
        <v>0.1</v>
      </c>
    </row>
    <row r="65" spans="1:11" hidden="1" outlineLevel="1" x14ac:dyDescent="0.3">
      <c r="A65" s="452" t="s">
        <v>577</v>
      </c>
      <c r="D65" s="505"/>
      <c r="E65" s="505"/>
      <c r="F65" s="511">
        <v>2595572</v>
      </c>
      <c r="G65" s="511">
        <v>2595572</v>
      </c>
      <c r="H65" s="511">
        <v>2595572</v>
      </c>
      <c r="I65" s="511">
        <v>2595572</v>
      </c>
      <c r="J65" s="511">
        <v>2595572</v>
      </c>
      <c r="K65" s="453">
        <v>2595572</v>
      </c>
    </row>
    <row r="66" spans="1:11" hidden="1" outlineLevel="1" x14ac:dyDescent="0.3">
      <c r="A66" s="345" t="s">
        <v>559</v>
      </c>
      <c r="D66" s="502"/>
      <c r="E66" s="502"/>
      <c r="F66" s="472">
        <v>0.18</v>
      </c>
      <c r="G66" s="472">
        <v>0.18</v>
      </c>
      <c r="H66" s="472">
        <v>0.18</v>
      </c>
      <c r="I66" s="472">
        <v>0.18</v>
      </c>
      <c r="J66" s="472">
        <v>0.18</v>
      </c>
      <c r="K66" s="450">
        <v>0.18</v>
      </c>
    </row>
    <row r="67" spans="1:11" hidden="1" outlineLevel="1" x14ac:dyDescent="0.3">
      <c r="A67" s="345" t="s">
        <v>560</v>
      </c>
      <c r="D67" s="502"/>
      <c r="E67" s="502"/>
      <c r="F67" s="472">
        <v>0.35</v>
      </c>
      <c r="G67" s="472">
        <v>0.35</v>
      </c>
      <c r="H67" s="472">
        <v>0.35</v>
      </c>
      <c r="I67" s="472">
        <v>0.35</v>
      </c>
      <c r="J67" s="472">
        <v>0.35</v>
      </c>
      <c r="K67" s="450">
        <v>0.35</v>
      </c>
    </row>
    <row r="68" spans="1:11" hidden="1" outlineLevel="1" x14ac:dyDescent="0.3">
      <c r="D68" s="504"/>
      <c r="E68" s="504"/>
      <c r="F68" s="510"/>
      <c r="G68" s="510"/>
      <c r="H68" s="510"/>
      <c r="I68" s="510"/>
      <c r="J68" s="510"/>
    </row>
    <row r="69" spans="1:11" ht="17.25" hidden="1" outlineLevel="1" x14ac:dyDescent="0.35">
      <c r="A69" s="437" t="s">
        <v>56</v>
      </c>
      <c r="D69" s="504"/>
      <c r="E69" s="504"/>
      <c r="F69" s="510"/>
      <c r="G69" s="510"/>
      <c r="H69" s="510"/>
      <c r="I69" s="510"/>
      <c r="J69" s="510"/>
    </row>
    <row r="70" spans="1:11" hidden="1" outlineLevel="1" x14ac:dyDescent="0.3">
      <c r="A70" s="345" t="s">
        <v>561</v>
      </c>
      <c r="D70" s="506"/>
      <c r="E70" s="506"/>
      <c r="F70" s="512">
        <v>30</v>
      </c>
      <c r="G70" s="512">
        <v>30</v>
      </c>
      <c r="H70" s="512">
        <v>30</v>
      </c>
      <c r="I70" s="512">
        <v>30</v>
      </c>
      <c r="J70" s="512">
        <v>30</v>
      </c>
      <c r="K70" s="448">
        <v>30</v>
      </c>
    </row>
    <row r="71" spans="1:11" hidden="1" outlineLevel="1" x14ac:dyDescent="0.3">
      <c r="A71" s="345" t="s">
        <v>562</v>
      </c>
      <c r="D71" s="504"/>
      <c r="E71" s="504"/>
      <c r="F71" s="512">
        <v>10</v>
      </c>
      <c r="G71" s="512">
        <v>10</v>
      </c>
      <c r="H71" s="512">
        <v>10</v>
      </c>
      <c r="I71" s="512">
        <v>10</v>
      </c>
      <c r="J71" s="512">
        <v>10</v>
      </c>
      <c r="K71" s="448">
        <v>10</v>
      </c>
    </row>
    <row r="72" spans="1:11" hidden="1" outlineLevel="1" x14ac:dyDescent="0.3">
      <c r="A72" s="345" t="s">
        <v>563</v>
      </c>
      <c r="D72" s="504"/>
      <c r="E72" s="504"/>
      <c r="F72" s="512">
        <v>25</v>
      </c>
      <c r="G72" s="512">
        <v>25</v>
      </c>
      <c r="H72" s="512">
        <v>25</v>
      </c>
      <c r="I72" s="512">
        <v>25</v>
      </c>
      <c r="J72" s="512">
        <v>25</v>
      </c>
      <c r="K72" s="448">
        <v>25</v>
      </c>
    </row>
    <row r="73" spans="1:11" hidden="1" outlineLevel="1" x14ac:dyDescent="0.3">
      <c r="A73" s="345" t="s">
        <v>564</v>
      </c>
      <c r="D73" s="504"/>
      <c r="E73" s="504"/>
      <c r="F73" s="510"/>
      <c r="G73" s="510"/>
      <c r="H73" s="510"/>
      <c r="I73" s="510"/>
      <c r="J73" s="510"/>
    </row>
    <row r="74" spans="1:11" hidden="1" outlineLevel="1" x14ac:dyDescent="0.3">
      <c r="A74" s="345" t="s">
        <v>565</v>
      </c>
      <c r="D74" s="504"/>
      <c r="E74" s="504"/>
      <c r="F74" s="510">
        <v>3696195.75</v>
      </c>
      <c r="G74" s="510">
        <v>3696195.75</v>
      </c>
      <c r="H74" s="510">
        <v>3696195.75</v>
      </c>
      <c r="I74" s="510">
        <v>3696195.75</v>
      </c>
      <c r="J74" s="510">
        <v>3696195.75</v>
      </c>
      <c r="K74" s="447">
        <v>3696195.75</v>
      </c>
    </row>
    <row r="75" spans="1:11" hidden="1" outlineLevel="1" x14ac:dyDescent="0.3">
      <c r="A75" s="345" t="s">
        <v>566</v>
      </c>
      <c r="D75" s="504"/>
      <c r="E75" s="504"/>
      <c r="F75" s="510">
        <v>0</v>
      </c>
      <c r="G75" s="510">
        <v>0</v>
      </c>
      <c r="H75" s="510">
        <v>0</v>
      </c>
      <c r="I75" s="510">
        <v>0</v>
      </c>
      <c r="J75" s="510">
        <v>0</v>
      </c>
      <c r="K75" s="447">
        <v>0</v>
      </c>
    </row>
    <row r="76" spans="1:11" ht="17.25" hidden="1" outlineLevel="1" x14ac:dyDescent="0.35">
      <c r="A76" s="376"/>
      <c r="D76" s="345"/>
      <c r="E76" s="345"/>
      <c r="F76" s="345"/>
      <c r="G76" s="345"/>
      <c r="H76" s="345"/>
      <c r="I76" s="345"/>
      <c r="J76" s="345"/>
      <c r="K76" s="345"/>
    </row>
    <row r="77" spans="1:11" ht="17.25" hidden="1" outlineLevel="1" x14ac:dyDescent="0.35">
      <c r="A77" s="376"/>
      <c r="D77" s="345"/>
      <c r="E77" s="345"/>
      <c r="F77" s="345"/>
      <c r="G77" s="345"/>
      <c r="H77" s="345"/>
      <c r="I77" s="345"/>
      <c r="J77" s="345"/>
      <c r="K77" s="345"/>
    </row>
    <row r="78" spans="1:11" s="437" customFormat="1" ht="17.25" hidden="1" outlineLevel="1" x14ac:dyDescent="0.35">
      <c r="A78" s="515"/>
      <c r="B78" s="516"/>
      <c r="C78" s="516"/>
      <c r="D78" s="516"/>
      <c r="E78" s="516"/>
      <c r="F78" s="517"/>
      <c r="G78" s="517"/>
      <c r="H78" s="517"/>
      <c r="I78" s="517"/>
      <c r="J78" s="517"/>
      <c r="K78" s="516"/>
    </row>
    <row r="79" spans="1:11" ht="20.25" hidden="1" outlineLevel="1" x14ac:dyDescent="0.35">
      <c r="A79" s="514" t="s">
        <v>621</v>
      </c>
    </row>
    <row r="80" spans="1:11" hidden="1" outlineLevel="1" x14ac:dyDescent="0.3">
      <c r="A80" s="345" t="s">
        <v>554</v>
      </c>
      <c r="D80" s="508" t="s">
        <v>575</v>
      </c>
      <c r="E80" s="472">
        <f>(E104/D104)-1</f>
        <v>0.44034871538867848</v>
      </c>
      <c r="F80" s="450">
        <f>IFERROR(CHOOSE($B$3,F9,F32,F56),"")</f>
        <v>0.4</v>
      </c>
      <c r="G80" s="450">
        <f t="shared" ref="G80:K80" si="3">IFERROR(CHOOSE($B$3,G9,G32,G56),"")</f>
        <v>0.4</v>
      </c>
      <c r="H80" s="450">
        <f t="shared" si="3"/>
        <v>0.4</v>
      </c>
      <c r="I80" s="450">
        <f t="shared" si="3"/>
        <v>0.4</v>
      </c>
      <c r="J80" s="450">
        <f t="shared" si="3"/>
        <v>0.4</v>
      </c>
      <c r="K80" s="450">
        <f t="shared" si="3"/>
        <v>0.4</v>
      </c>
    </row>
    <row r="81" spans="1:20" hidden="1" outlineLevel="1" x14ac:dyDescent="0.3">
      <c r="A81" s="345" t="s">
        <v>555</v>
      </c>
      <c r="D81" s="472">
        <f>(D105/D104)</f>
        <v>0.92347226285117201</v>
      </c>
      <c r="E81" s="472">
        <f>(E105/E104)</f>
        <v>0.93319066918193883</v>
      </c>
      <c r="F81" s="450">
        <f t="shared" ref="F81:K82" si="4">IFERROR(CHOOSE($B$3,F10,F33,F57),"")</f>
        <v>0.92833146601655536</v>
      </c>
      <c r="G81" s="450">
        <f t="shared" si="4"/>
        <v>0.92833146601655536</v>
      </c>
      <c r="H81" s="450">
        <f t="shared" si="4"/>
        <v>0.92833146601655536</v>
      </c>
      <c r="I81" s="450">
        <f t="shared" si="4"/>
        <v>0.92833146601655536</v>
      </c>
      <c r="J81" s="450">
        <f t="shared" si="4"/>
        <v>0.92833146601655536</v>
      </c>
      <c r="K81" s="450">
        <f t="shared" si="4"/>
        <v>0.92833146601655536</v>
      </c>
    </row>
    <row r="82" spans="1:20" hidden="1" outlineLevel="1" x14ac:dyDescent="0.3">
      <c r="A82" s="345" t="s">
        <v>556</v>
      </c>
      <c r="D82" s="472">
        <f>(D108/D104)</f>
        <v>2.0099424188421672E-2</v>
      </c>
      <c r="E82" s="472">
        <f>(E108/E104)</f>
        <v>1.6940098554017329E-2</v>
      </c>
      <c r="F82" s="450">
        <f t="shared" si="4"/>
        <v>0.02</v>
      </c>
      <c r="G82" s="450">
        <f t="shared" si="4"/>
        <v>0.02</v>
      </c>
      <c r="H82" s="450">
        <f t="shared" si="4"/>
        <v>0.02</v>
      </c>
      <c r="I82" s="450">
        <f t="shared" si="4"/>
        <v>0.02</v>
      </c>
      <c r="J82" s="450">
        <f t="shared" si="4"/>
        <v>0.02</v>
      </c>
      <c r="K82" s="450">
        <f t="shared" si="4"/>
        <v>0.02</v>
      </c>
    </row>
    <row r="83" spans="1:20" hidden="1" outlineLevel="1" x14ac:dyDescent="0.3">
      <c r="A83" s="345" t="s">
        <v>557</v>
      </c>
      <c r="D83" s="509">
        <v>1334941</v>
      </c>
      <c r="E83" s="509">
        <v>3516485</v>
      </c>
      <c r="F83" s="453">
        <f t="shared" ref="F83:K83" si="5">IFERROR(CHOOSE($B$3,F12,F35,F59),"")</f>
        <v>2425713</v>
      </c>
      <c r="G83" s="453">
        <f t="shared" si="5"/>
        <v>2425713</v>
      </c>
      <c r="H83" s="453">
        <f t="shared" si="5"/>
        <v>2425713</v>
      </c>
      <c r="I83" s="453">
        <f t="shared" si="5"/>
        <v>2425713</v>
      </c>
      <c r="J83" s="453">
        <f t="shared" si="5"/>
        <v>2425713</v>
      </c>
      <c r="K83" s="453">
        <f t="shared" si="5"/>
        <v>2425713</v>
      </c>
    </row>
    <row r="84" spans="1:20" hidden="1" outlineLevel="1" x14ac:dyDescent="0.3">
      <c r="A84" s="345" t="s">
        <v>166</v>
      </c>
      <c r="D84" s="510">
        <v>1334941</v>
      </c>
      <c r="E84" s="510">
        <v>3516485</v>
      </c>
      <c r="F84" s="453">
        <f t="shared" ref="F84:K84" si="6">IFERROR(CHOOSE($B$3,F13,F36,F60),"")</f>
        <v>2425713</v>
      </c>
      <c r="G84" s="453">
        <f t="shared" si="6"/>
        <v>2425713</v>
      </c>
      <c r="H84" s="453">
        <f t="shared" si="6"/>
        <v>2425713</v>
      </c>
      <c r="I84" s="453">
        <f t="shared" si="6"/>
        <v>2425713</v>
      </c>
      <c r="J84" s="453">
        <f t="shared" si="6"/>
        <v>2425713</v>
      </c>
      <c r="K84" s="453">
        <f t="shared" si="6"/>
        <v>2425713</v>
      </c>
    </row>
    <row r="85" spans="1:20" hidden="1" outlineLevel="1" x14ac:dyDescent="0.3">
      <c r="A85" s="345" t="s">
        <v>558</v>
      </c>
      <c r="D85" s="510"/>
      <c r="E85" s="510"/>
      <c r="F85" s="450">
        <f t="shared" ref="F85" si="7">CHOOSE(1,F14,F37,F61)</f>
        <v>0</v>
      </c>
    </row>
    <row r="86" spans="1:20" hidden="1" outlineLevel="1" x14ac:dyDescent="0.3">
      <c r="A86" s="479" t="s">
        <v>614</v>
      </c>
      <c r="D86" s="472">
        <v>0.3</v>
      </c>
      <c r="E86" s="472">
        <v>0.3</v>
      </c>
      <c r="F86" s="450">
        <f t="shared" ref="F86:K86" si="8">IFERROR(CHOOSE($B$3,F15,F38,F62),"")</f>
        <v>0.25</v>
      </c>
      <c r="G86" s="450">
        <f t="shared" si="8"/>
        <v>0.25</v>
      </c>
      <c r="H86" s="450">
        <f t="shared" si="8"/>
        <v>0.25</v>
      </c>
      <c r="I86" s="450">
        <f t="shared" si="8"/>
        <v>0.25</v>
      </c>
      <c r="J86" s="450">
        <f t="shared" si="8"/>
        <v>0.25</v>
      </c>
      <c r="K86" s="450">
        <f t="shared" si="8"/>
        <v>0.25</v>
      </c>
    </row>
    <row r="87" spans="1:20" hidden="1" outlineLevel="1" x14ac:dyDescent="0.3">
      <c r="A87" s="479" t="s">
        <v>613</v>
      </c>
      <c r="D87" s="472">
        <v>0.25</v>
      </c>
      <c r="E87" s="472">
        <v>0.25</v>
      </c>
      <c r="F87" s="450">
        <f t="shared" ref="F87:K87" si="9">IFERROR(CHOOSE($B$3,F16,F39,F63),"")</f>
        <v>0.25</v>
      </c>
      <c r="G87" s="450">
        <f t="shared" si="9"/>
        <v>0.25</v>
      </c>
      <c r="H87" s="450">
        <f t="shared" si="9"/>
        <v>0.25</v>
      </c>
      <c r="I87" s="450">
        <f t="shared" si="9"/>
        <v>0.25</v>
      </c>
      <c r="J87" s="450">
        <f t="shared" si="9"/>
        <v>0.25</v>
      </c>
      <c r="K87" s="450">
        <f t="shared" si="9"/>
        <v>0.25</v>
      </c>
    </row>
    <row r="88" spans="1:20" hidden="1" outlineLevel="1" x14ac:dyDescent="0.3">
      <c r="A88" s="451" t="s">
        <v>576</v>
      </c>
      <c r="D88" s="472">
        <v>0.125</v>
      </c>
      <c r="E88" s="472">
        <v>0.125</v>
      </c>
      <c r="F88" s="450">
        <f t="shared" ref="F88:K89" si="10">IFERROR(CHOOSE($B$3,F17,F40,F64),"")</f>
        <v>0.1</v>
      </c>
      <c r="G88" s="450">
        <f t="shared" si="10"/>
        <v>0.1</v>
      </c>
      <c r="H88" s="450">
        <f t="shared" si="10"/>
        <v>0.1</v>
      </c>
      <c r="I88" s="450">
        <f t="shared" si="10"/>
        <v>0.1</v>
      </c>
      <c r="J88" s="450">
        <f t="shared" si="10"/>
        <v>0.1</v>
      </c>
      <c r="K88" s="450">
        <f t="shared" si="10"/>
        <v>0.1</v>
      </c>
    </row>
    <row r="89" spans="1:20" hidden="1" outlineLevel="1" x14ac:dyDescent="0.3">
      <c r="A89" s="452" t="s">
        <v>577</v>
      </c>
      <c r="D89" s="511">
        <f>D109</f>
        <v>2691143</v>
      </c>
      <c r="E89" s="511">
        <f>E109</f>
        <v>2500001</v>
      </c>
      <c r="F89" s="453">
        <f t="shared" si="10"/>
        <v>2595572</v>
      </c>
      <c r="G89" s="453">
        <f t="shared" si="10"/>
        <v>2595572</v>
      </c>
      <c r="H89" s="453">
        <f t="shared" si="10"/>
        <v>2595572</v>
      </c>
      <c r="I89" s="453">
        <f t="shared" si="10"/>
        <v>2595572</v>
      </c>
      <c r="J89" s="453">
        <f t="shared" si="10"/>
        <v>2595572</v>
      </c>
      <c r="K89" s="453">
        <f t="shared" si="10"/>
        <v>2595572</v>
      </c>
    </row>
    <row r="90" spans="1:20" hidden="1" outlineLevel="1" x14ac:dyDescent="0.3">
      <c r="A90" s="345" t="s">
        <v>559</v>
      </c>
      <c r="D90" s="472">
        <f>D114/D132</f>
        <v>0.1591077555571131</v>
      </c>
      <c r="E90" s="472">
        <f>E114/E132</f>
        <v>0.11807718514888041</v>
      </c>
      <c r="F90" s="450">
        <f t="shared" ref="F90:K90" si="11">IFERROR(CHOOSE($B$3,F19,F42,F66),"")</f>
        <v>0.13859247035299677</v>
      </c>
      <c r="G90" s="450">
        <f t="shared" si="11"/>
        <v>0.13859247035299677</v>
      </c>
      <c r="H90" s="450">
        <f t="shared" si="11"/>
        <v>0.13859247035299677</v>
      </c>
      <c r="I90" s="450">
        <f t="shared" si="11"/>
        <v>0.13859247035299677</v>
      </c>
      <c r="J90" s="450">
        <f t="shared" si="11"/>
        <v>0.13859247035299677</v>
      </c>
      <c r="K90" s="450">
        <f t="shared" si="11"/>
        <v>0.13859247035299677</v>
      </c>
    </row>
    <row r="91" spans="1:20" hidden="1" outlineLevel="1" x14ac:dyDescent="0.3">
      <c r="A91" s="345" t="s">
        <v>560</v>
      </c>
      <c r="D91" s="472">
        <v>0.3</v>
      </c>
      <c r="E91" s="472">
        <v>0.3</v>
      </c>
      <c r="F91" s="450">
        <f t="shared" ref="F91:K91" si="12">IFERROR(CHOOSE($B$3,F20,F43,F67),"")</f>
        <v>0.3</v>
      </c>
      <c r="G91" s="450">
        <f t="shared" si="12"/>
        <v>0.3</v>
      </c>
      <c r="H91" s="450">
        <f t="shared" si="12"/>
        <v>0.3</v>
      </c>
      <c r="I91" s="450">
        <f t="shared" si="12"/>
        <v>0.3</v>
      </c>
      <c r="J91" s="450">
        <f t="shared" si="12"/>
        <v>0.3</v>
      </c>
      <c r="K91" s="450">
        <f t="shared" si="12"/>
        <v>0.3</v>
      </c>
    </row>
    <row r="92" spans="1:20" hidden="1" outlineLevel="1" x14ac:dyDescent="0.3">
      <c r="D92" s="510"/>
      <c r="E92" s="510"/>
    </row>
    <row r="93" spans="1:20" ht="17.25" hidden="1" outlineLevel="1" x14ac:dyDescent="0.35">
      <c r="A93" s="437" t="s">
        <v>56</v>
      </c>
      <c r="D93" s="510"/>
      <c r="E93" s="510"/>
    </row>
    <row r="94" spans="1:20" s="470" customFormat="1" ht="17.25" hidden="1" outlineLevel="1" x14ac:dyDescent="0.35">
      <c r="A94" s="345" t="s">
        <v>561</v>
      </c>
      <c r="B94" s="345"/>
      <c r="C94" s="345"/>
      <c r="D94" s="512">
        <f>(D126/D104)*365</f>
        <v>17.374918651329164</v>
      </c>
      <c r="E94" s="512">
        <f>(E126/E104)*365</f>
        <v>20.332343581826411</v>
      </c>
      <c r="F94" s="448">
        <f>IFERROR(CHOOSE($B$3,F23,F46,F70),"")</f>
        <v>18</v>
      </c>
      <c r="G94" s="448">
        <f t="shared" ref="G94:K94" si="13">IFERROR(CHOOSE($B$3,G23,G46,G70),"")</f>
        <v>18</v>
      </c>
      <c r="H94" s="448">
        <f t="shared" si="13"/>
        <v>18</v>
      </c>
      <c r="I94" s="448">
        <f t="shared" si="13"/>
        <v>18</v>
      </c>
      <c r="J94" s="448">
        <f t="shared" si="13"/>
        <v>18</v>
      </c>
      <c r="K94" s="448">
        <f t="shared" si="13"/>
        <v>18</v>
      </c>
      <c r="M94" s="492"/>
      <c r="N94" s="492"/>
      <c r="O94" s="492"/>
      <c r="P94" s="492"/>
      <c r="Q94" s="492"/>
      <c r="R94" s="492"/>
      <c r="S94" s="492"/>
      <c r="T94" s="492"/>
    </row>
    <row r="95" spans="1:20" hidden="1" outlineLevel="1" x14ac:dyDescent="0.3">
      <c r="A95" s="345" t="s">
        <v>562</v>
      </c>
      <c r="D95" s="510">
        <f>(D131/D105)*365</f>
        <v>5.2021142690596438</v>
      </c>
      <c r="E95" s="510">
        <f>(E131/E105)*365</f>
        <v>18.547222473026512</v>
      </c>
      <c r="F95" s="448">
        <f t="shared" ref="F95:K99" si="14">IFERROR(CHOOSE($B$3,F24,F47,F71),"")</f>
        <v>15</v>
      </c>
      <c r="G95" s="448">
        <f t="shared" si="14"/>
        <v>15</v>
      </c>
      <c r="H95" s="448">
        <f t="shared" si="14"/>
        <v>15</v>
      </c>
      <c r="I95" s="448">
        <f t="shared" si="14"/>
        <v>15</v>
      </c>
      <c r="J95" s="448">
        <f t="shared" si="14"/>
        <v>15</v>
      </c>
      <c r="K95" s="448">
        <f t="shared" si="14"/>
        <v>15</v>
      </c>
      <c r="N95" s="493"/>
      <c r="O95" s="493"/>
      <c r="P95" s="493"/>
      <c r="Q95" s="493"/>
      <c r="R95" s="493"/>
    </row>
    <row r="96" spans="1:20" hidden="1" outlineLevel="1" x14ac:dyDescent="0.3">
      <c r="A96" s="345" t="s">
        <v>563</v>
      </c>
      <c r="D96" s="510">
        <f>(D125/D105)*365</f>
        <v>5.633131541473511</v>
      </c>
      <c r="E96" s="510">
        <f>(E125/E105)*365</f>
        <v>11.744340549147534</v>
      </c>
      <c r="F96" s="448">
        <f t="shared" si="14"/>
        <v>8</v>
      </c>
      <c r="G96" s="448">
        <f t="shared" si="14"/>
        <v>8</v>
      </c>
      <c r="H96" s="448">
        <f t="shared" si="14"/>
        <v>8</v>
      </c>
      <c r="I96" s="448">
        <f t="shared" si="14"/>
        <v>8</v>
      </c>
      <c r="J96" s="448">
        <f t="shared" si="14"/>
        <v>8</v>
      </c>
      <c r="K96" s="448">
        <f t="shared" si="14"/>
        <v>8</v>
      </c>
    </row>
    <row r="97" spans="1:11" hidden="1" outlineLevel="1" x14ac:dyDescent="0.3">
      <c r="A97" s="345" t="s">
        <v>564</v>
      </c>
      <c r="D97" s="510"/>
      <c r="E97" s="510"/>
      <c r="F97" s="448">
        <f t="shared" si="14"/>
        <v>0</v>
      </c>
      <c r="G97" s="448">
        <f t="shared" si="14"/>
        <v>0</v>
      </c>
      <c r="H97" s="448">
        <f t="shared" si="14"/>
        <v>0</v>
      </c>
      <c r="I97" s="448">
        <f t="shared" si="14"/>
        <v>0</v>
      </c>
      <c r="J97" s="448">
        <f t="shared" si="14"/>
        <v>0</v>
      </c>
      <c r="K97" s="448">
        <f t="shared" si="14"/>
        <v>0</v>
      </c>
    </row>
    <row r="98" spans="1:11" hidden="1" outlineLevel="1" x14ac:dyDescent="0.3">
      <c r="A98" s="345" t="s">
        <v>565</v>
      </c>
      <c r="D98" s="510">
        <f>D132</f>
        <v>3692438.8</v>
      </c>
      <c r="E98" s="510">
        <f>E132</f>
        <v>3699952.7</v>
      </c>
      <c r="F98" s="448">
        <f t="shared" si="14"/>
        <v>3696195.75</v>
      </c>
      <c r="G98" s="448">
        <f t="shared" si="14"/>
        <v>3696195.75</v>
      </c>
      <c r="H98" s="448">
        <f t="shared" si="14"/>
        <v>3696195.75</v>
      </c>
      <c r="I98" s="448">
        <f t="shared" si="14"/>
        <v>3696195.75</v>
      </c>
      <c r="J98" s="448">
        <f t="shared" si="14"/>
        <v>3696195.75</v>
      </c>
      <c r="K98" s="448">
        <f t="shared" si="14"/>
        <v>3696195.75</v>
      </c>
    </row>
    <row r="99" spans="1:11" s="437" customFormat="1" ht="17.25" hidden="1" outlineLevel="1" x14ac:dyDescent="0.35">
      <c r="A99" s="345" t="s">
        <v>566</v>
      </c>
      <c r="B99" s="345"/>
      <c r="C99" s="345"/>
      <c r="D99" s="510">
        <v>0</v>
      </c>
      <c r="E99" s="510">
        <v>0</v>
      </c>
      <c r="F99" s="448">
        <f t="shared" si="14"/>
        <v>0</v>
      </c>
      <c r="G99" s="448">
        <f t="shared" si="14"/>
        <v>0</v>
      </c>
      <c r="H99" s="448">
        <f t="shared" si="14"/>
        <v>0</v>
      </c>
      <c r="I99" s="448">
        <f t="shared" si="14"/>
        <v>0</v>
      </c>
      <c r="J99" s="448">
        <f t="shared" si="14"/>
        <v>0</v>
      </c>
      <c r="K99" s="448">
        <f t="shared" si="14"/>
        <v>0</v>
      </c>
    </row>
    <row r="100" spans="1:11" hidden="1" outlineLevel="1" x14ac:dyDescent="0.3"/>
    <row r="101" spans="1:11" collapsed="1" x14ac:dyDescent="0.3"/>
    <row r="103" spans="1:11" ht="17.25" x14ac:dyDescent="0.35">
      <c r="A103" s="433" t="s">
        <v>55</v>
      </c>
      <c r="B103" s="436"/>
      <c r="C103" s="436"/>
      <c r="D103" s="449"/>
      <c r="E103" s="449"/>
      <c r="F103" s="449"/>
      <c r="G103" s="449"/>
      <c r="H103" s="449"/>
      <c r="I103" s="449"/>
      <c r="J103" s="449"/>
      <c r="K103" s="449"/>
    </row>
    <row r="104" spans="1:11" hidden="1" outlineLevel="1" x14ac:dyDescent="0.3">
      <c r="A104" s="345" t="s">
        <v>5</v>
      </c>
      <c r="D104" s="462">
        <v>231291153.24000001</v>
      </c>
      <c r="E104" s="462">
        <v>333139915.44999999</v>
      </c>
      <c r="F104" s="455">
        <f t="shared" ref="F104:K104" si="15">E104*(1+F80)</f>
        <v>466395881.62999994</v>
      </c>
      <c r="G104" s="455">
        <f t="shared" si="15"/>
        <v>652954234.28199983</v>
      </c>
      <c r="H104" s="455">
        <f t="shared" si="15"/>
        <v>914135927.99479973</v>
      </c>
      <c r="I104" s="455">
        <f t="shared" si="15"/>
        <v>1279790299.1927195</v>
      </c>
      <c r="J104" s="455">
        <f t="shared" si="15"/>
        <v>1791706418.8698072</v>
      </c>
      <c r="K104" s="455">
        <f t="shared" si="15"/>
        <v>2508388986.4177299</v>
      </c>
    </row>
    <row r="105" spans="1:11" s="470" customFormat="1" ht="18" hidden="1" outlineLevel="1" thickBot="1" x14ac:dyDescent="0.4">
      <c r="A105" s="345" t="s">
        <v>568</v>
      </c>
      <c r="B105" s="345"/>
      <c r="C105" s="345"/>
      <c r="D105" s="462">
        <v>213590964.66</v>
      </c>
      <c r="E105" s="462">
        <v>310883060.63</v>
      </c>
      <c r="F105" s="455">
        <f t="shared" ref="F105:K105" si="16">F104*F81</f>
        <v>432969972.53766167</v>
      </c>
      <c r="G105" s="455">
        <f t="shared" si="16"/>
        <v>606157961.55272627</v>
      </c>
      <c r="H105" s="455">
        <f t="shared" si="16"/>
        <v>848621146.17381668</v>
      </c>
      <c r="I105" s="455">
        <f t="shared" si="16"/>
        <v>1188069604.6433432</v>
      </c>
      <c r="J105" s="455">
        <f t="shared" si="16"/>
        <v>1663297446.5006807</v>
      </c>
      <c r="K105" s="455">
        <f t="shared" si="16"/>
        <v>2328616425.1009526</v>
      </c>
    </row>
    <row r="106" spans="1:11" ht="17.25" hidden="1" outlineLevel="1" x14ac:dyDescent="0.35">
      <c r="A106" s="443" t="s">
        <v>569</v>
      </c>
      <c r="B106" s="443"/>
      <c r="C106" s="443"/>
      <c r="D106" s="456">
        <f>D104-D105</f>
        <v>17700188.580000013</v>
      </c>
      <c r="E106" s="456">
        <f>E104-E105</f>
        <v>22256854.819999993</v>
      </c>
      <c r="F106" s="456">
        <f t="shared" ref="F106:K106" si="17">F104-F105</f>
        <v>33425909.092338264</v>
      </c>
      <c r="G106" s="456">
        <f t="shared" si="17"/>
        <v>46796272.729273558</v>
      </c>
      <c r="H106" s="456">
        <f t="shared" si="17"/>
        <v>65514781.820983052</v>
      </c>
      <c r="I106" s="456">
        <f t="shared" si="17"/>
        <v>91720694.549376249</v>
      </c>
      <c r="J106" s="456">
        <f t="shared" si="17"/>
        <v>128408972.36912656</v>
      </c>
      <c r="K106" s="456">
        <f t="shared" si="17"/>
        <v>179772561.31677723</v>
      </c>
    </row>
    <row r="107" spans="1:11" ht="17.25" hidden="1" outlineLevel="1" x14ac:dyDescent="0.35">
      <c r="A107" s="437" t="s">
        <v>4</v>
      </c>
      <c r="D107" s="457"/>
      <c r="E107" s="457"/>
      <c r="F107" s="457"/>
      <c r="G107" s="457"/>
      <c r="H107" s="457"/>
      <c r="I107" s="457"/>
      <c r="J107" s="457"/>
      <c r="K107" s="457"/>
    </row>
    <row r="108" spans="1:11" hidden="1" outlineLevel="1" x14ac:dyDescent="0.3">
      <c r="A108" s="345" t="s">
        <v>556</v>
      </c>
      <c r="D108" s="463">
        <v>4648819</v>
      </c>
      <c r="E108" s="463">
        <v>5643423</v>
      </c>
      <c r="F108" s="458">
        <f t="shared" ref="F108:K108" si="18">F104*F82</f>
        <v>9327917.6325999983</v>
      </c>
      <c r="G108" s="458">
        <f t="shared" si="18"/>
        <v>13059084.685639996</v>
      </c>
      <c r="H108" s="458">
        <f t="shared" si="18"/>
        <v>18282718.559895996</v>
      </c>
      <c r="I108" s="458">
        <f t="shared" si="18"/>
        <v>25595805.983854391</v>
      </c>
      <c r="J108" s="458">
        <f t="shared" si="18"/>
        <v>35834128.377396144</v>
      </c>
      <c r="K108" s="458">
        <f t="shared" si="18"/>
        <v>50167779.728354596</v>
      </c>
    </row>
    <row r="109" spans="1:11" hidden="1" outlineLevel="1" x14ac:dyDescent="0.3">
      <c r="A109" s="347" t="s">
        <v>154</v>
      </c>
      <c r="D109" s="464">
        <v>2691143</v>
      </c>
      <c r="E109" s="465">
        <v>2500001</v>
      </c>
      <c r="F109" s="454">
        <f t="shared" ref="F109:K109" si="19">F89</f>
        <v>2595572</v>
      </c>
      <c r="G109" s="454">
        <f t="shared" si="19"/>
        <v>2595572</v>
      </c>
      <c r="H109" s="454">
        <f t="shared" si="19"/>
        <v>2595572</v>
      </c>
      <c r="I109" s="454">
        <f t="shared" si="19"/>
        <v>2595572</v>
      </c>
      <c r="J109" s="454">
        <f t="shared" si="19"/>
        <v>2595572</v>
      </c>
      <c r="K109" s="454">
        <f t="shared" si="19"/>
        <v>2595572</v>
      </c>
    </row>
    <row r="110" spans="1:11" hidden="1" outlineLevel="1" x14ac:dyDescent="0.3">
      <c r="A110" s="345" t="s">
        <v>557</v>
      </c>
      <c r="D110" s="463">
        <v>1334941</v>
      </c>
      <c r="E110" s="463">
        <v>3516485</v>
      </c>
      <c r="F110" s="458">
        <f t="shared" ref="F110:K111" si="20">F83</f>
        <v>2425713</v>
      </c>
      <c r="G110" s="458">
        <f t="shared" si="20"/>
        <v>2425713</v>
      </c>
      <c r="H110" s="458">
        <f t="shared" si="20"/>
        <v>2425713</v>
      </c>
      <c r="I110" s="458">
        <f t="shared" si="20"/>
        <v>2425713</v>
      </c>
      <c r="J110" s="458">
        <f t="shared" si="20"/>
        <v>2425713</v>
      </c>
      <c r="K110" s="458">
        <f t="shared" si="20"/>
        <v>2425713</v>
      </c>
    </row>
    <row r="111" spans="1:11" ht="17.25" hidden="1" outlineLevel="1" thickBot="1" x14ac:dyDescent="0.35">
      <c r="A111" s="345" t="s">
        <v>166</v>
      </c>
      <c r="D111" s="463">
        <v>2142689.66</v>
      </c>
      <c r="E111" s="463">
        <v>1409746.56</v>
      </c>
      <c r="F111" s="458">
        <f t="shared" si="20"/>
        <v>2425713</v>
      </c>
      <c r="G111" s="458">
        <f t="shared" si="20"/>
        <v>2425713</v>
      </c>
      <c r="H111" s="458">
        <f t="shared" si="20"/>
        <v>2425713</v>
      </c>
      <c r="I111" s="458">
        <f t="shared" si="20"/>
        <v>2425713</v>
      </c>
      <c r="J111" s="458">
        <f t="shared" si="20"/>
        <v>2425713</v>
      </c>
      <c r="K111" s="458">
        <f t="shared" si="20"/>
        <v>2425713</v>
      </c>
    </row>
    <row r="112" spans="1:11" ht="17.25" hidden="1" outlineLevel="1" x14ac:dyDescent="0.35">
      <c r="A112" s="443" t="s">
        <v>571</v>
      </c>
      <c r="B112" s="443"/>
      <c r="C112" s="443"/>
      <c r="D112" s="459">
        <f>D106-SUM(D108:D111)</f>
        <v>6882595.920000013</v>
      </c>
      <c r="E112" s="459">
        <f>E106-SUM(E108:E111)</f>
        <v>9187199.2599999923</v>
      </c>
      <c r="F112" s="459">
        <f t="shared" ref="F112:K112" si="21">F106-SUM(F108:F111)</f>
        <v>16650993.459738266</v>
      </c>
      <c r="G112" s="459">
        <f t="shared" si="21"/>
        <v>26290190.043633562</v>
      </c>
      <c r="H112" s="459">
        <f t="shared" si="21"/>
        <v>39785065.26108706</v>
      </c>
      <c r="I112" s="459">
        <f t="shared" si="21"/>
        <v>58677890.565521859</v>
      </c>
      <c r="J112" s="459">
        <f t="shared" si="21"/>
        <v>85127845.991730422</v>
      </c>
      <c r="K112" s="459">
        <f t="shared" si="21"/>
        <v>122157783.58842263</v>
      </c>
    </row>
    <row r="113" spans="1:11" hidden="1" outlineLevel="1" x14ac:dyDescent="0.3">
      <c r="A113" s="345" t="s">
        <v>570</v>
      </c>
      <c r="D113" s="463">
        <v>223810.430222266</v>
      </c>
      <c r="E113" s="463">
        <v>409278.51677448238</v>
      </c>
      <c r="F113" s="455">
        <f>-SUM(F194:F196)</f>
        <v>388975.86394055176</v>
      </c>
      <c r="G113" s="455">
        <f t="shared" ref="G113:K113" si="22">-SUM(G194:G196)</f>
        <v>299832.60223399661</v>
      </c>
      <c r="H113" s="455">
        <f t="shared" si="22"/>
        <v>232165.08552622193</v>
      </c>
      <c r="I113" s="455">
        <f t="shared" si="22"/>
        <v>195685.38461031849</v>
      </c>
      <c r="J113" s="455">
        <f t="shared" si="22"/>
        <v>529919.45187682565</v>
      </c>
      <c r="K113" s="455">
        <f t="shared" si="22"/>
        <v>404779.46098479745</v>
      </c>
    </row>
    <row r="114" spans="1:11" hidden="1" outlineLevel="1" x14ac:dyDescent="0.3">
      <c r="A114" s="345" t="s">
        <v>559</v>
      </c>
      <c r="D114" s="463">
        <v>587495.65</v>
      </c>
      <c r="E114" s="463">
        <v>436880</v>
      </c>
      <c r="F114" s="455">
        <f t="shared" ref="F114:K114" si="23">F199*F98</f>
        <v>512264.89990074764</v>
      </c>
      <c r="G114" s="455">
        <f t="shared" si="23"/>
        <v>512264.89990074764</v>
      </c>
      <c r="H114" s="455">
        <f t="shared" si="23"/>
        <v>512264.89990074764</v>
      </c>
      <c r="I114" s="455">
        <f t="shared" si="23"/>
        <v>512264.89990074764</v>
      </c>
      <c r="J114" s="455">
        <f t="shared" si="23"/>
        <v>512264.89990074764</v>
      </c>
      <c r="K114" s="455">
        <f t="shared" si="23"/>
        <v>512264.89990074764</v>
      </c>
    </row>
    <row r="115" spans="1:11" ht="18" hidden="1" outlineLevel="1" thickBot="1" x14ac:dyDescent="0.4">
      <c r="A115" s="441" t="s">
        <v>572</v>
      </c>
      <c r="B115" s="442"/>
      <c r="C115" s="442"/>
      <c r="D115" s="460">
        <f>D112-SUM(D113:D114)</f>
        <v>6071289.8397777472</v>
      </c>
      <c r="E115" s="460">
        <f t="shared" ref="E115:K115" si="24">E112-SUM(E113:E114)</f>
        <v>8341040.7432255102</v>
      </c>
      <c r="F115" s="460">
        <f>F112-SUM(F113:F114)</f>
        <v>15749752.695896966</v>
      </c>
      <c r="G115" s="460">
        <f t="shared" si="24"/>
        <v>25478092.541498818</v>
      </c>
      <c r="H115" s="460">
        <f t="shared" si="24"/>
        <v>39040635.27566009</v>
      </c>
      <c r="I115" s="460">
        <f t="shared" si="24"/>
        <v>57969940.281010792</v>
      </c>
      <c r="J115" s="460">
        <f t="shared" si="24"/>
        <v>84085661.639952853</v>
      </c>
      <c r="K115" s="460">
        <f t="shared" si="24"/>
        <v>121240739.22753708</v>
      </c>
    </row>
    <row r="116" spans="1:11" hidden="1" outlineLevel="1" x14ac:dyDescent="0.3">
      <c r="D116" s="458"/>
      <c r="E116" s="458"/>
      <c r="F116" s="455"/>
      <c r="G116" s="455"/>
      <c r="H116" s="455"/>
      <c r="I116" s="455"/>
      <c r="J116" s="455"/>
      <c r="K116" s="455"/>
    </row>
    <row r="117" spans="1:11" hidden="1" outlineLevel="1" x14ac:dyDescent="0.3">
      <c r="A117" s="345" t="s">
        <v>573</v>
      </c>
      <c r="D117" s="465">
        <v>-1820215.25995313</v>
      </c>
      <c r="E117" s="465">
        <v>-2508031.2003339818</v>
      </c>
      <c r="F117" s="455">
        <f t="shared" ref="F117:K117" si="25">-F91*F115</f>
        <v>-4724925.8087690901</v>
      </c>
      <c r="G117" s="455">
        <f t="shared" si="25"/>
        <v>-7643427.7624496445</v>
      </c>
      <c r="H117" s="455">
        <f t="shared" si="25"/>
        <v>-11712190.582698027</v>
      </c>
      <c r="I117" s="455">
        <f t="shared" si="25"/>
        <v>-17390982.084303237</v>
      </c>
      <c r="J117" s="455">
        <f t="shared" si="25"/>
        <v>-25225698.491985854</v>
      </c>
      <c r="K117" s="455">
        <f t="shared" si="25"/>
        <v>-36372221.76826112</v>
      </c>
    </row>
    <row r="118" spans="1:11" ht="18" hidden="1" outlineLevel="1" thickBot="1" x14ac:dyDescent="0.4">
      <c r="A118" s="441" t="s">
        <v>574</v>
      </c>
      <c r="B118" s="442"/>
      <c r="C118" s="442"/>
      <c r="D118" s="461">
        <f>SUM(D115:D117)</f>
        <v>4251074.5798246171</v>
      </c>
      <c r="E118" s="461">
        <f>SUM(E115:E117)</f>
        <v>5833009.5428915285</v>
      </c>
      <c r="F118" s="461">
        <f t="shared" ref="F118:K118" si="26">SUM(F115:F117)</f>
        <v>11024826.887127876</v>
      </c>
      <c r="G118" s="461">
        <f t="shared" si="26"/>
        <v>17834664.779049173</v>
      </c>
      <c r="H118" s="461">
        <f t="shared" si="26"/>
        <v>27328444.692962065</v>
      </c>
      <c r="I118" s="461">
        <f t="shared" si="26"/>
        <v>40578958.196707554</v>
      </c>
      <c r="J118" s="461">
        <f t="shared" si="26"/>
        <v>58859963.147966996</v>
      </c>
      <c r="K118" s="461">
        <f t="shared" si="26"/>
        <v>84868517.459275961</v>
      </c>
    </row>
    <row r="119" spans="1:11" hidden="1" outlineLevel="1" x14ac:dyDescent="0.3">
      <c r="D119" s="455"/>
      <c r="E119" s="455"/>
      <c r="F119" s="455"/>
      <c r="G119" s="455"/>
      <c r="H119" s="455"/>
      <c r="I119" s="455"/>
      <c r="J119" s="455"/>
      <c r="K119" s="455"/>
    </row>
    <row r="120" spans="1:11" collapsed="1" x14ac:dyDescent="0.3">
      <c r="D120" s="455"/>
      <c r="E120" s="455"/>
      <c r="F120" s="455"/>
      <c r="G120" s="455"/>
      <c r="H120" s="455"/>
      <c r="I120" s="455"/>
      <c r="J120" s="455"/>
      <c r="K120" s="455"/>
    </row>
    <row r="121" spans="1:11" x14ac:dyDescent="0.3">
      <c r="D121" s="494"/>
      <c r="E121" s="455"/>
      <c r="F121" s="455"/>
      <c r="G121" s="455"/>
      <c r="H121" s="455"/>
      <c r="I121" s="455"/>
      <c r="J121" s="455"/>
      <c r="K121" s="455"/>
    </row>
    <row r="122" spans="1:11" s="437" customFormat="1" ht="17.25" x14ac:dyDescent="0.35">
      <c r="A122" s="433" t="s">
        <v>56</v>
      </c>
      <c r="B122" s="436"/>
      <c r="C122" s="436"/>
      <c r="D122" s="495"/>
      <c r="E122" s="495"/>
      <c r="F122" s="495"/>
      <c r="G122" s="495"/>
      <c r="H122" s="495"/>
      <c r="I122" s="495"/>
      <c r="J122" s="495"/>
      <c r="K122" s="495"/>
    </row>
    <row r="123" spans="1:11" ht="17.25" hidden="1" outlineLevel="1" x14ac:dyDescent="0.35">
      <c r="A123" s="437" t="s">
        <v>11</v>
      </c>
      <c r="D123" s="455"/>
      <c r="E123" s="455"/>
      <c r="F123" s="455"/>
      <c r="G123" s="455"/>
      <c r="H123" s="455"/>
      <c r="I123" s="455"/>
      <c r="J123" s="455"/>
      <c r="K123" s="455"/>
    </row>
    <row r="124" spans="1:11" hidden="1" outlineLevel="1" x14ac:dyDescent="0.3">
      <c r="A124" s="345" t="s">
        <v>578</v>
      </c>
      <c r="D124" s="463">
        <v>3489751.21</v>
      </c>
      <c r="E124" s="463">
        <v>5942182.5099999998</v>
      </c>
      <c r="F124" s="455">
        <f>IFERROR(CHOOSE($B$3,F204,F205,F206),"")</f>
        <v>15218744.529447958</v>
      </c>
      <c r="G124" s="455">
        <f t="shared" ref="G124:K124" si="27">IFERROR(CHOOSE($B$3,G204,G205,G206),"")</f>
        <v>26474517.459688529</v>
      </c>
      <c r="H124" s="455">
        <f t="shared" si="27"/>
        <v>45804913.00671719</v>
      </c>
      <c r="I124" s="455">
        <f t="shared" si="27"/>
        <v>73907256.663991585</v>
      </c>
      <c r="J124" s="455">
        <f t="shared" si="27"/>
        <v>115665919.37017456</v>
      </c>
      <c r="K124" s="455">
        <f t="shared" si="27"/>
        <v>177355508.43931004</v>
      </c>
    </row>
    <row r="125" spans="1:11" hidden="1" outlineLevel="1" x14ac:dyDescent="0.3">
      <c r="A125" s="345" t="s">
        <v>142</v>
      </c>
      <c r="D125" s="463">
        <v>3296400</v>
      </c>
      <c r="E125" s="463">
        <v>10003059</v>
      </c>
      <c r="F125" s="488">
        <f>(F96*F105)/365</f>
        <v>9489752.8227432687</v>
      </c>
      <c r="G125" s="488">
        <f>G96*G105/365</f>
        <v>13285653.951840576</v>
      </c>
      <c r="H125" s="488">
        <f>H96*H105/365</f>
        <v>18599915.532576803</v>
      </c>
      <c r="I125" s="488">
        <f>I96*I105/365</f>
        <v>26039881.745607521</v>
      </c>
      <c r="J125" s="488">
        <f>J96*J105/365</f>
        <v>36455834.443850532</v>
      </c>
      <c r="K125" s="488">
        <f>K96*K105/365</f>
        <v>51038168.221390739</v>
      </c>
    </row>
    <row r="126" spans="1:11" s="437" customFormat="1" ht="17.25" hidden="1" outlineLevel="1" x14ac:dyDescent="0.35">
      <c r="A126" s="345" t="s">
        <v>579</v>
      </c>
      <c r="B126" s="345"/>
      <c r="C126" s="345"/>
      <c r="D126" s="463">
        <f>'Statement Generator'!T80+'Statement Generator'!T81</f>
        <v>11010041.020046871</v>
      </c>
      <c r="E126" s="463">
        <v>18557575.949999999</v>
      </c>
      <c r="F126" s="488">
        <f t="shared" ref="F126:K126" si="28">(F94*F104)/365</f>
        <v>23000344.847506847</v>
      </c>
      <c r="G126" s="488">
        <f t="shared" si="28"/>
        <v>32200482.786509581</v>
      </c>
      <c r="H126" s="488">
        <f t="shared" si="28"/>
        <v>45080675.901113413</v>
      </c>
      <c r="I126" s="488">
        <f t="shared" si="28"/>
        <v>63112946.261558764</v>
      </c>
      <c r="J126" s="488">
        <f t="shared" si="28"/>
        <v>88358124.766182274</v>
      </c>
      <c r="K126" s="488">
        <f t="shared" si="28"/>
        <v>123701374.67265517</v>
      </c>
    </row>
    <row r="127" spans="1:11" hidden="1" outlineLevel="1" x14ac:dyDescent="0.3">
      <c r="A127" s="345" t="s">
        <v>580</v>
      </c>
      <c r="D127" s="463">
        <f>D197</f>
        <v>792898</v>
      </c>
      <c r="E127" s="463">
        <f t="shared" ref="E127:K127" si="29">E197</f>
        <v>1679931.6269055179</v>
      </c>
      <c r="F127" s="488">
        <f t="shared" si="29"/>
        <v>1490955.7629649658</v>
      </c>
      <c r="G127" s="488">
        <f t="shared" si="29"/>
        <v>1191123.1607309692</v>
      </c>
      <c r="H127" s="488">
        <f t="shared" si="29"/>
        <v>958958.07520474726</v>
      </c>
      <c r="I127" s="488">
        <f t="shared" si="29"/>
        <v>913272.6905944288</v>
      </c>
      <c r="J127" s="488">
        <f t="shared" si="29"/>
        <v>1883353.2387176035</v>
      </c>
      <c r="K127" s="488">
        <f t="shared" si="29"/>
        <v>1478573.7777328058</v>
      </c>
    </row>
    <row r="128" spans="1:11" ht="18" hidden="1" outlineLevel="1" thickBot="1" x14ac:dyDescent="0.4">
      <c r="A128" s="471" t="s">
        <v>581</v>
      </c>
      <c r="B128" s="471"/>
      <c r="C128" s="471"/>
      <c r="D128" s="468">
        <f>SUM(D124:D127)</f>
        <v>18589090.230046872</v>
      </c>
      <c r="E128" s="468">
        <f t="shared" ref="E128" si="30">SUM(E124:E127)</f>
        <v>36182749.086905517</v>
      </c>
      <c r="F128" s="468">
        <f t="shared" ref="F128:K128" si="31">SUM(F124:F127)</f>
        <v>49199797.96266304</v>
      </c>
      <c r="G128" s="468">
        <f t="shared" si="31"/>
        <v>73151777.35876967</v>
      </c>
      <c r="H128" s="468">
        <f t="shared" si="31"/>
        <v>110444462.51561214</v>
      </c>
      <c r="I128" s="468">
        <f t="shared" si="31"/>
        <v>163973357.3617523</v>
      </c>
      <c r="J128" s="468">
        <f t="shared" si="31"/>
        <v>242363231.81892499</v>
      </c>
      <c r="K128" s="468">
        <f t="shared" si="31"/>
        <v>353573625.11108875</v>
      </c>
    </row>
    <row r="129" spans="1:11" hidden="1" outlineLevel="1" x14ac:dyDescent="0.3">
      <c r="D129" s="463"/>
      <c r="E129" s="463"/>
      <c r="F129" s="463"/>
      <c r="G129" s="463"/>
      <c r="H129" s="463"/>
      <c r="I129" s="463"/>
      <c r="J129" s="463"/>
      <c r="K129" s="463"/>
    </row>
    <row r="130" spans="1:11" s="437" customFormat="1" ht="17.25" hidden="1" outlineLevel="1" x14ac:dyDescent="0.35">
      <c r="A130" s="437" t="s">
        <v>12</v>
      </c>
      <c r="B130" s="345"/>
      <c r="C130" s="345"/>
      <c r="D130" s="463"/>
      <c r="E130" s="463"/>
      <c r="F130" s="463"/>
      <c r="G130" s="463"/>
      <c r="H130" s="463"/>
      <c r="I130" s="463"/>
      <c r="J130" s="463"/>
      <c r="K130" s="463"/>
    </row>
    <row r="131" spans="1:11" hidden="1" outlineLevel="1" x14ac:dyDescent="0.3">
      <c r="A131" s="466" t="s">
        <v>141</v>
      </c>
      <c r="D131" s="463">
        <v>3044177</v>
      </c>
      <c r="E131" s="463">
        <v>15797307.640000001</v>
      </c>
      <c r="F131" s="463">
        <f t="shared" ref="F131:K131" si="32">(F95*F105)/365</f>
        <v>17793286.542643629</v>
      </c>
      <c r="G131" s="463">
        <f t="shared" si="32"/>
        <v>24910601.159701079</v>
      </c>
      <c r="H131" s="463">
        <f t="shared" si="32"/>
        <v>34874841.623581506</v>
      </c>
      <c r="I131" s="463">
        <f t="shared" si="32"/>
        <v>48824778.273014098</v>
      </c>
      <c r="J131" s="463">
        <f t="shared" si="32"/>
        <v>68354689.582219765</v>
      </c>
      <c r="K131" s="463">
        <f t="shared" si="32"/>
        <v>95696565.415107638</v>
      </c>
    </row>
    <row r="132" spans="1:11" hidden="1" outlineLevel="1" x14ac:dyDescent="0.3">
      <c r="A132" s="345" t="s">
        <v>582</v>
      </c>
      <c r="D132" s="463">
        <v>3692438.8</v>
      </c>
      <c r="E132" s="463">
        <v>3699952.7</v>
      </c>
      <c r="F132" s="463">
        <f t="shared" ref="F132:K132" si="33">F98</f>
        <v>3696195.75</v>
      </c>
      <c r="G132" s="463">
        <f t="shared" si="33"/>
        <v>3696195.75</v>
      </c>
      <c r="H132" s="463">
        <f t="shared" si="33"/>
        <v>3696195.75</v>
      </c>
      <c r="I132" s="463">
        <f t="shared" si="33"/>
        <v>3696195.75</v>
      </c>
      <c r="J132" s="463">
        <f t="shared" si="33"/>
        <v>3696195.75</v>
      </c>
      <c r="K132" s="463">
        <f t="shared" si="33"/>
        <v>3696195.75</v>
      </c>
    </row>
    <row r="133" spans="1:11" ht="18" hidden="1" outlineLevel="1" thickBot="1" x14ac:dyDescent="0.4">
      <c r="A133" s="441" t="s">
        <v>583</v>
      </c>
      <c r="B133" s="441"/>
      <c r="C133" s="441"/>
      <c r="D133" s="468">
        <f>SUM(D131:D132)</f>
        <v>6736615.7999999998</v>
      </c>
      <c r="E133" s="468">
        <f t="shared" ref="E133:K133" si="34">SUM(E131:E132)</f>
        <v>19497260.34</v>
      </c>
      <c r="F133" s="468">
        <f t="shared" si="34"/>
        <v>21489482.292643629</v>
      </c>
      <c r="G133" s="468">
        <f t="shared" si="34"/>
        <v>28606796.909701079</v>
      </c>
      <c r="H133" s="468">
        <f t="shared" si="34"/>
        <v>38571037.373581506</v>
      </c>
      <c r="I133" s="468">
        <f t="shared" si="34"/>
        <v>52520974.023014098</v>
      </c>
      <c r="J133" s="468">
        <f t="shared" si="34"/>
        <v>72050885.332219765</v>
      </c>
      <c r="K133" s="468">
        <f t="shared" si="34"/>
        <v>99392761.165107638</v>
      </c>
    </row>
    <row r="134" spans="1:11" hidden="1" outlineLevel="1" x14ac:dyDescent="0.3">
      <c r="D134" s="463"/>
      <c r="E134" s="463"/>
      <c r="F134" s="463"/>
      <c r="G134" s="463"/>
      <c r="H134" s="463"/>
      <c r="I134" s="463"/>
      <c r="J134" s="463"/>
      <c r="K134" s="463"/>
    </row>
    <row r="135" spans="1:11" ht="17.25" hidden="1" outlineLevel="1" x14ac:dyDescent="0.35">
      <c r="A135" s="437" t="s">
        <v>584</v>
      </c>
      <c r="D135" s="463"/>
      <c r="E135" s="463"/>
      <c r="F135" s="463"/>
      <c r="G135" s="463"/>
      <c r="H135" s="463"/>
      <c r="I135" s="463"/>
      <c r="J135" s="463"/>
      <c r="K135" s="463"/>
    </row>
    <row r="136" spans="1:11" hidden="1" outlineLevel="1" x14ac:dyDescent="0.3">
      <c r="A136" s="466" t="s">
        <v>146</v>
      </c>
      <c r="D136" s="463">
        <v>400</v>
      </c>
      <c r="E136" s="463">
        <v>400</v>
      </c>
      <c r="F136" s="488">
        <v>400</v>
      </c>
      <c r="G136" s="488">
        <v>400</v>
      </c>
      <c r="H136" s="488">
        <v>400</v>
      </c>
      <c r="I136" s="488">
        <v>400</v>
      </c>
      <c r="J136" s="488">
        <v>400</v>
      </c>
      <c r="K136" s="488">
        <v>400</v>
      </c>
    </row>
    <row r="137" spans="1:11" hidden="1" outlineLevel="1" x14ac:dyDescent="0.3">
      <c r="A137" s="466" t="s">
        <v>145</v>
      </c>
      <c r="D137" s="463">
        <v>11852074.454929359</v>
      </c>
      <c r="E137" s="463">
        <v>16685088.782891531</v>
      </c>
      <c r="F137" s="488">
        <f>E137+F118+F200</f>
        <v>27709915.670019407</v>
      </c>
      <c r="G137" s="488">
        <f t="shared" ref="G137:K137" si="35">F137+G118+G200</f>
        <v>44544580.449068576</v>
      </c>
      <c r="H137" s="488">
        <f t="shared" si="35"/>
        <v>71873025.142030641</v>
      </c>
      <c r="I137" s="488">
        <f t="shared" si="35"/>
        <v>111451983.3387382</v>
      </c>
      <c r="J137" s="488">
        <f t="shared" si="35"/>
        <v>170311946.48670518</v>
      </c>
      <c r="K137" s="488">
        <f t="shared" si="35"/>
        <v>254180463.94598114</v>
      </c>
    </row>
    <row r="138" spans="1:11" ht="18" hidden="1" outlineLevel="1" thickBot="1" x14ac:dyDescent="0.4">
      <c r="A138" s="441" t="s">
        <v>585</v>
      </c>
      <c r="B138" s="441"/>
      <c r="C138" s="441"/>
      <c r="D138" s="468">
        <f>SUM(D136:D137)</f>
        <v>11852474.454929359</v>
      </c>
      <c r="E138" s="468">
        <f t="shared" ref="E138" si="36">SUM(E136:E137)</f>
        <v>16685488.782891531</v>
      </c>
      <c r="F138" s="467">
        <f>SUM(F136:F137)</f>
        <v>27710315.670019407</v>
      </c>
      <c r="G138" s="467">
        <f t="shared" ref="G138" si="37">SUM(G136:G137)</f>
        <v>44544980.449068576</v>
      </c>
      <c r="H138" s="467">
        <f t="shared" ref="H138" si="38">SUM(H136:H137)</f>
        <v>71873425.142030641</v>
      </c>
      <c r="I138" s="467">
        <f t="shared" ref="I138" si="39">SUM(I136:I137)</f>
        <v>111452383.3387382</v>
      </c>
      <c r="J138" s="467">
        <f t="shared" ref="J138" si="40">SUM(J136:J137)</f>
        <v>170312346.48670518</v>
      </c>
      <c r="K138" s="467">
        <f t="shared" ref="K138" si="41">SUM(K136:K137)</f>
        <v>254180863.94598114</v>
      </c>
    </row>
    <row r="139" spans="1:11" ht="18" hidden="1" outlineLevel="1" thickBot="1" x14ac:dyDescent="0.4">
      <c r="A139" s="469" t="s">
        <v>586</v>
      </c>
      <c r="B139" s="469"/>
      <c r="C139" s="469"/>
      <c r="D139" s="496">
        <f>D138+D133</f>
        <v>18589090.25492936</v>
      </c>
      <c r="E139" s="496">
        <f t="shared" ref="E139:K139" si="42">E138+E133</f>
        <v>36182749.12289153</v>
      </c>
      <c r="F139" s="496">
        <f t="shared" si="42"/>
        <v>49199797.96266304</v>
      </c>
      <c r="G139" s="496">
        <f t="shared" si="42"/>
        <v>73151777.358769655</v>
      </c>
      <c r="H139" s="496">
        <f t="shared" si="42"/>
        <v>110444462.51561216</v>
      </c>
      <c r="I139" s="496">
        <f t="shared" si="42"/>
        <v>163973357.3617523</v>
      </c>
      <c r="J139" s="496">
        <f t="shared" si="42"/>
        <v>242363231.81892496</v>
      </c>
      <c r="K139" s="496">
        <f t="shared" si="42"/>
        <v>353573625.11108875</v>
      </c>
    </row>
    <row r="140" spans="1:11" ht="17.25" hidden="1" outlineLevel="1" thickTop="1" x14ac:dyDescent="0.3">
      <c r="D140" s="455"/>
      <c r="E140" s="448"/>
      <c r="F140" s="448">
        <f>F128-F139</f>
        <v>0</v>
      </c>
      <c r="G140" s="448">
        <f t="shared" ref="G140:K140" si="43">G128-G139</f>
        <v>0</v>
      </c>
      <c r="H140" s="448">
        <f t="shared" si="43"/>
        <v>0</v>
      </c>
      <c r="I140" s="448">
        <f t="shared" si="43"/>
        <v>0</v>
      </c>
      <c r="J140" s="448">
        <f t="shared" si="43"/>
        <v>0</v>
      </c>
      <c r="K140" s="448">
        <f t="shared" si="43"/>
        <v>0</v>
      </c>
    </row>
    <row r="141" spans="1:11" collapsed="1" x14ac:dyDescent="0.3">
      <c r="D141" s="455"/>
      <c r="E141" s="455"/>
      <c r="F141" s="455"/>
      <c r="G141" s="455"/>
      <c r="H141" s="455"/>
      <c r="I141" s="455"/>
      <c r="J141" s="455"/>
      <c r="K141" s="455"/>
    </row>
    <row r="142" spans="1:11" x14ac:dyDescent="0.3">
      <c r="D142" s="455"/>
      <c r="E142" s="455"/>
      <c r="F142" s="455"/>
      <c r="G142" s="455"/>
      <c r="H142" s="455"/>
      <c r="I142" s="455"/>
      <c r="J142" s="455"/>
      <c r="K142" s="455"/>
    </row>
    <row r="143" spans="1:11" ht="17.25" x14ac:dyDescent="0.35">
      <c r="A143" s="433" t="s">
        <v>587</v>
      </c>
      <c r="B143" s="436"/>
      <c r="C143" s="436"/>
      <c r="D143" s="495"/>
      <c r="E143" s="495"/>
      <c r="F143" s="495"/>
      <c r="G143" s="495"/>
      <c r="H143" s="495"/>
      <c r="I143" s="495"/>
      <c r="J143" s="495"/>
      <c r="K143" s="495"/>
    </row>
    <row r="144" spans="1:11" ht="17.25" hidden="1" outlineLevel="1" x14ac:dyDescent="0.35">
      <c r="A144" s="437" t="s">
        <v>588</v>
      </c>
      <c r="D144" s="455"/>
      <c r="E144" s="455"/>
      <c r="F144" s="455"/>
      <c r="G144" s="455"/>
      <c r="H144" s="455"/>
      <c r="I144" s="455"/>
      <c r="J144" s="455"/>
      <c r="K144" s="455"/>
    </row>
    <row r="145" spans="1:11" hidden="1" outlineLevel="1" x14ac:dyDescent="0.3">
      <c r="A145" s="345" t="s">
        <v>589</v>
      </c>
      <c r="D145" s="455">
        <f>D118</f>
        <v>4251074.5798246171</v>
      </c>
      <c r="E145" s="455">
        <f t="shared" ref="E145:K145" si="44">E118</f>
        <v>5833009.5428915285</v>
      </c>
      <c r="F145" s="455">
        <f>F118</f>
        <v>11024826.887127876</v>
      </c>
      <c r="G145" s="455">
        <f t="shared" si="44"/>
        <v>17834664.779049173</v>
      </c>
      <c r="H145" s="455">
        <f t="shared" si="44"/>
        <v>27328444.692962065</v>
      </c>
      <c r="I145" s="455">
        <f t="shared" si="44"/>
        <v>40578958.196707554</v>
      </c>
      <c r="J145" s="455">
        <f t="shared" si="44"/>
        <v>58859963.147966996</v>
      </c>
      <c r="K145" s="455">
        <f t="shared" si="44"/>
        <v>84868517.459275961</v>
      </c>
    </row>
    <row r="146" spans="1:11" hidden="1" outlineLevel="1" x14ac:dyDescent="0.3">
      <c r="A146" s="345" t="s">
        <v>570</v>
      </c>
      <c r="D146" s="455">
        <f>D113</f>
        <v>223810.430222266</v>
      </c>
      <c r="E146" s="455">
        <f t="shared" ref="E146:K146" si="45">E113</f>
        <v>409278.51677448238</v>
      </c>
      <c r="F146" s="455">
        <f t="shared" si="45"/>
        <v>388975.86394055176</v>
      </c>
      <c r="G146" s="455">
        <f t="shared" si="45"/>
        <v>299832.60223399661</v>
      </c>
      <c r="H146" s="455">
        <f t="shared" si="45"/>
        <v>232165.08552622193</v>
      </c>
      <c r="I146" s="455">
        <f t="shared" si="45"/>
        <v>195685.38461031849</v>
      </c>
      <c r="J146" s="455">
        <f t="shared" si="45"/>
        <v>529919.45187682565</v>
      </c>
      <c r="K146" s="455">
        <f t="shared" si="45"/>
        <v>404779.46098479745</v>
      </c>
    </row>
    <row r="147" spans="1:11" hidden="1" outlineLevel="1" x14ac:dyDescent="0.3">
      <c r="A147" s="345" t="s">
        <v>618</v>
      </c>
      <c r="D147" s="455">
        <f>-D117</f>
        <v>1820215.25995313</v>
      </c>
      <c r="E147" s="455">
        <f t="shared" ref="E147:K147" si="46">-E117</f>
        <v>2508031.2003339818</v>
      </c>
      <c r="F147" s="455">
        <f>-F117</f>
        <v>4724925.8087690901</v>
      </c>
      <c r="G147" s="455">
        <f t="shared" si="46"/>
        <v>7643427.7624496445</v>
      </c>
      <c r="H147" s="455">
        <f t="shared" si="46"/>
        <v>11712190.582698027</v>
      </c>
      <c r="I147" s="455">
        <f t="shared" si="46"/>
        <v>17390982.084303237</v>
      </c>
      <c r="J147" s="455">
        <f t="shared" si="46"/>
        <v>25225698.491985854</v>
      </c>
      <c r="K147" s="455">
        <f t="shared" si="46"/>
        <v>36372221.76826112</v>
      </c>
    </row>
    <row r="148" spans="1:11" hidden="1" outlineLevel="1" x14ac:dyDescent="0.3">
      <c r="A148" s="347" t="s">
        <v>216</v>
      </c>
      <c r="D148" s="455"/>
      <c r="E148" s="455">
        <v>-251563</v>
      </c>
      <c r="F148" s="455"/>
      <c r="G148" s="455"/>
      <c r="H148" s="455"/>
      <c r="I148" s="455"/>
      <c r="J148" s="455"/>
      <c r="K148" s="455"/>
    </row>
    <row r="149" spans="1:11" hidden="1" outlineLevel="1" x14ac:dyDescent="0.3">
      <c r="A149" s="345" t="s">
        <v>178</v>
      </c>
      <c r="D149" s="455">
        <f>D176</f>
        <v>-2131001</v>
      </c>
      <c r="E149" s="455">
        <f t="shared" ref="E149:K149" si="47">E176</f>
        <v>-2120100</v>
      </c>
      <c r="F149" s="455">
        <f t="shared" si="47"/>
        <v>-4252433.2278921809</v>
      </c>
      <c r="G149" s="455">
        <f t="shared" si="47"/>
        <v>-6879084.9862046801</v>
      </c>
      <c r="H149" s="455">
        <f t="shared" si="47"/>
        <v>-10540971.524428224</v>
      </c>
      <c r="I149" s="455">
        <f t="shared" si="47"/>
        <v>-15651883.875872914</v>
      </c>
      <c r="J149" s="455">
        <f t="shared" si="47"/>
        <v>-22703128.64278727</v>
      </c>
      <c r="K149" s="455">
        <f t="shared" si="47"/>
        <v>-32734999.591435008</v>
      </c>
    </row>
    <row r="150" spans="1:11" hidden="1" outlineLevel="1" x14ac:dyDescent="0.3">
      <c r="A150" s="473" t="s">
        <v>590</v>
      </c>
      <c r="B150" s="473"/>
      <c r="C150" s="473"/>
      <c r="D150" s="474">
        <f>D174</f>
        <v>3140298.4799999986</v>
      </c>
      <c r="E150" s="474">
        <f t="shared" ref="E150:K150" si="48">E174</f>
        <v>-1888990.0299999993</v>
      </c>
      <c r="F150" s="474">
        <f t="shared" si="48"/>
        <v>-1933483.8176064882</v>
      </c>
      <c r="G150" s="474">
        <f t="shared" si="48"/>
        <v>-5878724.4510425907</v>
      </c>
      <c r="H150" s="474">
        <f t="shared" si="48"/>
        <v>-8230214.2314596325</v>
      </c>
      <c r="I150" s="474">
        <f t="shared" si="48"/>
        <v>-11522299.924043477</v>
      </c>
      <c r="J150" s="474">
        <f t="shared" si="48"/>
        <v>-16131219.893660858</v>
      </c>
      <c r="K150" s="474">
        <f t="shared" si="48"/>
        <v>-22583707.851125225</v>
      </c>
    </row>
    <row r="151" spans="1:11" ht="17.25" hidden="1" outlineLevel="1" x14ac:dyDescent="0.35">
      <c r="A151" s="437" t="s">
        <v>591</v>
      </c>
      <c r="B151" s="437"/>
      <c r="C151" s="437"/>
      <c r="D151" s="475">
        <f>SUM(D144:D150)-1</f>
        <v>7304396.7500000121</v>
      </c>
      <c r="E151" s="475">
        <f>SUM(E144:E150)+1</f>
        <v>4489667.229999993</v>
      </c>
      <c r="F151" s="475">
        <f>SUM(F144:F150)</f>
        <v>9952811.5143388491</v>
      </c>
      <c r="G151" s="475">
        <f t="shared" ref="G151:K151" si="49">SUM(G144:G150)</f>
        <v>13020115.706485545</v>
      </c>
      <c r="H151" s="475">
        <f t="shared" si="49"/>
        <v>20501614.605298452</v>
      </c>
      <c r="I151" s="475">
        <f t="shared" si="49"/>
        <v>30991441.865704715</v>
      </c>
      <c r="J151" s="475">
        <f t="shared" si="49"/>
        <v>45781232.555381544</v>
      </c>
      <c r="K151" s="475">
        <f t="shared" si="49"/>
        <v>66326811.245961651</v>
      </c>
    </row>
    <row r="152" spans="1:11" hidden="1" outlineLevel="1" x14ac:dyDescent="0.3">
      <c r="D152" s="455"/>
      <c r="E152" s="455"/>
      <c r="F152" s="455"/>
      <c r="G152" s="455"/>
      <c r="H152" s="455"/>
      <c r="I152" s="455"/>
      <c r="J152" s="455"/>
      <c r="K152" s="455"/>
    </row>
    <row r="153" spans="1:11" ht="17.25" hidden="1" outlineLevel="1" x14ac:dyDescent="0.35">
      <c r="A153" s="437" t="s">
        <v>592</v>
      </c>
      <c r="D153" s="455"/>
      <c r="E153" s="455"/>
      <c r="F153" s="455"/>
      <c r="G153" s="455"/>
      <c r="H153" s="455"/>
      <c r="I153" s="455"/>
      <c r="J153" s="455"/>
      <c r="K153" s="455"/>
    </row>
    <row r="154" spans="1:11" hidden="1" outlineLevel="1" x14ac:dyDescent="0.3">
      <c r="A154" s="345" t="s">
        <v>593</v>
      </c>
      <c r="D154" s="455">
        <f>-SUM(D186:D188)</f>
        <v>0</v>
      </c>
      <c r="E154" s="455">
        <f>-SUM(E186:E188)</f>
        <v>-1844748.28</v>
      </c>
      <c r="F154" s="455">
        <f t="shared" ref="F154:K154" si="50">-SUM(F186:F188)</f>
        <v>-200000</v>
      </c>
      <c r="G154" s="455">
        <f t="shared" si="50"/>
        <v>0</v>
      </c>
      <c r="H154" s="455">
        <f t="shared" si="50"/>
        <v>0</v>
      </c>
      <c r="I154" s="455">
        <f t="shared" si="50"/>
        <v>-150000</v>
      </c>
      <c r="J154" s="455">
        <f t="shared" si="50"/>
        <v>-1500000</v>
      </c>
      <c r="K154" s="455">
        <f t="shared" si="50"/>
        <v>0</v>
      </c>
    </row>
    <row r="155" spans="1:11" hidden="1" outlineLevel="1" x14ac:dyDescent="0.3">
      <c r="A155" s="345" t="s">
        <v>594</v>
      </c>
      <c r="D155" s="455">
        <v>0</v>
      </c>
      <c r="E155" s="455">
        <v>800000</v>
      </c>
      <c r="F155" s="455">
        <v>0</v>
      </c>
      <c r="G155" s="455">
        <v>0</v>
      </c>
      <c r="H155" s="455">
        <v>0</v>
      </c>
      <c r="I155" s="455">
        <v>0</v>
      </c>
      <c r="J155" s="455">
        <v>0</v>
      </c>
      <c r="K155" s="455">
        <v>0</v>
      </c>
    </row>
    <row r="156" spans="1:11" ht="17.25" hidden="1" outlineLevel="1" x14ac:dyDescent="0.35">
      <c r="A156" s="476" t="s">
        <v>596</v>
      </c>
      <c r="B156" s="476"/>
      <c r="C156" s="476"/>
      <c r="D156" s="477">
        <f>SUM(D154:D155)</f>
        <v>0</v>
      </c>
      <c r="E156" s="477">
        <f t="shared" ref="E156:K156" si="51">SUM(E154:E155)</f>
        <v>-1044748.28</v>
      </c>
      <c r="F156" s="477">
        <f t="shared" si="51"/>
        <v>-200000</v>
      </c>
      <c r="G156" s="477">
        <f t="shared" si="51"/>
        <v>0</v>
      </c>
      <c r="H156" s="477">
        <f t="shared" si="51"/>
        <v>0</v>
      </c>
      <c r="I156" s="477">
        <f t="shared" si="51"/>
        <v>-150000</v>
      </c>
      <c r="J156" s="477">
        <f t="shared" si="51"/>
        <v>-1500000</v>
      </c>
      <c r="K156" s="477">
        <f t="shared" si="51"/>
        <v>0</v>
      </c>
    </row>
    <row r="157" spans="1:11" hidden="1" outlineLevel="1" x14ac:dyDescent="0.3">
      <c r="D157" s="455"/>
      <c r="E157" s="455"/>
      <c r="F157" s="455"/>
      <c r="G157" s="455"/>
      <c r="H157" s="455"/>
      <c r="I157" s="455"/>
      <c r="J157" s="455"/>
      <c r="K157" s="455"/>
    </row>
    <row r="158" spans="1:11" ht="17.25" hidden="1" outlineLevel="1" x14ac:dyDescent="0.35">
      <c r="A158" s="437" t="s">
        <v>595</v>
      </c>
      <c r="D158" s="455"/>
      <c r="E158" s="455"/>
      <c r="F158" s="455"/>
      <c r="G158" s="455"/>
      <c r="H158" s="455"/>
      <c r="I158" s="455"/>
      <c r="J158" s="455"/>
      <c r="K158" s="455"/>
    </row>
    <row r="159" spans="1:11" hidden="1" outlineLevel="1" x14ac:dyDescent="0.3">
      <c r="A159" s="345" t="s">
        <v>597</v>
      </c>
      <c r="D159" s="455">
        <f>D200</f>
        <v>0</v>
      </c>
      <c r="E159" s="455">
        <f t="shared" ref="E159:K159" si="52">E200</f>
        <v>-1000000</v>
      </c>
      <c r="F159" s="455">
        <f t="shared" si="52"/>
        <v>0</v>
      </c>
      <c r="G159" s="455">
        <f t="shared" si="52"/>
        <v>-1000000</v>
      </c>
      <c r="H159" s="455">
        <f t="shared" si="52"/>
        <v>0</v>
      </c>
      <c r="I159" s="455">
        <f t="shared" si="52"/>
        <v>-1000000</v>
      </c>
      <c r="J159" s="455">
        <f t="shared" si="52"/>
        <v>0</v>
      </c>
      <c r="K159" s="455">
        <f t="shared" si="52"/>
        <v>-1000000</v>
      </c>
    </row>
    <row r="160" spans="1:11" ht="17.25" hidden="1" outlineLevel="1" x14ac:dyDescent="0.35">
      <c r="A160" s="476" t="s">
        <v>598</v>
      </c>
      <c r="B160" s="476"/>
      <c r="C160" s="476"/>
      <c r="D160" s="477">
        <f t="shared" ref="D160:K160" si="53">SUM(D159:D159)</f>
        <v>0</v>
      </c>
      <c r="E160" s="477">
        <f t="shared" si="53"/>
        <v>-1000000</v>
      </c>
      <c r="F160" s="477">
        <f t="shared" si="53"/>
        <v>0</v>
      </c>
      <c r="G160" s="477">
        <f t="shared" si="53"/>
        <v>-1000000</v>
      </c>
      <c r="H160" s="477">
        <f t="shared" si="53"/>
        <v>0</v>
      </c>
      <c r="I160" s="477">
        <f t="shared" si="53"/>
        <v>-1000000</v>
      </c>
      <c r="J160" s="477">
        <f t="shared" si="53"/>
        <v>0</v>
      </c>
      <c r="K160" s="477">
        <f t="shared" si="53"/>
        <v>-1000000</v>
      </c>
    </row>
    <row r="161" spans="1:11" hidden="1" outlineLevel="1" x14ac:dyDescent="0.3">
      <c r="D161" s="455"/>
      <c r="E161" s="455"/>
      <c r="F161" s="455"/>
      <c r="G161" s="455"/>
      <c r="H161" s="455"/>
      <c r="I161" s="455"/>
      <c r="J161" s="455"/>
      <c r="K161" s="455"/>
    </row>
    <row r="162" spans="1:11" hidden="1" outlineLevel="1" x14ac:dyDescent="0.3">
      <c r="A162" s="345" t="s">
        <v>599</v>
      </c>
      <c r="D162" s="455">
        <f>D151+D160+D156</f>
        <v>7304396.7500000121</v>
      </c>
      <c r="E162" s="455">
        <f t="shared" ref="E162:K162" si="54">E151+E160+E156</f>
        <v>2444918.9499999927</v>
      </c>
      <c r="F162" s="455">
        <f>F151+F160+F156</f>
        <v>9752811.5143388491</v>
      </c>
      <c r="G162" s="455">
        <f t="shared" si="54"/>
        <v>12020115.706485545</v>
      </c>
      <c r="H162" s="455">
        <f t="shared" si="54"/>
        <v>20501614.605298452</v>
      </c>
      <c r="I162" s="455">
        <f t="shared" si="54"/>
        <v>29841441.865704715</v>
      </c>
      <c r="J162" s="455">
        <f t="shared" si="54"/>
        <v>44281232.555381544</v>
      </c>
      <c r="K162" s="455">
        <f t="shared" si="54"/>
        <v>65326811.245961651</v>
      </c>
    </row>
    <row r="163" spans="1:11" s="437" customFormat="1" ht="17.25" hidden="1" outlineLevel="1" x14ac:dyDescent="0.35">
      <c r="A163" s="473" t="s">
        <v>600</v>
      </c>
      <c r="B163" s="473"/>
      <c r="C163" s="473"/>
      <c r="D163" s="474">
        <f>'Statement Generator'!T135</f>
        <v>-7507087.3548952397</v>
      </c>
      <c r="E163" s="474">
        <f>D164</f>
        <v>-202690.60489522759</v>
      </c>
      <c r="F163" s="474">
        <f>E164</f>
        <v>2242228.3451047651</v>
      </c>
      <c r="G163" s="474">
        <f>F164</f>
        <v>11995039.859443614</v>
      </c>
      <c r="H163" s="474">
        <f t="shared" ref="H163:K163" si="55">G164</f>
        <v>24015155.56592916</v>
      </c>
      <c r="I163" s="474">
        <f t="shared" si="55"/>
        <v>44516770.171227612</v>
      </c>
      <c r="J163" s="474">
        <f t="shared" si="55"/>
        <v>74358212.036932319</v>
      </c>
      <c r="K163" s="474">
        <f t="shared" si="55"/>
        <v>118639444.59231386</v>
      </c>
    </row>
    <row r="164" spans="1:11" ht="17.25" hidden="1" outlineLevel="1" x14ac:dyDescent="0.35">
      <c r="A164" s="437" t="s">
        <v>601</v>
      </c>
      <c r="B164" s="437"/>
      <c r="C164" s="437"/>
      <c r="D164" s="475">
        <f>SUM(D162:D163)</f>
        <v>-202690.60489522759</v>
      </c>
      <c r="E164" s="475">
        <f t="shared" ref="E164:K164" si="56">SUM(E162:E163)</f>
        <v>2242228.3451047651</v>
      </c>
      <c r="F164" s="475">
        <f t="shared" si="56"/>
        <v>11995039.859443614</v>
      </c>
      <c r="G164" s="475">
        <f t="shared" si="56"/>
        <v>24015155.56592916</v>
      </c>
      <c r="H164" s="475">
        <f t="shared" si="56"/>
        <v>44516770.171227612</v>
      </c>
      <c r="I164" s="475">
        <f t="shared" si="56"/>
        <v>74358212.036932319</v>
      </c>
      <c r="J164" s="475">
        <f t="shared" si="56"/>
        <v>118639444.59231386</v>
      </c>
      <c r="K164" s="475">
        <f t="shared" si="56"/>
        <v>183966255.83827549</v>
      </c>
    </row>
    <row r="165" spans="1:11" hidden="1" outlineLevel="1" x14ac:dyDescent="0.3"/>
    <row r="166" spans="1:11" collapsed="1" x14ac:dyDescent="0.3"/>
    <row r="168" spans="1:11" ht="17.25" x14ac:dyDescent="0.35">
      <c r="A168" s="433" t="s">
        <v>602</v>
      </c>
      <c r="B168" s="436"/>
      <c r="C168" s="436"/>
      <c r="D168" s="449"/>
      <c r="E168" s="449"/>
      <c r="F168" s="449"/>
      <c r="G168" s="449"/>
      <c r="H168" s="449"/>
      <c r="I168" s="449"/>
      <c r="J168" s="449"/>
      <c r="K168" s="449"/>
    </row>
    <row r="169" spans="1:11" ht="17.25" hidden="1" outlineLevel="1" x14ac:dyDescent="0.35">
      <c r="A169" s="437" t="s">
        <v>603</v>
      </c>
      <c r="D169" s="455"/>
      <c r="E169" s="455"/>
      <c r="F169" s="455"/>
      <c r="G169" s="455"/>
      <c r="H169" s="455"/>
      <c r="I169" s="455"/>
      <c r="J169" s="455"/>
      <c r="K169" s="455"/>
    </row>
    <row r="170" spans="1:11" hidden="1" outlineLevel="1" x14ac:dyDescent="0.3">
      <c r="A170" s="345" t="s">
        <v>604</v>
      </c>
      <c r="D170" s="380">
        <v>13927484.049999999</v>
      </c>
      <c r="E170" s="380">
        <v>-7720742.6699999999</v>
      </c>
      <c r="F170" s="455">
        <f>-(F126-E126)</f>
        <v>-4442768.897506848</v>
      </c>
      <c r="G170" s="455">
        <f t="shared" ref="G170:K170" si="57">-(G126-F126)</f>
        <v>-9200137.9390027337</v>
      </c>
      <c r="H170" s="455">
        <f t="shared" si="57"/>
        <v>-12880193.114603832</v>
      </c>
      <c r="I170" s="455">
        <f t="shared" si="57"/>
        <v>-18032270.36044535</v>
      </c>
      <c r="J170" s="455">
        <f t="shared" si="57"/>
        <v>-25245178.50462351</v>
      </c>
      <c r="K170" s="455">
        <f t="shared" si="57"/>
        <v>-35343249.906472892</v>
      </c>
    </row>
    <row r="171" spans="1:11" hidden="1" outlineLevel="1" x14ac:dyDescent="0.3">
      <c r="A171" s="345" t="s">
        <v>605</v>
      </c>
      <c r="D171" s="380">
        <v>1007245</v>
      </c>
      <c r="E171" s="380">
        <v>-6706659</v>
      </c>
      <c r="F171" s="455">
        <f>-(F125-E125)</f>
        <v>513306.17725673132</v>
      </c>
      <c r="G171" s="455">
        <f>-(G125-F125)</f>
        <v>-3795901.1290973071</v>
      </c>
      <c r="H171" s="455">
        <f t="shared" ref="H171:K171" si="58">-(H125-G125)</f>
        <v>-5314261.5807362273</v>
      </c>
      <c r="I171" s="455">
        <f t="shared" si="58"/>
        <v>-7439966.2130307183</v>
      </c>
      <c r="J171" s="455">
        <f t="shared" si="58"/>
        <v>-10415952.698243011</v>
      </c>
      <c r="K171" s="455">
        <f t="shared" si="58"/>
        <v>-14582333.777540207</v>
      </c>
    </row>
    <row r="172" spans="1:11" hidden="1" outlineLevel="1" x14ac:dyDescent="0.3">
      <c r="A172" s="473" t="s">
        <v>606</v>
      </c>
      <c r="B172" s="473"/>
      <c r="C172" s="473"/>
      <c r="D172" s="478">
        <v>-11794430.57</v>
      </c>
      <c r="E172" s="478">
        <v>12538411.640000001</v>
      </c>
      <c r="F172" s="474">
        <f>F131-E131</f>
        <v>1995978.9026436284</v>
      </c>
      <c r="G172" s="474">
        <f t="shared" ref="G172:K172" si="59">G131-F131</f>
        <v>7117314.6170574501</v>
      </c>
      <c r="H172" s="474">
        <f t="shared" si="59"/>
        <v>9964240.4638804272</v>
      </c>
      <c r="I172" s="474">
        <f t="shared" si="59"/>
        <v>13949936.649432592</v>
      </c>
      <c r="J172" s="474">
        <f t="shared" si="59"/>
        <v>19529911.309205666</v>
      </c>
      <c r="K172" s="474">
        <f t="shared" si="59"/>
        <v>27341875.832887873</v>
      </c>
    </row>
    <row r="173" spans="1:11" hidden="1" outlineLevel="1" x14ac:dyDescent="0.3">
      <c r="A173" s="345" t="s">
        <v>607</v>
      </c>
      <c r="D173" s="458">
        <f>SUM(D170:D172)</f>
        <v>3140298.4799999986</v>
      </c>
      <c r="E173" s="458">
        <f>SUM(E170:E172)</f>
        <v>-1888990.0299999993</v>
      </c>
      <c r="F173" s="458">
        <f t="shared" ref="F173:K173" si="60">SUM(F170:F172)</f>
        <v>-1933483.8176064882</v>
      </c>
      <c r="G173" s="458">
        <f>SUM(G170:G172)</f>
        <v>-5878724.4510425907</v>
      </c>
      <c r="H173" s="458">
        <f t="shared" si="60"/>
        <v>-8230214.2314596325</v>
      </c>
      <c r="I173" s="458">
        <f t="shared" si="60"/>
        <v>-11522299.924043477</v>
      </c>
      <c r="J173" s="458">
        <f t="shared" si="60"/>
        <v>-16131219.893660858</v>
      </c>
      <c r="K173" s="458">
        <f t="shared" si="60"/>
        <v>-22583707.851125225</v>
      </c>
    </row>
    <row r="174" spans="1:11" ht="17.25" hidden="1" outlineLevel="1" x14ac:dyDescent="0.35">
      <c r="A174" s="437" t="s">
        <v>608</v>
      </c>
      <c r="B174" s="437"/>
      <c r="C174" s="437"/>
      <c r="D174" s="475">
        <f>D173</f>
        <v>3140298.4799999986</v>
      </c>
      <c r="E174" s="475">
        <f t="shared" ref="E174:K174" si="61">E173</f>
        <v>-1888990.0299999993</v>
      </c>
      <c r="F174" s="475">
        <f t="shared" si="61"/>
        <v>-1933483.8176064882</v>
      </c>
      <c r="G174" s="475">
        <f t="shared" si="61"/>
        <v>-5878724.4510425907</v>
      </c>
      <c r="H174" s="475">
        <f t="shared" si="61"/>
        <v>-8230214.2314596325</v>
      </c>
      <c r="I174" s="475">
        <f t="shared" si="61"/>
        <v>-11522299.924043477</v>
      </c>
      <c r="J174" s="475">
        <f t="shared" si="61"/>
        <v>-16131219.893660858</v>
      </c>
      <c r="K174" s="475">
        <f t="shared" si="61"/>
        <v>-22583707.851125225</v>
      </c>
    </row>
    <row r="175" spans="1:11" hidden="1" outlineLevel="1" x14ac:dyDescent="0.3">
      <c r="D175" s="455"/>
      <c r="E175" s="455"/>
      <c r="F175" s="455"/>
      <c r="G175" s="455"/>
      <c r="H175" s="455"/>
      <c r="I175" s="455"/>
      <c r="J175" s="455"/>
      <c r="K175" s="455"/>
    </row>
    <row r="176" spans="1:11" hidden="1" outlineLevel="1" x14ac:dyDescent="0.3">
      <c r="A176" s="345" t="s">
        <v>610</v>
      </c>
      <c r="D176" s="455">
        <f>'Statement Generator'!T125</f>
        <v>-2131001</v>
      </c>
      <c r="E176" s="455">
        <f>'Statement Generator'!S125</f>
        <v>-2120100</v>
      </c>
      <c r="F176" s="455">
        <f>F177*F178</f>
        <v>-4252433.2278921809</v>
      </c>
      <c r="G176" s="455">
        <f t="shared" ref="G176:K176" si="62">G177*G178</f>
        <v>-6879084.9862046801</v>
      </c>
      <c r="H176" s="455">
        <f t="shared" si="62"/>
        <v>-10540971.524428224</v>
      </c>
      <c r="I176" s="455">
        <f t="shared" si="62"/>
        <v>-15651883.875872914</v>
      </c>
      <c r="J176" s="455">
        <f t="shared" si="62"/>
        <v>-22703128.64278727</v>
      </c>
      <c r="K176" s="455">
        <f t="shared" si="62"/>
        <v>-32734999.591435008</v>
      </c>
    </row>
    <row r="177" spans="1:11" hidden="1" outlineLevel="1" x14ac:dyDescent="0.3">
      <c r="A177" s="473" t="s">
        <v>609</v>
      </c>
      <c r="B177" s="473"/>
      <c r="C177" s="473"/>
      <c r="D177" s="474">
        <f>D117</f>
        <v>-1820215.25995313</v>
      </c>
      <c r="E177" s="474">
        <f t="shared" ref="E177:K177" si="63">E117</f>
        <v>-2508031.2003339818</v>
      </c>
      <c r="F177" s="474">
        <f t="shared" si="63"/>
        <v>-4724925.8087690901</v>
      </c>
      <c r="G177" s="474">
        <f t="shared" si="63"/>
        <v>-7643427.7624496445</v>
      </c>
      <c r="H177" s="474">
        <f t="shared" si="63"/>
        <v>-11712190.582698027</v>
      </c>
      <c r="I177" s="474">
        <f t="shared" si="63"/>
        <v>-17390982.084303237</v>
      </c>
      <c r="J177" s="474">
        <f t="shared" si="63"/>
        <v>-25225698.491985854</v>
      </c>
      <c r="K177" s="474">
        <f t="shared" si="63"/>
        <v>-36372221.76826112</v>
      </c>
    </row>
    <row r="178" spans="1:11" hidden="1" outlineLevel="1" x14ac:dyDescent="0.3">
      <c r="A178" s="345" t="s">
        <v>178</v>
      </c>
      <c r="D178" s="450">
        <f>D176/D177</f>
        <v>1.1707412012658727</v>
      </c>
      <c r="E178" s="450">
        <f>E176/E177</f>
        <v>0.84532441211962472</v>
      </c>
      <c r="F178" s="450">
        <v>0.9</v>
      </c>
      <c r="G178" s="450">
        <v>0.9</v>
      </c>
      <c r="H178" s="450">
        <v>0.9</v>
      </c>
      <c r="I178" s="450">
        <v>0.9</v>
      </c>
      <c r="J178" s="450">
        <v>0.9</v>
      </c>
      <c r="K178" s="450">
        <v>0.9</v>
      </c>
    </row>
    <row r="179" spans="1:11" hidden="1" outlineLevel="1" x14ac:dyDescent="0.3">
      <c r="D179" s="455"/>
      <c r="E179" s="455"/>
      <c r="F179" s="455"/>
      <c r="G179" s="455"/>
      <c r="H179" s="455"/>
      <c r="I179" s="455"/>
      <c r="J179" s="455"/>
      <c r="K179" s="455"/>
    </row>
    <row r="180" spans="1:11" ht="17.25" hidden="1" outlineLevel="1" x14ac:dyDescent="0.35">
      <c r="A180" s="437" t="s">
        <v>611</v>
      </c>
      <c r="D180" s="455"/>
      <c r="E180" s="455"/>
      <c r="F180" s="455"/>
      <c r="G180" s="455"/>
      <c r="H180" s="455"/>
      <c r="I180" s="455"/>
      <c r="J180" s="455"/>
      <c r="K180" s="455"/>
    </row>
    <row r="181" spans="1:11" hidden="1" outlineLevel="1" x14ac:dyDescent="0.3">
      <c r="A181" s="345" t="s">
        <v>612</v>
      </c>
      <c r="D181" s="348"/>
      <c r="E181" s="455"/>
      <c r="F181" s="455"/>
      <c r="G181" s="455"/>
      <c r="H181" s="455"/>
      <c r="I181" s="455"/>
      <c r="J181" s="455"/>
      <c r="K181" s="455"/>
    </row>
    <row r="182" spans="1:11" hidden="1" outlineLevel="1" x14ac:dyDescent="0.3">
      <c r="A182" s="479" t="s">
        <v>614</v>
      </c>
      <c r="D182" s="455">
        <v>30370</v>
      </c>
      <c r="E182" s="455">
        <f>D182+D186+D190+D194</f>
        <v>21259</v>
      </c>
      <c r="F182" s="455">
        <f t="shared" ref="F182:K182" si="64">E182+E186+E190+E194</f>
        <v>14881.3</v>
      </c>
      <c r="G182" s="455">
        <f t="shared" si="64"/>
        <v>161160.97499999998</v>
      </c>
      <c r="H182" s="455">
        <f t="shared" si="64"/>
        <v>120870.73124999998</v>
      </c>
      <c r="I182" s="455">
        <f t="shared" si="64"/>
        <v>90653.048437499994</v>
      </c>
      <c r="J182" s="455">
        <f t="shared" si="64"/>
        <v>67989.786328124988</v>
      </c>
      <c r="K182" s="455">
        <f t="shared" si="64"/>
        <v>50992.339746093741</v>
      </c>
    </row>
    <row r="183" spans="1:11" hidden="1" outlineLevel="1" x14ac:dyDescent="0.3">
      <c r="A183" s="479" t="s">
        <v>613</v>
      </c>
      <c r="D183" s="455">
        <v>731250</v>
      </c>
      <c r="E183" s="455">
        <f t="shared" ref="E183:K184" si="65">D183+D187+D191+D195</f>
        <v>548437.5</v>
      </c>
      <c r="F183" s="455">
        <f t="shared" si="65"/>
        <v>1125003.375</v>
      </c>
      <c r="G183" s="455">
        <f t="shared" si="65"/>
        <v>843752.53125</v>
      </c>
      <c r="H183" s="455">
        <f t="shared" si="65"/>
        <v>632814.3984375</v>
      </c>
      <c r="I183" s="455">
        <f t="shared" si="65"/>
        <v>474610.798828125</v>
      </c>
      <c r="J183" s="455">
        <f t="shared" si="65"/>
        <v>355958.09912109375</v>
      </c>
      <c r="K183" s="455">
        <f t="shared" si="65"/>
        <v>1391968.5743408203</v>
      </c>
    </row>
    <row r="184" spans="1:11" hidden="1" outlineLevel="1" x14ac:dyDescent="0.3">
      <c r="A184" s="451" t="s">
        <v>576</v>
      </c>
      <c r="D184" s="455">
        <v>255084</v>
      </c>
      <c r="E184" s="455">
        <f t="shared" si="65"/>
        <v>223198.5</v>
      </c>
      <c r="F184" s="455">
        <f t="shared" si="65"/>
        <v>540046.95190551761</v>
      </c>
      <c r="G184" s="455">
        <f t="shared" si="65"/>
        <v>486042.25671496586</v>
      </c>
      <c r="H184" s="455">
        <f t="shared" si="65"/>
        <v>437438.03104346927</v>
      </c>
      <c r="I184" s="455">
        <f t="shared" si="65"/>
        <v>393694.22793912236</v>
      </c>
      <c r="J184" s="455">
        <f t="shared" si="65"/>
        <v>489324.80514521012</v>
      </c>
      <c r="K184" s="455">
        <f t="shared" si="65"/>
        <v>440392.32463068911</v>
      </c>
    </row>
    <row r="185" spans="1:11" hidden="1" outlineLevel="1" x14ac:dyDescent="0.3">
      <c r="A185" s="345" t="s">
        <v>615</v>
      </c>
      <c r="D185" s="455">
        <v>0</v>
      </c>
      <c r="E185" s="455"/>
      <c r="F185" s="455"/>
      <c r="G185" s="455"/>
      <c r="H185" s="455"/>
      <c r="I185" s="455"/>
      <c r="J185" s="455"/>
      <c r="K185" s="455"/>
    </row>
    <row r="186" spans="1:11" hidden="1" outlineLevel="1" x14ac:dyDescent="0.3">
      <c r="A186" s="479" t="s">
        <v>614</v>
      </c>
      <c r="D186" s="455"/>
      <c r="E186" s="455"/>
      <c r="F186" s="455">
        <v>200000</v>
      </c>
      <c r="G186" s="455"/>
      <c r="H186" s="455"/>
      <c r="I186" s="455"/>
      <c r="J186" s="455"/>
      <c r="K186" s="455"/>
    </row>
    <row r="187" spans="1:11" hidden="1" outlineLevel="1" x14ac:dyDescent="0.3">
      <c r="A187" s="479" t="s">
        <v>613</v>
      </c>
      <c r="D187" s="455"/>
      <c r="E187" s="455">
        <v>1500000</v>
      </c>
      <c r="F187" s="455"/>
      <c r="G187" s="455"/>
      <c r="H187" s="455"/>
      <c r="I187" s="455"/>
      <c r="J187" s="455">
        <v>1500000</v>
      </c>
      <c r="K187" s="455"/>
    </row>
    <row r="188" spans="1:11" hidden="1" outlineLevel="1" x14ac:dyDescent="0.3">
      <c r="A188" s="451" t="s">
        <v>576</v>
      </c>
      <c r="D188" s="455"/>
      <c r="E188" s="455">
        <f>344748.28</f>
        <v>344748.28</v>
      </c>
      <c r="F188" s="455"/>
      <c r="G188" s="455"/>
      <c r="H188" s="455"/>
      <c r="I188" s="455">
        <v>150000</v>
      </c>
      <c r="J188" s="455"/>
      <c r="K188" s="455"/>
    </row>
    <row r="189" spans="1:11" hidden="1" outlineLevel="1" x14ac:dyDescent="0.3">
      <c r="A189" s="345" t="s">
        <v>405</v>
      </c>
      <c r="D189" s="455">
        <v>0</v>
      </c>
      <c r="E189" s="455"/>
      <c r="F189" s="455"/>
      <c r="G189" s="455"/>
      <c r="H189" s="455"/>
      <c r="I189" s="455"/>
      <c r="J189" s="455"/>
      <c r="K189" s="455"/>
    </row>
    <row r="190" spans="1:11" hidden="1" outlineLevel="1" x14ac:dyDescent="0.3">
      <c r="A190" s="479" t="s">
        <v>614</v>
      </c>
      <c r="D190" s="455"/>
      <c r="E190" s="455"/>
      <c r="F190" s="455"/>
      <c r="G190" s="455"/>
      <c r="H190" s="455"/>
      <c r="I190" s="455"/>
      <c r="J190" s="455"/>
      <c r="K190" s="455"/>
    </row>
    <row r="191" spans="1:11" hidden="1" outlineLevel="1" x14ac:dyDescent="0.3">
      <c r="A191" s="479" t="s">
        <v>613</v>
      </c>
      <c r="D191" s="455"/>
      <c r="E191" s="455">
        <f>-548438+5</f>
        <v>-548433</v>
      </c>
      <c r="F191" s="455"/>
      <c r="G191" s="455"/>
      <c r="H191" s="455"/>
      <c r="I191" s="455"/>
      <c r="J191" s="455"/>
      <c r="K191" s="455"/>
    </row>
    <row r="192" spans="1:11" hidden="1" outlineLevel="1" x14ac:dyDescent="0.3">
      <c r="A192" s="451" t="s">
        <v>576</v>
      </c>
      <c r="D192" s="455"/>
      <c r="E192" s="455"/>
      <c r="F192" s="455"/>
      <c r="G192" s="455"/>
      <c r="H192" s="455"/>
      <c r="I192" s="455"/>
      <c r="J192" s="455"/>
      <c r="K192" s="455"/>
    </row>
    <row r="193" spans="1:11" hidden="1" outlineLevel="1" x14ac:dyDescent="0.3">
      <c r="A193" s="345" t="s">
        <v>616</v>
      </c>
      <c r="D193" s="455"/>
      <c r="E193" s="455"/>
      <c r="F193" s="455"/>
      <c r="G193" s="455"/>
      <c r="H193" s="455"/>
      <c r="I193" s="455"/>
      <c r="J193" s="455"/>
      <c r="K193" s="455"/>
    </row>
    <row r="194" spans="1:11" hidden="1" outlineLevel="1" x14ac:dyDescent="0.3">
      <c r="A194" s="479" t="s">
        <v>614</v>
      </c>
      <c r="D194" s="455">
        <f t="shared" ref="D194:K195" si="66">-(D182+D186+D190)*D86</f>
        <v>-9111</v>
      </c>
      <c r="E194" s="455">
        <f t="shared" si="66"/>
        <v>-6377.7</v>
      </c>
      <c r="F194" s="455">
        <f t="shared" si="66"/>
        <v>-53720.324999999997</v>
      </c>
      <c r="G194" s="455">
        <f t="shared" si="66"/>
        <v>-40290.243749999994</v>
      </c>
      <c r="H194" s="455">
        <f t="shared" si="66"/>
        <v>-30217.682812499996</v>
      </c>
      <c r="I194" s="455">
        <f t="shared" si="66"/>
        <v>-22663.262109374999</v>
      </c>
      <c r="J194" s="455">
        <f t="shared" si="66"/>
        <v>-16997.446582031247</v>
      </c>
      <c r="K194" s="455">
        <f t="shared" si="66"/>
        <v>-12748.084936523435</v>
      </c>
    </row>
    <row r="195" spans="1:11" hidden="1" outlineLevel="1" x14ac:dyDescent="0.3">
      <c r="A195" s="479" t="s">
        <v>613</v>
      </c>
      <c r="D195" s="455">
        <f t="shared" si="66"/>
        <v>-182812.5</v>
      </c>
      <c r="E195" s="455">
        <f t="shared" si="66"/>
        <v>-375001.125</v>
      </c>
      <c r="F195" s="455">
        <f t="shared" si="66"/>
        <v>-281250.84375</v>
      </c>
      <c r="G195" s="455">
        <f t="shared" si="66"/>
        <v>-210938.1328125</v>
      </c>
      <c r="H195" s="455">
        <f t="shared" si="66"/>
        <v>-158203.599609375</v>
      </c>
      <c r="I195" s="455">
        <f t="shared" si="66"/>
        <v>-118652.69970703125</v>
      </c>
      <c r="J195" s="455">
        <f t="shared" si="66"/>
        <v>-463989.52478027344</v>
      </c>
      <c r="K195" s="455">
        <f t="shared" si="66"/>
        <v>-347992.14358520508</v>
      </c>
    </row>
    <row r="196" spans="1:11" ht="17.25" hidden="1" outlineLevel="1" thickBot="1" x14ac:dyDescent="0.35">
      <c r="A196" s="480" t="s">
        <v>576</v>
      </c>
      <c r="B196" s="481"/>
      <c r="C196" s="481"/>
      <c r="D196" s="487">
        <f>-(D184+D188+D192)*D88</f>
        <v>-31885.5</v>
      </c>
      <c r="E196" s="487">
        <f>-(17041.3993835449+10858.4287109375)</f>
        <v>-27899.8280944824</v>
      </c>
      <c r="F196" s="487">
        <f t="shared" ref="F196:K196" si="67">-(F184+F188+F192)*F88</f>
        <v>-54004.695190551764</v>
      </c>
      <c r="G196" s="487">
        <f t="shared" si="67"/>
        <v>-48604.225671496592</v>
      </c>
      <c r="H196" s="487">
        <f t="shared" si="67"/>
        <v>-43743.803104346931</v>
      </c>
      <c r="I196" s="487">
        <f t="shared" si="67"/>
        <v>-54369.422793912236</v>
      </c>
      <c r="J196" s="487">
        <f t="shared" si="67"/>
        <v>-48932.480514521012</v>
      </c>
      <c r="K196" s="487">
        <f t="shared" si="67"/>
        <v>-44039.232463068911</v>
      </c>
    </row>
    <row r="197" spans="1:11" ht="17.25" hidden="1" outlineLevel="1" x14ac:dyDescent="0.35">
      <c r="A197" s="437" t="s">
        <v>617</v>
      </c>
      <c r="B197" s="437"/>
      <c r="C197" s="437"/>
      <c r="D197" s="475">
        <f>SUM(D182:D184)+SUM(D186:D188)+SUM(D190:D192)+SUM(D194:D196)+3</f>
        <v>792898</v>
      </c>
      <c r="E197" s="475">
        <f>SUM(E182:E184)+SUM(E186:E188)+SUM(E190:E192)+SUM(E194:E196)</f>
        <v>1679931.6269055179</v>
      </c>
      <c r="F197" s="475">
        <f>SUM(F182:F184)+SUM(F186:F188)+SUM(F190:F192)+SUM(F194:F196)</f>
        <v>1490955.7629649658</v>
      </c>
      <c r="G197" s="475">
        <f t="shared" ref="G197:K197" si="68">SUM(G182:G184)+SUM(G186:G188)+SUM(G190:G192)+SUM(G194:G196)</f>
        <v>1191123.1607309692</v>
      </c>
      <c r="H197" s="475">
        <f t="shared" si="68"/>
        <v>958958.07520474726</v>
      </c>
      <c r="I197" s="475">
        <f t="shared" si="68"/>
        <v>913272.6905944288</v>
      </c>
      <c r="J197" s="475">
        <f t="shared" si="68"/>
        <v>1883353.2387176035</v>
      </c>
      <c r="K197" s="475">
        <f t="shared" si="68"/>
        <v>1478573.7777328058</v>
      </c>
    </row>
    <row r="198" spans="1:11" hidden="1" outlineLevel="1" x14ac:dyDescent="0.3"/>
    <row r="199" spans="1:11" hidden="1" outlineLevel="1" x14ac:dyDescent="0.3">
      <c r="A199" s="345" t="s">
        <v>582</v>
      </c>
      <c r="D199" s="450">
        <f>D114/D98</f>
        <v>0.1591077555571131</v>
      </c>
      <c r="E199" s="450">
        <f>E114/E98</f>
        <v>0.11807718514888041</v>
      </c>
      <c r="F199" s="450">
        <f>AVERAGE($D$199:$E$199)</f>
        <v>0.13859247035299677</v>
      </c>
      <c r="G199" s="450">
        <f t="shared" ref="G199:K199" si="69">AVERAGE($D$199:$E$199)</f>
        <v>0.13859247035299677</v>
      </c>
      <c r="H199" s="450">
        <f t="shared" si="69"/>
        <v>0.13859247035299677</v>
      </c>
      <c r="I199" s="450">
        <f t="shared" si="69"/>
        <v>0.13859247035299677</v>
      </c>
      <c r="J199" s="450">
        <f t="shared" si="69"/>
        <v>0.13859247035299677</v>
      </c>
      <c r="K199" s="450">
        <f t="shared" si="69"/>
        <v>0.13859247035299677</v>
      </c>
    </row>
    <row r="200" spans="1:11" hidden="1" outlineLevel="1" x14ac:dyDescent="0.3">
      <c r="A200" s="345" t="s">
        <v>597</v>
      </c>
      <c r="C200" s="348"/>
      <c r="D200" s="455">
        <v>0</v>
      </c>
      <c r="E200" s="455">
        <v>-1000000</v>
      </c>
      <c r="F200" s="455"/>
      <c r="G200" s="455">
        <v>-1000000</v>
      </c>
      <c r="H200" s="455"/>
      <c r="I200" s="455">
        <v>-1000000</v>
      </c>
      <c r="J200" s="455"/>
      <c r="K200" s="455">
        <v>-1000000</v>
      </c>
    </row>
    <row r="201" spans="1:11" hidden="1" outlineLevel="1" x14ac:dyDescent="0.3">
      <c r="D201" s="348"/>
    </row>
    <row r="202" spans="1:11" collapsed="1" x14ac:dyDescent="0.3"/>
    <row r="204" spans="1:11" hidden="1" x14ac:dyDescent="0.3">
      <c r="F204" s="455">
        <v>15218744.529447958</v>
      </c>
      <c r="G204" s="455">
        <v>26474517.459688529</v>
      </c>
      <c r="H204" s="455">
        <v>45804913.00671719</v>
      </c>
      <c r="I204" s="455">
        <v>73907256.663991585</v>
      </c>
      <c r="J204" s="455">
        <v>115665919.37017456</v>
      </c>
      <c r="K204" s="455">
        <v>177355508.43931004</v>
      </c>
    </row>
    <row r="205" spans="1:11" hidden="1" x14ac:dyDescent="0.3">
      <c r="F205" s="448">
        <v>35862482.283077002</v>
      </c>
      <c r="G205" s="448">
        <v>51282615.694411501</v>
      </c>
      <c r="H205" s="448">
        <v>78633282.681030899</v>
      </c>
      <c r="I205" s="448">
        <v>121249256.502822</v>
      </c>
      <c r="J205" s="448">
        <v>188254876.66296101</v>
      </c>
      <c r="K205" s="448">
        <v>292682019.00308698</v>
      </c>
    </row>
    <row r="206" spans="1:11" hidden="1" x14ac:dyDescent="0.3">
      <c r="F206" s="448">
        <v>-22988751.581027262</v>
      </c>
      <c r="G206" s="448">
        <v>-24428920.87162558</v>
      </c>
      <c r="H206" s="448">
        <v>-23654421.247182727</v>
      </c>
      <c r="I206" s="448">
        <v>-22494748.835699469</v>
      </c>
      <c r="J206" s="448">
        <v>-19633168.647721633</v>
      </c>
      <c r="K206" s="448">
        <v>-13896730.140366912</v>
      </c>
    </row>
    <row r="207" spans="1:11" ht="17.25" x14ac:dyDescent="0.35">
      <c r="A207" s="433" t="s">
        <v>626</v>
      </c>
      <c r="B207" s="436"/>
      <c r="C207" s="436"/>
      <c r="D207" s="449"/>
      <c r="E207" s="449"/>
      <c r="F207" s="449"/>
      <c r="G207" s="449"/>
      <c r="H207" s="449"/>
      <c r="I207" s="449"/>
      <c r="J207" s="449"/>
      <c r="K207" s="449"/>
    </row>
    <row r="208" spans="1:11" hidden="1" outlineLevel="1" x14ac:dyDescent="0.3"/>
    <row r="209" spans="1:8" hidden="1" outlineLevel="1" x14ac:dyDescent="0.3">
      <c r="A209" s="345" t="s">
        <v>627</v>
      </c>
    </row>
    <row r="210" spans="1:8" hidden="1" outlineLevel="1" x14ac:dyDescent="0.3">
      <c r="A210" s="345" t="s">
        <v>629</v>
      </c>
      <c r="B210" s="519">
        <v>2022</v>
      </c>
      <c r="C210" s="520"/>
      <c r="D210" s="521">
        <f>E210-0.1</f>
        <v>0.20000000000000004</v>
      </c>
      <c r="E210" s="521">
        <f>F210-0.1</f>
        <v>0.30000000000000004</v>
      </c>
      <c r="F210" s="521">
        <f>INDEX($F$80:$K$80,,MATCH(B210,F3:K3,0))</f>
        <v>0.4</v>
      </c>
      <c r="G210" s="521">
        <f>F210+0.1</f>
        <v>0.5</v>
      </c>
      <c r="H210" s="521">
        <f>G210+0.1</f>
        <v>0.6</v>
      </c>
    </row>
    <row r="211" spans="1:8" hidden="1" outlineLevel="1" x14ac:dyDescent="0.3">
      <c r="C211"/>
      <c r="D211"/>
      <c r="E211"/>
      <c r="F211"/>
      <c r="G211"/>
      <c r="H211"/>
    </row>
    <row r="212" spans="1:8" hidden="1" outlineLevel="1" x14ac:dyDescent="0.3">
      <c r="A212" s="345">
        <f>INDEX($F$80:$K$80,,MATCH(B210,F3:K3,0))</f>
        <v>0.4</v>
      </c>
      <c r="C212"/>
      <c r="D212"/>
      <c r="E212"/>
      <c r="F212"/>
      <c r="G212"/>
      <c r="H212"/>
    </row>
    <row r="213" spans="1:8" hidden="1" outlineLevel="1" x14ac:dyDescent="0.3">
      <c r="A213" s="345">
        <f>INDEX($F$118:$K$118,,MATCH(B210,F3:K3,0))</f>
        <v>11024826.887127876</v>
      </c>
      <c r="C213"/>
      <c r="D213"/>
      <c r="E213"/>
      <c r="F213"/>
      <c r="G213"/>
      <c r="H213"/>
    </row>
    <row r="214" spans="1:8" hidden="1" outlineLevel="1" x14ac:dyDescent="0.3">
      <c r="C214"/>
      <c r="D214"/>
      <c r="E214"/>
      <c r="F214"/>
      <c r="G214"/>
      <c r="H214"/>
    </row>
    <row r="215" spans="1:8" hidden="1" outlineLevel="1" x14ac:dyDescent="0.3">
      <c r="C215"/>
      <c r="D215"/>
      <c r="E215"/>
      <c r="F215"/>
      <c r="G215"/>
      <c r="H215"/>
    </row>
    <row r="216" spans="1:8" hidden="1" outlineLevel="1" x14ac:dyDescent="0.3">
      <c r="C216"/>
      <c r="D216"/>
      <c r="E216"/>
      <c r="F216"/>
      <c r="G216"/>
      <c r="H216"/>
    </row>
    <row r="217" spans="1:8" hidden="1" outlineLevel="1" x14ac:dyDescent="0.3">
      <c r="C217"/>
      <c r="D217"/>
      <c r="E217"/>
      <c r="F217"/>
      <c r="G217"/>
      <c r="H217"/>
    </row>
    <row r="218" spans="1:8" collapsed="1" x14ac:dyDescent="0.3"/>
  </sheetData>
  <mergeCells count="5">
    <mergeCell ref="D2:E2"/>
    <mergeCell ref="F2:K2"/>
    <mergeCell ref="A2:C2"/>
    <mergeCell ref="C1:K1"/>
    <mergeCell ref="A1:B1"/>
  </mergeCells>
  <dataValidations count="1">
    <dataValidation type="list" allowBlank="1" showInputMessage="1" showErrorMessage="1" sqref="B210" xr:uid="{00000000-0002-0000-1300-000000000000}">
      <formula1>$F$3:$K$3</formula1>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55"/>
  <sheetViews>
    <sheetView showGridLines="0" zoomScaleNormal="100" workbookViewId="0">
      <selection activeCell="D362" sqref="D362"/>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2020</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2020</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6.5" collapsed="1" x14ac:dyDescent="0.3">
      <c r="C91" s="152"/>
      <c r="D91" s="220"/>
      <c r="E91" s="224"/>
      <c r="F91" s="224"/>
      <c r="G91" s="150"/>
      <c r="H91" s="153"/>
      <c r="I91" s="153"/>
    </row>
    <row r="92" spans="3:10" hidden="1" outlineLevel="1" x14ac:dyDescent="0.25">
      <c r="C92" s="257"/>
      <c r="D92" s="258"/>
      <c r="E92" s="258"/>
      <c r="F92" s="258"/>
      <c r="G92" s="258"/>
      <c r="H92" s="258"/>
      <c r="I92" s="259"/>
    </row>
    <row r="93" spans="3:10" ht="16.5" hidden="1" outlineLevel="1" x14ac:dyDescent="0.3">
      <c r="C93" s="638" t="s">
        <v>358</v>
      </c>
      <c r="D93" s="639"/>
      <c r="E93" s="639"/>
      <c r="F93" s="639"/>
      <c r="G93" s="639"/>
      <c r="H93" s="639"/>
      <c r="I93" s="640"/>
      <c r="J93" s="154"/>
    </row>
    <row r="94" spans="3:10" ht="16.5" hidden="1" outlineLevel="1" x14ac:dyDescent="0.3">
      <c r="C94" s="638" t="s">
        <v>378</v>
      </c>
      <c r="D94" s="639"/>
      <c r="E94" s="639"/>
      <c r="F94" s="639"/>
      <c r="G94" s="639"/>
      <c r="H94" s="639"/>
      <c r="I94" s="640"/>
      <c r="J94" s="154"/>
    </row>
    <row r="95" spans="3:10" ht="16.5" hidden="1" outlineLevel="1" x14ac:dyDescent="0.3">
      <c r="C95" s="650" t="s">
        <v>492</v>
      </c>
      <c r="D95" s="651"/>
      <c r="E95" s="651"/>
      <c r="F95" s="651"/>
      <c r="G95" s="651"/>
      <c r="H95" s="651"/>
      <c r="I95" s="652"/>
      <c r="J95" s="154"/>
    </row>
    <row r="96" spans="3:10" ht="16.5" hidden="1" outlineLevel="1" x14ac:dyDescent="0.3">
      <c r="C96" s="260" t="s">
        <v>379</v>
      </c>
      <c r="D96" s="155"/>
      <c r="E96" s="155"/>
      <c r="F96" s="155"/>
      <c r="G96" s="155"/>
      <c r="H96" s="155"/>
      <c r="I96" s="261"/>
      <c r="J96" s="155"/>
    </row>
    <row r="97" spans="3:10" ht="16.5" hidden="1" outlineLevel="1" x14ac:dyDescent="0.3">
      <c r="C97" s="262" t="s">
        <v>390</v>
      </c>
      <c r="D97" s="159" t="s">
        <v>391</v>
      </c>
      <c r="E97" s="242"/>
      <c r="F97" s="154"/>
      <c r="G97" s="154"/>
      <c r="H97" s="154"/>
      <c r="I97" s="263"/>
      <c r="J97" s="154"/>
    </row>
    <row r="98" spans="3:10" hidden="1" outlineLevel="1" x14ac:dyDescent="0.25">
      <c r="C98" s="216"/>
      <c r="D98" s="243"/>
      <c r="E98" s="156"/>
      <c r="F98" s="156"/>
      <c r="G98" s="156"/>
      <c r="H98" s="156"/>
      <c r="I98" s="264"/>
      <c r="J98" s="156"/>
    </row>
    <row r="99" spans="3:10" ht="30" hidden="1" outlineLevel="1" x14ac:dyDescent="0.25">
      <c r="C99" s="216"/>
      <c r="D99" s="159"/>
      <c r="E99" s="244" t="s">
        <v>392</v>
      </c>
      <c r="F99" s="244" t="s">
        <v>393</v>
      </c>
      <c r="G99" s="244" t="s">
        <v>376</v>
      </c>
      <c r="H99" s="245" t="s">
        <v>375</v>
      </c>
      <c r="I99" s="265" t="s">
        <v>60</v>
      </c>
    </row>
    <row r="100" spans="3:10" hidden="1" outlineLevel="1" x14ac:dyDescent="0.25">
      <c r="C100" s="266"/>
      <c r="D100" s="159"/>
      <c r="E100" s="246" t="s">
        <v>394</v>
      </c>
      <c r="F100" s="246" t="s">
        <v>394</v>
      </c>
      <c r="G100" s="246" t="s">
        <v>394</v>
      </c>
      <c r="H100" s="246" t="s">
        <v>394</v>
      </c>
      <c r="I100" s="267" t="s">
        <v>394</v>
      </c>
    </row>
    <row r="101" spans="3:10" hidden="1" outlineLevel="1" x14ac:dyDescent="0.25">
      <c r="C101" s="216"/>
      <c r="D101" s="159" t="s">
        <v>395</v>
      </c>
      <c r="E101" s="246"/>
      <c r="F101" s="246"/>
      <c r="G101" s="246"/>
      <c r="H101" s="246"/>
      <c r="I101" s="267"/>
    </row>
    <row r="102" spans="3:10" ht="16.5" hidden="1" outlineLevel="1" x14ac:dyDescent="0.3">
      <c r="C102" s="266"/>
      <c r="D102" s="213" t="s">
        <v>396</v>
      </c>
      <c r="E102" s="157">
        <v>676160</v>
      </c>
      <c r="F102" s="157">
        <v>483987</v>
      </c>
      <c r="G102" s="157">
        <v>975000</v>
      </c>
      <c r="H102" s="157">
        <v>375657</v>
      </c>
      <c r="I102" s="268">
        <f>SUM(E102:H102)</f>
        <v>2510804</v>
      </c>
    </row>
    <row r="103" spans="3:10" ht="16.5" hidden="1" outlineLevel="1" x14ac:dyDescent="0.3">
      <c r="C103" s="266"/>
      <c r="D103" s="213" t="s">
        <v>397</v>
      </c>
      <c r="E103" s="157">
        <v>-645785.29200000002</v>
      </c>
      <c r="F103" s="157">
        <v>-328179.919921875</v>
      </c>
      <c r="G103" s="157">
        <v>-243750</v>
      </c>
      <c r="H103" s="157">
        <v>-276379.9375</v>
      </c>
      <c r="I103" s="268">
        <v>-1140643.675</v>
      </c>
    </row>
    <row r="104" spans="3:10" ht="17.25" hidden="1"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hidden="1" outlineLevel="1" x14ac:dyDescent="0.3">
      <c r="C105" s="216"/>
      <c r="D105" s="159" t="s">
        <v>399</v>
      </c>
      <c r="E105" s="157"/>
      <c r="F105" s="157"/>
      <c r="G105" s="157"/>
      <c r="H105" s="157"/>
      <c r="I105" s="269"/>
    </row>
    <row r="106" spans="3:10" ht="16.5" hidden="1"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hidden="1" outlineLevel="1" x14ac:dyDescent="0.3">
      <c r="C107" s="270"/>
      <c r="D107" s="213" t="s">
        <v>401</v>
      </c>
      <c r="E107" s="157">
        <v>0</v>
      </c>
      <c r="F107" s="157">
        <v>0</v>
      </c>
      <c r="G107" s="157">
        <v>0</v>
      </c>
      <c r="H107" s="157">
        <v>0</v>
      </c>
      <c r="I107" s="268">
        <f>SUM(E107:H107)</f>
        <v>0</v>
      </c>
    </row>
    <row r="108" spans="3:10" ht="16.5" hidden="1"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hidden="1"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hidden="1" outlineLevel="1" x14ac:dyDescent="0.3">
      <c r="C110" s="270"/>
      <c r="D110" s="159" t="s">
        <v>403</v>
      </c>
      <c r="E110" s="157"/>
      <c r="F110" s="157"/>
      <c r="G110" s="157"/>
      <c r="H110" s="157"/>
      <c r="I110" s="268"/>
    </row>
    <row r="111" spans="3:10" ht="16.5" hidden="1" outlineLevel="1" x14ac:dyDescent="0.3">
      <c r="C111" s="270"/>
      <c r="D111" s="213" t="s">
        <v>396</v>
      </c>
      <c r="E111" s="157">
        <f>E102</f>
        <v>676160</v>
      </c>
      <c r="F111" s="157">
        <f>F102</f>
        <v>483987</v>
      </c>
      <c r="G111" s="157">
        <f>G102</f>
        <v>975000</v>
      </c>
      <c r="H111" s="157">
        <f>H102</f>
        <v>375657</v>
      </c>
      <c r="I111" s="268">
        <f>SUM(E111:H111)</f>
        <v>2510804</v>
      </c>
    </row>
    <row r="112" spans="3:10" ht="16.5" hidden="1"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hidden="1"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hidden="1" outlineLevel="1" x14ac:dyDescent="0.3">
      <c r="C114" s="216"/>
      <c r="D114" s="159" t="s">
        <v>404</v>
      </c>
      <c r="E114" s="157"/>
      <c r="F114" s="157"/>
      <c r="G114" s="157"/>
      <c r="H114" s="157"/>
      <c r="I114" s="269"/>
    </row>
    <row r="115" spans="3:9" ht="16.5" hidden="1"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hidden="1" outlineLevel="1" x14ac:dyDescent="0.3">
      <c r="C116" s="270"/>
      <c r="D116" s="213" t="s">
        <v>401</v>
      </c>
      <c r="E116" s="157">
        <v>0</v>
      </c>
      <c r="F116" s="157">
        <v>344748.28</v>
      </c>
      <c r="G116" s="157">
        <v>1500000</v>
      </c>
      <c r="H116" s="157">
        <v>0</v>
      </c>
      <c r="I116" s="268">
        <f>SUM(E116:H116)</f>
        <v>1844748.28</v>
      </c>
    </row>
    <row r="117" spans="3:9" ht="16.5" hidden="1" outlineLevel="1" x14ac:dyDescent="0.3">
      <c r="C117" s="270"/>
      <c r="D117" s="213" t="s">
        <v>405</v>
      </c>
      <c r="E117" s="157">
        <v>0</v>
      </c>
      <c r="F117" s="157">
        <v>0</v>
      </c>
      <c r="G117" s="157">
        <f>-975000</f>
        <v>-975000</v>
      </c>
      <c r="H117" s="157">
        <v>0</v>
      </c>
      <c r="I117" s="268">
        <f>SUM(E117:H117)</f>
        <v>-975000</v>
      </c>
    </row>
    <row r="118" spans="3:9" ht="16.5" hidden="1" outlineLevel="1" x14ac:dyDescent="0.3">
      <c r="C118" s="270"/>
      <c r="D118" s="213" t="s">
        <v>406</v>
      </c>
      <c r="E118" s="157">
        <v>0</v>
      </c>
      <c r="F118" s="157">
        <v>0</v>
      </c>
      <c r="G118" s="157">
        <v>426562.5</v>
      </c>
      <c r="H118" s="157">
        <v>0</v>
      </c>
      <c r="I118" s="268">
        <f>SUM(E118:H118)</f>
        <v>426562.5</v>
      </c>
    </row>
    <row r="119" spans="3:9" ht="16.5" hidden="1"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hidden="1"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hidden="1" outlineLevel="1" x14ac:dyDescent="0.3">
      <c r="C121" s="270"/>
      <c r="D121" s="159" t="s">
        <v>407</v>
      </c>
      <c r="E121" s="157"/>
      <c r="F121" s="157"/>
      <c r="G121" s="157"/>
      <c r="H121" s="157"/>
      <c r="I121" s="268"/>
    </row>
    <row r="122" spans="3:9" ht="16.5" hidden="1"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hidden="1"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hidden="1"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hidden="1" outlineLevel="1" thickTop="1" x14ac:dyDescent="0.3">
      <c r="C125" s="270"/>
      <c r="D125" s="213"/>
      <c r="E125" s="158"/>
      <c r="F125" s="245"/>
      <c r="G125" s="245"/>
      <c r="H125" s="245"/>
      <c r="I125" s="265"/>
    </row>
    <row r="126" spans="3:9" ht="16.5" hidden="1" outlineLevel="1" x14ac:dyDescent="0.3">
      <c r="C126" s="270"/>
      <c r="D126" s="213"/>
      <c r="E126" s="154"/>
      <c r="F126" s="245"/>
      <c r="G126" s="245"/>
      <c r="H126" s="245" t="s">
        <v>394</v>
      </c>
      <c r="I126" s="265" t="s">
        <v>394</v>
      </c>
    </row>
    <row r="127" spans="3:9" ht="16.5" hidden="1" outlineLevel="1" x14ac:dyDescent="0.3">
      <c r="C127" s="271" t="s">
        <v>408</v>
      </c>
      <c r="D127" s="221" t="s">
        <v>409</v>
      </c>
      <c r="E127" s="154"/>
      <c r="F127" s="246"/>
      <c r="G127" s="246"/>
      <c r="H127" s="245"/>
      <c r="I127" s="267"/>
    </row>
    <row r="128" spans="3:9" ht="16.5" hidden="1" outlineLevel="1" x14ac:dyDescent="0.3">
      <c r="C128" s="272"/>
      <c r="D128" s="248" t="s">
        <v>410</v>
      </c>
      <c r="E128" s="154"/>
      <c r="F128" s="246"/>
      <c r="G128" s="246"/>
      <c r="H128" s="246"/>
      <c r="I128" s="263"/>
    </row>
    <row r="129" spans="3:9" ht="16.5" hidden="1" outlineLevel="1" x14ac:dyDescent="0.3">
      <c r="C129" s="272"/>
      <c r="D129" s="248" t="s">
        <v>411</v>
      </c>
      <c r="E129" s="159"/>
      <c r="F129" s="154"/>
      <c r="G129" s="154"/>
      <c r="H129" s="157">
        <f>-I119</f>
        <v>409278.51677448238</v>
      </c>
      <c r="I129" s="273">
        <v>223810.43022226563</v>
      </c>
    </row>
    <row r="130" spans="3:9" ht="16.5" hidden="1" outlineLevel="1" x14ac:dyDescent="0.3">
      <c r="C130" s="272"/>
      <c r="D130" s="248" t="s">
        <v>412</v>
      </c>
      <c r="E130" s="159"/>
      <c r="F130" s="157"/>
      <c r="G130" s="157"/>
      <c r="H130" s="249">
        <v>2500001</v>
      </c>
      <c r="I130" s="273">
        <v>2691143</v>
      </c>
    </row>
    <row r="131" spans="3:9" ht="18.75" hidden="1" outlineLevel="1" x14ac:dyDescent="0.45">
      <c r="C131" s="272"/>
      <c r="D131" s="248" t="s">
        <v>413</v>
      </c>
      <c r="E131" s="159"/>
      <c r="F131" s="250"/>
      <c r="G131" s="250"/>
      <c r="H131" s="249">
        <v>176009.84</v>
      </c>
      <c r="I131" s="273">
        <v>102278.42</v>
      </c>
    </row>
    <row r="132" spans="3:9" ht="18.75" hidden="1" outlineLevel="1" x14ac:dyDescent="0.45">
      <c r="C132" s="272"/>
      <c r="D132" s="248" t="s">
        <v>414</v>
      </c>
      <c r="E132" s="159"/>
      <c r="F132" s="251"/>
      <c r="G132" s="251"/>
      <c r="H132" s="252">
        <v>175000</v>
      </c>
      <c r="I132" s="274">
        <v>175000</v>
      </c>
    </row>
    <row r="133" spans="3:9" ht="16.5" hidden="1" outlineLevel="1" x14ac:dyDescent="0.3">
      <c r="C133" s="275" t="s">
        <v>415</v>
      </c>
      <c r="D133" s="253" t="s">
        <v>98</v>
      </c>
      <c r="E133" s="159"/>
      <c r="F133" s="154"/>
      <c r="G133" s="154"/>
      <c r="H133" s="154"/>
      <c r="I133" s="276"/>
    </row>
    <row r="134" spans="3:9" ht="16.5" hidden="1" outlineLevel="1" x14ac:dyDescent="0.3">
      <c r="C134" s="277"/>
      <c r="D134" s="253" t="s">
        <v>416</v>
      </c>
      <c r="E134" s="159"/>
      <c r="F134" s="247"/>
      <c r="G134" s="247"/>
      <c r="H134" s="154"/>
      <c r="I134" s="263"/>
    </row>
    <row r="135" spans="3:9" ht="18" hidden="1" outlineLevel="1" x14ac:dyDescent="0.4">
      <c r="C135" s="277"/>
      <c r="D135" s="254" t="s">
        <v>417</v>
      </c>
      <c r="E135" s="159"/>
      <c r="F135" s="157"/>
      <c r="G135" s="157"/>
      <c r="H135" s="255">
        <f>I135</f>
        <v>100000</v>
      </c>
      <c r="I135" s="278">
        <v>100000</v>
      </c>
    </row>
    <row r="136" spans="3:9" ht="18.75" hidden="1" outlineLevel="1" x14ac:dyDescent="0.45">
      <c r="C136" s="277"/>
      <c r="D136" s="253" t="s">
        <v>418</v>
      </c>
      <c r="E136" s="160"/>
      <c r="F136" s="250"/>
      <c r="G136" s="250"/>
      <c r="H136" s="157"/>
      <c r="I136" s="276"/>
    </row>
    <row r="137" spans="3:9" ht="17.25" hidden="1" outlineLevel="1" x14ac:dyDescent="0.4">
      <c r="C137" s="277"/>
      <c r="D137" s="254" t="s">
        <v>419</v>
      </c>
      <c r="E137" s="159"/>
      <c r="F137" s="255"/>
      <c r="G137" s="255"/>
      <c r="H137" s="255">
        <f>I137</f>
        <v>400</v>
      </c>
      <c r="I137" s="279">
        <v>400</v>
      </c>
    </row>
    <row r="138" spans="3:9" hidden="1" outlineLevel="1" x14ac:dyDescent="0.25">
      <c r="C138" s="231"/>
      <c r="I138" s="215"/>
    </row>
    <row r="139" spans="3:9" hidden="1" outlineLevel="1" x14ac:dyDescent="0.25">
      <c r="C139" s="231"/>
      <c r="I139" s="215"/>
    </row>
    <row r="140" spans="3:9" hidden="1" outlineLevel="1" x14ac:dyDescent="0.25">
      <c r="C140" s="231"/>
      <c r="I140" s="215"/>
    </row>
    <row r="141" spans="3:9" ht="15.75" hidden="1" outlineLevel="1" thickBot="1" x14ac:dyDescent="0.3">
      <c r="C141" s="202"/>
      <c r="D141" s="203"/>
      <c r="E141" s="203"/>
      <c r="F141" s="203"/>
      <c r="G141" s="203"/>
      <c r="H141" s="203"/>
      <c r="I141" s="204"/>
    </row>
    <row r="142" spans="3:9" hidden="1" outlineLevel="1" x14ac:dyDescent="0.25"/>
    <row r="143" spans="3:9" hidden="1" outlineLevel="1" x14ac:dyDescent="0.25"/>
    <row r="144" spans="3:9" collapsed="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
        <v>492</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f>F156-G156</f>
        <v>105005999.97</v>
      </c>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f>F174-G174</f>
        <v>-495100</v>
      </c>
      <c r="I174" s="180"/>
    </row>
    <row r="175" spans="3:9" ht="18.75" hidden="1"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hidden="1" outlineLevel="1" x14ac:dyDescent="0.3">
      <c r="C176" s="303" t="s">
        <v>441</v>
      </c>
      <c r="D176" s="304" t="s">
        <v>442</v>
      </c>
      <c r="E176" s="305"/>
      <c r="F176" s="305"/>
      <c r="G176" s="305"/>
      <c r="H176" s="165">
        <f>H175-F174</f>
        <v>-212010</v>
      </c>
      <c r="I176" s="180"/>
    </row>
    <row r="177" spans="3:9" ht="33" hidden="1" outlineLevel="1" x14ac:dyDescent="0.3">
      <c r="C177" s="297"/>
      <c r="D177" s="305"/>
      <c r="E177" s="177"/>
      <c r="F177" s="306" t="s">
        <v>443</v>
      </c>
      <c r="G177" s="177"/>
      <c r="H177" s="165">
        <v>214723.46028711041</v>
      </c>
      <c r="I177" s="180"/>
    </row>
    <row r="178" spans="3:9" ht="16.5" hidden="1" outlineLevel="1" x14ac:dyDescent="0.3">
      <c r="C178" s="297"/>
      <c r="D178" s="305"/>
      <c r="E178" s="177" t="s">
        <v>394</v>
      </c>
      <c r="F178" s="306"/>
      <c r="G178" s="177" t="s">
        <v>394</v>
      </c>
      <c r="H178" s="165">
        <v>2713.4602871104144</v>
      </c>
      <c r="I178" s="180"/>
    </row>
    <row r="179" spans="3:9" ht="16.5" hidden="1" outlineLevel="1" x14ac:dyDescent="0.3">
      <c r="C179" s="297"/>
      <c r="D179" s="176" t="s">
        <v>444</v>
      </c>
      <c r="E179" s="307">
        <v>219758.97</v>
      </c>
      <c r="F179" s="286">
        <f>E179-G179</f>
        <v>31222.97</v>
      </c>
      <c r="G179" s="308">
        <v>188536</v>
      </c>
      <c r="H179" s="309">
        <v>9044.8676237013806</v>
      </c>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
        <v>492</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
        <v>492</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
        <v>492</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505</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512</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33" priority="1" stopIfTrue="1" operator="greaterThan">
      <formula>0</formula>
    </cfRule>
    <cfRule type="cellIs" dxfId="532" priority="2" stopIfTrue="1" operator="equal">
      <formula>0</formula>
    </cfRule>
  </conditionalFormatting>
  <dataValidations count="1">
    <dataValidation type="list" allowBlank="1" showInputMessage="1" showErrorMessage="1" sqref="A1" xr:uid="{00000000-0002-0000-1400-000000000000}">
      <formula1>Year</formula1>
    </dataValidation>
  </dataValidations>
  <pageMargins left="0.7" right="0.7" top="0.75" bottom="0.75" header="0.3" footer="0.3"/>
  <pageSetup scale="44" orientation="portrait" r:id="rId1"/>
  <rowBreaks count="6" manualBreakCount="6">
    <brk id="50" max="16383" man="1"/>
    <brk id="90" max="16383" man="1"/>
    <brk id="143" max="16383" man="1"/>
    <brk id="187" max="16383" man="1"/>
    <brk id="222" max="16383" man="1"/>
    <brk id="28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55"/>
  <sheetViews>
    <sheetView showGridLines="0" zoomScaleNormal="100" workbookViewId="0">
      <selection activeCell="D361" sqref="D361"/>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2020</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2020</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6.5" collapsed="1" x14ac:dyDescent="0.3">
      <c r="C91" s="152"/>
      <c r="D91" s="220"/>
      <c r="E91" s="224"/>
      <c r="F91" s="224"/>
      <c r="G91" s="150"/>
      <c r="H91" s="153"/>
      <c r="I91" s="153"/>
    </row>
    <row r="92" spans="3:10" hidden="1" outlineLevel="1" x14ac:dyDescent="0.25">
      <c r="C92" s="257"/>
      <c r="D92" s="258"/>
      <c r="E92" s="258"/>
      <c r="F92" s="258"/>
      <c r="G92" s="258"/>
      <c r="H92" s="258"/>
      <c r="I92" s="259"/>
    </row>
    <row r="93" spans="3:10" ht="16.5" hidden="1" outlineLevel="1" x14ac:dyDescent="0.3">
      <c r="C93" s="638" t="s">
        <v>358</v>
      </c>
      <c r="D93" s="639"/>
      <c r="E93" s="639"/>
      <c r="F93" s="639"/>
      <c r="G93" s="639"/>
      <c r="H93" s="639"/>
      <c r="I93" s="640"/>
      <c r="J93" s="154"/>
    </row>
    <row r="94" spans="3:10" ht="16.5" hidden="1" outlineLevel="1" x14ac:dyDescent="0.3">
      <c r="C94" s="638" t="s">
        <v>378</v>
      </c>
      <c r="D94" s="639"/>
      <c r="E94" s="639"/>
      <c r="F94" s="639"/>
      <c r="G94" s="639"/>
      <c r="H94" s="639"/>
      <c r="I94" s="640"/>
      <c r="J94" s="154"/>
    </row>
    <row r="95" spans="3:10" ht="16.5" hidden="1" outlineLevel="1" x14ac:dyDescent="0.3">
      <c r="C95" s="650" t="s">
        <v>492</v>
      </c>
      <c r="D95" s="651"/>
      <c r="E95" s="651"/>
      <c r="F95" s="651"/>
      <c r="G95" s="651"/>
      <c r="H95" s="651"/>
      <c r="I95" s="652"/>
      <c r="J95" s="154"/>
    </row>
    <row r="96" spans="3:10" ht="16.5" hidden="1" outlineLevel="1" x14ac:dyDescent="0.3">
      <c r="C96" s="260" t="s">
        <v>379</v>
      </c>
      <c r="D96" s="155"/>
      <c r="E96" s="155"/>
      <c r="F96" s="155"/>
      <c r="G96" s="155"/>
      <c r="H96" s="155"/>
      <c r="I96" s="261"/>
      <c r="J96" s="155"/>
    </row>
    <row r="97" spans="3:10" ht="16.5" hidden="1" outlineLevel="1" x14ac:dyDescent="0.3">
      <c r="C97" s="262" t="s">
        <v>390</v>
      </c>
      <c r="D97" s="159" t="s">
        <v>391</v>
      </c>
      <c r="E97" s="242"/>
      <c r="F97" s="154"/>
      <c r="G97" s="154"/>
      <c r="H97" s="154"/>
      <c r="I97" s="263"/>
      <c r="J97" s="154"/>
    </row>
    <row r="98" spans="3:10" hidden="1" outlineLevel="1" x14ac:dyDescent="0.25">
      <c r="C98" s="216"/>
      <c r="D98" s="243"/>
      <c r="E98" s="156"/>
      <c r="F98" s="156"/>
      <c r="G98" s="156"/>
      <c r="H98" s="156"/>
      <c r="I98" s="264"/>
      <c r="J98" s="156"/>
    </row>
    <row r="99" spans="3:10" ht="30" hidden="1" outlineLevel="1" x14ac:dyDescent="0.25">
      <c r="C99" s="216"/>
      <c r="D99" s="159"/>
      <c r="E99" s="244" t="s">
        <v>392</v>
      </c>
      <c r="F99" s="244" t="s">
        <v>393</v>
      </c>
      <c r="G99" s="244" t="s">
        <v>376</v>
      </c>
      <c r="H99" s="245" t="s">
        <v>375</v>
      </c>
      <c r="I99" s="265" t="s">
        <v>60</v>
      </c>
    </row>
    <row r="100" spans="3:10" hidden="1" outlineLevel="1" x14ac:dyDescent="0.25">
      <c r="C100" s="266"/>
      <c r="D100" s="159"/>
      <c r="E100" s="246" t="s">
        <v>394</v>
      </c>
      <c r="F100" s="246" t="s">
        <v>394</v>
      </c>
      <c r="G100" s="246" t="s">
        <v>394</v>
      </c>
      <c r="H100" s="246" t="s">
        <v>394</v>
      </c>
      <c r="I100" s="267" t="s">
        <v>394</v>
      </c>
    </row>
    <row r="101" spans="3:10" hidden="1" outlineLevel="1" x14ac:dyDescent="0.25">
      <c r="C101" s="216"/>
      <c r="D101" s="159" t="s">
        <v>395</v>
      </c>
      <c r="E101" s="246"/>
      <c r="F101" s="246"/>
      <c r="G101" s="246"/>
      <c r="H101" s="246"/>
      <c r="I101" s="267"/>
    </row>
    <row r="102" spans="3:10" ht="16.5" hidden="1" outlineLevel="1" x14ac:dyDescent="0.3">
      <c r="C102" s="266"/>
      <c r="D102" s="213" t="s">
        <v>396</v>
      </c>
      <c r="E102" s="157">
        <v>676160</v>
      </c>
      <c r="F102" s="157">
        <v>483987</v>
      </c>
      <c r="G102" s="157">
        <v>975000</v>
      </c>
      <c r="H102" s="157">
        <v>375657</v>
      </c>
      <c r="I102" s="268">
        <f>SUM(E102:H102)</f>
        <v>2510804</v>
      </c>
    </row>
    <row r="103" spans="3:10" ht="16.5" hidden="1" outlineLevel="1" x14ac:dyDescent="0.3">
      <c r="C103" s="266"/>
      <c r="D103" s="213" t="s">
        <v>397</v>
      </c>
      <c r="E103" s="157">
        <v>-645785.29200000002</v>
      </c>
      <c r="F103" s="157">
        <v>-328179.919921875</v>
      </c>
      <c r="G103" s="157">
        <v>-243750</v>
      </c>
      <c r="H103" s="157">
        <v>-276379.9375</v>
      </c>
      <c r="I103" s="268">
        <v>-1140643.675</v>
      </c>
    </row>
    <row r="104" spans="3:10" ht="17.25" hidden="1"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hidden="1" outlineLevel="1" x14ac:dyDescent="0.3">
      <c r="C105" s="216"/>
      <c r="D105" s="159" t="s">
        <v>399</v>
      </c>
      <c r="E105" s="157"/>
      <c r="F105" s="157"/>
      <c r="G105" s="157"/>
      <c r="H105" s="157"/>
      <c r="I105" s="269"/>
    </row>
    <row r="106" spans="3:10" ht="16.5" hidden="1"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hidden="1" outlineLevel="1" x14ac:dyDescent="0.3">
      <c r="C107" s="270"/>
      <c r="D107" s="213" t="s">
        <v>401</v>
      </c>
      <c r="E107" s="157">
        <v>0</v>
      </c>
      <c r="F107" s="157">
        <v>0</v>
      </c>
      <c r="G107" s="157">
        <v>0</v>
      </c>
      <c r="H107" s="157">
        <v>0</v>
      </c>
      <c r="I107" s="268">
        <f>SUM(E107:H107)</f>
        <v>0</v>
      </c>
    </row>
    <row r="108" spans="3:10" ht="16.5" hidden="1"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hidden="1"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hidden="1" outlineLevel="1" x14ac:dyDescent="0.3">
      <c r="C110" s="270"/>
      <c r="D110" s="159" t="s">
        <v>403</v>
      </c>
      <c r="E110" s="157"/>
      <c r="F110" s="157"/>
      <c r="G110" s="157"/>
      <c r="H110" s="157"/>
      <c r="I110" s="268"/>
    </row>
    <row r="111" spans="3:10" ht="16.5" hidden="1" outlineLevel="1" x14ac:dyDescent="0.3">
      <c r="C111" s="270"/>
      <c r="D111" s="213" t="s">
        <v>396</v>
      </c>
      <c r="E111" s="157">
        <f>E102</f>
        <v>676160</v>
      </c>
      <c r="F111" s="157">
        <f>F102</f>
        <v>483987</v>
      </c>
      <c r="G111" s="157">
        <f>G102</f>
        <v>975000</v>
      </c>
      <c r="H111" s="157">
        <f>H102</f>
        <v>375657</v>
      </c>
      <c r="I111" s="268">
        <f>SUM(E111:H111)</f>
        <v>2510804</v>
      </c>
    </row>
    <row r="112" spans="3:10" ht="16.5" hidden="1"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hidden="1"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hidden="1" outlineLevel="1" x14ac:dyDescent="0.3">
      <c r="C114" s="216"/>
      <c r="D114" s="159" t="s">
        <v>404</v>
      </c>
      <c r="E114" s="157"/>
      <c r="F114" s="157"/>
      <c r="G114" s="157"/>
      <c r="H114" s="157"/>
      <c r="I114" s="269"/>
    </row>
    <row r="115" spans="3:9" ht="16.5" hidden="1"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hidden="1" outlineLevel="1" x14ac:dyDescent="0.3">
      <c r="C116" s="270"/>
      <c r="D116" s="213" t="s">
        <v>401</v>
      </c>
      <c r="E116" s="157">
        <v>0</v>
      </c>
      <c r="F116" s="157">
        <v>344748.28</v>
      </c>
      <c r="G116" s="157">
        <v>1500000</v>
      </c>
      <c r="H116" s="157">
        <v>0</v>
      </c>
      <c r="I116" s="268">
        <f>SUM(E116:H116)</f>
        <v>1844748.28</v>
      </c>
    </row>
    <row r="117" spans="3:9" ht="16.5" hidden="1" outlineLevel="1" x14ac:dyDescent="0.3">
      <c r="C117" s="270"/>
      <c r="D117" s="213" t="s">
        <v>405</v>
      </c>
      <c r="E117" s="157">
        <v>0</v>
      </c>
      <c r="F117" s="157">
        <v>0</v>
      </c>
      <c r="G117" s="157">
        <f>-975000</f>
        <v>-975000</v>
      </c>
      <c r="H117" s="157">
        <v>0</v>
      </c>
      <c r="I117" s="268">
        <f>SUM(E117:H117)</f>
        <v>-975000</v>
      </c>
    </row>
    <row r="118" spans="3:9" ht="16.5" hidden="1" outlineLevel="1" x14ac:dyDescent="0.3">
      <c r="C118" s="270"/>
      <c r="D118" s="213" t="s">
        <v>406</v>
      </c>
      <c r="E118" s="157">
        <v>0</v>
      </c>
      <c r="F118" s="157">
        <v>0</v>
      </c>
      <c r="G118" s="157">
        <v>426562.5</v>
      </c>
      <c r="H118" s="157">
        <v>0</v>
      </c>
      <c r="I118" s="268">
        <f>SUM(E118:H118)</f>
        <v>426562.5</v>
      </c>
    </row>
    <row r="119" spans="3:9" ht="16.5" hidden="1"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hidden="1"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hidden="1" outlineLevel="1" x14ac:dyDescent="0.3">
      <c r="C121" s="270"/>
      <c r="D121" s="159" t="s">
        <v>407</v>
      </c>
      <c r="E121" s="157"/>
      <c r="F121" s="157"/>
      <c r="G121" s="157"/>
      <c r="H121" s="157"/>
      <c r="I121" s="268"/>
    </row>
    <row r="122" spans="3:9" ht="16.5" hidden="1"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hidden="1"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hidden="1"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hidden="1" outlineLevel="1" thickTop="1" x14ac:dyDescent="0.3">
      <c r="C125" s="270"/>
      <c r="D125" s="213"/>
      <c r="E125" s="158"/>
      <c r="F125" s="245"/>
      <c r="G125" s="245"/>
      <c r="H125" s="245"/>
      <c r="I125" s="265"/>
    </row>
    <row r="126" spans="3:9" ht="16.5" hidden="1" outlineLevel="1" x14ac:dyDescent="0.3">
      <c r="C126" s="270"/>
      <c r="D126" s="213"/>
      <c r="E126" s="154"/>
      <c r="F126" s="245"/>
      <c r="G126" s="245"/>
      <c r="H126" s="245" t="s">
        <v>394</v>
      </c>
      <c r="I126" s="265" t="s">
        <v>394</v>
      </c>
    </row>
    <row r="127" spans="3:9" ht="16.5" hidden="1" outlineLevel="1" x14ac:dyDescent="0.3">
      <c r="C127" s="271" t="s">
        <v>408</v>
      </c>
      <c r="D127" s="221" t="s">
        <v>409</v>
      </c>
      <c r="E127" s="154"/>
      <c r="F127" s="246"/>
      <c r="G127" s="246"/>
      <c r="H127" s="245"/>
      <c r="I127" s="267"/>
    </row>
    <row r="128" spans="3:9" ht="16.5" hidden="1" outlineLevel="1" x14ac:dyDescent="0.3">
      <c r="C128" s="272"/>
      <c r="D128" s="248" t="s">
        <v>410</v>
      </c>
      <c r="E128" s="154"/>
      <c r="F128" s="246"/>
      <c r="G128" s="246"/>
      <c r="H128" s="246"/>
      <c r="I128" s="263"/>
    </row>
    <row r="129" spans="3:9" ht="16.5" hidden="1" outlineLevel="1" x14ac:dyDescent="0.3">
      <c r="C129" s="272"/>
      <c r="D129" s="248" t="s">
        <v>411</v>
      </c>
      <c r="E129" s="159"/>
      <c r="F129" s="154"/>
      <c r="G129" s="154"/>
      <c r="H129" s="157">
        <f>-I119</f>
        <v>409278.51677448238</v>
      </c>
      <c r="I129" s="273">
        <v>223810.43022226563</v>
      </c>
    </row>
    <row r="130" spans="3:9" ht="16.5" hidden="1" outlineLevel="1" x14ac:dyDescent="0.3">
      <c r="C130" s="272"/>
      <c r="D130" s="248" t="s">
        <v>412</v>
      </c>
      <c r="E130" s="159"/>
      <c r="F130" s="157"/>
      <c r="G130" s="157"/>
      <c r="H130" s="249">
        <v>2500001</v>
      </c>
      <c r="I130" s="273">
        <v>2691143</v>
      </c>
    </row>
    <row r="131" spans="3:9" ht="18.75" hidden="1" outlineLevel="1" x14ac:dyDescent="0.45">
      <c r="C131" s="272"/>
      <c r="D131" s="248" t="s">
        <v>413</v>
      </c>
      <c r="E131" s="159"/>
      <c r="F131" s="250"/>
      <c r="G131" s="250"/>
      <c r="H131" s="249">
        <v>176009.84</v>
      </c>
      <c r="I131" s="273">
        <v>102278.42</v>
      </c>
    </row>
    <row r="132" spans="3:9" ht="18.75" hidden="1" outlineLevel="1" x14ac:dyDescent="0.45">
      <c r="C132" s="272"/>
      <c r="D132" s="248" t="s">
        <v>414</v>
      </c>
      <c r="E132" s="159"/>
      <c r="F132" s="251"/>
      <c r="G132" s="251"/>
      <c r="H132" s="252">
        <v>175000</v>
      </c>
      <c r="I132" s="274">
        <v>175000</v>
      </c>
    </row>
    <row r="133" spans="3:9" ht="16.5" hidden="1" outlineLevel="1" x14ac:dyDescent="0.3">
      <c r="C133" s="275" t="s">
        <v>415</v>
      </c>
      <c r="D133" s="253" t="s">
        <v>98</v>
      </c>
      <c r="E133" s="159"/>
      <c r="F133" s="154"/>
      <c r="G133" s="154"/>
      <c r="H133" s="154"/>
      <c r="I133" s="276"/>
    </row>
    <row r="134" spans="3:9" ht="16.5" hidden="1" outlineLevel="1" x14ac:dyDescent="0.3">
      <c r="C134" s="277"/>
      <c r="D134" s="253" t="s">
        <v>416</v>
      </c>
      <c r="E134" s="159"/>
      <c r="F134" s="247"/>
      <c r="G134" s="247"/>
      <c r="H134" s="154"/>
      <c r="I134" s="263"/>
    </row>
    <row r="135" spans="3:9" ht="18" hidden="1" outlineLevel="1" x14ac:dyDescent="0.4">
      <c r="C135" s="277"/>
      <c r="D135" s="254" t="s">
        <v>417</v>
      </c>
      <c r="E135" s="159"/>
      <c r="F135" s="157"/>
      <c r="G135" s="157"/>
      <c r="H135" s="255">
        <f>I135</f>
        <v>100000</v>
      </c>
      <c r="I135" s="278">
        <v>100000</v>
      </c>
    </row>
    <row r="136" spans="3:9" ht="18.75" hidden="1" outlineLevel="1" x14ac:dyDescent="0.45">
      <c r="C136" s="277"/>
      <c r="D136" s="253" t="s">
        <v>418</v>
      </c>
      <c r="E136" s="160"/>
      <c r="F136" s="250"/>
      <c r="G136" s="250"/>
      <c r="H136" s="157"/>
      <c r="I136" s="276"/>
    </row>
    <row r="137" spans="3:9" ht="17.25" hidden="1" outlineLevel="1" x14ac:dyDescent="0.4">
      <c r="C137" s="277"/>
      <c r="D137" s="254" t="s">
        <v>419</v>
      </c>
      <c r="E137" s="159"/>
      <c r="F137" s="255"/>
      <c r="G137" s="255"/>
      <c r="H137" s="255">
        <f>I137</f>
        <v>400</v>
      </c>
      <c r="I137" s="279">
        <v>400</v>
      </c>
    </row>
    <row r="138" spans="3:9" hidden="1" outlineLevel="1" x14ac:dyDescent="0.25">
      <c r="C138" s="231"/>
      <c r="I138" s="215"/>
    </row>
    <row r="139" spans="3:9" hidden="1" outlineLevel="1" x14ac:dyDescent="0.25">
      <c r="C139" s="231"/>
      <c r="I139" s="215"/>
    </row>
    <row r="140" spans="3:9" hidden="1" outlineLevel="1" x14ac:dyDescent="0.25">
      <c r="C140" s="231"/>
      <c r="I140" s="215"/>
    </row>
    <row r="141" spans="3:9" ht="15.75" hidden="1" outlineLevel="1" thickBot="1" x14ac:dyDescent="0.3">
      <c r="C141" s="202"/>
      <c r="D141" s="203"/>
      <c r="E141" s="203"/>
      <c r="F141" s="203"/>
      <c r="G141" s="203"/>
      <c r="H141" s="203"/>
      <c r="I141" s="204"/>
    </row>
    <row r="142" spans="3:9" hidden="1" outlineLevel="1" x14ac:dyDescent="0.25"/>
    <row r="143" spans="3:9" hidden="1" outlineLevel="1" x14ac:dyDescent="0.25"/>
    <row r="144" spans="3:9" collapsed="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
        <v>492</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f>F156-G156</f>
        <v>105005999.97</v>
      </c>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f>F174-G174</f>
        <v>-495100</v>
      </c>
      <c r="I174" s="180"/>
    </row>
    <row r="175" spans="3:9" ht="18.75" hidden="1"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hidden="1" outlineLevel="1" x14ac:dyDescent="0.3">
      <c r="C176" s="303" t="s">
        <v>441</v>
      </c>
      <c r="D176" s="304" t="s">
        <v>442</v>
      </c>
      <c r="E176" s="305"/>
      <c r="F176" s="305"/>
      <c r="G176" s="305"/>
      <c r="H176" s="165">
        <f>H175-F174</f>
        <v>-212010</v>
      </c>
      <c r="I176" s="180"/>
    </row>
    <row r="177" spans="3:9" ht="33" hidden="1" outlineLevel="1" x14ac:dyDescent="0.3">
      <c r="C177" s="297"/>
      <c r="D177" s="305"/>
      <c r="E177" s="177"/>
      <c r="F177" s="306" t="s">
        <v>443</v>
      </c>
      <c r="G177" s="177"/>
      <c r="H177" s="165">
        <v>214723.46028711041</v>
      </c>
      <c r="I177" s="180"/>
    </row>
    <row r="178" spans="3:9" ht="16.5" hidden="1" outlineLevel="1" x14ac:dyDescent="0.3">
      <c r="C178" s="297"/>
      <c r="D178" s="305"/>
      <c r="E178" s="177" t="s">
        <v>394</v>
      </c>
      <c r="F178" s="306"/>
      <c r="G178" s="177" t="s">
        <v>394</v>
      </c>
      <c r="H178" s="165">
        <v>2713.4602871104144</v>
      </c>
      <c r="I178" s="180"/>
    </row>
    <row r="179" spans="3:9" ht="16.5" hidden="1" outlineLevel="1" x14ac:dyDescent="0.3">
      <c r="C179" s="297"/>
      <c r="D179" s="176" t="s">
        <v>444</v>
      </c>
      <c r="E179" s="307">
        <v>219758.97</v>
      </c>
      <c r="F179" s="286">
        <f>E179-G179</f>
        <v>31222.97</v>
      </c>
      <c r="G179" s="308">
        <v>188536</v>
      </c>
      <c r="H179" s="309">
        <v>9044.8676237013806</v>
      </c>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
        <v>492</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
        <v>492</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
        <v>492</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505</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512</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31" priority="1" stopIfTrue="1" operator="greaterThan">
      <formula>0</formula>
    </cfRule>
    <cfRule type="cellIs" dxfId="530" priority="2" stopIfTrue="1" operator="equal">
      <formula>0</formula>
    </cfRule>
  </conditionalFormatting>
  <dataValidations count="1">
    <dataValidation type="list" allowBlank="1" showInputMessage="1" showErrorMessage="1" sqref="A1" xr:uid="{00000000-0002-0000-1500-000000000000}">
      <formula1>Year</formula1>
    </dataValidation>
  </dataValidations>
  <pageMargins left="0.7" right="0.7" top="0.75" bottom="0.75" header="0.3" footer="0.3"/>
  <pageSetup scale="33" orientation="portrait" r:id="rId1"/>
  <rowBreaks count="6" manualBreakCount="6">
    <brk id="50" max="9" man="1"/>
    <brk id="90" max="9" man="1"/>
    <brk id="143" max="9" man="1"/>
    <brk id="187" max="9" man="1"/>
    <brk id="223" max="9" man="1"/>
    <brk id="289"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55"/>
  <sheetViews>
    <sheetView showGridLines="0" zoomScaleNormal="100" workbookViewId="0">
      <selection activeCell="D356" sqref="D356"/>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2020</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2020</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6.5" collapsed="1" x14ac:dyDescent="0.3">
      <c r="C91" s="152"/>
      <c r="D91" s="220"/>
      <c r="E91" s="224"/>
      <c r="F91" s="224"/>
      <c r="G91" s="150"/>
      <c r="H91" s="153"/>
      <c r="I91" s="153"/>
    </row>
    <row r="92" spans="3:10" hidden="1" outlineLevel="1" x14ac:dyDescent="0.25">
      <c r="C92" s="257"/>
      <c r="D92" s="258"/>
      <c r="E92" s="258"/>
      <c r="F92" s="258"/>
      <c r="G92" s="258"/>
      <c r="H92" s="258"/>
      <c r="I92" s="259"/>
    </row>
    <row r="93" spans="3:10" ht="16.5" hidden="1" outlineLevel="1" x14ac:dyDescent="0.3">
      <c r="C93" s="638" t="s">
        <v>358</v>
      </c>
      <c r="D93" s="639"/>
      <c r="E93" s="639"/>
      <c r="F93" s="639"/>
      <c r="G93" s="639"/>
      <c r="H93" s="639"/>
      <c r="I93" s="640"/>
      <c r="J93" s="154"/>
    </row>
    <row r="94" spans="3:10" ht="16.5" hidden="1" outlineLevel="1" x14ac:dyDescent="0.3">
      <c r="C94" s="638" t="s">
        <v>378</v>
      </c>
      <c r="D94" s="639"/>
      <c r="E94" s="639"/>
      <c r="F94" s="639"/>
      <c r="G94" s="639"/>
      <c r="H94" s="639"/>
      <c r="I94" s="640"/>
      <c r="J94" s="154"/>
    </row>
    <row r="95" spans="3:10" ht="16.5" hidden="1" outlineLevel="1" x14ac:dyDescent="0.3">
      <c r="C95" s="650" t="s">
        <v>492</v>
      </c>
      <c r="D95" s="651"/>
      <c r="E95" s="651"/>
      <c r="F95" s="651"/>
      <c r="G95" s="651"/>
      <c r="H95" s="651"/>
      <c r="I95" s="652"/>
      <c r="J95" s="154"/>
    </row>
    <row r="96" spans="3:10" ht="16.5" hidden="1" outlineLevel="1" x14ac:dyDescent="0.3">
      <c r="C96" s="260" t="s">
        <v>379</v>
      </c>
      <c r="D96" s="155"/>
      <c r="E96" s="155"/>
      <c r="F96" s="155"/>
      <c r="G96" s="155"/>
      <c r="H96" s="155"/>
      <c r="I96" s="261"/>
      <c r="J96" s="155"/>
    </row>
    <row r="97" spans="3:10" ht="16.5" hidden="1" outlineLevel="1" x14ac:dyDescent="0.3">
      <c r="C97" s="262" t="s">
        <v>390</v>
      </c>
      <c r="D97" s="159" t="s">
        <v>391</v>
      </c>
      <c r="E97" s="242"/>
      <c r="F97" s="154"/>
      <c r="G97" s="154"/>
      <c r="H97" s="154"/>
      <c r="I97" s="263"/>
      <c r="J97" s="154"/>
    </row>
    <row r="98" spans="3:10" hidden="1" outlineLevel="1" x14ac:dyDescent="0.25">
      <c r="C98" s="216"/>
      <c r="D98" s="243"/>
      <c r="E98" s="156"/>
      <c r="F98" s="156"/>
      <c r="G98" s="156"/>
      <c r="H98" s="156"/>
      <c r="I98" s="264"/>
      <c r="J98" s="156"/>
    </row>
    <row r="99" spans="3:10" ht="30" hidden="1" outlineLevel="1" x14ac:dyDescent="0.25">
      <c r="C99" s="216"/>
      <c r="D99" s="159"/>
      <c r="E99" s="244" t="s">
        <v>392</v>
      </c>
      <c r="F99" s="244" t="s">
        <v>393</v>
      </c>
      <c r="G99" s="244" t="s">
        <v>376</v>
      </c>
      <c r="H99" s="245" t="s">
        <v>375</v>
      </c>
      <c r="I99" s="265" t="s">
        <v>60</v>
      </c>
    </row>
    <row r="100" spans="3:10" hidden="1" outlineLevel="1" x14ac:dyDescent="0.25">
      <c r="C100" s="266"/>
      <c r="D100" s="159"/>
      <c r="E100" s="246" t="s">
        <v>394</v>
      </c>
      <c r="F100" s="246" t="s">
        <v>394</v>
      </c>
      <c r="G100" s="246" t="s">
        <v>394</v>
      </c>
      <c r="H100" s="246" t="s">
        <v>394</v>
      </c>
      <c r="I100" s="267" t="s">
        <v>394</v>
      </c>
    </row>
    <row r="101" spans="3:10" hidden="1" outlineLevel="1" x14ac:dyDescent="0.25">
      <c r="C101" s="216"/>
      <c r="D101" s="159" t="s">
        <v>395</v>
      </c>
      <c r="E101" s="246"/>
      <c r="F101" s="246"/>
      <c r="G101" s="246"/>
      <c r="H101" s="246"/>
      <c r="I101" s="267"/>
    </row>
    <row r="102" spans="3:10" ht="16.5" hidden="1" outlineLevel="1" x14ac:dyDescent="0.3">
      <c r="C102" s="266"/>
      <c r="D102" s="213" t="s">
        <v>396</v>
      </c>
      <c r="E102" s="157">
        <v>676160</v>
      </c>
      <c r="F102" s="157">
        <v>483987</v>
      </c>
      <c r="G102" s="157">
        <v>975000</v>
      </c>
      <c r="H102" s="157">
        <v>375657</v>
      </c>
      <c r="I102" s="268">
        <f>SUM(E102:H102)</f>
        <v>2510804</v>
      </c>
    </row>
    <row r="103" spans="3:10" ht="16.5" hidden="1" outlineLevel="1" x14ac:dyDescent="0.3">
      <c r="C103" s="266"/>
      <c r="D103" s="213" t="s">
        <v>397</v>
      </c>
      <c r="E103" s="157">
        <v>-645785.29200000002</v>
      </c>
      <c r="F103" s="157">
        <v>-328179.919921875</v>
      </c>
      <c r="G103" s="157">
        <v>-243750</v>
      </c>
      <c r="H103" s="157">
        <v>-276379.9375</v>
      </c>
      <c r="I103" s="268">
        <v>-1140643.675</v>
      </c>
    </row>
    <row r="104" spans="3:10" ht="17.25" hidden="1"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hidden="1" outlineLevel="1" x14ac:dyDescent="0.3">
      <c r="C105" s="216"/>
      <c r="D105" s="159" t="s">
        <v>399</v>
      </c>
      <c r="E105" s="157"/>
      <c r="F105" s="157"/>
      <c r="G105" s="157"/>
      <c r="H105" s="157"/>
      <c r="I105" s="269"/>
    </row>
    <row r="106" spans="3:10" ht="16.5" hidden="1"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hidden="1" outlineLevel="1" x14ac:dyDescent="0.3">
      <c r="C107" s="270"/>
      <c r="D107" s="213" t="s">
        <v>401</v>
      </c>
      <c r="E107" s="157">
        <v>0</v>
      </c>
      <c r="F107" s="157">
        <v>0</v>
      </c>
      <c r="G107" s="157">
        <v>0</v>
      </c>
      <c r="H107" s="157">
        <v>0</v>
      </c>
      <c r="I107" s="268">
        <f>SUM(E107:H107)</f>
        <v>0</v>
      </c>
    </row>
    <row r="108" spans="3:10" ht="16.5" hidden="1"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hidden="1"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hidden="1" outlineLevel="1" x14ac:dyDescent="0.3">
      <c r="C110" s="270"/>
      <c r="D110" s="159" t="s">
        <v>403</v>
      </c>
      <c r="E110" s="157"/>
      <c r="F110" s="157"/>
      <c r="G110" s="157"/>
      <c r="H110" s="157"/>
      <c r="I110" s="268"/>
    </row>
    <row r="111" spans="3:10" ht="16.5" hidden="1" outlineLevel="1" x14ac:dyDescent="0.3">
      <c r="C111" s="270"/>
      <c r="D111" s="213" t="s">
        <v>396</v>
      </c>
      <c r="E111" s="157">
        <f>E102</f>
        <v>676160</v>
      </c>
      <c r="F111" s="157">
        <f>F102</f>
        <v>483987</v>
      </c>
      <c r="G111" s="157">
        <f>G102</f>
        <v>975000</v>
      </c>
      <c r="H111" s="157">
        <f>H102</f>
        <v>375657</v>
      </c>
      <c r="I111" s="268">
        <f>SUM(E111:H111)</f>
        <v>2510804</v>
      </c>
    </row>
    <row r="112" spans="3:10" ht="16.5" hidden="1"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hidden="1"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hidden="1" outlineLevel="1" x14ac:dyDescent="0.3">
      <c r="C114" s="216"/>
      <c r="D114" s="159" t="s">
        <v>404</v>
      </c>
      <c r="E114" s="157"/>
      <c r="F114" s="157"/>
      <c r="G114" s="157"/>
      <c r="H114" s="157"/>
      <c r="I114" s="269"/>
    </row>
    <row r="115" spans="3:9" ht="16.5" hidden="1"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hidden="1" outlineLevel="1" x14ac:dyDescent="0.3">
      <c r="C116" s="270"/>
      <c r="D116" s="213" t="s">
        <v>401</v>
      </c>
      <c r="E116" s="157">
        <v>0</v>
      </c>
      <c r="F116" s="157">
        <v>344748.28</v>
      </c>
      <c r="G116" s="157">
        <v>1500000</v>
      </c>
      <c r="H116" s="157">
        <v>0</v>
      </c>
      <c r="I116" s="268">
        <f>SUM(E116:H116)</f>
        <v>1844748.28</v>
      </c>
    </row>
    <row r="117" spans="3:9" ht="16.5" hidden="1" outlineLevel="1" x14ac:dyDescent="0.3">
      <c r="C117" s="270"/>
      <c r="D117" s="213" t="s">
        <v>405</v>
      </c>
      <c r="E117" s="157">
        <v>0</v>
      </c>
      <c r="F117" s="157">
        <v>0</v>
      </c>
      <c r="G117" s="157">
        <f>-975000</f>
        <v>-975000</v>
      </c>
      <c r="H117" s="157">
        <v>0</v>
      </c>
      <c r="I117" s="268">
        <f>SUM(E117:H117)</f>
        <v>-975000</v>
      </c>
    </row>
    <row r="118" spans="3:9" ht="16.5" hidden="1" outlineLevel="1" x14ac:dyDescent="0.3">
      <c r="C118" s="270"/>
      <c r="D118" s="213" t="s">
        <v>406</v>
      </c>
      <c r="E118" s="157">
        <v>0</v>
      </c>
      <c r="F118" s="157">
        <v>0</v>
      </c>
      <c r="G118" s="157">
        <v>426562.5</v>
      </c>
      <c r="H118" s="157">
        <v>0</v>
      </c>
      <c r="I118" s="268">
        <f>SUM(E118:H118)</f>
        <v>426562.5</v>
      </c>
    </row>
    <row r="119" spans="3:9" ht="16.5" hidden="1"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hidden="1"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hidden="1" outlineLevel="1" x14ac:dyDescent="0.3">
      <c r="C121" s="270"/>
      <c r="D121" s="159" t="s">
        <v>407</v>
      </c>
      <c r="E121" s="157"/>
      <c r="F121" s="157"/>
      <c r="G121" s="157"/>
      <c r="H121" s="157"/>
      <c r="I121" s="268"/>
    </row>
    <row r="122" spans="3:9" ht="16.5" hidden="1"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hidden="1"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hidden="1"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hidden="1" outlineLevel="1" thickTop="1" x14ac:dyDescent="0.3">
      <c r="C125" s="270"/>
      <c r="D125" s="213"/>
      <c r="E125" s="158"/>
      <c r="F125" s="245"/>
      <c r="G125" s="245"/>
      <c r="H125" s="245"/>
      <c r="I125" s="265"/>
    </row>
    <row r="126" spans="3:9" ht="16.5" hidden="1" outlineLevel="1" x14ac:dyDescent="0.3">
      <c r="C126" s="270"/>
      <c r="D126" s="213"/>
      <c r="E126" s="154"/>
      <c r="F126" s="245"/>
      <c r="G126" s="245"/>
      <c r="H126" s="245" t="s">
        <v>394</v>
      </c>
      <c r="I126" s="265" t="s">
        <v>394</v>
      </c>
    </row>
    <row r="127" spans="3:9" ht="16.5" hidden="1" outlineLevel="1" x14ac:dyDescent="0.3">
      <c r="C127" s="271" t="s">
        <v>408</v>
      </c>
      <c r="D127" s="221" t="s">
        <v>409</v>
      </c>
      <c r="E127" s="154"/>
      <c r="F127" s="246"/>
      <c r="G127" s="246"/>
      <c r="H127" s="245"/>
      <c r="I127" s="267"/>
    </row>
    <row r="128" spans="3:9" ht="16.5" hidden="1" outlineLevel="1" x14ac:dyDescent="0.3">
      <c r="C128" s="272"/>
      <c r="D128" s="248" t="s">
        <v>410</v>
      </c>
      <c r="E128" s="154"/>
      <c r="F128" s="246"/>
      <c r="G128" s="246"/>
      <c r="H128" s="246"/>
      <c r="I128" s="263"/>
    </row>
    <row r="129" spans="3:9" ht="16.5" hidden="1" outlineLevel="1" x14ac:dyDescent="0.3">
      <c r="C129" s="272"/>
      <c r="D129" s="248" t="s">
        <v>411</v>
      </c>
      <c r="E129" s="159"/>
      <c r="F129" s="154"/>
      <c r="G129" s="154"/>
      <c r="H129" s="157">
        <f>-I119</f>
        <v>409278.51677448238</v>
      </c>
      <c r="I129" s="273">
        <v>223810.43022226563</v>
      </c>
    </row>
    <row r="130" spans="3:9" ht="16.5" hidden="1" outlineLevel="1" x14ac:dyDescent="0.3">
      <c r="C130" s="272"/>
      <c r="D130" s="248" t="s">
        <v>412</v>
      </c>
      <c r="E130" s="159"/>
      <c r="F130" s="157"/>
      <c r="G130" s="157"/>
      <c r="H130" s="249">
        <v>2500001</v>
      </c>
      <c r="I130" s="273">
        <v>2691143</v>
      </c>
    </row>
    <row r="131" spans="3:9" ht="18.75" hidden="1" outlineLevel="1" x14ac:dyDescent="0.45">
      <c r="C131" s="272"/>
      <c r="D131" s="248" t="s">
        <v>413</v>
      </c>
      <c r="E131" s="159"/>
      <c r="F131" s="250"/>
      <c r="G131" s="250"/>
      <c r="H131" s="249">
        <v>176009.84</v>
      </c>
      <c r="I131" s="273">
        <v>102278.42</v>
      </c>
    </row>
    <row r="132" spans="3:9" ht="18.75" hidden="1" outlineLevel="1" x14ac:dyDescent="0.45">
      <c r="C132" s="272"/>
      <c r="D132" s="248" t="s">
        <v>414</v>
      </c>
      <c r="E132" s="159"/>
      <c r="F132" s="251"/>
      <c r="G132" s="251"/>
      <c r="H132" s="252">
        <v>175000</v>
      </c>
      <c r="I132" s="274">
        <v>175000</v>
      </c>
    </row>
    <row r="133" spans="3:9" ht="16.5" hidden="1" outlineLevel="1" x14ac:dyDescent="0.3">
      <c r="C133" s="275" t="s">
        <v>415</v>
      </c>
      <c r="D133" s="253" t="s">
        <v>98</v>
      </c>
      <c r="E133" s="159"/>
      <c r="F133" s="154"/>
      <c r="G133" s="154"/>
      <c r="H133" s="154"/>
      <c r="I133" s="276"/>
    </row>
    <row r="134" spans="3:9" ht="16.5" hidden="1" outlineLevel="1" x14ac:dyDescent="0.3">
      <c r="C134" s="277"/>
      <c r="D134" s="253" t="s">
        <v>416</v>
      </c>
      <c r="E134" s="159"/>
      <c r="F134" s="247"/>
      <c r="G134" s="247"/>
      <c r="H134" s="154"/>
      <c r="I134" s="263"/>
    </row>
    <row r="135" spans="3:9" ht="18" hidden="1" outlineLevel="1" x14ac:dyDescent="0.4">
      <c r="C135" s="277"/>
      <c r="D135" s="254" t="s">
        <v>417</v>
      </c>
      <c r="E135" s="159"/>
      <c r="F135" s="157"/>
      <c r="G135" s="157"/>
      <c r="H135" s="255">
        <f>I135</f>
        <v>100000</v>
      </c>
      <c r="I135" s="278">
        <v>100000</v>
      </c>
    </row>
    <row r="136" spans="3:9" ht="18.75" hidden="1" outlineLevel="1" x14ac:dyDescent="0.45">
      <c r="C136" s="277"/>
      <c r="D136" s="253" t="s">
        <v>418</v>
      </c>
      <c r="E136" s="160"/>
      <c r="F136" s="250"/>
      <c r="G136" s="250"/>
      <c r="H136" s="157"/>
      <c r="I136" s="276"/>
    </row>
    <row r="137" spans="3:9" ht="17.25" hidden="1" outlineLevel="1" x14ac:dyDescent="0.4">
      <c r="C137" s="277"/>
      <c r="D137" s="254" t="s">
        <v>419</v>
      </c>
      <c r="E137" s="159"/>
      <c r="F137" s="255"/>
      <c r="G137" s="255"/>
      <c r="H137" s="255">
        <f>I137</f>
        <v>400</v>
      </c>
      <c r="I137" s="279">
        <v>400</v>
      </c>
    </row>
    <row r="138" spans="3:9" hidden="1" outlineLevel="1" x14ac:dyDescent="0.25">
      <c r="C138" s="231"/>
      <c r="I138" s="215"/>
    </row>
    <row r="139" spans="3:9" hidden="1" outlineLevel="1" x14ac:dyDescent="0.25">
      <c r="C139" s="231"/>
      <c r="I139" s="215"/>
    </row>
    <row r="140" spans="3:9" hidden="1" outlineLevel="1" x14ac:dyDescent="0.25">
      <c r="C140" s="231"/>
      <c r="I140" s="215"/>
    </row>
    <row r="141" spans="3:9" ht="15.75" hidden="1" outlineLevel="1" thickBot="1" x14ac:dyDescent="0.3">
      <c r="C141" s="202"/>
      <c r="D141" s="203"/>
      <c r="E141" s="203"/>
      <c r="F141" s="203"/>
      <c r="G141" s="203"/>
      <c r="H141" s="203"/>
      <c r="I141" s="204"/>
    </row>
    <row r="142" spans="3:9" hidden="1" outlineLevel="1" x14ac:dyDescent="0.25"/>
    <row r="143" spans="3:9" hidden="1" outlineLevel="1" x14ac:dyDescent="0.25"/>
    <row r="144" spans="3:9" collapsed="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
        <v>492</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f>F156-G156</f>
        <v>105005999.97</v>
      </c>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f>F174-G174</f>
        <v>-495100</v>
      </c>
      <c r="I174" s="180"/>
    </row>
    <row r="175" spans="3:9" ht="18.75" hidden="1"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hidden="1" outlineLevel="1" x14ac:dyDescent="0.3">
      <c r="C176" s="303" t="s">
        <v>441</v>
      </c>
      <c r="D176" s="304" t="s">
        <v>442</v>
      </c>
      <c r="E176" s="305"/>
      <c r="F176" s="305"/>
      <c r="G176" s="305"/>
      <c r="H176" s="165">
        <f>H175-F174</f>
        <v>-212010</v>
      </c>
      <c r="I176" s="180"/>
    </row>
    <row r="177" spans="3:9" ht="33" hidden="1" outlineLevel="1" x14ac:dyDescent="0.3">
      <c r="C177" s="297"/>
      <c r="D177" s="305"/>
      <c r="E177" s="177"/>
      <c r="F177" s="306" t="s">
        <v>443</v>
      </c>
      <c r="G177" s="177"/>
      <c r="H177" s="165">
        <v>214723.46028711041</v>
      </c>
      <c r="I177" s="180"/>
    </row>
    <row r="178" spans="3:9" ht="16.5" hidden="1" outlineLevel="1" x14ac:dyDescent="0.3">
      <c r="C178" s="297"/>
      <c r="D178" s="305"/>
      <c r="E178" s="177" t="s">
        <v>394</v>
      </c>
      <c r="F178" s="306"/>
      <c r="G178" s="177" t="s">
        <v>394</v>
      </c>
      <c r="H178" s="165">
        <v>2713.4602871104144</v>
      </c>
      <c r="I178" s="180"/>
    </row>
    <row r="179" spans="3:9" ht="16.5" hidden="1" outlineLevel="1" x14ac:dyDescent="0.3">
      <c r="C179" s="297"/>
      <c r="D179" s="176" t="s">
        <v>444</v>
      </c>
      <c r="E179" s="307">
        <v>219758.97</v>
      </c>
      <c r="F179" s="286">
        <f>E179-G179</f>
        <v>31222.97</v>
      </c>
      <c r="G179" s="308">
        <v>188536</v>
      </c>
      <c r="H179" s="309">
        <v>9044.8676237013806</v>
      </c>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
        <v>492</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
        <v>492</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
        <v>492</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505</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512</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29" priority="1" stopIfTrue="1" operator="greaterThan">
      <formula>0</formula>
    </cfRule>
    <cfRule type="cellIs" dxfId="528" priority="2" stopIfTrue="1" operator="equal">
      <formula>0</formula>
    </cfRule>
  </conditionalFormatting>
  <dataValidations count="1">
    <dataValidation type="list" allowBlank="1" showInputMessage="1" showErrorMessage="1" sqref="A1" xr:uid="{00000000-0002-0000-1600-000000000000}">
      <formula1>Year</formula1>
    </dataValidation>
  </dataValidations>
  <pageMargins left="0.7" right="0.7" top="0.75" bottom="0.75" header="0.3" footer="0.3"/>
  <pageSetup scale="44" orientation="portrait" r:id="rId1"/>
  <rowBreaks count="6" manualBreakCount="6">
    <brk id="50" max="9" man="1"/>
    <brk id="90" max="9" man="1"/>
    <brk id="143" max="9" man="1"/>
    <brk id="187" max="9" man="1"/>
    <brk id="222" max="9" man="1"/>
    <brk id="288"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55"/>
  <sheetViews>
    <sheetView showGridLines="0" zoomScaleNormal="100" workbookViewId="0">
      <selection activeCell="D359" sqref="D359"/>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2020</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2020</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6.5" collapsed="1" x14ac:dyDescent="0.3">
      <c r="C91" s="152"/>
      <c r="D91" s="220"/>
      <c r="E91" s="224"/>
      <c r="F91" s="224"/>
      <c r="G91" s="150"/>
      <c r="H91" s="153"/>
      <c r="I91" s="153"/>
    </row>
    <row r="92" spans="3:10" hidden="1" outlineLevel="1" x14ac:dyDescent="0.25">
      <c r="C92" s="257"/>
      <c r="D92" s="258"/>
      <c r="E92" s="258"/>
      <c r="F92" s="258"/>
      <c r="G92" s="258"/>
      <c r="H92" s="258"/>
      <c r="I92" s="259"/>
    </row>
    <row r="93" spans="3:10" ht="16.5" hidden="1" outlineLevel="1" x14ac:dyDescent="0.3">
      <c r="C93" s="638" t="s">
        <v>358</v>
      </c>
      <c r="D93" s="639"/>
      <c r="E93" s="639"/>
      <c r="F93" s="639"/>
      <c r="G93" s="639"/>
      <c r="H93" s="639"/>
      <c r="I93" s="640"/>
      <c r="J93" s="154"/>
    </row>
    <row r="94" spans="3:10" ht="16.5" hidden="1" outlineLevel="1" x14ac:dyDescent="0.3">
      <c r="C94" s="638" t="s">
        <v>378</v>
      </c>
      <c r="D94" s="639"/>
      <c r="E94" s="639"/>
      <c r="F94" s="639"/>
      <c r="G94" s="639"/>
      <c r="H94" s="639"/>
      <c r="I94" s="640"/>
      <c r="J94" s="154"/>
    </row>
    <row r="95" spans="3:10" ht="16.5" hidden="1" outlineLevel="1" x14ac:dyDescent="0.3">
      <c r="C95" s="650" t="s">
        <v>492</v>
      </c>
      <c r="D95" s="651"/>
      <c r="E95" s="651"/>
      <c r="F95" s="651"/>
      <c r="G95" s="651"/>
      <c r="H95" s="651"/>
      <c r="I95" s="652"/>
      <c r="J95" s="154"/>
    </row>
    <row r="96" spans="3:10" ht="16.5" hidden="1" outlineLevel="1" x14ac:dyDescent="0.3">
      <c r="C96" s="260" t="s">
        <v>379</v>
      </c>
      <c r="D96" s="155"/>
      <c r="E96" s="155"/>
      <c r="F96" s="155"/>
      <c r="G96" s="155"/>
      <c r="H96" s="155"/>
      <c r="I96" s="261"/>
      <c r="J96" s="155"/>
    </row>
    <row r="97" spans="3:10" ht="16.5" hidden="1" outlineLevel="1" x14ac:dyDescent="0.3">
      <c r="C97" s="262" t="s">
        <v>390</v>
      </c>
      <c r="D97" s="159" t="s">
        <v>391</v>
      </c>
      <c r="E97" s="242"/>
      <c r="F97" s="154"/>
      <c r="G97" s="154"/>
      <c r="H97" s="154"/>
      <c r="I97" s="263"/>
      <c r="J97" s="154"/>
    </row>
    <row r="98" spans="3:10" hidden="1" outlineLevel="1" x14ac:dyDescent="0.25">
      <c r="C98" s="216"/>
      <c r="D98" s="243"/>
      <c r="E98" s="156"/>
      <c r="F98" s="156"/>
      <c r="G98" s="156"/>
      <c r="H98" s="156"/>
      <c r="I98" s="264"/>
      <c r="J98" s="156"/>
    </row>
    <row r="99" spans="3:10" ht="30" hidden="1" outlineLevel="1" x14ac:dyDescent="0.25">
      <c r="C99" s="216"/>
      <c r="D99" s="159"/>
      <c r="E99" s="244" t="s">
        <v>392</v>
      </c>
      <c r="F99" s="244" t="s">
        <v>393</v>
      </c>
      <c r="G99" s="244" t="s">
        <v>376</v>
      </c>
      <c r="H99" s="245" t="s">
        <v>375</v>
      </c>
      <c r="I99" s="265" t="s">
        <v>60</v>
      </c>
    </row>
    <row r="100" spans="3:10" hidden="1" outlineLevel="1" x14ac:dyDescent="0.25">
      <c r="C100" s="266"/>
      <c r="D100" s="159"/>
      <c r="E100" s="246" t="s">
        <v>394</v>
      </c>
      <c r="F100" s="246" t="s">
        <v>394</v>
      </c>
      <c r="G100" s="246" t="s">
        <v>394</v>
      </c>
      <c r="H100" s="246" t="s">
        <v>394</v>
      </c>
      <c r="I100" s="267" t="s">
        <v>394</v>
      </c>
    </row>
    <row r="101" spans="3:10" hidden="1" outlineLevel="1" x14ac:dyDescent="0.25">
      <c r="C101" s="216"/>
      <c r="D101" s="159" t="s">
        <v>395</v>
      </c>
      <c r="E101" s="246"/>
      <c r="F101" s="246"/>
      <c r="G101" s="246"/>
      <c r="H101" s="246"/>
      <c r="I101" s="267"/>
    </row>
    <row r="102" spans="3:10" ht="16.5" hidden="1" outlineLevel="1" x14ac:dyDescent="0.3">
      <c r="C102" s="266"/>
      <c r="D102" s="213" t="s">
        <v>396</v>
      </c>
      <c r="E102" s="157">
        <v>676160</v>
      </c>
      <c r="F102" s="157">
        <v>483987</v>
      </c>
      <c r="G102" s="157">
        <v>975000</v>
      </c>
      <c r="H102" s="157">
        <v>375657</v>
      </c>
      <c r="I102" s="268">
        <f>SUM(E102:H102)</f>
        <v>2510804</v>
      </c>
    </row>
    <row r="103" spans="3:10" ht="16.5" hidden="1" outlineLevel="1" x14ac:dyDescent="0.3">
      <c r="C103" s="266"/>
      <c r="D103" s="213" t="s">
        <v>397</v>
      </c>
      <c r="E103" s="157">
        <v>-645785.29200000002</v>
      </c>
      <c r="F103" s="157">
        <v>-328179.919921875</v>
      </c>
      <c r="G103" s="157">
        <v>-243750</v>
      </c>
      <c r="H103" s="157">
        <v>-276379.9375</v>
      </c>
      <c r="I103" s="268">
        <v>-1140643.675</v>
      </c>
    </row>
    <row r="104" spans="3:10" ht="17.25" hidden="1"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hidden="1" outlineLevel="1" x14ac:dyDescent="0.3">
      <c r="C105" s="216"/>
      <c r="D105" s="159" t="s">
        <v>399</v>
      </c>
      <c r="E105" s="157"/>
      <c r="F105" s="157"/>
      <c r="G105" s="157"/>
      <c r="H105" s="157"/>
      <c r="I105" s="269"/>
    </row>
    <row r="106" spans="3:10" ht="16.5" hidden="1"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hidden="1" outlineLevel="1" x14ac:dyDescent="0.3">
      <c r="C107" s="270"/>
      <c r="D107" s="213" t="s">
        <v>401</v>
      </c>
      <c r="E107" s="157">
        <v>0</v>
      </c>
      <c r="F107" s="157">
        <v>0</v>
      </c>
      <c r="G107" s="157">
        <v>0</v>
      </c>
      <c r="H107" s="157">
        <v>0</v>
      </c>
      <c r="I107" s="268">
        <f>SUM(E107:H107)</f>
        <v>0</v>
      </c>
    </row>
    <row r="108" spans="3:10" ht="16.5" hidden="1"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hidden="1"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hidden="1" outlineLevel="1" x14ac:dyDescent="0.3">
      <c r="C110" s="270"/>
      <c r="D110" s="159" t="s">
        <v>403</v>
      </c>
      <c r="E110" s="157"/>
      <c r="F110" s="157"/>
      <c r="G110" s="157"/>
      <c r="H110" s="157"/>
      <c r="I110" s="268"/>
    </row>
    <row r="111" spans="3:10" ht="16.5" hidden="1" outlineLevel="1" x14ac:dyDescent="0.3">
      <c r="C111" s="270"/>
      <c r="D111" s="213" t="s">
        <v>396</v>
      </c>
      <c r="E111" s="157">
        <f>E102</f>
        <v>676160</v>
      </c>
      <c r="F111" s="157">
        <f>F102</f>
        <v>483987</v>
      </c>
      <c r="G111" s="157">
        <f>G102</f>
        <v>975000</v>
      </c>
      <c r="H111" s="157">
        <f>H102</f>
        <v>375657</v>
      </c>
      <c r="I111" s="268">
        <f>SUM(E111:H111)</f>
        <v>2510804</v>
      </c>
    </row>
    <row r="112" spans="3:10" ht="16.5" hidden="1"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hidden="1"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hidden="1" outlineLevel="1" x14ac:dyDescent="0.3">
      <c r="C114" s="216"/>
      <c r="D114" s="159" t="s">
        <v>404</v>
      </c>
      <c r="E114" s="157"/>
      <c r="F114" s="157"/>
      <c r="G114" s="157"/>
      <c r="H114" s="157"/>
      <c r="I114" s="269"/>
    </row>
    <row r="115" spans="3:9" ht="16.5" hidden="1"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hidden="1" outlineLevel="1" x14ac:dyDescent="0.3">
      <c r="C116" s="270"/>
      <c r="D116" s="213" t="s">
        <v>401</v>
      </c>
      <c r="E116" s="157">
        <v>0</v>
      </c>
      <c r="F116" s="157">
        <v>344748.28</v>
      </c>
      <c r="G116" s="157">
        <v>1500000</v>
      </c>
      <c r="H116" s="157">
        <v>0</v>
      </c>
      <c r="I116" s="268">
        <f>SUM(E116:H116)</f>
        <v>1844748.28</v>
      </c>
    </row>
    <row r="117" spans="3:9" ht="16.5" hidden="1" outlineLevel="1" x14ac:dyDescent="0.3">
      <c r="C117" s="270"/>
      <c r="D117" s="213" t="s">
        <v>405</v>
      </c>
      <c r="E117" s="157">
        <v>0</v>
      </c>
      <c r="F117" s="157">
        <v>0</v>
      </c>
      <c r="G117" s="157">
        <f>-975000</f>
        <v>-975000</v>
      </c>
      <c r="H117" s="157">
        <v>0</v>
      </c>
      <c r="I117" s="268">
        <f>SUM(E117:H117)</f>
        <v>-975000</v>
      </c>
    </row>
    <row r="118" spans="3:9" ht="16.5" hidden="1" outlineLevel="1" x14ac:dyDescent="0.3">
      <c r="C118" s="270"/>
      <c r="D118" s="213" t="s">
        <v>406</v>
      </c>
      <c r="E118" s="157">
        <v>0</v>
      </c>
      <c r="F118" s="157">
        <v>0</v>
      </c>
      <c r="G118" s="157">
        <v>426562.5</v>
      </c>
      <c r="H118" s="157">
        <v>0</v>
      </c>
      <c r="I118" s="268">
        <f>SUM(E118:H118)</f>
        <v>426562.5</v>
      </c>
    </row>
    <row r="119" spans="3:9" ht="16.5" hidden="1"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hidden="1"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hidden="1" outlineLevel="1" x14ac:dyDescent="0.3">
      <c r="C121" s="270"/>
      <c r="D121" s="159" t="s">
        <v>407</v>
      </c>
      <c r="E121" s="157"/>
      <c r="F121" s="157"/>
      <c r="G121" s="157"/>
      <c r="H121" s="157"/>
      <c r="I121" s="268"/>
    </row>
    <row r="122" spans="3:9" ht="16.5" hidden="1"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hidden="1"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hidden="1"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hidden="1" outlineLevel="1" thickTop="1" x14ac:dyDescent="0.3">
      <c r="C125" s="270"/>
      <c r="D125" s="213"/>
      <c r="E125" s="158"/>
      <c r="F125" s="245"/>
      <c r="G125" s="245"/>
      <c r="H125" s="245"/>
      <c r="I125" s="265"/>
    </row>
    <row r="126" spans="3:9" ht="16.5" hidden="1" outlineLevel="1" x14ac:dyDescent="0.3">
      <c r="C126" s="270"/>
      <c r="D126" s="213"/>
      <c r="E126" s="154"/>
      <c r="F126" s="245"/>
      <c r="G126" s="245"/>
      <c r="H126" s="245" t="s">
        <v>394</v>
      </c>
      <c r="I126" s="265" t="s">
        <v>394</v>
      </c>
    </row>
    <row r="127" spans="3:9" ht="16.5" hidden="1" outlineLevel="1" x14ac:dyDescent="0.3">
      <c r="C127" s="271" t="s">
        <v>408</v>
      </c>
      <c r="D127" s="221" t="s">
        <v>409</v>
      </c>
      <c r="E127" s="154"/>
      <c r="F127" s="246"/>
      <c r="G127" s="246"/>
      <c r="H127" s="245"/>
      <c r="I127" s="267"/>
    </row>
    <row r="128" spans="3:9" ht="16.5" hidden="1" outlineLevel="1" x14ac:dyDescent="0.3">
      <c r="C128" s="272"/>
      <c r="D128" s="248" t="s">
        <v>410</v>
      </c>
      <c r="E128" s="154"/>
      <c r="F128" s="246"/>
      <c r="G128" s="246"/>
      <c r="H128" s="246"/>
      <c r="I128" s="263"/>
    </row>
    <row r="129" spans="3:9" ht="16.5" hidden="1" outlineLevel="1" x14ac:dyDescent="0.3">
      <c r="C129" s="272"/>
      <c r="D129" s="248" t="s">
        <v>411</v>
      </c>
      <c r="E129" s="159"/>
      <c r="F129" s="154"/>
      <c r="G129" s="154"/>
      <c r="H129" s="157">
        <f>-I119</f>
        <v>409278.51677448238</v>
      </c>
      <c r="I129" s="273">
        <v>223810.43022226563</v>
      </c>
    </row>
    <row r="130" spans="3:9" ht="16.5" hidden="1" outlineLevel="1" x14ac:dyDescent="0.3">
      <c r="C130" s="272"/>
      <c r="D130" s="248" t="s">
        <v>412</v>
      </c>
      <c r="E130" s="159"/>
      <c r="F130" s="157"/>
      <c r="G130" s="157"/>
      <c r="H130" s="249">
        <v>2500001</v>
      </c>
      <c r="I130" s="273">
        <v>2691143</v>
      </c>
    </row>
    <row r="131" spans="3:9" ht="18.75" hidden="1" outlineLevel="1" x14ac:dyDescent="0.45">
      <c r="C131" s="272"/>
      <c r="D131" s="248" t="s">
        <v>413</v>
      </c>
      <c r="E131" s="159"/>
      <c r="F131" s="250"/>
      <c r="G131" s="250"/>
      <c r="H131" s="249">
        <v>176009.84</v>
      </c>
      <c r="I131" s="273">
        <v>102278.42</v>
      </c>
    </row>
    <row r="132" spans="3:9" ht="18.75" hidden="1" outlineLevel="1" x14ac:dyDescent="0.45">
      <c r="C132" s="272"/>
      <c r="D132" s="248" t="s">
        <v>414</v>
      </c>
      <c r="E132" s="159"/>
      <c r="F132" s="251"/>
      <c r="G132" s="251"/>
      <c r="H132" s="252">
        <v>175000</v>
      </c>
      <c r="I132" s="274">
        <v>175000</v>
      </c>
    </row>
    <row r="133" spans="3:9" ht="16.5" hidden="1" outlineLevel="1" x14ac:dyDescent="0.3">
      <c r="C133" s="275" t="s">
        <v>415</v>
      </c>
      <c r="D133" s="253" t="s">
        <v>98</v>
      </c>
      <c r="E133" s="159"/>
      <c r="F133" s="154"/>
      <c r="G133" s="154"/>
      <c r="H133" s="154"/>
      <c r="I133" s="276"/>
    </row>
    <row r="134" spans="3:9" ht="16.5" hidden="1" outlineLevel="1" x14ac:dyDescent="0.3">
      <c r="C134" s="277"/>
      <c r="D134" s="253" t="s">
        <v>416</v>
      </c>
      <c r="E134" s="159"/>
      <c r="F134" s="247"/>
      <c r="G134" s="247"/>
      <c r="H134" s="154"/>
      <c r="I134" s="263"/>
    </row>
    <row r="135" spans="3:9" ht="18" hidden="1" outlineLevel="1" x14ac:dyDescent="0.4">
      <c r="C135" s="277"/>
      <c r="D135" s="254" t="s">
        <v>417</v>
      </c>
      <c r="E135" s="159"/>
      <c r="F135" s="157"/>
      <c r="G135" s="157"/>
      <c r="H135" s="255">
        <f>I135</f>
        <v>100000</v>
      </c>
      <c r="I135" s="278">
        <v>100000</v>
      </c>
    </row>
    <row r="136" spans="3:9" ht="18.75" hidden="1" outlineLevel="1" x14ac:dyDescent="0.45">
      <c r="C136" s="277"/>
      <c r="D136" s="253" t="s">
        <v>418</v>
      </c>
      <c r="E136" s="160"/>
      <c r="F136" s="250"/>
      <c r="G136" s="250"/>
      <c r="H136" s="157"/>
      <c r="I136" s="276"/>
    </row>
    <row r="137" spans="3:9" ht="17.25" hidden="1" outlineLevel="1" x14ac:dyDescent="0.4">
      <c r="C137" s="277"/>
      <c r="D137" s="254" t="s">
        <v>419</v>
      </c>
      <c r="E137" s="159"/>
      <c r="F137" s="255"/>
      <c r="G137" s="255"/>
      <c r="H137" s="255">
        <f>I137</f>
        <v>400</v>
      </c>
      <c r="I137" s="279">
        <v>400</v>
      </c>
    </row>
    <row r="138" spans="3:9" hidden="1" outlineLevel="1" x14ac:dyDescent="0.25">
      <c r="C138" s="231"/>
      <c r="I138" s="215"/>
    </row>
    <row r="139" spans="3:9" hidden="1" outlineLevel="1" x14ac:dyDescent="0.25">
      <c r="C139" s="231"/>
      <c r="I139" s="215"/>
    </row>
    <row r="140" spans="3:9" hidden="1" outlineLevel="1" x14ac:dyDescent="0.25">
      <c r="C140" s="231"/>
      <c r="I140" s="215"/>
    </row>
    <row r="141" spans="3:9" ht="15.75" hidden="1" outlineLevel="1" thickBot="1" x14ac:dyDescent="0.3">
      <c r="C141" s="202"/>
      <c r="D141" s="203"/>
      <c r="E141" s="203"/>
      <c r="F141" s="203"/>
      <c r="G141" s="203"/>
      <c r="H141" s="203"/>
      <c r="I141" s="204"/>
    </row>
    <row r="142" spans="3:9" hidden="1" outlineLevel="1" x14ac:dyDescent="0.25"/>
    <row r="143" spans="3:9" hidden="1" outlineLevel="1" x14ac:dyDescent="0.25"/>
    <row r="144" spans="3:9" collapsed="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
        <v>492</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f>F156-G156</f>
        <v>105005999.97</v>
      </c>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f>F174-G174</f>
        <v>-495100</v>
      </c>
      <c r="I174" s="180"/>
    </row>
    <row r="175" spans="3:9" ht="18.75" hidden="1"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hidden="1" outlineLevel="1" x14ac:dyDescent="0.3">
      <c r="C176" s="303" t="s">
        <v>441</v>
      </c>
      <c r="D176" s="304" t="s">
        <v>442</v>
      </c>
      <c r="E176" s="305"/>
      <c r="F176" s="305"/>
      <c r="G176" s="305"/>
      <c r="H176" s="165">
        <f>H175-F174</f>
        <v>-212010</v>
      </c>
      <c r="I176" s="180"/>
    </row>
    <row r="177" spans="3:9" ht="33" hidden="1" outlineLevel="1" x14ac:dyDescent="0.3">
      <c r="C177" s="297"/>
      <c r="D177" s="305"/>
      <c r="E177" s="177"/>
      <c r="F177" s="306" t="s">
        <v>443</v>
      </c>
      <c r="G177" s="177"/>
      <c r="H177" s="165">
        <v>214723.46028711041</v>
      </c>
      <c r="I177" s="180"/>
    </row>
    <row r="178" spans="3:9" ht="16.5" hidden="1" outlineLevel="1" x14ac:dyDescent="0.3">
      <c r="C178" s="297"/>
      <c r="D178" s="305"/>
      <c r="E178" s="177" t="s">
        <v>394</v>
      </c>
      <c r="F178" s="306"/>
      <c r="G178" s="177" t="s">
        <v>394</v>
      </c>
      <c r="H178" s="165">
        <v>2713.4602871104144</v>
      </c>
      <c r="I178" s="180"/>
    </row>
    <row r="179" spans="3:9" ht="16.5" hidden="1" outlineLevel="1" x14ac:dyDescent="0.3">
      <c r="C179" s="297"/>
      <c r="D179" s="176" t="s">
        <v>444</v>
      </c>
      <c r="E179" s="307">
        <v>219758.97</v>
      </c>
      <c r="F179" s="286">
        <f>E179-G179</f>
        <v>31222.97</v>
      </c>
      <c r="G179" s="308">
        <v>188536</v>
      </c>
      <c r="H179" s="309">
        <v>9044.8676237013806</v>
      </c>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
        <v>492</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
        <v>492</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
        <v>492</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505</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512</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27" priority="1" stopIfTrue="1" operator="greaterThan">
      <formula>0</formula>
    </cfRule>
    <cfRule type="cellIs" dxfId="526" priority="2" stopIfTrue="1" operator="equal">
      <formula>0</formula>
    </cfRule>
  </conditionalFormatting>
  <dataValidations count="1">
    <dataValidation type="list" allowBlank="1" showInputMessage="1" showErrorMessage="1" sqref="A1" xr:uid="{00000000-0002-0000-1700-000000000000}">
      <formula1>Year</formula1>
    </dataValidation>
  </dataValidations>
  <pageMargins left="0.7" right="0.7" top="0.75" bottom="0.75" header="0.3" footer="0.3"/>
  <pageSetup scale="42" orientation="portrait" r:id="rId1"/>
  <rowBreaks count="6" manualBreakCount="6">
    <brk id="50" max="9" man="1"/>
    <brk id="89" max="9" man="1"/>
    <brk id="143" max="9" man="1"/>
    <brk id="187" max="9" man="1"/>
    <brk id="222" max="9" man="1"/>
    <brk id="288"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355"/>
  <sheetViews>
    <sheetView showGridLines="0" topLeftCell="A91" zoomScaleNormal="100" workbookViewId="0">
      <selection activeCell="D359" sqref="D359"/>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2020</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2020</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6.5" collapsed="1" x14ac:dyDescent="0.3">
      <c r="C91" s="152"/>
      <c r="D91" s="220"/>
      <c r="E91" s="224"/>
      <c r="F91" s="224"/>
      <c r="G91" s="150"/>
      <c r="H91" s="153"/>
      <c r="I91" s="153"/>
    </row>
    <row r="92" spans="3:10" hidden="1" outlineLevel="1" x14ac:dyDescent="0.25">
      <c r="C92" s="257"/>
      <c r="D92" s="258"/>
      <c r="E92" s="258"/>
      <c r="F92" s="258"/>
      <c r="G92" s="258"/>
      <c r="H92" s="258"/>
      <c r="I92" s="259"/>
    </row>
    <row r="93" spans="3:10" ht="16.5" hidden="1" outlineLevel="1" x14ac:dyDescent="0.3">
      <c r="C93" s="638" t="s">
        <v>358</v>
      </c>
      <c r="D93" s="639"/>
      <c r="E93" s="639"/>
      <c r="F93" s="639"/>
      <c r="G93" s="639"/>
      <c r="H93" s="639"/>
      <c r="I93" s="640"/>
      <c r="J93" s="154"/>
    </row>
    <row r="94" spans="3:10" ht="16.5" hidden="1" outlineLevel="1" x14ac:dyDescent="0.3">
      <c r="C94" s="638" t="s">
        <v>378</v>
      </c>
      <c r="D94" s="639"/>
      <c r="E94" s="639"/>
      <c r="F94" s="639"/>
      <c r="G94" s="639"/>
      <c r="H94" s="639"/>
      <c r="I94" s="640"/>
      <c r="J94" s="154"/>
    </row>
    <row r="95" spans="3:10" ht="16.5" hidden="1" outlineLevel="1" x14ac:dyDescent="0.3">
      <c r="C95" s="650" t="s">
        <v>492</v>
      </c>
      <c r="D95" s="651"/>
      <c r="E95" s="651"/>
      <c r="F95" s="651"/>
      <c r="G95" s="651"/>
      <c r="H95" s="651"/>
      <c r="I95" s="652"/>
      <c r="J95" s="154"/>
    </row>
    <row r="96" spans="3:10" ht="16.5" hidden="1" outlineLevel="1" x14ac:dyDescent="0.3">
      <c r="C96" s="260" t="s">
        <v>379</v>
      </c>
      <c r="D96" s="155"/>
      <c r="E96" s="155"/>
      <c r="F96" s="155"/>
      <c r="G96" s="155"/>
      <c r="H96" s="155"/>
      <c r="I96" s="261"/>
      <c r="J96" s="155"/>
    </row>
    <row r="97" spans="3:10" ht="16.5" hidden="1" outlineLevel="1" x14ac:dyDescent="0.3">
      <c r="C97" s="262" t="s">
        <v>390</v>
      </c>
      <c r="D97" s="159" t="s">
        <v>391</v>
      </c>
      <c r="E97" s="242"/>
      <c r="F97" s="154"/>
      <c r="G97" s="154"/>
      <c r="H97" s="154"/>
      <c r="I97" s="263"/>
      <c r="J97" s="154"/>
    </row>
    <row r="98" spans="3:10" hidden="1" outlineLevel="1" x14ac:dyDescent="0.25">
      <c r="C98" s="216"/>
      <c r="D98" s="243"/>
      <c r="E98" s="156"/>
      <c r="F98" s="156"/>
      <c r="G98" s="156"/>
      <c r="H98" s="156"/>
      <c r="I98" s="264"/>
      <c r="J98" s="156"/>
    </row>
    <row r="99" spans="3:10" ht="30" hidden="1" outlineLevel="1" x14ac:dyDescent="0.25">
      <c r="C99" s="216"/>
      <c r="D99" s="159"/>
      <c r="E99" s="244" t="s">
        <v>392</v>
      </c>
      <c r="F99" s="244" t="s">
        <v>393</v>
      </c>
      <c r="G99" s="244" t="s">
        <v>376</v>
      </c>
      <c r="H99" s="245" t="s">
        <v>375</v>
      </c>
      <c r="I99" s="265" t="s">
        <v>60</v>
      </c>
    </row>
    <row r="100" spans="3:10" hidden="1" outlineLevel="1" x14ac:dyDescent="0.25">
      <c r="C100" s="266"/>
      <c r="D100" s="159"/>
      <c r="E100" s="246" t="s">
        <v>394</v>
      </c>
      <c r="F100" s="246" t="s">
        <v>394</v>
      </c>
      <c r="G100" s="246" t="s">
        <v>394</v>
      </c>
      <c r="H100" s="246" t="s">
        <v>394</v>
      </c>
      <c r="I100" s="267" t="s">
        <v>394</v>
      </c>
    </row>
    <row r="101" spans="3:10" hidden="1" outlineLevel="1" x14ac:dyDescent="0.25">
      <c r="C101" s="216"/>
      <c r="D101" s="159" t="s">
        <v>395</v>
      </c>
      <c r="E101" s="246"/>
      <c r="F101" s="246"/>
      <c r="G101" s="246"/>
      <c r="H101" s="246"/>
      <c r="I101" s="267"/>
    </row>
    <row r="102" spans="3:10" ht="16.5" hidden="1" outlineLevel="1" x14ac:dyDescent="0.3">
      <c r="C102" s="266"/>
      <c r="D102" s="213" t="s">
        <v>396</v>
      </c>
      <c r="E102" s="157">
        <v>676160</v>
      </c>
      <c r="F102" s="157">
        <v>483987</v>
      </c>
      <c r="G102" s="157">
        <v>975000</v>
      </c>
      <c r="H102" s="157">
        <v>375657</v>
      </c>
      <c r="I102" s="268">
        <f>SUM(E102:H102)</f>
        <v>2510804</v>
      </c>
    </row>
    <row r="103" spans="3:10" ht="16.5" hidden="1" outlineLevel="1" x14ac:dyDescent="0.3">
      <c r="C103" s="266"/>
      <c r="D103" s="213" t="s">
        <v>397</v>
      </c>
      <c r="E103" s="157">
        <v>-645785.29200000002</v>
      </c>
      <c r="F103" s="157">
        <v>-328179.919921875</v>
      </c>
      <c r="G103" s="157">
        <v>-243750</v>
      </c>
      <c r="H103" s="157">
        <v>-276379.9375</v>
      </c>
      <c r="I103" s="268">
        <v>-1140643.675</v>
      </c>
    </row>
    <row r="104" spans="3:10" ht="17.25" hidden="1"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hidden="1" outlineLevel="1" x14ac:dyDescent="0.3">
      <c r="C105" s="216"/>
      <c r="D105" s="159" t="s">
        <v>399</v>
      </c>
      <c r="E105" s="157"/>
      <c r="F105" s="157"/>
      <c r="G105" s="157"/>
      <c r="H105" s="157"/>
      <c r="I105" s="269"/>
    </row>
    <row r="106" spans="3:10" ht="16.5" hidden="1"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hidden="1" outlineLevel="1" x14ac:dyDescent="0.3">
      <c r="C107" s="270"/>
      <c r="D107" s="213" t="s">
        <v>401</v>
      </c>
      <c r="E107" s="157">
        <v>0</v>
      </c>
      <c r="F107" s="157">
        <v>0</v>
      </c>
      <c r="G107" s="157">
        <v>0</v>
      </c>
      <c r="H107" s="157">
        <v>0</v>
      </c>
      <c r="I107" s="268">
        <f>SUM(E107:H107)</f>
        <v>0</v>
      </c>
    </row>
    <row r="108" spans="3:10" ht="16.5" hidden="1"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hidden="1"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hidden="1" outlineLevel="1" x14ac:dyDescent="0.3">
      <c r="C110" s="270"/>
      <c r="D110" s="159" t="s">
        <v>403</v>
      </c>
      <c r="E110" s="157"/>
      <c r="F110" s="157"/>
      <c r="G110" s="157"/>
      <c r="H110" s="157"/>
      <c r="I110" s="268"/>
    </row>
    <row r="111" spans="3:10" ht="16.5" hidden="1" outlineLevel="1" x14ac:dyDescent="0.3">
      <c r="C111" s="270"/>
      <c r="D111" s="213" t="s">
        <v>396</v>
      </c>
      <c r="E111" s="157">
        <f>E102</f>
        <v>676160</v>
      </c>
      <c r="F111" s="157">
        <f>F102</f>
        <v>483987</v>
      </c>
      <c r="G111" s="157">
        <f>G102</f>
        <v>975000</v>
      </c>
      <c r="H111" s="157">
        <f>H102</f>
        <v>375657</v>
      </c>
      <c r="I111" s="268">
        <f>SUM(E111:H111)</f>
        <v>2510804</v>
      </c>
    </row>
    <row r="112" spans="3:10" ht="16.5" hidden="1"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hidden="1"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hidden="1" outlineLevel="1" x14ac:dyDescent="0.3">
      <c r="C114" s="216"/>
      <c r="D114" s="159" t="s">
        <v>404</v>
      </c>
      <c r="E114" s="157"/>
      <c r="F114" s="157"/>
      <c r="G114" s="157"/>
      <c r="H114" s="157"/>
      <c r="I114" s="269"/>
    </row>
    <row r="115" spans="3:9" ht="16.5" hidden="1"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hidden="1" outlineLevel="1" x14ac:dyDescent="0.3">
      <c r="C116" s="270"/>
      <c r="D116" s="213" t="s">
        <v>401</v>
      </c>
      <c r="E116" s="157">
        <v>0</v>
      </c>
      <c r="F116" s="157">
        <v>344748.28</v>
      </c>
      <c r="G116" s="157">
        <v>1500000</v>
      </c>
      <c r="H116" s="157">
        <v>0</v>
      </c>
      <c r="I116" s="268">
        <f>SUM(E116:H116)</f>
        <v>1844748.28</v>
      </c>
    </row>
    <row r="117" spans="3:9" ht="16.5" hidden="1" outlineLevel="1" x14ac:dyDescent="0.3">
      <c r="C117" s="270"/>
      <c r="D117" s="213" t="s">
        <v>405</v>
      </c>
      <c r="E117" s="157">
        <v>0</v>
      </c>
      <c r="F117" s="157">
        <v>0</v>
      </c>
      <c r="G117" s="157">
        <f>-975000</f>
        <v>-975000</v>
      </c>
      <c r="H117" s="157">
        <v>0</v>
      </c>
      <c r="I117" s="268">
        <f>SUM(E117:H117)</f>
        <v>-975000</v>
      </c>
    </row>
    <row r="118" spans="3:9" ht="16.5" hidden="1" outlineLevel="1" x14ac:dyDescent="0.3">
      <c r="C118" s="270"/>
      <c r="D118" s="213" t="s">
        <v>406</v>
      </c>
      <c r="E118" s="157">
        <v>0</v>
      </c>
      <c r="F118" s="157">
        <v>0</v>
      </c>
      <c r="G118" s="157">
        <v>426562.5</v>
      </c>
      <c r="H118" s="157">
        <v>0</v>
      </c>
      <c r="I118" s="268">
        <f>SUM(E118:H118)</f>
        <v>426562.5</v>
      </c>
    </row>
    <row r="119" spans="3:9" ht="16.5" hidden="1"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hidden="1"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hidden="1" outlineLevel="1" x14ac:dyDescent="0.3">
      <c r="C121" s="270"/>
      <c r="D121" s="159" t="s">
        <v>407</v>
      </c>
      <c r="E121" s="157"/>
      <c r="F121" s="157"/>
      <c r="G121" s="157"/>
      <c r="H121" s="157"/>
      <c r="I121" s="268"/>
    </row>
    <row r="122" spans="3:9" ht="16.5" hidden="1"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hidden="1"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hidden="1"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hidden="1" outlineLevel="1" thickTop="1" x14ac:dyDescent="0.3">
      <c r="C125" s="270"/>
      <c r="D125" s="213"/>
      <c r="E125" s="158"/>
      <c r="F125" s="245"/>
      <c r="G125" s="245"/>
      <c r="H125" s="245"/>
      <c r="I125" s="265"/>
    </row>
    <row r="126" spans="3:9" ht="16.5" hidden="1" outlineLevel="1" x14ac:dyDescent="0.3">
      <c r="C126" s="270"/>
      <c r="D126" s="213"/>
      <c r="E126" s="154"/>
      <c r="F126" s="245"/>
      <c r="G126" s="245"/>
      <c r="H126" s="245" t="s">
        <v>394</v>
      </c>
      <c r="I126" s="265" t="s">
        <v>394</v>
      </c>
    </row>
    <row r="127" spans="3:9" ht="16.5" hidden="1" outlineLevel="1" x14ac:dyDescent="0.3">
      <c r="C127" s="271" t="s">
        <v>408</v>
      </c>
      <c r="D127" s="221" t="s">
        <v>409</v>
      </c>
      <c r="E127" s="154"/>
      <c r="F127" s="246"/>
      <c r="G127" s="246"/>
      <c r="H127" s="245"/>
      <c r="I127" s="267"/>
    </row>
    <row r="128" spans="3:9" ht="16.5" hidden="1" outlineLevel="1" x14ac:dyDescent="0.3">
      <c r="C128" s="272"/>
      <c r="D128" s="248" t="s">
        <v>410</v>
      </c>
      <c r="E128" s="154"/>
      <c r="F128" s="246"/>
      <c r="G128" s="246"/>
      <c r="H128" s="246"/>
      <c r="I128" s="263"/>
    </row>
    <row r="129" spans="3:9" ht="16.5" hidden="1" outlineLevel="1" x14ac:dyDescent="0.3">
      <c r="C129" s="272"/>
      <c r="D129" s="248" t="s">
        <v>411</v>
      </c>
      <c r="E129" s="159"/>
      <c r="F129" s="154"/>
      <c r="G129" s="154"/>
      <c r="H129" s="157">
        <f>-I119</f>
        <v>409278.51677448238</v>
      </c>
      <c r="I129" s="273">
        <v>223810.43022226563</v>
      </c>
    </row>
    <row r="130" spans="3:9" ht="16.5" hidden="1" outlineLevel="1" x14ac:dyDescent="0.3">
      <c r="C130" s="272"/>
      <c r="D130" s="248" t="s">
        <v>412</v>
      </c>
      <c r="E130" s="159"/>
      <c r="F130" s="157"/>
      <c r="G130" s="157"/>
      <c r="H130" s="249">
        <v>2500001</v>
      </c>
      <c r="I130" s="273">
        <v>2691143</v>
      </c>
    </row>
    <row r="131" spans="3:9" ht="18.75" hidden="1" outlineLevel="1" x14ac:dyDescent="0.45">
      <c r="C131" s="272"/>
      <c r="D131" s="248" t="s">
        <v>413</v>
      </c>
      <c r="E131" s="159"/>
      <c r="F131" s="250"/>
      <c r="G131" s="250"/>
      <c r="H131" s="249">
        <v>176009.84</v>
      </c>
      <c r="I131" s="273">
        <v>102278.42</v>
      </c>
    </row>
    <row r="132" spans="3:9" ht="18.75" hidden="1" outlineLevel="1" x14ac:dyDescent="0.45">
      <c r="C132" s="272"/>
      <c r="D132" s="248" t="s">
        <v>414</v>
      </c>
      <c r="E132" s="159"/>
      <c r="F132" s="251"/>
      <c r="G132" s="251"/>
      <c r="H132" s="252">
        <v>175000</v>
      </c>
      <c r="I132" s="274">
        <v>175000</v>
      </c>
    </row>
    <row r="133" spans="3:9" ht="16.5" hidden="1" outlineLevel="1" x14ac:dyDescent="0.3">
      <c r="C133" s="275" t="s">
        <v>415</v>
      </c>
      <c r="D133" s="253" t="s">
        <v>98</v>
      </c>
      <c r="E133" s="159"/>
      <c r="F133" s="154"/>
      <c r="G133" s="154"/>
      <c r="H133" s="154"/>
      <c r="I133" s="276"/>
    </row>
    <row r="134" spans="3:9" ht="16.5" hidden="1" outlineLevel="1" x14ac:dyDescent="0.3">
      <c r="C134" s="277"/>
      <c r="D134" s="253" t="s">
        <v>416</v>
      </c>
      <c r="E134" s="159"/>
      <c r="F134" s="247"/>
      <c r="G134" s="247"/>
      <c r="H134" s="154"/>
      <c r="I134" s="263"/>
    </row>
    <row r="135" spans="3:9" ht="18" hidden="1" outlineLevel="1" x14ac:dyDescent="0.4">
      <c r="C135" s="277"/>
      <c r="D135" s="254" t="s">
        <v>417</v>
      </c>
      <c r="E135" s="159"/>
      <c r="F135" s="157"/>
      <c r="G135" s="157"/>
      <c r="H135" s="255">
        <f>I135</f>
        <v>100000</v>
      </c>
      <c r="I135" s="278">
        <v>100000</v>
      </c>
    </row>
    <row r="136" spans="3:9" ht="18.75" hidden="1" outlineLevel="1" x14ac:dyDescent="0.45">
      <c r="C136" s="277"/>
      <c r="D136" s="253" t="s">
        <v>418</v>
      </c>
      <c r="E136" s="160"/>
      <c r="F136" s="250"/>
      <c r="G136" s="250"/>
      <c r="H136" s="157"/>
      <c r="I136" s="276"/>
    </row>
    <row r="137" spans="3:9" ht="17.25" hidden="1" outlineLevel="1" x14ac:dyDescent="0.4">
      <c r="C137" s="277"/>
      <c r="D137" s="254" t="s">
        <v>419</v>
      </c>
      <c r="E137" s="159"/>
      <c r="F137" s="255"/>
      <c r="G137" s="255"/>
      <c r="H137" s="255">
        <f>I137</f>
        <v>400</v>
      </c>
      <c r="I137" s="279">
        <v>400</v>
      </c>
    </row>
    <row r="138" spans="3:9" hidden="1" outlineLevel="1" x14ac:dyDescent="0.25">
      <c r="C138" s="231"/>
      <c r="I138" s="215"/>
    </row>
    <row r="139" spans="3:9" hidden="1" outlineLevel="1" x14ac:dyDescent="0.25">
      <c r="C139" s="231"/>
      <c r="I139" s="215"/>
    </row>
    <row r="140" spans="3:9" hidden="1" outlineLevel="1" x14ac:dyDescent="0.25">
      <c r="C140" s="231"/>
      <c r="I140" s="215"/>
    </row>
    <row r="141" spans="3:9" ht="15.75" hidden="1" outlineLevel="1" thickBot="1" x14ac:dyDescent="0.3">
      <c r="C141" s="202"/>
      <c r="D141" s="203"/>
      <c r="E141" s="203"/>
      <c r="F141" s="203"/>
      <c r="G141" s="203"/>
      <c r="H141" s="203"/>
      <c r="I141" s="204"/>
    </row>
    <row r="142" spans="3:9" hidden="1" outlineLevel="1" x14ac:dyDescent="0.25"/>
    <row r="143" spans="3:9" hidden="1" outlineLevel="1" x14ac:dyDescent="0.25"/>
    <row r="144" spans="3:9" collapsed="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
        <v>492</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f>F156-G156</f>
        <v>105005999.97</v>
      </c>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f>F174-G174</f>
        <v>-495100</v>
      </c>
      <c r="I174" s="180"/>
    </row>
    <row r="175" spans="3:9" ht="18.75" hidden="1"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hidden="1" outlineLevel="1" x14ac:dyDescent="0.3">
      <c r="C176" s="303" t="s">
        <v>441</v>
      </c>
      <c r="D176" s="304" t="s">
        <v>442</v>
      </c>
      <c r="E176" s="305"/>
      <c r="F176" s="305"/>
      <c r="G176" s="305"/>
      <c r="H176" s="165">
        <f>H175-F174</f>
        <v>-212010</v>
      </c>
      <c r="I176" s="180"/>
    </row>
    <row r="177" spans="3:9" ht="33" hidden="1" outlineLevel="1" x14ac:dyDescent="0.3">
      <c r="C177" s="297"/>
      <c r="D177" s="305"/>
      <c r="E177" s="177"/>
      <c r="F177" s="306" t="s">
        <v>443</v>
      </c>
      <c r="G177" s="177"/>
      <c r="H177" s="165">
        <v>214723.46028711041</v>
      </c>
      <c r="I177" s="180"/>
    </row>
    <row r="178" spans="3:9" ht="16.5" hidden="1" outlineLevel="1" x14ac:dyDescent="0.3">
      <c r="C178" s="297"/>
      <c r="D178" s="305"/>
      <c r="E178" s="177" t="s">
        <v>394</v>
      </c>
      <c r="F178" s="306"/>
      <c r="G178" s="177" t="s">
        <v>394</v>
      </c>
      <c r="H178" s="165">
        <v>2713.4602871104144</v>
      </c>
      <c r="I178" s="180"/>
    </row>
    <row r="179" spans="3:9" ht="16.5" hidden="1" outlineLevel="1" x14ac:dyDescent="0.3">
      <c r="C179" s="297"/>
      <c r="D179" s="176" t="s">
        <v>444</v>
      </c>
      <c r="E179" s="307">
        <v>219758.97</v>
      </c>
      <c r="F179" s="286">
        <f>E179-G179</f>
        <v>31222.97</v>
      </c>
      <c r="G179" s="308">
        <v>188536</v>
      </c>
      <c r="H179" s="309">
        <v>9044.8676237013806</v>
      </c>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
        <v>492</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
        <v>492</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
        <v>492</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505</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512</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25" priority="1" stopIfTrue="1" operator="greaterThan">
      <formula>0</formula>
    </cfRule>
    <cfRule type="cellIs" dxfId="524" priority="2" stopIfTrue="1" operator="equal">
      <formula>0</formula>
    </cfRule>
  </conditionalFormatting>
  <dataValidations count="1">
    <dataValidation type="list" allowBlank="1" showInputMessage="1" showErrorMessage="1" sqref="A1" xr:uid="{00000000-0002-0000-1800-000000000000}">
      <formula1>Year</formula1>
    </dataValidation>
  </dataValidations>
  <pageMargins left="0.7" right="0.7" top="0.75" bottom="0.75" header="0.3" footer="0.3"/>
  <pageSetup scale="44" orientation="portrait" r:id="rId1"/>
  <rowBreaks count="6" manualBreakCount="6">
    <brk id="50" max="9" man="1"/>
    <brk id="89" max="9" man="1"/>
    <brk id="143" max="9" man="1"/>
    <brk id="187" max="9" man="1"/>
    <brk id="222" max="9" man="1"/>
    <brk id="290"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55"/>
  <sheetViews>
    <sheetView showGridLines="0" topLeftCell="A50" zoomScaleNormal="100" workbookViewId="0">
      <selection activeCell="D358" sqref="D358"/>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2020</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2020</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6.5" collapsed="1" x14ac:dyDescent="0.3">
      <c r="C91" s="152"/>
      <c r="D91" s="220"/>
      <c r="E91" s="224"/>
      <c r="F91" s="224"/>
      <c r="G91" s="150"/>
      <c r="H91" s="153"/>
      <c r="I91" s="153"/>
    </row>
    <row r="92" spans="3:10" hidden="1" outlineLevel="1" x14ac:dyDescent="0.25">
      <c r="C92" s="257"/>
      <c r="D92" s="258"/>
      <c r="E92" s="258"/>
      <c r="F92" s="258"/>
      <c r="G92" s="258"/>
      <c r="H92" s="258"/>
      <c r="I92" s="259"/>
    </row>
    <row r="93" spans="3:10" ht="16.5" hidden="1" outlineLevel="1" x14ac:dyDescent="0.3">
      <c r="C93" s="638" t="s">
        <v>358</v>
      </c>
      <c r="D93" s="639"/>
      <c r="E93" s="639"/>
      <c r="F93" s="639"/>
      <c r="G93" s="639"/>
      <c r="H93" s="639"/>
      <c r="I93" s="640"/>
      <c r="J93" s="154"/>
    </row>
    <row r="94" spans="3:10" ht="16.5" hidden="1" outlineLevel="1" x14ac:dyDescent="0.3">
      <c r="C94" s="638" t="s">
        <v>378</v>
      </c>
      <c r="D94" s="639"/>
      <c r="E94" s="639"/>
      <c r="F94" s="639"/>
      <c r="G94" s="639"/>
      <c r="H94" s="639"/>
      <c r="I94" s="640"/>
      <c r="J94" s="154"/>
    </row>
    <row r="95" spans="3:10" ht="16.5" hidden="1" outlineLevel="1" x14ac:dyDescent="0.3">
      <c r="C95" s="650" t="s">
        <v>492</v>
      </c>
      <c r="D95" s="651"/>
      <c r="E95" s="651"/>
      <c r="F95" s="651"/>
      <c r="G95" s="651"/>
      <c r="H95" s="651"/>
      <c r="I95" s="652"/>
      <c r="J95" s="154"/>
    </row>
    <row r="96" spans="3:10" ht="16.5" hidden="1" outlineLevel="1" x14ac:dyDescent="0.3">
      <c r="C96" s="260" t="s">
        <v>379</v>
      </c>
      <c r="D96" s="155"/>
      <c r="E96" s="155"/>
      <c r="F96" s="155"/>
      <c r="G96" s="155"/>
      <c r="H96" s="155"/>
      <c r="I96" s="261"/>
      <c r="J96" s="155"/>
    </row>
    <row r="97" spans="3:10" ht="16.5" hidden="1" outlineLevel="1" x14ac:dyDescent="0.3">
      <c r="C97" s="262" t="s">
        <v>390</v>
      </c>
      <c r="D97" s="159" t="s">
        <v>391</v>
      </c>
      <c r="E97" s="242"/>
      <c r="F97" s="154"/>
      <c r="G97" s="154"/>
      <c r="H97" s="154"/>
      <c r="I97" s="263"/>
      <c r="J97" s="154"/>
    </row>
    <row r="98" spans="3:10" hidden="1" outlineLevel="1" x14ac:dyDescent="0.25">
      <c r="C98" s="216"/>
      <c r="D98" s="243"/>
      <c r="E98" s="156"/>
      <c r="F98" s="156"/>
      <c r="G98" s="156"/>
      <c r="H98" s="156"/>
      <c r="I98" s="264"/>
      <c r="J98" s="156"/>
    </row>
    <row r="99" spans="3:10" ht="30" hidden="1" outlineLevel="1" x14ac:dyDescent="0.25">
      <c r="C99" s="216"/>
      <c r="D99" s="159"/>
      <c r="E99" s="244" t="s">
        <v>392</v>
      </c>
      <c r="F99" s="244" t="s">
        <v>393</v>
      </c>
      <c r="G99" s="244" t="s">
        <v>376</v>
      </c>
      <c r="H99" s="245" t="s">
        <v>375</v>
      </c>
      <c r="I99" s="265" t="s">
        <v>60</v>
      </c>
    </row>
    <row r="100" spans="3:10" hidden="1" outlineLevel="1" x14ac:dyDescent="0.25">
      <c r="C100" s="266"/>
      <c r="D100" s="159"/>
      <c r="E100" s="246" t="s">
        <v>394</v>
      </c>
      <c r="F100" s="246" t="s">
        <v>394</v>
      </c>
      <c r="G100" s="246" t="s">
        <v>394</v>
      </c>
      <c r="H100" s="246" t="s">
        <v>394</v>
      </c>
      <c r="I100" s="267" t="s">
        <v>394</v>
      </c>
    </row>
    <row r="101" spans="3:10" hidden="1" outlineLevel="1" x14ac:dyDescent="0.25">
      <c r="C101" s="216"/>
      <c r="D101" s="159" t="s">
        <v>395</v>
      </c>
      <c r="E101" s="246"/>
      <c r="F101" s="246"/>
      <c r="G101" s="246"/>
      <c r="H101" s="246"/>
      <c r="I101" s="267"/>
    </row>
    <row r="102" spans="3:10" ht="16.5" hidden="1" outlineLevel="1" x14ac:dyDescent="0.3">
      <c r="C102" s="266"/>
      <c r="D102" s="213" t="s">
        <v>396</v>
      </c>
      <c r="E102" s="157">
        <v>676160</v>
      </c>
      <c r="F102" s="157">
        <v>483987</v>
      </c>
      <c r="G102" s="157">
        <v>975000</v>
      </c>
      <c r="H102" s="157">
        <v>375657</v>
      </c>
      <c r="I102" s="268">
        <f>SUM(E102:H102)</f>
        <v>2510804</v>
      </c>
    </row>
    <row r="103" spans="3:10" ht="16.5" hidden="1" outlineLevel="1" x14ac:dyDescent="0.3">
      <c r="C103" s="266"/>
      <c r="D103" s="213" t="s">
        <v>397</v>
      </c>
      <c r="E103" s="157">
        <v>-645785.29200000002</v>
      </c>
      <c r="F103" s="157">
        <v>-328179.919921875</v>
      </c>
      <c r="G103" s="157">
        <v>-243750</v>
      </c>
      <c r="H103" s="157">
        <v>-276379.9375</v>
      </c>
      <c r="I103" s="268">
        <v>-1140643.675</v>
      </c>
    </row>
    <row r="104" spans="3:10" ht="17.25" hidden="1"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hidden="1" outlineLevel="1" x14ac:dyDescent="0.3">
      <c r="C105" s="216"/>
      <c r="D105" s="159" t="s">
        <v>399</v>
      </c>
      <c r="E105" s="157"/>
      <c r="F105" s="157"/>
      <c r="G105" s="157"/>
      <c r="H105" s="157"/>
      <c r="I105" s="269"/>
    </row>
    <row r="106" spans="3:10" ht="16.5" hidden="1"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hidden="1" outlineLevel="1" x14ac:dyDescent="0.3">
      <c r="C107" s="270"/>
      <c r="D107" s="213" t="s">
        <v>401</v>
      </c>
      <c r="E107" s="157">
        <v>0</v>
      </c>
      <c r="F107" s="157">
        <v>0</v>
      </c>
      <c r="G107" s="157">
        <v>0</v>
      </c>
      <c r="H107" s="157">
        <v>0</v>
      </c>
      <c r="I107" s="268">
        <f>SUM(E107:H107)</f>
        <v>0</v>
      </c>
    </row>
    <row r="108" spans="3:10" ht="16.5" hidden="1"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hidden="1"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hidden="1" outlineLevel="1" x14ac:dyDescent="0.3">
      <c r="C110" s="270"/>
      <c r="D110" s="159" t="s">
        <v>403</v>
      </c>
      <c r="E110" s="157"/>
      <c r="F110" s="157"/>
      <c r="G110" s="157"/>
      <c r="H110" s="157"/>
      <c r="I110" s="268"/>
    </row>
    <row r="111" spans="3:10" ht="16.5" hidden="1" outlineLevel="1" x14ac:dyDescent="0.3">
      <c r="C111" s="270"/>
      <c r="D111" s="213" t="s">
        <v>396</v>
      </c>
      <c r="E111" s="157">
        <f>E102</f>
        <v>676160</v>
      </c>
      <c r="F111" s="157">
        <f>F102</f>
        <v>483987</v>
      </c>
      <c r="G111" s="157">
        <f>G102</f>
        <v>975000</v>
      </c>
      <c r="H111" s="157">
        <f>H102</f>
        <v>375657</v>
      </c>
      <c r="I111" s="268">
        <f>SUM(E111:H111)</f>
        <v>2510804</v>
      </c>
    </row>
    <row r="112" spans="3:10" ht="16.5" hidden="1"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hidden="1"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hidden="1" outlineLevel="1" x14ac:dyDescent="0.3">
      <c r="C114" s="216"/>
      <c r="D114" s="159" t="s">
        <v>404</v>
      </c>
      <c r="E114" s="157"/>
      <c r="F114" s="157"/>
      <c r="G114" s="157"/>
      <c r="H114" s="157"/>
      <c r="I114" s="269"/>
    </row>
    <row r="115" spans="3:9" ht="16.5" hidden="1"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hidden="1" outlineLevel="1" x14ac:dyDescent="0.3">
      <c r="C116" s="270"/>
      <c r="D116" s="213" t="s">
        <v>401</v>
      </c>
      <c r="E116" s="157">
        <v>0</v>
      </c>
      <c r="F116" s="157">
        <v>344748.28</v>
      </c>
      <c r="G116" s="157">
        <v>1500000</v>
      </c>
      <c r="H116" s="157">
        <v>0</v>
      </c>
      <c r="I116" s="268">
        <f>SUM(E116:H116)</f>
        <v>1844748.28</v>
      </c>
    </row>
    <row r="117" spans="3:9" ht="16.5" hidden="1" outlineLevel="1" x14ac:dyDescent="0.3">
      <c r="C117" s="270"/>
      <c r="D117" s="213" t="s">
        <v>405</v>
      </c>
      <c r="E117" s="157">
        <v>0</v>
      </c>
      <c r="F117" s="157">
        <v>0</v>
      </c>
      <c r="G117" s="157">
        <f>-975000</f>
        <v>-975000</v>
      </c>
      <c r="H117" s="157">
        <v>0</v>
      </c>
      <c r="I117" s="268">
        <f>SUM(E117:H117)</f>
        <v>-975000</v>
      </c>
    </row>
    <row r="118" spans="3:9" ht="16.5" hidden="1" outlineLevel="1" x14ac:dyDescent="0.3">
      <c r="C118" s="270"/>
      <c r="D118" s="213" t="s">
        <v>406</v>
      </c>
      <c r="E118" s="157">
        <v>0</v>
      </c>
      <c r="F118" s="157">
        <v>0</v>
      </c>
      <c r="G118" s="157">
        <v>426562.5</v>
      </c>
      <c r="H118" s="157">
        <v>0</v>
      </c>
      <c r="I118" s="268">
        <f>SUM(E118:H118)</f>
        <v>426562.5</v>
      </c>
    </row>
    <row r="119" spans="3:9" ht="16.5" hidden="1"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hidden="1"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hidden="1" outlineLevel="1" x14ac:dyDescent="0.3">
      <c r="C121" s="270"/>
      <c r="D121" s="159" t="s">
        <v>407</v>
      </c>
      <c r="E121" s="157"/>
      <c r="F121" s="157"/>
      <c r="G121" s="157"/>
      <c r="H121" s="157"/>
      <c r="I121" s="268"/>
    </row>
    <row r="122" spans="3:9" ht="16.5" hidden="1"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hidden="1"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hidden="1"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hidden="1" outlineLevel="1" thickTop="1" x14ac:dyDescent="0.3">
      <c r="C125" s="270"/>
      <c r="D125" s="213"/>
      <c r="E125" s="158"/>
      <c r="F125" s="245"/>
      <c r="G125" s="245"/>
      <c r="H125" s="245"/>
      <c r="I125" s="265"/>
    </row>
    <row r="126" spans="3:9" ht="16.5" hidden="1" outlineLevel="1" x14ac:dyDescent="0.3">
      <c r="C126" s="270"/>
      <c r="D126" s="213"/>
      <c r="E126" s="154"/>
      <c r="F126" s="245"/>
      <c r="G126" s="245"/>
      <c r="H126" s="245" t="s">
        <v>394</v>
      </c>
      <c r="I126" s="265" t="s">
        <v>394</v>
      </c>
    </row>
    <row r="127" spans="3:9" ht="16.5" hidden="1" outlineLevel="1" x14ac:dyDescent="0.3">
      <c r="C127" s="271" t="s">
        <v>408</v>
      </c>
      <c r="D127" s="221" t="s">
        <v>409</v>
      </c>
      <c r="E127" s="154"/>
      <c r="F127" s="246"/>
      <c r="G127" s="246"/>
      <c r="H127" s="245"/>
      <c r="I127" s="267"/>
    </row>
    <row r="128" spans="3:9" ht="16.5" hidden="1" outlineLevel="1" x14ac:dyDescent="0.3">
      <c r="C128" s="272"/>
      <c r="D128" s="248" t="s">
        <v>410</v>
      </c>
      <c r="E128" s="154"/>
      <c r="F128" s="246"/>
      <c r="G128" s="246"/>
      <c r="H128" s="246"/>
      <c r="I128" s="263"/>
    </row>
    <row r="129" spans="3:9" ht="16.5" hidden="1" outlineLevel="1" x14ac:dyDescent="0.3">
      <c r="C129" s="272"/>
      <c r="D129" s="248" t="s">
        <v>411</v>
      </c>
      <c r="E129" s="159"/>
      <c r="F129" s="154"/>
      <c r="G129" s="154"/>
      <c r="H129" s="157">
        <f>-I119</f>
        <v>409278.51677448238</v>
      </c>
      <c r="I129" s="273">
        <v>223810.43022226563</v>
      </c>
    </row>
    <row r="130" spans="3:9" ht="16.5" hidden="1" outlineLevel="1" x14ac:dyDescent="0.3">
      <c r="C130" s="272"/>
      <c r="D130" s="248" t="s">
        <v>412</v>
      </c>
      <c r="E130" s="159"/>
      <c r="F130" s="157"/>
      <c r="G130" s="157"/>
      <c r="H130" s="249">
        <v>2500001</v>
      </c>
      <c r="I130" s="273">
        <v>2691143</v>
      </c>
    </row>
    <row r="131" spans="3:9" ht="18.75" hidden="1" outlineLevel="1" x14ac:dyDescent="0.45">
      <c r="C131" s="272"/>
      <c r="D131" s="248" t="s">
        <v>413</v>
      </c>
      <c r="E131" s="159"/>
      <c r="F131" s="250"/>
      <c r="G131" s="250"/>
      <c r="H131" s="249">
        <v>176009.84</v>
      </c>
      <c r="I131" s="273">
        <v>102278.42</v>
      </c>
    </row>
    <row r="132" spans="3:9" ht="18.75" hidden="1" outlineLevel="1" x14ac:dyDescent="0.45">
      <c r="C132" s="272"/>
      <c r="D132" s="248" t="s">
        <v>414</v>
      </c>
      <c r="E132" s="159"/>
      <c r="F132" s="251"/>
      <c r="G132" s="251"/>
      <c r="H132" s="252">
        <v>175000</v>
      </c>
      <c r="I132" s="274">
        <v>175000</v>
      </c>
    </row>
    <row r="133" spans="3:9" ht="16.5" hidden="1" outlineLevel="1" x14ac:dyDescent="0.3">
      <c r="C133" s="275" t="s">
        <v>415</v>
      </c>
      <c r="D133" s="253" t="s">
        <v>98</v>
      </c>
      <c r="E133" s="159"/>
      <c r="F133" s="154"/>
      <c r="G133" s="154"/>
      <c r="H133" s="154"/>
      <c r="I133" s="276"/>
    </row>
    <row r="134" spans="3:9" ht="16.5" hidden="1" outlineLevel="1" x14ac:dyDescent="0.3">
      <c r="C134" s="277"/>
      <c r="D134" s="253" t="s">
        <v>416</v>
      </c>
      <c r="E134" s="159"/>
      <c r="F134" s="247"/>
      <c r="G134" s="247"/>
      <c r="H134" s="154"/>
      <c r="I134" s="263"/>
    </row>
    <row r="135" spans="3:9" ht="18" hidden="1" outlineLevel="1" x14ac:dyDescent="0.4">
      <c r="C135" s="277"/>
      <c r="D135" s="254" t="s">
        <v>417</v>
      </c>
      <c r="E135" s="159"/>
      <c r="F135" s="157"/>
      <c r="G135" s="157"/>
      <c r="H135" s="255">
        <f>I135</f>
        <v>100000</v>
      </c>
      <c r="I135" s="278">
        <v>100000</v>
      </c>
    </row>
    <row r="136" spans="3:9" ht="18.75" hidden="1" outlineLevel="1" x14ac:dyDescent="0.45">
      <c r="C136" s="277"/>
      <c r="D136" s="253" t="s">
        <v>418</v>
      </c>
      <c r="E136" s="160"/>
      <c r="F136" s="250"/>
      <c r="G136" s="250"/>
      <c r="H136" s="157"/>
      <c r="I136" s="276"/>
    </row>
    <row r="137" spans="3:9" ht="17.25" hidden="1" outlineLevel="1" x14ac:dyDescent="0.4">
      <c r="C137" s="277"/>
      <c r="D137" s="254" t="s">
        <v>419</v>
      </c>
      <c r="E137" s="159"/>
      <c r="F137" s="255"/>
      <c r="G137" s="255"/>
      <c r="H137" s="255">
        <f>I137</f>
        <v>400</v>
      </c>
      <c r="I137" s="279">
        <v>400</v>
      </c>
    </row>
    <row r="138" spans="3:9" hidden="1" outlineLevel="1" x14ac:dyDescent="0.25">
      <c r="C138" s="231"/>
      <c r="I138" s="215"/>
    </row>
    <row r="139" spans="3:9" hidden="1" outlineLevel="1" x14ac:dyDescent="0.25">
      <c r="C139" s="231"/>
      <c r="I139" s="215"/>
    </row>
    <row r="140" spans="3:9" hidden="1" outlineLevel="1" x14ac:dyDescent="0.25">
      <c r="C140" s="231"/>
      <c r="I140" s="215"/>
    </row>
    <row r="141" spans="3:9" ht="15.75" hidden="1" outlineLevel="1" thickBot="1" x14ac:dyDescent="0.3">
      <c r="C141" s="202"/>
      <c r="D141" s="203"/>
      <c r="E141" s="203"/>
      <c r="F141" s="203"/>
      <c r="G141" s="203"/>
      <c r="H141" s="203"/>
      <c r="I141" s="204"/>
    </row>
    <row r="142" spans="3:9" hidden="1" outlineLevel="1" x14ac:dyDescent="0.25"/>
    <row r="143" spans="3:9" hidden="1" outlineLevel="1" x14ac:dyDescent="0.25"/>
    <row r="144" spans="3:9" collapsed="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
        <v>492</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f>F156-G156</f>
        <v>105005999.97</v>
      </c>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f>F174-G174</f>
        <v>-495100</v>
      </c>
      <c r="I174" s="180"/>
    </row>
    <row r="175" spans="3:9" ht="18.75" hidden="1"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hidden="1" outlineLevel="1" x14ac:dyDescent="0.3">
      <c r="C176" s="303" t="s">
        <v>441</v>
      </c>
      <c r="D176" s="304" t="s">
        <v>442</v>
      </c>
      <c r="E176" s="305"/>
      <c r="F176" s="305"/>
      <c r="G176" s="305"/>
      <c r="H176" s="165">
        <f>H175-F174</f>
        <v>-212010</v>
      </c>
      <c r="I176" s="180"/>
    </row>
    <row r="177" spans="3:9" ht="33" hidden="1" outlineLevel="1" x14ac:dyDescent="0.3">
      <c r="C177" s="297"/>
      <c r="D177" s="305"/>
      <c r="E177" s="177"/>
      <c r="F177" s="306" t="s">
        <v>443</v>
      </c>
      <c r="G177" s="177"/>
      <c r="H177" s="165">
        <v>214723.46028711041</v>
      </c>
      <c r="I177" s="180"/>
    </row>
    <row r="178" spans="3:9" ht="16.5" hidden="1" outlineLevel="1" x14ac:dyDescent="0.3">
      <c r="C178" s="297"/>
      <c r="D178" s="305"/>
      <c r="E178" s="177" t="s">
        <v>394</v>
      </c>
      <c r="F178" s="306"/>
      <c r="G178" s="177" t="s">
        <v>394</v>
      </c>
      <c r="H178" s="165">
        <v>2713.4602871104144</v>
      </c>
      <c r="I178" s="180"/>
    </row>
    <row r="179" spans="3:9" ht="16.5" hidden="1" outlineLevel="1" x14ac:dyDescent="0.3">
      <c r="C179" s="297"/>
      <c r="D179" s="176" t="s">
        <v>444</v>
      </c>
      <c r="E179" s="307">
        <v>219758.97</v>
      </c>
      <c r="F179" s="286">
        <f>E179-G179</f>
        <v>31222.97</v>
      </c>
      <c r="G179" s="308">
        <v>188536</v>
      </c>
      <c r="H179" s="309">
        <v>9044.8676237013806</v>
      </c>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
        <v>492</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
        <v>492</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
        <v>492</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505</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512</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23" priority="1" stopIfTrue="1" operator="greaterThan">
      <formula>0</formula>
    </cfRule>
    <cfRule type="cellIs" dxfId="522" priority="2" stopIfTrue="1" operator="equal">
      <formula>0</formula>
    </cfRule>
  </conditionalFormatting>
  <dataValidations count="1">
    <dataValidation type="list" allowBlank="1" showInputMessage="1" showErrorMessage="1" sqref="A1" xr:uid="{00000000-0002-0000-1900-000000000000}">
      <formula1>Year</formula1>
    </dataValidation>
  </dataValidations>
  <pageMargins left="0.7" right="0.7" top="0.75" bottom="0.75" header="0.3" footer="0.3"/>
  <pageSetup scale="42" orientation="portrait" r:id="rId1"/>
  <rowBreaks count="6" manualBreakCount="6">
    <brk id="50" max="9" man="1"/>
    <brk id="90" max="9" man="1"/>
    <brk id="143" max="9" man="1"/>
    <brk id="187" max="9" man="1"/>
    <brk id="222" max="9" man="1"/>
    <brk id="288"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354"/>
  <sheetViews>
    <sheetView workbookViewId="0">
      <selection activeCell="D11" sqref="D11:G13"/>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outlineLevel="1" thickBot="1" x14ac:dyDescent="0.3"/>
    <row r="4" spans="1:11" ht="16.5" outlineLevel="1" x14ac:dyDescent="0.3">
      <c r="C4" s="635" t="s">
        <v>358</v>
      </c>
      <c r="D4" s="636"/>
      <c r="E4" s="636"/>
      <c r="F4" s="636"/>
      <c r="G4" s="636"/>
      <c r="H4" s="178"/>
      <c r="I4" s="179"/>
      <c r="J4" s="142"/>
      <c r="K4" s="142"/>
    </row>
    <row r="5" spans="1:11" ht="16.5" outlineLevel="1" x14ac:dyDescent="0.25">
      <c r="C5" s="638" t="s">
        <v>296</v>
      </c>
      <c r="D5" s="639"/>
      <c r="E5" s="639"/>
      <c r="F5" s="639"/>
      <c r="G5" s="639"/>
      <c r="H5" s="142"/>
      <c r="I5" s="180"/>
      <c r="J5" s="142"/>
      <c r="K5" s="142"/>
    </row>
    <row r="6" spans="1:11" ht="16.5" outlineLevel="1" x14ac:dyDescent="0.25">
      <c r="C6" s="650" t="str">
        <f>"FOR THE YEAR ENDED 31ST DECEMBER" &amp; " " &amp;$A$1</f>
        <v>FOR THE YEAR ENDED 31ST DECEMBER 2020</v>
      </c>
      <c r="D6" s="651"/>
      <c r="E6" s="651"/>
      <c r="F6" s="651"/>
      <c r="G6" s="651"/>
      <c r="H6" s="205"/>
      <c r="I6" s="206"/>
      <c r="J6" s="142"/>
      <c r="K6" s="142"/>
    </row>
    <row r="7" spans="1:11" ht="16.5" outlineLevel="1" x14ac:dyDescent="0.3">
      <c r="C7" s="181" t="s">
        <v>367</v>
      </c>
      <c r="D7" s="143" t="s">
        <v>368</v>
      </c>
      <c r="E7" s="142"/>
      <c r="F7" s="142"/>
      <c r="G7" s="142"/>
      <c r="H7" s="142"/>
      <c r="I7" s="180"/>
      <c r="J7" s="142"/>
      <c r="K7" s="142"/>
    </row>
    <row r="8" spans="1:11" ht="16.5" customHeight="1" outlineLevel="1" x14ac:dyDescent="0.3">
      <c r="C8" s="182"/>
      <c r="D8" s="657" t="s">
        <v>493</v>
      </c>
      <c r="E8" s="658"/>
      <c r="F8" s="658"/>
      <c r="G8" s="658"/>
      <c r="H8" s="172"/>
      <c r="I8" s="183"/>
      <c r="J8" s="172"/>
      <c r="K8" s="172"/>
    </row>
    <row r="9" spans="1:11" ht="16.5" outlineLevel="1" x14ac:dyDescent="0.3">
      <c r="C9" s="182"/>
      <c r="D9" s="658"/>
      <c r="E9" s="658"/>
      <c r="F9" s="658"/>
      <c r="G9" s="658"/>
      <c r="H9" s="144"/>
      <c r="I9" s="184"/>
      <c r="J9" s="144"/>
      <c r="K9" s="144"/>
    </row>
    <row r="10" spans="1:11" ht="16.5" outlineLevel="1" x14ac:dyDescent="0.3">
      <c r="C10" s="181" t="s">
        <v>369</v>
      </c>
      <c r="D10" s="143" t="s">
        <v>370</v>
      </c>
      <c r="E10" s="142"/>
      <c r="F10" s="185"/>
      <c r="G10" s="185"/>
      <c r="H10" s="186"/>
      <c r="I10" s="187"/>
      <c r="J10" s="145"/>
      <c r="K10" s="145"/>
    </row>
    <row r="11" spans="1:11" ht="16.5" customHeight="1" outlineLevel="1" x14ac:dyDescent="0.3">
      <c r="C11" s="188"/>
      <c r="D11" s="657" t="s">
        <v>466</v>
      </c>
      <c r="E11" s="657"/>
      <c r="F11" s="657"/>
      <c r="G11" s="657"/>
      <c r="H11" s="175"/>
      <c r="I11" s="189"/>
      <c r="J11" s="175"/>
      <c r="K11" s="175"/>
    </row>
    <row r="12" spans="1:11" ht="16.5" outlineLevel="1" x14ac:dyDescent="0.3">
      <c r="C12" s="188"/>
      <c r="D12" s="657"/>
      <c r="E12" s="657"/>
      <c r="F12" s="657"/>
      <c r="G12" s="657"/>
      <c r="H12" s="175"/>
      <c r="I12" s="189"/>
      <c r="J12" s="175"/>
      <c r="K12" s="175"/>
    </row>
    <row r="13" spans="1:11" ht="16.5" outlineLevel="1" x14ac:dyDescent="0.3">
      <c r="C13" s="188"/>
      <c r="D13" s="657"/>
      <c r="E13" s="657"/>
      <c r="F13" s="657"/>
      <c r="G13" s="657"/>
      <c r="H13" s="175"/>
      <c r="I13" s="189"/>
      <c r="J13" s="175"/>
      <c r="K13" s="175"/>
    </row>
    <row r="14" spans="1:11" ht="16.5" outlineLevel="1" x14ac:dyDescent="0.3">
      <c r="C14" s="188"/>
      <c r="D14" s="175"/>
      <c r="E14" s="175"/>
      <c r="F14" s="175"/>
      <c r="G14" s="175"/>
      <c r="H14" s="175"/>
      <c r="I14" s="189"/>
      <c r="J14" s="175"/>
      <c r="K14" s="175"/>
    </row>
    <row r="15" spans="1:11" ht="16.5" outlineLevel="1" x14ac:dyDescent="0.3">
      <c r="C15" s="188"/>
      <c r="D15" s="143" t="s">
        <v>467</v>
      </c>
      <c r="E15" s="142"/>
      <c r="F15" s="142"/>
      <c r="G15" s="186"/>
      <c r="H15" s="186"/>
      <c r="I15" s="187"/>
      <c r="J15" s="145"/>
    </row>
    <row r="16" spans="1:11" ht="16.5" customHeight="1" outlineLevel="1" x14ac:dyDescent="0.3">
      <c r="C16" s="188"/>
      <c r="D16" s="147" t="s">
        <v>371</v>
      </c>
      <c r="E16" s="147"/>
      <c r="F16" s="147"/>
      <c r="G16" s="147"/>
      <c r="H16" s="147"/>
      <c r="I16" s="190"/>
      <c r="J16" s="147"/>
    </row>
    <row r="17" spans="3:10" ht="16.5" outlineLevel="1" x14ac:dyDescent="0.3">
      <c r="C17" s="191" t="s">
        <v>372</v>
      </c>
      <c r="D17" s="143" t="s">
        <v>468</v>
      </c>
      <c r="E17" s="143"/>
      <c r="F17" s="192"/>
      <c r="G17" s="192"/>
      <c r="H17" s="151"/>
      <c r="I17" s="193"/>
      <c r="J17" s="142"/>
    </row>
    <row r="18" spans="3:10" ht="16.5" customHeight="1" outlineLevel="1" x14ac:dyDescent="0.3">
      <c r="C18" s="194"/>
      <c r="D18" s="653" t="s">
        <v>474</v>
      </c>
      <c r="E18" s="654"/>
      <c r="F18" s="654"/>
      <c r="G18" s="654"/>
      <c r="H18" s="148"/>
      <c r="I18" s="195"/>
      <c r="J18" s="148"/>
    </row>
    <row r="19" spans="3:10" ht="16.5" outlineLevel="1" x14ac:dyDescent="0.3">
      <c r="C19" s="194"/>
      <c r="D19" s="654"/>
      <c r="E19" s="654"/>
      <c r="F19" s="654"/>
      <c r="G19" s="654"/>
      <c r="H19" s="148"/>
      <c r="I19" s="195"/>
      <c r="J19" s="148"/>
    </row>
    <row r="20" spans="3:10" ht="16.5" outlineLevel="1" x14ac:dyDescent="0.3">
      <c r="C20" s="194"/>
      <c r="D20" s="654"/>
      <c r="E20" s="654"/>
      <c r="F20" s="654"/>
      <c r="G20" s="654"/>
      <c r="H20" s="148"/>
      <c r="I20" s="195"/>
      <c r="J20" s="148"/>
    </row>
    <row r="21" spans="3:10" ht="16.5" outlineLevel="1" x14ac:dyDescent="0.3">
      <c r="C21" s="196"/>
      <c r="D21" s="143" t="s">
        <v>469</v>
      </c>
      <c r="E21" s="142"/>
      <c r="F21" s="142"/>
      <c r="G21" s="151"/>
      <c r="H21" s="142"/>
      <c r="I21" s="180"/>
      <c r="J21" s="142"/>
    </row>
    <row r="22" spans="3:10" ht="16.5" customHeight="1" outlineLevel="1" x14ac:dyDescent="0.3">
      <c r="C22" s="196"/>
      <c r="D22" s="655" t="s">
        <v>475</v>
      </c>
      <c r="E22" s="656"/>
      <c r="F22" s="656"/>
      <c r="G22" s="656"/>
      <c r="H22" s="147"/>
      <c r="I22" s="190"/>
      <c r="J22" s="147"/>
    </row>
    <row r="23" spans="3:10" ht="16.5" customHeight="1" outlineLevel="1" x14ac:dyDescent="0.3">
      <c r="C23" s="196"/>
      <c r="D23" s="656"/>
      <c r="E23" s="656"/>
      <c r="F23" s="656"/>
      <c r="G23" s="656"/>
      <c r="H23" s="147"/>
      <c r="I23" s="190"/>
      <c r="J23" s="147"/>
    </row>
    <row r="24" spans="3:10" ht="16.5" customHeight="1" outlineLevel="1" x14ac:dyDescent="0.3">
      <c r="C24" s="196"/>
      <c r="D24" s="656"/>
      <c r="E24" s="656"/>
      <c r="F24" s="656"/>
      <c r="G24" s="656"/>
      <c r="H24" s="147"/>
      <c r="I24" s="190"/>
      <c r="J24" s="147"/>
    </row>
    <row r="25" spans="3:10" ht="15.75" outlineLevel="1" x14ac:dyDescent="0.25">
      <c r="C25" s="197"/>
      <c r="D25" s="142" t="s">
        <v>373</v>
      </c>
      <c r="E25" s="198">
        <v>0.3</v>
      </c>
      <c r="F25" s="142"/>
      <c r="G25" s="199"/>
      <c r="H25" s="142"/>
      <c r="I25" s="180"/>
    </row>
    <row r="26" spans="3:10" ht="15.75" outlineLevel="1" x14ac:dyDescent="0.25">
      <c r="C26" s="197"/>
      <c r="D26" s="142" t="s">
        <v>374</v>
      </c>
      <c r="E26" s="198">
        <v>0.125</v>
      </c>
      <c r="F26" s="142"/>
      <c r="G26" s="199"/>
      <c r="H26" s="142"/>
      <c r="I26" s="180"/>
    </row>
    <row r="27" spans="3:10" ht="15.75" outlineLevel="1" x14ac:dyDescent="0.25">
      <c r="C27" s="197"/>
      <c r="D27" s="185" t="s">
        <v>375</v>
      </c>
      <c r="E27" s="198">
        <v>0.125</v>
      </c>
      <c r="F27" s="142"/>
      <c r="G27" s="199"/>
      <c r="H27" s="185"/>
      <c r="I27" s="180"/>
    </row>
    <row r="28" spans="3:10" ht="15.75" outlineLevel="1" x14ac:dyDescent="0.25">
      <c r="C28" s="197"/>
      <c r="D28" s="185" t="s">
        <v>376</v>
      </c>
      <c r="E28" s="198">
        <v>0.25</v>
      </c>
      <c r="F28" s="142"/>
      <c r="G28" s="199"/>
      <c r="H28" s="185"/>
      <c r="I28" s="180"/>
    </row>
    <row r="29" spans="3:10" ht="16.5" outlineLevel="1" x14ac:dyDescent="0.3">
      <c r="C29" s="188"/>
      <c r="D29" s="143" t="s">
        <v>470</v>
      </c>
      <c r="E29" s="173"/>
      <c r="F29" s="142"/>
      <c r="G29" s="142"/>
      <c r="H29" s="142"/>
      <c r="I29" s="180"/>
      <c r="J29" s="142"/>
    </row>
    <row r="30" spans="3:10" ht="16.5" customHeight="1" outlineLevel="1" x14ac:dyDescent="0.3">
      <c r="C30" s="188"/>
      <c r="D30" s="657" t="s">
        <v>476</v>
      </c>
      <c r="E30" s="657"/>
      <c r="F30" s="657"/>
      <c r="G30" s="657"/>
      <c r="H30" s="146"/>
      <c r="I30" s="200"/>
      <c r="J30" s="146"/>
    </row>
    <row r="31" spans="3:10" ht="16.5" customHeight="1" outlineLevel="1" x14ac:dyDescent="0.3">
      <c r="C31" s="188"/>
      <c r="D31" s="657"/>
      <c r="E31" s="657"/>
      <c r="F31" s="657"/>
      <c r="G31" s="657"/>
      <c r="H31" s="146"/>
      <c r="I31" s="200"/>
      <c r="J31" s="146"/>
    </row>
    <row r="32" spans="3:10" ht="16.5" customHeight="1" outlineLevel="1" x14ac:dyDescent="0.3">
      <c r="C32" s="188"/>
      <c r="D32" s="657"/>
      <c r="E32" s="657"/>
      <c r="F32" s="657"/>
      <c r="G32" s="657"/>
      <c r="H32" s="146"/>
      <c r="I32" s="200"/>
      <c r="J32" s="146"/>
    </row>
    <row r="33" spans="3:10" ht="16.5" customHeight="1" outlineLevel="1" x14ac:dyDescent="0.3">
      <c r="C33" s="188"/>
      <c r="D33" s="657"/>
      <c r="E33" s="657"/>
      <c r="F33" s="657"/>
      <c r="G33" s="657"/>
      <c r="H33" s="146"/>
      <c r="I33" s="200"/>
      <c r="J33" s="146"/>
    </row>
    <row r="34" spans="3:10" ht="16.5" outlineLevel="1" x14ac:dyDescent="0.3">
      <c r="C34" s="196"/>
      <c r="D34" s="143" t="s">
        <v>471</v>
      </c>
      <c r="E34" s="142"/>
      <c r="F34" s="142"/>
      <c r="G34" s="142"/>
      <c r="H34" s="142"/>
      <c r="I34" s="180"/>
      <c r="J34" s="142"/>
    </row>
    <row r="35" spans="3:10" ht="16.5" customHeight="1" outlineLevel="1" x14ac:dyDescent="0.3">
      <c r="C35" s="196"/>
      <c r="D35" s="657" t="s">
        <v>478</v>
      </c>
      <c r="E35" s="657"/>
      <c r="F35" s="657"/>
      <c r="G35" s="657"/>
      <c r="H35" s="149"/>
      <c r="I35" s="201"/>
      <c r="J35" s="149"/>
    </row>
    <row r="36" spans="3:10" ht="16.5" customHeight="1" outlineLevel="1" x14ac:dyDescent="0.3">
      <c r="C36" s="196"/>
      <c r="D36" s="657"/>
      <c r="E36" s="657"/>
      <c r="F36" s="657"/>
      <c r="G36" s="657"/>
      <c r="H36" s="149"/>
      <c r="I36" s="201"/>
      <c r="J36" s="149"/>
    </row>
    <row r="37" spans="3:10" ht="16.5" customHeight="1" outlineLevel="1" x14ac:dyDescent="0.3">
      <c r="C37" s="196"/>
      <c r="D37" s="657"/>
      <c r="E37" s="657"/>
      <c r="F37" s="657"/>
      <c r="G37" s="657"/>
      <c r="H37" s="149"/>
      <c r="I37" s="201"/>
      <c r="J37" s="149"/>
    </row>
    <row r="38" spans="3:10" ht="16.5" outlineLevel="1" x14ac:dyDescent="0.3">
      <c r="C38" s="188"/>
      <c r="D38" s="143" t="s">
        <v>472</v>
      </c>
      <c r="E38" s="142"/>
      <c r="F38" s="142"/>
      <c r="G38" s="142"/>
      <c r="H38" s="142"/>
      <c r="I38" s="180"/>
      <c r="J38" s="142"/>
    </row>
    <row r="39" spans="3:10" ht="16.5" customHeight="1" outlineLevel="1" x14ac:dyDescent="0.3">
      <c r="C39" s="188"/>
      <c r="D39" s="658" t="s">
        <v>377</v>
      </c>
      <c r="E39" s="658"/>
      <c r="F39" s="658"/>
      <c r="G39" s="658"/>
      <c r="H39" s="146"/>
      <c r="I39" s="200"/>
      <c r="J39" s="146"/>
    </row>
    <row r="40" spans="3:10" ht="16.5" customHeight="1" outlineLevel="1" x14ac:dyDescent="0.3">
      <c r="C40" s="188"/>
      <c r="D40" s="143" t="s">
        <v>473</v>
      </c>
      <c r="E40" s="175"/>
      <c r="F40" s="175"/>
      <c r="G40" s="175"/>
      <c r="H40" s="146"/>
      <c r="I40" s="200"/>
      <c r="J40" s="146"/>
    </row>
    <row r="41" spans="3:10" ht="16.5" customHeight="1" outlineLevel="1" x14ac:dyDescent="0.3">
      <c r="C41" s="188"/>
      <c r="D41" s="657" t="s">
        <v>477</v>
      </c>
      <c r="E41" s="657"/>
      <c r="F41" s="657"/>
      <c r="G41" s="657"/>
      <c r="H41" s="146"/>
      <c r="I41" s="200"/>
      <c r="J41" s="146"/>
    </row>
    <row r="42" spans="3:10" ht="16.5" customHeight="1" outlineLevel="1" x14ac:dyDescent="0.3">
      <c r="C42" s="188"/>
      <c r="D42" s="657"/>
      <c r="E42" s="657"/>
      <c r="F42" s="657"/>
      <c r="G42" s="657"/>
      <c r="H42" s="146"/>
      <c r="I42" s="200"/>
      <c r="J42" s="146"/>
    </row>
    <row r="43" spans="3:10" ht="16.5" outlineLevel="1" x14ac:dyDescent="0.3">
      <c r="C43" s="188"/>
      <c r="D43" s="657"/>
      <c r="E43" s="657"/>
      <c r="F43" s="657"/>
      <c r="G43" s="657"/>
      <c r="H43" s="151"/>
      <c r="I43" s="180"/>
      <c r="J43" s="142"/>
    </row>
    <row r="44" spans="3:10" ht="16.5" outlineLevel="1" x14ac:dyDescent="0.3">
      <c r="C44" s="188"/>
      <c r="D44" s="174"/>
      <c r="E44" s="174"/>
      <c r="F44" s="174"/>
      <c r="G44" s="174"/>
      <c r="H44" s="151"/>
      <c r="I44" s="180"/>
      <c r="J44" s="142"/>
    </row>
    <row r="45" spans="3:10" ht="16.5" outlineLevel="1" x14ac:dyDescent="0.3">
      <c r="C45" s="188"/>
      <c r="D45" s="174"/>
      <c r="E45" s="174"/>
      <c r="F45" s="174"/>
      <c r="G45" s="174"/>
      <c r="H45" s="151"/>
      <c r="I45" s="180"/>
      <c r="J45" s="142"/>
    </row>
    <row r="46" spans="3:10" ht="16.5" outlineLevel="1" x14ac:dyDescent="0.3">
      <c r="C46" s="188"/>
      <c r="D46" s="174"/>
      <c r="E46" s="174"/>
      <c r="F46" s="174"/>
      <c r="G46" s="174"/>
      <c r="H46" s="151"/>
      <c r="I46" s="180"/>
      <c r="J46" s="142"/>
    </row>
    <row r="47" spans="3:10" ht="16.5" outlineLevel="1" x14ac:dyDescent="0.3">
      <c r="C47" s="188"/>
      <c r="D47" s="174"/>
      <c r="E47" s="174"/>
      <c r="F47" s="174"/>
      <c r="G47" s="174"/>
      <c r="H47" s="151"/>
      <c r="I47" s="180"/>
      <c r="J47" s="142"/>
    </row>
    <row r="48" spans="3:10" ht="16.5" customHeight="1" outlineLevel="1" x14ac:dyDescent="0.3">
      <c r="C48" s="188"/>
      <c r="E48" s="146"/>
      <c r="F48" s="146"/>
      <c r="G48" s="146"/>
      <c r="H48" s="146"/>
      <c r="I48" s="200"/>
      <c r="J48" s="146"/>
    </row>
    <row r="49" spans="3:9" ht="15.75" outlineLevel="1" thickBot="1" x14ac:dyDescent="0.3">
      <c r="C49" s="202"/>
      <c r="D49" s="203"/>
      <c r="E49" s="203"/>
      <c r="F49" s="203"/>
      <c r="G49" s="203"/>
      <c r="H49" s="203"/>
      <c r="I49" s="204"/>
    </row>
    <row r="51" spans="3:9" ht="15.75" outlineLevel="1" thickBot="1" x14ac:dyDescent="0.3"/>
    <row r="52" spans="3:9" ht="16.5" outlineLevel="1" x14ac:dyDescent="0.25">
      <c r="C52" s="635" t="s">
        <v>358</v>
      </c>
      <c r="D52" s="636"/>
      <c r="E52" s="636"/>
      <c r="F52" s="636"/>
      <c r="G52" s="636"/>
      <c r="H52" s="207"/>
      <c r="I52" s="208"/>
    </row>
    <row r="53" spans="3:9" ht="16.5" outlineLevel="1" x14ac:dyDescent="0.3">
      <c r="C53" s="659" t="s">
        <v>378</v>
      </c>
      <c r="D53" s="660"/>
      <c r="E53" s="660"/>
      <c r="F53" s="660"/>
      <c r="G53" s="660"/>
      <c r="H53" s="151"/>
      <c r="I53" s="193"/>
    </row>
    <row r="54" spans="3:9" ht="16.5" outlineLevel="1" x14ac:dyDescent="0.25">
      <c r="C54" s="661" t="str">
        <f>"FOR THE YEAR ENDED 31ST DECEMBER" &amp; " " &amp;$A$1</f>
        <v>FOR THE YEAR ENDED 31ST DECEMBER 2020</v>
      </c>
      <c r="D54" s="662"/>
      <c r="E54" s="662"/>
      <c r="F54" s="662"/>
      <c r="G54" s="662"/>
      <c r="H54" s="151"/>
      <c r="I54" s="193"/>
    </row>
    <row r="55" spans="3:9" ht="16.5" outlineLevel="1" x14ac:dyDescent="0.3">
      <c r="C55" s="239" t="s">
        <v>379</v>
      </c>
      <c r="D55" s="240"/>
      <c r="E55" s="240"/>
      <c r="F55" s="240"/>
      <c r="G55" s="240"/>
      <c r="H55" s="240"/>
      <c r="I55" s="241"/>
    </row>
    <row r="56" spans="3:9" ht="16.5" outlineLevel="1" x14ac:dyDescent="0.3">
      <c r="C56" s="209"/>
      <c r="D56" s="153"/>
      <c r="E56" s="153"/>
      <c r="F56" s="153"/>
      <c r="G56" s="153"/>
      <c r="H56" s="153"/>
      <c r="I56" s="210"/>
    </row>
    <row r="57" spans="3:9" ht="16.5" outlineLevel="1" x14ac:dyDescent="0.3">
      <c r="C57" s="211"/>
      <c r="D57" s="212" t="s">
        <v>479</v>
      </c>
      <c r="E57" s="213"/>
      <c r="F57" s="213"/>
      <c r="G57" s="213"/>
      <c r="H57" s="214"/>
      <c r="I57" s="215"/>
    </row>
    <row r="58" spans="3:9" ht="16.5" customHeight="1" outlineLevel="1" x14ac:dyDescent="0.25">
      <c r="C58" s="216"/>
      <c r="D58" s="663" t="s">
        <v>487</v>
      </c>
      <c r="E58" s="663"/>
      <c r="F58" s="663"/>
      <c r="G58" s="663"/>
      <c r="H58" s="217"/>
      <c r="I58" s="215"/>
    </row>
    <row r="59" spans="3:9" ht="16.5" customHeight="1" outlineLevel="1" x14ac:dyDescent="0.25">
      <c r="C59" s="216"/>
      <c r="D59" s="663"/>
      <c r="E59" s="663"/>
      <c r="F59" s="663"/>
      <c r="G59" s="663"/>
      <c r="H59" s="217"/>
      <c r="I59" s="215"/>
    </row>
    <row r="60" spans="3:9" ht="16.5" outlineLevel="1" x14ac:dyDescent="0.3">
      <c r="C60" s="216"/>
      <c r="D60" s="218" t="s">
        <v>480</v>
      </c>
      <c r="E60" s="219"/>
      <c r="F60" s="219"/>
      <c r="G60" s="214"/>
      <c r="H60" s="214"/>
      <c r="I60" s="215"/>
    </row>
    <row r="61" spans="3:9" ht="16.5" outlineLevel="1" x14ac:dyDescent="0.3">
      <c r="C61" s="216"/>
      <c r="D61" s="220" t="s">
        <v>380</v>
      </c>
      <c r="E61" s="219"/>
      <c r="F61" s="219"/>
      <c r="G61" s="214"/>
      <c r="H61" s="214"/>
      <c r="I61" s="215"/>
    </row>
    <row r="62" spans="3:9" ht="16.5" outlineLevel="1" x14ac:dyDescent="0.3">
      <c r="C62" s="216"/>
      <c r="D62" s="221" t="s">
        <v>481</v>
      </c>
      <c r="E62" s="219"/>
      <c r="F62" s="219"/>
      <c r="G62" s="214"/>
      <c r="H62" s="214"/>
      <c r="I62" s="215"/>
    </row>
    <row r="63" spans="3:9" ht="16.5" customHeight="1" outlineLevel="1" x14ac:dyDescent="0.25">
      <c r="C63" s="216"/>
      <c r="D63" s="644" t="s">
        <v>486</v>
      </c>
      <c r="E63" s="644"/>
      <c r="F63" s="644"/>
      <c r="G63" s="644"/>
      <c r="H63" s="222"/>
      <c r="I63" s="215"/>
    </row>
    <row r="64" spans="3:9" ht="16.5" customHeight="1" outlineLevel="1" x14ac:dyDescent="0.25">
      <c r="C64" s="216"/>
      <c r="D64" s="644"/>
      <c r="E64" s="644"/>
      <c r="F64" s="644"/>
      <c r="G64" s="644"/>
      <c r="H64" s="222"/>
      <c r="I64" s="215"/>
    </row>
    <row r="65" spans="3:9" ht="16.5" outlineLevel="1" x14ac:dyDescent="0.3">
      <c r="C65" s="223" t="s">
        <v>381</v>
      </c>
      <c r="D65" s="218" t="s">
        <v>382</v>
      </c>
      <c r="E65" s="218"/>
      <c r="F65" s="224"/>
      <c r="G65" s="224"/>
      <c r="H65" s="224"/>
      <c r="I65" s="225"/>
    </row>
    <row r="66" spans="3:9" ht="15" customHeight="1" outlineLevel="1" x14ac:dyDescent="0.25">
      <c r="C66" s="216"/>
      <c r="D66" s="645" t="s">
        <v>484</v>
      </c>
      <c r="E66" s="645"/>
      <c r="F66" s="645"/>
      <c r="G66" s="645"/>
      <c r="H66" s="226"/>
      <c r="I66" s="227"/>
    </row>
    <row r="67" spans="3:9" ht="15" customHeight="1" outlineLevel="1" x14ac:dyDescent="0.25">
      <c r="C67" s="216"/>
      <c r="D67" s="645"/>
      <c r="E67" s="645"/>
      <c r="F67" s="645"/>
      <c r="G67" s="645"/>
      <c r="H67" s="226"/>
      <c r="I67" s="227"/>
    </row>
    <row r="68" spans="3:9" ht="15" customHeight="1" outlineLevel="1" x14ac:dyDescent="0.25">
      <c r="C68" s="216"/>
      <c r="D68" s="645"/>
      <c r="E68" s="645"/>
      <c r="F68" s="645"/>
      <c r="G68" s="645"/>
      <c r="H68" s="226"/>
      <c r="I68" s="227"/>
    </row>
    <row r="69" spans="3:9" ht="24.75" customHeight="1" outlineLevel="1" x14ac:dyDescent="0.25">
      <c r="C69" s="228"/>
      <c r="D69" s="645"/>
      <c r="E69" s="645"/>
      <c r="F69" s="645"/>
      <c r="G69" s="645"/>
      <c r="H69" s="226"/>
      <c r="I69" s="227"/>
    </row>
    <row r="70" spans="3:9" ht="15" customHeight="1" outlineLevel="1" x14ac:dyDescent="0.25">
      <c r="C70" s="228"/>
      <c r="D70" s="646" t="s">
        <v>383</v>
      </c>
      <c r="E70" s="646"/>
      <c r="F70" s="646"/>
      <c r="G70" s="646"/>
      <c r="H70" s="229"/>
      <c r="I70" s="230"/>
    </row>
    <row r="71" spans="3:9" ht="15" customHeight="1" outlineLevel="1" x14ac:dyDescent="0.25">
      <c r="C71" s="223" t="s">
        <v>384</v>
      </c>
      <c r="D71" s="218" t="s">
        <v>385</v>
      </c>
      <c r="E71" s="229"/>
      <c r="F71" s="229"/>
      <c r="G71" s="229"/>
      <c r="H71" s="229"/>
      <c r="I71" s="230"/>
    </row>
    <row r="72" spans="3:9" ht="16.5" outlineLevel="1" x14ac:dyDescent="0.3">
      <c r="C72" s="231"/>
      <c r="E72" s="218"/>
      <c r="F72" s="218"/>
      <c r="G72" s="218"/>
      <c r="H72" s="218"/>
      <c r="I72" s="225"/>
    </row>
    <row r="73" spans="3:9" ht="15" customHeight="1" outlineLevel="1" x14ac:dyDescent="0.25">
      <c r="C73" s="228"/>
      <c r="D73" s="648" t="s">
        <v>485</v>
      </c>
      <c r="E73" s="649"/>
      <c r="F73" s="649"/>
      <c r="G73" s="649"/>
      <c r="H73" s="232"/>
      <c r="I73" s="233"/>
    </row>
    <row r="74" spans="3:9" ht="15" customHeight="1" outlineLevel="1" x14ac:dyDescent="0.25">
      <c r="C74" s="228"/>
      <c r="D74" s="649"/>
      <c r="E74" s="649"/>
      <c r="F74" s="649"/>
      <c r="G74" s="649"/>
      <c r="H74" s="232"/>
      <c r="I74" s="233"/>
    </row>
    <row r="75" spans="3:9" ht="16.5" outlineLevel="1" x14ac:dyDescent="0.3">
      <c r="C75" s="209"/>
      <c r="D75" s="649"/>
      <c r="E75" s="649"/>
      <c r="F75" s="649"/>
      <c r="G75" s="649"/>
      <c r="H75" s="232"/>
      <c r="I75" s="233"/>
    </row>
    <row r="76" spans="3:9" ht="16.5" outlineLevel="1" x14ac:dyDescent="0.3">
      <c r="C76" s="209"/>
      <c r="D76" s="649"/>
      <c r="E76" s="649"/>
      <c r="F76" s="649"/>
      <c r="G76" s="649"/>
      <c r="H76" s="232"/>
      <c r="I76" s="233"/>
    </row>
    <row r="77" spans="3:9" ht="16.5" outlineLevel="1" x14ac:dyDescent="0.3">
      <c r="C77" s="209"/>
      <c r="D77" s="649"/>
      <c r="E77" s="649"/>
      <c r="F77" s="649"/>
      <c r="G77" s="649"/>
      <c r="H77" s="232"/>
      <c r="I77" s="233"/>
    </row>
    <row r="78" spans="3:9" ht="16.5" outlineLevel="1" x14ac:dyDescent="0.3">
      <c r="C78" s="209"/>
      <c r="D78" s="234" t="s">
        <v>482</v>
      </c>
      <c r="E78" s="234"/>
      <c r="F78" s="234"/>
      <c r="G78" s="234"/>
      <c r="H78" s="224"/>
      <c r="I78" s="215"/>
    </row>
    <row r="79" spans="3:9" ht="16.5" outlineLevel="1" x14ac:dyDescent="0.3">
      <c r="C79" s="209"/>
      <c r="D79" s="234" t="s">
        <v>386</v>
      </c>
      <c r="E79" s="234"/>
      <c r="F79" s="234"/>
      <c r="G79" s="234"/>
      <c r="H79" s="224"/>
      <c r="I79" s="215"/>
    </row>
    <row r="80" spans="3:9" ht="16.5" customHeight="1" outlineLevel="1" x14ac:dyDescent="0.3">
      <c r="C80" s="209"/>
      <c r="D80" s="645" t="s">
        <v>488</v>
      </c>
      <c r="E80" s="646"/>
      <c r="F80" s="646"/>
      <c r="G80" s="646"/>
      <c r="H80" s="235"/>
      <c r="I80" s="215"/>
    </row>
    <row r="81" spans="3:10" ht="16.5" outlineLevel="1" x14ac:dyDescent="0.3">
      <c r="C81" s="209"/>
      <c r="D81" s="646"/>
      <c r="E81" s="646"/>
      <c r="F81" s="646"/>
      <c r="G81" s="646"/>
      <c r="H81" s="235"/>
      <c r="I81" s="215"/>
    </row>
    <row r="82" spans="3:10" ht="16.5" outlineLevel="1" x14ac:dyDescent="0.3">
      <c r="C82" s="209"/>
      <c r="D82" s="234" t="s">
        <v>483</v>
      </c>
      <c r="E82" s="234"/>
      <c r="F82" s="234"/>
      <c r="G82" s="234"/>
      <c r="H82" s="224"/>
      <c r="I82" s="215"/>
    </row>
    <row r="83" spans="3:10" ht="16.5" customHeight="1" outlineLevel="1" x14ac:dyDescent="0.3">
      <c r="C83" s="209"/>
      <c r="D83" s="646" t="s">
        <v>387</v>
      </c>
      <c r="E83" s="646"/>
      <c r="F83" s="646"/>
      <c r="G83" s="646"/>
      <c r="H83" s="235"/>
      <c r="I83" s="215"/>
    </row>
    <row r="84" spans="3:10" ht="16.5" outlineLevel="1" x14ac:dyDescent="0.3">
      <c r="C84" s="209"/>
      <c r="D84" s="224" t="s">
        <v>388</v>
      </c>
      <c r="E84" s="224"/>
      <c r="F84" s="224"/>
      <c r="G84" s="224"/>
      <c r="H84" s="224"/>
      <c r="I84" s="215"/>
    </row>
    <row r="85" spans="3:10" ht="16.5" outlineLevel="1" x14ac:dyDescent="0.3">
      <c r="C85" s="209"/>
      <c r="D85" s="224" t="s">
        <v>389</v>
      </c>
      <c r="E85" s="224"/>
      <c r="F85" s="224"/>
      <c r="G85" s="224"/>
      <c r="H85" s="224"/>
      <c r="I85" s="215"/>
    </row>
    <row r="86" spans="3:10" ht="16.5" outlineLevel="1" x14ac:dyDescent="0.3">
      <c r="C86" s="209"/>
      <c r="D86" s="224"/>
      <c r="E86" s="224"/>
      <c r="F86" s="224"/>
      <c r="G86" s="224"/>
      <c r="H86" s="224"/>
      <c r="I86" s="215"/>
    </row>
    <row r="87" spans="3:10" ht="16.5" outlineLevel="1" x14ac:dyDescent="0.3">
      <c r="C87" s="209"/>
      <c r="D87" s="224"/>
      <c r="E87" s="224"/>
      <c r="F87" s="224"/>
      <c r="G87" s="224"/>
      <c r="H87" s="224"/>
      <c r="I87" s="215"/>
    </row>
    <row r="88" spans="3:10" ht="17.25" outlineLevel="1" thickBot="1" x14ac:dyDescent="0.35">
      <c r="C88" s="236"/>
      <c r="D88" s="237"/>
      <c r="E88" s="238"/>
      <c r="F88" s="238"/>
      <c r="G88" s="238"/>
      <c r="H88" s="238"/>
      <c r="I88" s="256"/>
    </row>
    <row r="89" spans="3:10" ht="16.5" outlineLevel="1" x14ac:dyDescent="0.3">
      <c r="C89" s="152"/>
      <c r="D89" s="220"/>
      <c r="E89" s="224"/>
      <c r="F89" s="224"/>
      <c r="G89" s="224"/>
      <c r="H89" s="224"/>
      <c r="I89" s="224"/>
    </row>
    <row r="90" spans="3:10" ht="16.5" outlineLevel="1" x14ac:dyDescent="0.3">
      <c r="C90" s="152"/>
      <c r="D90" s="220"/>
      <c r="E90" s="224"/>
      <c r="F90" s="224"/>
      <c r="G90" s="224"/>
      <c r="H90" s="224"/>
      <c r="I90" s="224"/>
    </row>
    <row r="91" spans="3:10" ht="17.25" thickBot="1" x14ac:dyDescent="0.35">
      <c r="C91" s="152"/>
      <c r="D91" s="220"/>
      <c r="E91" s="224"/>
      <c r="F91" s="224"/>
      <c r="G91" s="150"/>
      <c r="H91" s="153"/>
      <c r="I91" s="153"/>
    </row>
    <row r="92" spans="3:10" outlineLevel="1" x14ac:dyDescent="0.25">
      <c r="C92" s="257"/>
      <c r="D92" s="258"/>
      <c r="E92" s="258"/>
      <c r="F92" s="258"/>
      <c r="G92" s="258"/>
      <c r="H92" s="258"/>
      <c r="I92" s="259"/>
    </row>
    <row r="93" spans="3:10" ht="16.5" outlineLevel="1" x14ac:dyDescent="0.3">
      <c r="C93" s="638" t="s">
        <v>358</v>
      </c>
      <c r="D93" s="639"/>
      <c r="E93" s="639"/>
      <c r="F93" s="639"/>
      <c r="G93" s="639"/>
      <c r="H93" s="639"/>
      <c r="I93" s="640"/>
      <c r="J93" s="154"/>
    </row>
    <row r="94" spans="3:10" ht="16.5" outlineLevel="1" x14ac:dyDescent="0.3">
      <c r="C94" s="638" t="s">
        <v>378</v>
      </c>
      <c r="D94" s="639"/>
      <c r="E94" s="639"/>
      <c r="F94" s="639"/>
      <c r="G94" s="639"/>
      <c r="H94" s="639"/>
      <c r="I94" s="640"/>
      <c r="J94" s="154"/>
    </row>
    <row r="95" spans="3:10" ht="16.5" outlineLevel="1" x14ac:dyDescent="0.3">
      <c r="C95" s="650" t="s">
        <v>492</v>
      </c>
      <c r="D95" s="651"/>
      <c r="E95" s="651"/>
      <c r="F95" s="651"/>
      <c r="G95" s="651"/>
      <c r="H95" s="651"/>
      <c r="I95" s="652"/>
      <c r="J95" s="154"/>
    </row>
    <row r="96" spans="3:10" ht="16.5" outlineLevel="1" x14ac:dyDescent="0.3">
      <c r="C96" s="260" t="s">
        <v>379</v>
      </c>
      <c r="D96" s="155"/>
      <c r="E96" s="155"/>
      <c r="F96" s="155"/>
      <c r="G96" s="155"/>
      <c r="H96" s="155"/>
      <c r="I96" s="261"/>
      <c r="J96" s="155"/>
    </row>
    <row r="97" spans="3:10" ht="16.5" outlineLevel="1" x14ac:dyDescent="0.3">
      <c r="C97" s="262" t="s">
        <v>390</v>
      </c>
      <c r="D97" s="159" t="s">
        <v>391</v>
      </c>
      <c r="E97" s="242"/>
      <c r="F97" s="154"/>
      <c r="G97" s="154"/>
      <c r="H97" s="154"/>
      <c r="I97" s="263"/>
      <c r="J97" s="154"/>
    </row>
    <row r="98" spans="3:10" outlineLevel="1" x14ac:dyDescent="0.25">
      <c r="C98" s="216"/>
      <c r="D98" s="243"/>
      <c r="E98" s="156"/>
      <c r="F98" s="156"/>
      <c r="G98" s="156"/>
      <c r="H98" s="156"/>
      <c r="I98" s="264"/>
      <c r="J98" s="156"/>
    </row>
    <row r="99" spans="3:10" ht="30" outlineLevel="1" x14ac:dyDescent="0.25">
      <c r="C99" s="216"/>
      <c r="D99" s="159"/>
      <c r="E99" s="244" t="s">
        <v>392</v>
      </c>
      <c r="F99" s="244" t="s">
        <v>393</v>
      </c>
      <c r="G99" s="244" t="s">
        <v>376</v>
      </c>
      <c r="H99" s="245" t="s">
        <v>375</v>
      </c>
      <c r="I99" s="265" t="s">
        <v>60</v>
      </c>
    </row>
    <row r="100" spans="3:10" outlineLevel="1" x14ac:dyDescent="0.25">
      <c r="C100" s="266"/>
      <c r="D100" s="159"/>
      <c r="E100" s="246" t="s">
        <v>394</v>
      </c>
      <c r="F100" s="246" t="s">
        <v>394</v>
      </c>
      <c r="G100" s="246" t="s">
        <v>394</v>
      </c>
      <c r="H100" s="246" t="s">
        <v>394</v>
      </c>
      <c r="I100" s="267" t="s">
        <v>394</v>
      </c>
    </row>
    <row r="101" spans="3:10" outlineLevel="1" x14ac:dyDescent="0.25">
      <c r="C101" s="216"/>
      <c r="D101" s="159" t="s">
        <v>395</v>
      </c>
      <c r="E101" s="246"/>
      <c r="F101" s="246"/>
      <c r="G101" s="246"/>
      <c r="H101" s="246"/>
      <c r="I101" s="267"/>
    </row>
    <row r="102" spans="3:10" ht="16.5" outlineLevel="1" x14ac:dyDescent="0.3">
      <c r="C102" s="266"/>
      <c r="D102" s="213" t="s">
        <v>396</v>
      </c>
      <c r="E102" s="157">
        <v>676160</v>
      </c>
      <c r="F102" s="157">
        <v>483987</v>
      </c>
      <c r="G102" s="157">
        <v>975000</v>
      </c>
      <c r="H102" s="157">
        <v>375657</v>
      </c>
      <c r="I102" s="268">
        <f>SUM(E102:H102)</f>
        <v>2510804</v>
      </c>
    </row>
    <row r="103" spans="3:10" ht="16.5" outlineLevel="1" x14ac:dyDescent="0.3">
      <c r="C103" s="266"/>
      <c r="D103" s="213" t="s">
        <v>397</v>
      </c>
      <c r="E103" s="157">
        <v>-645785.29200000002</v>
      </c>
      <c r="F103" s="157">
        <v>-328179.919921875</v>
      </c>
      <c r="G103" s="157">
        <v>-243750</v>
      </c>
      <c r="H103" s="157">
        <v>-276379.9375</v>
      </c>
      <c r="I103" s="268">
        <v>-1140643.675</v>
      </c>
    </row>
    <row r="104" spans="3:10" ht="17.25"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outlineLevel="1" x14ac:dyDescent="0.3">
      <c r="C105" s="216"/>
      <c r="D105" s="159" t="s">
        <v>399</v>
      </c>
      <c r="E105" s="157"/>
      <c r="F105" s="157"/>
      <c r="G105" s="157"/>
      <c r="H105" s="157"/>
      <c r="I105" s="269"/>
    </row>
    <row r="106" spans="3:10" ht="16.5"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outlineLevel="1" x14ac:dyDescent="0.3">
      <c r="C107" s="270"/>
      <c r="D107" s="213" t="s">
        <v>401</v>
      </c>
      <c r="E107" s="157">
        <v>0</v>
      </c>
      <c r="F107" s="157">
        <v>0</v>
      </c>
      <c r="G107" s="157">
        <v>0</v>
      </c>
      <c r="H107" s="157">
        <v>0</v>
      </c>
      <c r="I107" s="268">
        <f>SUM(E107:H107)</f>
        <v>0</v>
      </c>
    </row>
    <row r="108" spans="3:10" ht="16.5"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outlineLevel="1" x14ac:dyDescent="0.3">
      <c r="C110" s="270"/>
      <c r="D110" s="159" t="s">
        <v>403</v>
      </c>
      <c r="E110" s="157"/>
      <c r="F110" s="157"/>
      <c r="G110" s="157"/>
      <c r="H110" s="157"/>
      <c r="I110" s="268"/>
    </row>
    <row r="111" spans="3:10" ht="16.5" outlineLevel="1" x14ac:dyDescent="0.3">
      <c r="C111" s="270"/>
      <c r="D111" s="213" t="s">
        <v>396</v>
      </c>
      <c r="E111" s="157">
        <f>E102</f>
        <v>676160</v>
      </c>
      <c r="F111" s="157">
        <f>F102</f>
        <v>483987</v>
      </c>
      <c r="G111" s="157">
        <f>G102</f>
        <v>975000</v>
      </c>
      <c r="H111" s="157">
        <f>H102</f>
        <v>375657</v>
      </c>
      <c r="I111" s="268">
        <f>SUM(E111:H111)</f>
        <v>2510804</v>
      </c>
    </row>
    <row r="112" spans="3:10" ht="16.5"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outlineLevel="1" x14ac:dyDescent="0.3">
      <c r="C114" s="216"/>
      <c r="D114" s="159" t="s">
        <v>404</v>
      </c>
      <c r="E114" s="157"/>
      <c r="F114" s="157"/>
      <c r="G114" s="157"/>
      <c r="H114" s="157"/>
      <c r="I114" s="269"/>
    </row>
    <row r="115" spans="3:9" ht="16.5"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outlineLevel="1" x14ac:dyDescent="0.3">
      <c r="C116" s="270"/>
      <c r="D116" s="213" t="s">
        <v>401</v>
      </c>
      <c r="E116" s="157">
        <v>0</v>
      </c>
      <c r="F116" s="157">
        <v>344748.28</v>
      </c>
      <c r="G116" s="157">
        <v>1500000</v>
      </c>
      <c r="H116" s="157">
        <v>0</v>
      </c>
      <c r="I116" s="268">
        <f>SUM(E116:H116)</f>
        <v>1844748.28</v>
      </c>
    </row>
    <row r="117" spans="3:9" ht="16.5" outlineLevel="1" x14ac:dyDescent="0.3">
      <c r="C117" s="270"/>
      <c r="D117" s="213" t="s">
        <v>405</v>
      </c>
      <c r="E117" s="157">
        <v>0</v>
      </c>
      <c r="F117" s="157">
        <v>0</v>
      </c>
      <c r="G117" s="157">
        <f>-975000</f>
        <v>-975000</v>
      </c>
      <c r="H117" s="157">
        <v>0</v>
      </c>
      <c r="I117" s="268">
        <f>SUM(E117:H117)</f>
        <v>-975000</v>
      </c>
    </row>
    <row r="118" spans="3:9" ht="16.5" outlineLevel="1" x14ac:dyDescent="0.3">
      <c r="C118" s="270"/>
      <c r="D118" s="213" t="s">
        <v>406</v>
      </c>
      <c r="E118" s="157">
        <v>0</v>
      </c>
      <c r="F118" s="157">
        <v>0</v>
      </c>
      <c r="G118" s="157">
        <v>426562.5</v>
      </c>
      <c r="H118" s="157">
        <v>0</v>
      </c>
      <c r="I118" s="268">
        <f>SUM(E118:H118)</f>
        <v>426562.5</v>
      </c>
    </row>
    <row r="119" spans="3:9" ht="16.5"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outlineLevel="1" x14ac:dyDescent="0.3">
      <c r="C121" s="270"/>
      <c r="D121" s="159" t="s">
        <v>407</v>
      </c>
      <c r="E121" s="157"/>
      <c r="F121" s="157"/>
      <c r="G121" s="157"/>
      <c r="H121" s="157"/>
      <c r="I121" s="268"/>
    </row>
    <row r="122" spans="3:9" ht="16.5"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outlineLevel="1" thickTop="1" x14ac:dyDescent="0.3">
      <c r="C125" s="270"/>
      <c r="D125" s="213"/>
      <c r="E125" s="158"/>
      <c r="F125" s="245"/>
      <c r="G125" s="245"/>
      <c r="H125" s="245"/>
      <c r="I125" s="265"/>
    </row>
    <row r="126" spans="3:9" ht="16.5" outlineLevel="1" x14ac:dyDescent="0.3">
      <c r="C126" s="270"/>
      <c r="D126" s="213"/>
      <c r="E126" s="154"/>
      <c r="F126" s="245"/>
      <c r="G126" s="245"/>
      <c r="H126" s="245" t="s">
        <v>394</v>
      </c>
      <c r="I126" s="265" t="s">
        <v>394</v>
      </c>
    </row>
    <row r="127" spans="3:9" ht="16.5" outlineLevel="1" x14ac:dyDescent="0.3">
      <c r="C127" s="271" t="s">
        <v>408</v>
      </c>
      <c r="D127" s="221" t="s">
        <v>409</v>
      </c>
      <c r="E127" s="154"/>
      <c r="F127" s="246"/>
      <c r="G127" s="246"/>
      <c r="H127" s="245"/>
      <c r="I127" s="267"/>
    </row>
    <row r="128" spans="3:9" ht="16.5" outlineLevel="1" x14ac:dyDescent="0.3">
      <c r="C128" s="272"/>
      <c r="D128" s="248" t="s">
        <v>410</v>
      </c>
      <c r="E128" s="154"/>
      <c r="F128" s="246"/>
      <c r="G128" s="246"/>
      <c r="H128" s="246"/>
      <c r="I128" s="263"/>
    </row>
    <row r="129" spans="3:9" ht="16.5" outlineLevel="1" x14ac:dyDescent="0.3">
      <c r="C129" s="272"/>
      <c r="D129" s="248" t="s">
        <v>411</v>
      </c>
      <c r="E129" s="159"/>
      <c r="F129" s="154"/>
      <c r="G129" s="154"/>
      <c r="H129" s="157">
        <f>-I119</f>
        <v>409278.51677448238</v>
      </c>
      <c r="I129" s="273">
        <v>223810.43022226563</v>
      </c>
    </row>
    <row r="130" spans="3:9" ht="16.5" outlineLevel="1" x14ac:dyDescent="0.3">
      <c r="C130" s="272"/>
      <c r="D130" s="248" t="s">
        <v>412</v>
      </c>
      <c r="E130" s="159"/>
      <c r="F130" s="157"/>
      <c r="G130" s="157"/>
      <c r="H130" s="249">
        <v>2500001</v>
      </c>
      <c r="I130" s="273">
        <v>2691143</v>
      </c>
    </row>
    <row r="131" spans="3:9" ht="18.75" outlineLevel="1" x14ac:dyDescent="0.45">
      <c r="C131" s="272"/>
      <c r="D131" s="248" t="s">
        <v>413</v>
      </c>
      <c r="E131" s="159"/>
      <c r="F131" s="250"/>
      <c r="G131" s="250"/>
      <c r="H131" s="249">
        <v>176009.84</v>
      </c>
      <c r="I131" s="273">
        <v>102278.42</v>
      </c>
    </row>
    <row r="132" spans="3:9" ht="18.75" outlineLevel="1" x14ac:dyDescent="0.45">
      <c r="C132" s="272"/>
      <c r="D132" s="248" t="s">
        <v>414</v>
      </c>
      <c r="E132" s="159"/>
      <c r="F132" s="251"/>
      <c r="G132" s="251"/>
      <c r="H132" s="252">
        <v>175000</v>
      </c>
      <c r="I132" s="274">
        <v>175000</v>
      </c>
    </row>
    <row r="133" spans="3:9" ht="16.5" outlineLevel="1" x14ac:dyDescent="0.3">
      <c r="C133" s="275" t="s">
        <v>415</v>
      </c>
      <c r="D133" s="253" t="s">
        <v>98</v>
      </c>
      <c r="E133" s="159"/>
      <c r="F133" s="154"/>
      <c r="G133" s="154"/>
      <c r="H133" s="154"/>
      <c r="I133" s="276"/>
    </row>
    <row r="134" spans="3:9" ht="16.5" outlineLevel="1" x14ac:dyDescent="0.3">
      <c r="C134" s="277"/>
      <c r="D134" s="253" t="s">
        <v>416</v>
      </c>
      <c r="E134" s="159"/>
      <c r="F134" s="247"/>
      <c r="G134" s="247"/>
      <c r="H134" s="154"/>
      <c r="I134" s="263"/>
    </row>
    <row r="135" spans="3:9" ht="18" outlineLevel="1" x14ac:dyDescent="0.4">
      <c r="C135" s="277"/>
      <c r="D135" s="254" t="s">
        <v>417</v>
      </c>
      <c r="E135" s="159"/>
      <c r="F135" s="157"/>
      <c r="G135" s="157"/>
      <c r="H135" s="255">
        <f>I135</f>
        <v>100000</v>
      </c>
      <c r="I135" s="278">
        <v>100000</v>
      </c>
    </row>
    <row r="136" spans="3:9" ht="18.75" outlineLevel="1" x14ac:dyDescent="0.45">
      <c r="C136" s="277"/>
      <c r="D136" s="253" t="s">
        <v>418</v>
      </c>
      <c r="E136" s="160"/>
      <c r="F136" s="250"/>
      <c r="G136" s="250"/>
      <c r="H136" s="157"/>
      <c r="I136" s="276"/>
    </row>
    <row r="137" spans="3:9" ht="17.25" outlineLevel="1" x14ac:dyDescent="0.4">
      <c r="C137" s="277"/>
      <c r="D137" s="254" t="s">
        <v>419</v>
      </c>
      <c r="E137" s="159"/>
      <c r="F137" s="255"/>
      <c r="G137" s="255"/>
      <c r="H137" s="255">
        <f>I137</f>
        <v>400</v>
      </c>
      <c r="I137" s="279">
        <v>400</v>
      </c>
    </row>
    <row r="138" spans="3:9" outlineLevel="1" x14ac:dyDescent="0.25">
      <c r="C138" s="231"/>
      <c r="I138" s="215"/>
    </row>
    <row r="139" spans="3:9" outlineLevel="1" x14ac:dyDescent="0.25">
      <c r="C139" s="231"/>
      <c r="I139" s="215"/>
    </row>
    <row r="140" spans="3:9" outlineLevel="1" x14ac:dyDescent="0.25">
      <c r="C140" s="231"/>
      <c r="I140" s="215"/>
    </row>
    <row r="141" spans="3:9" ht="15.75" outlineLevel="1" thickBot="1" x14ac:dyDescent="0.3">
      <c r="C141" s="202"/>
      <c r="D141" s="203"/>
      <c r="E141" s="203"/>
      <c r="F141" s="203"/>
      <c r="G141" s="203"/>
      <c r="H141" s="203"/>
      <c r="I141" s="204"/>
    </row>
    <row r="142" spans="3:9" outlineLevel="1" x14ac:dyDescent="0.25"/>
    <row r="143" spans="3:9" outlineLevel="1" x14ac:dyDescent="0.25"/>
    <row r="145" spans="3:11" ht="15.75" outlineLevel="1" thickBot="1" x14ac:dyDescent="0.3"/>
    <row r="146" spans="3:11" ht="16.5" outlineLevel="1" x14ac:dyDescent="0.25">
      <c r="C146" s="635" t="s">
        <v>358</v>
      </c>
      <c r="D146" s="636"/>
      <c r="E146" s="636"/>
      <c r="F146" s="636"/>
      <c r="G146" s="636"/>
      <c r="H146" s="636"/>
      <c r="I146" s="637"/>
      <c r="J146" s="165"/>
      <c r="K146" s="142"/>
    </row>
    <row r="147" spans="3:11" ht="16.5" outlineLevel="1" x14ac:dyDescent="0.25">
      <c r="C147" s="638" t="s">
        <v>378</v>
      </c>
      <c r="D147" s="639"/>
      <c r="E147" s="639"/>
      <c r="F147" s="639"/>
      <c r="G147" s="639"/>
      <c r="H147" s="639"/>
      <c r="I147" s="640"/>
      <c r="J147" s="165"/>
      <c r="K147" s="142"/>
    </row>
    <row r="148" spans="3:11" ht="16.5" outlineLevel="1" x14ac:dyDescent="0.25">
      <c r="C148" s="650" t="s">
        <v>492</v>
      </c>
      <c r="D148" s="651"/>
      <c r="E148" s="651"/>
      <c r="F148" s="651"/>
      <c r="G148" s="651"/>
      <c r="H148" s="651"/>
      <c r="I148" s="652"/>
      <c r="J148" s="165"/>
      <c r="K148" s="142"/>
    </row>
    <row r="149" spans="3:11" ht="16.5" outlineLevel="1" x14ac:dyDescent="0.3">
      <c r="C149" s="209" t="s">
        <v>379</v>
      </c>
      <c r="D149" s="152"/>
      <c r="E149" s="153"/>
      <c r="F149" s="153"/>
      <c r="G149" s="153"/>
      <c r="H149" s="165"/>
      <c r="I149" s="210"/>
    </row>
    <row r="150" spans="3:11" ht="16.5" outlineLevel="1" x14ac:dyDescent="0.3">
      <c r="C150" s="280"/>
      <c r="D150" s="176"/>
      <c r="E150" s="142"/>
      <c r="F150" s="142"/>
      <c r="G150" s="177"/>
      <c r="H150" s="165"/>
      <c r="I150" s="180"/>
    </row>
    <row r="151" spans="3:11" ht="16.5" outlineLevel="1" x14ac:dyDescent="0.3">
      <c r="C151" s="280"/>
      <c r="D151" s="176"/>
      <c r="E151" s="142"/>
      <c r="F151" s="281" t="s">
        <v>394</v>
      </c>
      <c r="G151" s="282" t="s">
        <v>394</v>
      </c>
      <c r="H151" s="165"/>
      <c r="I151" s="180"/>
    </row>
    <row r="152" spans="3:11" ht="16.5" outlineLevel="1" x14ac:dyDescent="0.3">
      <c r="C152" s="283" t="s">
        <v>420</v>
      </c>
      <c r="D152" s="143" t="s">
        <v>72</v>
      </c>
      <c r="E152" s="142"/>
      <c r="F152" s="281"/>
      <c r="G152" s="282"/>
      <c r="H152" s="165"/>
      <c r="I152" s="180"/>
    </row>
    <row r="153" spans="3:11" ht="18.75" outlineLevel="1" x14ac:dyDescent="0.45">
      <c r="C153" s="280"/>
      <c r="D153" s="284" t="s">
        <v>421</v>
      </c>
      <c r="E153" s="142"/>
      <c r="F153" s="285">
        <f>[1]BS!G137</f>
        <v>0</v>
      </c>
      <c r="G153" s="285">
        <f>[1]BS!H137</f>
        <v>0</v>
      </c>
      <c r="H153" s="165"/>
      <c r="I153" s="180"/>
    </row>
    <row r="154" spans="3:11" ht="16.5" outlineLevel="1" x14ac:dyDescent="0.3">
      <c r="C154" s="283" t="s">
        <v>422</v>
      </c>
      <c r="D154" s="161" t="s">
        <v>423</v>
      </c>
      <c r="E154" s="142"/>
      <c r="F154" s="281"/>
      <c r="G154" s="282"/>
      <c r="H154" s="165"/>
      <c r="I154" s="180"/>
    </row>
    <row r="155" spans="3:11" ht="15.75" outlineLevel="1" x14ac:dyDescent="0.25">
      <c r="C155" s="280"/>
      <c r="D155" s="162" t="s">
        <v>424</v>
      </c>
      <c r="E155" s="142"/>
      <c r="F155" s="286">
        <f>G157</f>
        <v>3296400</v>
      </c>
      <c r="G155" s="287">
        <v>4303645</v>
      </c>
      <c r="H155" s="165"/>
      <c r="I155" s="180"/>
    </row>
    <row r="156" spans="3:11" ht="15.75" outlineLevel="1" x14ac:dyDescent="0.25">
      <c r="C156" s="280"/>
      <c r="D156" s="162" t="s">
        <v>147</v>
      </c>
      <c r="E156" s="142"/>
      <c r="F156" s="286">
        <v>317589719.63</v>
      </c>
      <c r="G156" s="287">
        <v>212583719.66</v>
      </c>
      <c r="H156" s="165">
        <f>F156-G156</f>
        <v>105005999.97</v>
      </c>
      <c r="I156" s="180"/>
    </row>
    <row r="157" spans="3:11" ht="18" outlineLevel="1" x14ac:dyDescent="0.4">
      <c r="C157" s="280"/>
      <c r="D157" s="162" t="s">
        <v>425</v>
      </c>
      <c r="E157" s="142"/>
      <c r="F157" s="291">
        <f>10003059</f>
        <v>10003059</v>
      </c>
      <c r="G157" s="288">
        <v>3296400</v>
      </c>
      <c r="H157" s="165"/>
      <c r="I157" s="180"/>
    </row>
    <row r="158" spans="3:11" ht="18.75" outlineLevel="1" x14ac:dyDescent="0.45">
      <c r="C158" s="280"/>
      <c r="D158" s="142"/>
      <c r="E158" s="142"/>
      <c r="F158" s="285">
        <f>F155+F156-F157</f>
        <v>310883060.63</v>
      </c>
      <c r="G158" s="289">
        <f>G155+G156-G157</f>
        <v>213590964.66</v>
      </c>
      <c r="H158" s="165"/>
      <c r="I158" s="180"/>
    </row>
    <row r="159" spans="3:11" ht="16.5" outlineLevel="1" x14ac:dyDescent="0.3">
      <c r="C159" s="283" t="s">
        <v>426</v>
      </c>
      <c r="D159" s="143" t="s">
        <v>427</v>
      </c>
      <c r="E159" s="142"/>
      <c r="F159" s="281"/>
      <c r="G159" s="282"/>
      <c r="H159" s="165"/>
      <c r="I159" s="180"/>
    </row>
    <row r="160" spans="3:11" ht="15.75" outlineLevel="1" x14ac:dyDescent="0.25">
      <c r="C160" s="290"/>
      <c r="D160" s="142" t="s">
        <v>428</v>
      </c>
      <c r="E160" s="142"/>
      <c r="F160" s="318">
        <v>17870623.949999999</v>
      </c>
      <c r="G160" s="286">
        <v>10608390</v>
      </c>
      <c r="H160" s="165"/>
      <c r="I160" s="180"/>
    </row>
    <row r="161" spans="3:9" ht="18" outlineLevel="1" x14ac:dyDescent="0.4">
      <c r="C161" s="290"/>
      <c r="D161" s="142" t="s">
        <v>429</v>
      </c>
      <c r="E161" s="142"/>
      <c r="F161" s="291">
        <v>686952</v>
      </c>
      <c r="G161" s="291">
        <v>228443</v>
      </c>
      <c r="H161" s="165"/>
      <c r="I161" s="180"/>
    </row>
    <row r="162" spans="3:9" ht="18.75" outlineLevel="1" x14ac:dyDescent="0.45">
      <c r="C162" s="290"/>
      <c r="D162" s="142"/>
      <c r="E162" s="142"/>
      <c r="F162" s="292">
        <f>SUM(F160:F161)</f>
        <v>18557575.949999999</v>
      </c>
      <c r="G162" s="292">
        <f>SUM(G160:G161)</f>
        <v>10836833</v>
      </c>
      <c r="H162" s="165"/>
      <c r="I162" s="180"/>
    </row>
    <row r="163" spans="3:9" ht="18.75" outlineLevel="1" x14ac:dyDescent="0.45">
      <c r="C163" s="283" t="s">
        <v>430</v>
      </c>
      <c r="D163" s="143" t="s">
        <v>431</v>
      </c>
      <c r="E163" s="142"/>
      <c r="F163" s="285"/>
      <c r="G163" s="282"/>
      <c r="H163" s="165"/>
      <c r="I163" s="180"/>
    </row>
    <row r="164" spans="3:9" ht="15.75" outlineLevel="1" x14ac:dyDescent="0.25">
      <c r="C164" s="290"/>
      <c r="D164" s="142" t="s">
        <v>432</v>
      </c>
      <c r="E164" s="142"/>
      <c r="F164" s="286">
        <v>4840392.6399999997</v>
      </c>
      <c r="G164" s="286">
        <v>2550224</v>
      </c>
      <c r="H164" s="165"/>
      <c r="I164" s="180"/>
    </row>
    <row r="165" spans="3:9" ht="18" outlineLevel="1" x14ac:dyDescent="0.4">
      <c r="C165" s="290"/>
      <c r="D165" s="142" t="s">
        <v>433</v>
      </c>
      <c r="E165" s="142"/>
      <c r="F165" s="291">
        <v>10742191</v>
      </c>
      <c r="G165" s="291">
        <v>493951</v>
      </c>
      <c r="H165" s="165"/>
      <c r="I165" s="293">
        <f>[1]Ctb!H201-[1]N4!H138</f>
        <v>0</v>
      </c>
    </row>
    <row r="166" spans="3:9" ht="18.75" outlineLevel="1" x14ac:dyDescent="0.45">
      <c r="C166" s="280"/>
      <c r="D166" s="176"/>
      <c r="E166" s="142"/>
      <c r="F166" s="294">
        <f>SUM(F164:F165)</f>
        <v>15582583.640000001</v>
      </c>
      <c r="G166" s="294">
        <f>SUM(G164:G165)</f>
        <v>3044175</v>
      </c>
      <c r="H166" s="165"/>
      <c r="I166" s="180"/>
    </row>
    <row r="167" spans="3:9" ht="16.5" outlineLevel="1" x14ac:dyDescent="0.3">
      <c r="C167" s="283" t="s">
        <v>434</v>
      </c>
      <c r="D167" s="143" t="s">
        <v>489</v>
      </c>
      <c r="E167" s="142"/>
      <c r="F167" s="142"/>
      <c r="G167" s="142"/>
      <c r="H167" s="165"/>
      <c r="I167" s="180"/>
    </row>
    <row r="168" spans="3:9" ht="15.75" outlineLevel="1" x14ac:dyDescent="0.25">
      <c r="C168" s="280"/>
      <c r="D168" s="185" t="s">
        <v>435</v>
      </c>
      <c r="E168" s="142"/>
      <c r="F168" s="164">
        <v>2508031.2003339818</v>
      </c>
      <c r="G168" s="165">
        <v>1820215.2599531286</v>
      </c>
      <c r="H168" s="165"/>
      <c r="I168" s="180"/>
    </row>
    <row r="169" spans="3:9" ht="18" outlineLevel="1" x14ac:dyDescent="0.4">
      <c r="C169" s="280"/>
      <c r="D169" s="142" t="s">
        <v>436</v>
      </c>
      <c r="E169" s="142"/>
      <c r="F169" s="166">
        <v>0</v>
      </c>
      <c r="G169" s="167">
        <v>0</v>
      </c>
      <c r="H169" s="165"/>
      <c r="I169" s="180"/>
    </row>
    <row r="170" spans="3:9" ht="18.75" outlineLevel="1" x14ac:dyDescent="0.45">
      <c r="C170" s="280"/>
      <c r="D170" s="142"/>
      <c r="E170" s="142"/>
      <c r="F170" s="295">
        <f>SUM(F168:F169)</f>
        <v>2508031.2003339818</v>
      </c>
      <c r="G170" s="295">
        <f>SUM(G168:G169)</f>
        <v>1820215.2599531286</v>
      </c>
      <c r="H170" s="296"/>
      <c r="I170" s="180"/>
    </row>
    <row r="171" spans="3:9" ht="18.75" outlineLevel="1" x14ac:dyDescent="0.45">
      <c r="C171" s="297"/>
      <c r="D171" s="298" t="s">
        <v>490</v>
      </c>
      <c r="E171" s="169"/>
      <c r="F171" s="168"/>
      <c r="G171" s="169"/>
      <c r="H171" s="169"/>
      <c r="I171" s="180"/>
    </row>
    <row r="172" spans="3:9" ht="16.5" outlineLevel="1" x14ac:dyDescent="0.3">
      <c r="C172" s="299"/>
      <c r="D172" s="142" t="s">
        <v>437</v>
      </c>
      <c r="E172" s="151"/>
      <c r="F172" s="300">
        <f>G175</f>
        <v>-173207.74004687136</v>
      </c>
      <c r="G172" s="300">
        <v>-368423</v>
      </c>
      <c r="H172" s="165"/>
      <c r="I172" s="180"/>
    </row>
    <row r="173" spans="3:9" ht="16.5" outlineLevel="1" x14ac:dyDescent="0.3">
      <c r="C173" s="299"/>
      <c r="D173" s="142" t="s">
        <v>438</v>
      </c>
      <c r="E173" s="151"/>
      <c r="F173" s="300">
        <v>2508031.2003339818</v>
      </c>
      <c r="G173" s="300">
        <v>1820215.2599531286</v>
      </c>
      <c r="H173" s="165"/>
      <c r="I173" s="180"/>
    </row>
    <row r="174" spans="3:9" ht="18" outlineLevel="1" x14ac:dyDescent="0.4">
      <c r="C174" s="280"/>
      <c r="D174" s="142" t="s">
        <v>439</v>
      </c>
      <c r="E174" s="142"/>
      <c r="F174" s="301">
        <v>-2120100</v>
      </c>
      <c r="G174" s="301">
        <v>-1625000</v>
      </c>
      <c r="H174" s="165">
        <f>F174-G174</f>
        <v>-495100</v>
      </c>
      <c r="I174" s="180"/>
    </row>
    <row r="175" spans="3:9" ht="18.75"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outlineLevel="1" x14ac:dyDescent="0.3">
      <c r="C176" s="303" t="s">
        <v>441</v>
      </c>
      <c r="D176" s="304" t="s">
        <v>442</v>
      </c>
      <c r="E176" s="305"/>
      <c r="F176" s="305"/>
      <c r="G176" s="305"/>
      <c r="H176" s="165">
        <f>H175-F174</f>
        <v>-212010</v>
      </c>
      <c r="I176" s="180"/>
    </row>
    <row r="177" spans="3:9" ht="33" outlineLevel="1" x14ac:dyDescent="0.3">
      <c r="C177" s="297"/>
      <c r="D177" s="305"/>
      <c r="E177" s="177"/>
      <c r="F177" s="306" t="s">
        <v>443</v>
      </c>
      <c r="G177" s="177"/>
      <c r="H177" s="165">
        <v>214723.46028711041</v>
      </c>
      <c r="I177" s="180"/>
    </row>
    <row r="178" spans="3:9" ht="16.5" outlineLevel="1" x14ac:dyDescent="0.3">
      <c r="C178" s="297"/>
      <c r="D178" s="305"/>
      <c r="E178" s="177" t="s">
        <v>394</v>
      </c>
      <c r="F178" s="306"/>
      <c r="G178" s="177" t="s">
        <v>394</v>
      </c>
      <c r="H178" s="165">
        <v>2713.4602871104144</v>
      </c>
      <c r="I178" s="180"/>
    </row>
    <row r="179" spans="3:9" ht="16.5" outlineLevel="1" x14ac:dyDescent="0.3">
      <c r="C179" s="297"/>
      <c r="D179" s="176" t="s">
        <v>444</v>
      </c>
      <c r="E179" s="307">
        <v>219758.97</v>
      </c>
      <c r="F179" s="286">
        <f>E179-G179</f>
        <v>31222.97</v>
      </c>
      <c r="G179" s="308">
        <v>188536</v>
      </c>
      <c r="H179" s="309">
        <v>9044.8676237013806</v>
      </c>
      <c r="I179" s="180"/>
    </row>
    <row r="180" spans="3:9" ht="16.5" outlineLevel="1" x14ac:dyDescent="0.3">
      <c r="C180" s="297"/>
      <c r="D180" s="176" t="s">
        <v>445</v>
      </c>
      <c r="E180" s="307">
        <v>5722422.040000001</v>
      </c>
      <c r="F180" s="286">
        <f>E180-G180</f>
        <v>2371207.830000001</v>
      </c>
      <c r="G180" s="308">
        <v>3351214.21</v>
      </c>
      <c r="H180" s="165"/>
      <c r="I180" s="180"/>
    </row>
    <row r="181" spans="3:9" ht="18" outlineLevel="1" x14ac:dyDescent="0.4">
      <c r="C181" s="297"/>
      <c r="D181" s="176" t="s">
        <v>446</v>
      </c>
      <c r="E181" s="310">
        <v>-3699952.7</v>
      </c>
      <c r="F181" s="291">
        <f>E181-G181</f>
        <v>-7513.9000000003725</v>
      </c>
      <c r="G181" s="311">
        <v>-3692438.8</v>
      </c>
      <c r="H181" s="165"/>
      <c r="I181" s="180"/>
    </row>
    <row r="182" spans="3:9" ht="18.75" outlineLevel="1" x14ac:dyDescent="0.45">
      <c r="C182" s="297"/>
      <c r="D182" s="176"/>
      <c r="E182" s="312">
        <f>SUM(E179:E181)</f>
        <v>2242228.3100000005</v>
      </c>
      <c r="F182" s="312">
        <f>SUM(F179:F181)</f>
        <v>2394916.9000000008</v>
      </c>
      <c r="G182" s="312">
        <f>SUM(G179:G181)</f>
        <v>-152688.58999999985</v>
      </c>
      <c r="H182" s="165"/>
      <c r="I182" s="180"/>
    </row>
    <row r="183" spans="3:9" outlineLevel="1" x14ac:dyDescent="0.25">
      <c r="C183" s="231"/>
      <c r="I183" s="215"/>
    </row>
    <row r="184" spans="3:9" outlineLevel="1" x14ac:dyDescent="0.25">
      <c r="C184" s="231"/>
      <c r="I184" s="215"/>
    </row>
    <row r="185" spans="3:9" ht="15.75" outlineLevel="1" thickBot="1" x14ac:dyDescent="0.3">
      <c r="C185" s="202"/>
      <c r="D185" s="203"/>
      <c r="E185" s="203"/>
      <c r="F185" s="203"/>
      <c r="G185" s="203"/>
      <c r="H185" s="203"/>
      <c r="I185" s="204"/>
    </row>
    <row r="186" spans="3:9" outlineLevel="1" x14ac:dyDescent="0.25"/>
    <row r="187" spans="3:9" outlineLevel="1" x14ac:dyDescent="0.25"/>
    <row r="188" spans="3:9" outlineLevel="1" x14ac:dyDescent="0.25"/>
    <row r="190" spans="3:9" ht="15.75" outlineLevel="1" thickBot="1" x14ac:dyDescent="0.3"/>
    <row r="191" spans="3:9" ht="16.5" outlineLevel="1" x14ac:dyDescent="0.25">
      <c r="C191" s="635" t="s">
        <v>358</v>
      </c>
      <c r="D191" s="636"/>
      <c r="E191" s="636"/>
      <c r="F191" s="636"/>
      <c r="G191" s="636"/>
      <c r="H191" s="636"/>
      <c r="I191" s="637"/>
    </row>
    <row r="192" spans="3:9" ht="16.5" outlineLevel="1" x14ac:dyDescent="0.25">
      <c r="C192" s="638" t="s">
        <v>378</v>
      </c>
      <c r="D192" s="639"/>
      <c r="E192" s="639"/>
      <c r="F192" s="639"/>
      <c r="G192" s="639"/>
      <c r="H192" s="639"/>
      <c r="I192" s="640"/>
    </row>
    <row r="193" spans="3:9" ht="16.5" outlineLevel="1" x14ac:dyDescent="0.25">
      <c r="C193" s="650" t="s">
        <v>492</v>
      </c>
      <c r="D193" s="651"/>
      <c r="E193" s="651"/>
      <c r="F193" s="651"/>
      <c r="G193" s="651"/>
      <c r="H193" s="651"/>
      <c r="I193" s="652"/>
    </row>
    <row r="194" spans="3:9" ht="16.5" outlineLevel="1" x14ac:dyDescent="0.3">
      <c r="C194" s="209" t="s">
        <v>379</v>
      </c>
      <c r="D194" s="153"/>
      <c r="E194" s="153"/>
      <c r="F194" s="153"/>
      <c r="G194" s="153"/>
      <c r="H194" s="153"/>
      <c r="I194" s="215"/>
    </row>
    <row r="195" spans="3:9" ht="16.5" outlineLevel="1" x14ac:dyDescent="0.3">
      <c r="C195" s="209"/>
      <c r="D195" s="153"/>
      <c r="E195" s="153"/>
      <c r="F195" s="153"/>
      <c r="G195" s="163"/>
      <c r="H195" s="163"/>
      <c r="I195" s="215"/>
    </row>
    <row r="196" spans="3:9" ht="16.5" outlineLevel="1" x14ac:dyDescent="0.3">
      <c r="C196" s="299"/>
      <c r="D196" s="313"/>
      <c r="E196" s="163" t="s">
        <v>394</v>
      </c>
      <c r="F196" s="163" t="s">
        <v>394</v>
      </c>
      <c r="I196" s="215"/>
    </row>
    <row r="197" spans="3:9" ht="16.5" outlineLevel="1" x14ac:dyDescent="0.3">
      <c r="C197" s="303" t="s">
        <v>447</v>
      </c>
      <c r="D197" s="143" t="s">
        <v>448</v>
      </c>
      <c r="E197" s="153"/>
      <c r="F197" s="153"/>
      <c r="I197" s="215"/>
    </row>
    <row r="198" spans="3:9" ht="16.5" outlineLevel="1" x14ac:dyDescent="0.3">
      <c r="C198" s="297"/>
      <c r="D198" s="142" t="s">
        <v>449</v>
      </c>
      <c r="E198" s="164">
        <v>8341040.6232255083</v>
      </c>
      <c r="F198" s="164">
        <v>6071289.5797777474</v>
      </c>
      <c r="I198" s="215"/>
    </row>
    <row r="199" spans="3:9" ht="16.5" outlineLevel="1" x14ac:dyDescent="0.3">
      <c r="C199" s="297"/>
      <c r="D199" s="142" t="s">
        <v>450</v>
      </c>
      <c r="E199" s="164">
        <v>409278.51677448238</v>
      </c>
      <c r="F199" s="165">
        <v>223810.43022226563</v>
      </c>
      <c r="I199" s="215"/>
    </row>
    <row r="200" spans="3:9" ht="18" outlineLevel="1" x14ac:dyDescent="0.4">
      <c r="C200" s="297"/>
      <c r="D200" s="142" t="s">
        <v>451</v>
      </c>
      <c r="E200" s="166">
        <v>-251562.5</v>
      </c>
      <c r="F200" s="167">
        <v>0</v>
      </c>
      <c r="I200" s="215"/>
    </row>
    <row r="201" spans="3:9" ht="16.5" outlineLevel="1" x14ac:dyDescent="0.3">
      <c r="C201" s="297"/>
      <c r="D201" s="142" t="s">
        <v>452</v>
      </c>
      <c r="E201" s="164">
        <f>SUM(E198:E200)</f>
        <v>8498756.6399999913</v>
      </c>
      <c r="F201" s="164">
        <f>SUM(F198:F200)</f>
        <v>6295100.0100000128</v>
      </c>
      <c r="I201" s="215"/>
    </row>
    <row r="202" spans="3:9" ht="18.75" outlineLevel="1" x14ac:dyDescent="0.45">
      <c r="C202" s="297"/>
      <c r="D202" s="143" t="s">
        <v>453</v>
      </c>
      <c r="E202" s="168"/>
      <c r="F202" s="169"/>
      <c r="I202" s="215"/>
    </row>
    <row r="203" spans="3:9" ht="16.5" outlineLevel="1" x14ac:dyDescent="0.3">
      <c r="C203" s="297"/>
      <c r="D203" s="142" t="s">
        <v>454</v>
      </c>
      <c r="E203" s="164">
        <v>-6706659</v>
      </c>
      <c r="F203" s="165">
        <v>1007245</v>
      </c>
      <c r="I203" s="215"/>
    </row>
    <row r="204" spans="3:9" ht="16.5" outlineLevel="1" x14ac:dyDescent="0.3">
      <c r="C204" s="297"/>
      <c r="D204" s="142" t="s">
        <v>455</v>
      </c>
      <c r="E204" s="164">
        <v>-7720742.6699999999</v>
      </c>
      <c r="F204" s="165">
        <v>13927484.049999999</v>
      </c>
      <c r="I204" s="215"/>
    </row>
    <row r="205" spans="3:9" ht="18" outlineLevel="1" x14ac:dyDescent="0.4">
      <c r="C205" s="297"/>
      <c r="D205" s="142" t="s">
        <v>456</v>
      </c>
      <c r="E205" s="166">
        <v>12538408.640000001</v>
      </c>
      <c r="F205" s="167">
        <v>-11794430.57</v>
      </c>
      <c r="I205" s="215"/>
    </row>
    <row r="206" spans="3:9" ht="16.5" outlineLevel="1" x14ac:dyDescent="0.3">
      <c r="C206" s="297"/>
      <c r="D206" s="150" t="s">
        <v>457</v>
      </c>
      <c r="E206" s="314">
        <f>SUM(E201:E205)</f>
        <v>6609763.609999992</v>
      </c>
      <c r="F206" s="314">
        <f>SUM(F201:F205)</f>
        <v>9435398.4900000095</v>
      </c>
      <c r="I206" s="215"/>
    </row>
    <row r="207" spans="3:9" ht="16.5" outlineLevel="1" x14ac:dyDescent="0.3">
      <c r="C207" s="303" t="s">
        <v>458</v>
      </c>
      <c r="D207" s="159" t="s">
        <v>459</v>
      </c>
      <c r="E207" s="159"/>
      <c r="F207" s="315"/>
      <c r="G207" s="170"/>
      <c r="H207" s="171"/>
      <c r="I207" s="215"/>
    </row>
    <row r="208" spans="3:9" ht="16.5" outlineLevel="1" x14ac:dyDescent="0.3">
      <c r="C208" s="297"/>
      <c r="D208" s="647" t="s">
        <v>460</v>
      </c>
      <c r="E208" s="647"/>
      <c r="F208" s="647"/>
      <c r="G208" s="647"/>
      <c r="H208" s="647"/>
      <c r="I208" s="215"/>
    </row>
    <row r="209" spans="3:9" ht="16.5" outlineLevel="1" x14ac:dyDescent="0.3">
      <c r="C209" s="303" t="s">
        <v>461</v>
      </c>
      <c r="D209" s="143" t="s">
        <v>462</v>
      </c>
      <c r="E209" s="143"/>
      <c r="F209" s="316"/>
      <c r="G209" s="316"/>
      <c r="H209" s="316"/>
      <c r="I209" s="215"/>
    </row>
    <row r="210" spans="3:9" ht="15.75" outlineLevel="1" x14ac:dyDescent="0.25">
      <c r="C210" s="280"/>
      <c r="D210" s="664" t="s">
        <v>491</v>
      </c>
      <c r="E210" s="664"/>
      <c r="F210" s="664"/>
      <c r="G210" s="664"/>
      <c r="H210" s="664"/>
      <c r="I210" s="215"/>
    </row>
    <row r="211" spans="3:9" ht="15.75" outlineLevel="1" x14ac:dyDescent="0.25">
      <c r="C211" s="290"/>
      <c r="D211" s="664"/>
      <c r="E211" s="664"/>
      <c r="F211" s="664"/>
      <c r="G211" s="664"/>
      <c r="H211" s="664"/>
      <c r="I211" s="215"/>
    </row>
    <row r="212" spans="3:9" ht="15.75" outlineLevel="1" x14ac:dyDescent="0.25">
      <c r="C212" s="290"/>
      <c r="D212" s="664"/>
      <c r="E212" s="664"/>
      <c r="F212" s="664"/>
      <c r="G212" s="664"/>
      <c r="H212" s="664"/>
      <c r="I212" s="215"/>
    </row>
    <row r="213" spans="3:9" ht="15.75" outlineLevel="1" x14ac:dyDescent="0.25">
      <c r="C213" s="290"/>
      <c r="D213" s="664"/>
      <c r="E213" s="664"/>
      <c r="F213" s="664"/>
      <c r="G213" s="664"/>
      <c r="H213" s="664"/>
      <c r="I213" s="215"/>
    </row>
    <row r="214" spans="3:9" ht="16.5" outlineLevel="1" x14ac:dyDescent="0.3">
      <c r="C214" s="297" t="s">
        <v>463</v>
      </c>
      <c r="D214" s="317" t="s">
        <v>464</v>
      </c>
      <c r="E214" s="142"/>
      <c r="F214" s="142"/>
      <c r="G214" s="142"/>
      <c r="H214" s="142"/>
      <c r="I214" s="215"/>
    </row>
    <row r="215" spans="3:9" ht="15.75" outlineLevel="1" x14ac:dyDescent="0.25">
      <c r="C215" s="290"/>
      <c r="D215" s="664" t="s">
        <v>465</v>
      </c>
      <c r="E215" s="664"/>
      <c r="F215" s="664"/>
      <c r="G215" s="664"/>
      <c r="H215" s="664"/>
      <c r="I215" s="215"/>
    </row>
    <row r="216" spans="3:9" ht="15.75" outlineLevel="1" x14ac:dyDescent="0.25">
      <c r="C216" s="290"/>
      <c r="D216" s="664"/>
      <c r="E216" s="664"/>
      <c r="F216" s="664"/>
      <c r="G216" s="664"/>
      <c r="H216" s="664"/>
      <c r="I216" s="215"/>
    </row>
    <row r="217" spans="3:9" outlineLevel="1" x14ac:dyDescent="0.25">
      <c r="C217" s="231"/>
      <c r="I217" s="215"/>
    </row>
    <row r="218" spans="3:9" outlineLevel="1" x14ac:dyDescent="0.25">
      <c r="C218" s="231"/>
      <c r="I218" s="215"/>
    </row>
    <row r="219" spans="3:9" outlineLevel="1" x14ac:dyDescent="0.25">
      <c r="C219" s="231"/>
      <c r="I219" s="215"/>
    </row>
    <row r="220" spans="3:9" ht="15.75" outlineLevel="1" thickBot="1" x14ac:dyDescent="0.3">
      <c r="C220" s="202"/>
      <c r="D220" s="203"/>
      <c r="E220" s="203"/>
      <c r="F220" s="203"/>
      <c r="G220" s="203"/>
      <c r="H220" s="203"/>
      <c r="I220" s="204"/>
    </row>
    <row r="221" spans="3:9" outlineLevel="1" x14ac:dyDescent="0.25"/>
    <row r="222" spans="3:9" outlineLevel="1" x14ac:dyDescent="0.25"/>
    <row r="224" spans="3:9" ht="15.75" outlineLevel="1" thickBot="1" x14ac:dyDescent="0.3"/>
    <row r="225" spans="3:9" ht="16.5" outlineLevel="1" x14ac:dyDescent="0.25">
      <c r="C225" s="635" t="s">
        <v>358</v>
      </c>
      <c r="D225" s="636"/>
      <c r="E225" s="636"/>
      <c r="F225" s="636"/>
      <c r="G225" s="636"/>
      <c r="H225" s="636"/>
      <c r="I225" s="637"/>
    </row>
    <row r="226" spans="3:9" ht="16.5" outlineLevel="1" x14ac:dyDescent="0.25">
      <c r="C226" s="638" t="s">
        <v>494</v>
      </c>
      <c r="D226" s="639"/>
      <c r="E226" s="639"/>
      <c r="F226" s="639"/>
      <c r="G226" s="639"/>
      <c r="H226" s="639"/>
      <c r="I226" s="640"/>
    </row>
    <row r="227" spans="3:9" ht="17.25" outlineLevel="1" thickBot="1" x14ac:dyDescent="0.3">
      <c r="C227" s="641" t="s">
        <v>492</v>
      </c>
      <c r="D227" s="642"/>
      <c r="E227" s="642"/>
      <c r="F227" s="642"/>
      <c r="G227" s="642"/>
      <c r="H227" s="642"/>
      <c r="I227" s="643"/>
    </row>
    <row r="228" spans="3:9" outlineLevel="1" x14ac:dyDescent="0.25">
      <c r="C228" s="231"/>
      <c r="I228" s="215"/>
    </row>
    <row r="229" spans="3:9" outlineLevel="1" x14ac:dyDescent="0.25">
      <c r="C229" s="231"/>
      <c r="I229" s="215"/>
    </row>
    <row r="230" spans="3:9" outlineLevel="1" x14ac:dyDescent="0.25">
      <c r="C230" s="231"/>
      <c r="I230" s="215"/>
    </row>
    <row r="231" spans="3:9" outlineLevel="1" x14ac:dyDescent="0.25">
      <c r="C231" s="231"/>
      <c r="I231" s="215"/>
    </row>
    <row r="232" spans="3:9" outlineLevel="1" x14ac:dyDescent="0.25">
      <c r="C232" s="231"/>
      <c r="I232" s="215"/>
    </row>
    <row r="233" spans="3:9" outlineLevel="1" x14ac:dyDescent="0.25">
      <c r="C233" s="231"/>
      <c r="I233" s="215"/>
    </row>
    <row r="234" spans="3:9" outlineLevel="1" x14ac:dyDescent="0.25">
      <c r="C234" s="231"/>
      <c r="I234" s="215"/>
    </row>
    <row r="235" spans="3:9" outlineLevel="1" x14ac:dyDescent="0.25">
      <c r="C235" s="231"/>
      <c r="I235" s="215"/>
    </row>
    <row r="236" spans="3:9" outlineLevel="1" x14ac:dyDescent="0.25">
      <c r="C236" s="231"/>
      <c r="I236" s="215"/>
    </row>
    <row r="237" spans="3:9" outlineLevel="1" x14ac:dyDescent="0.25">
      <c r="C237" s="231"/>
      <c r="I237" s="215"/>
    </row>
    <row r="238" spans="3:9" outlineLevel="1" x14ac:dyDescent="0.25">
      <c r="C238" s="231"/>
      <c r="I238" s="215"/>
    </row>
    <row r="239" spans="3:9" outlineLevel="1" x14ac:dyDescent="0.25">
      <c r="C239" s="231"/>
      <c r="I239" s="215"/>
    </row>
    <row r="240" spans="3:9" outlineLevel="1" x14ac:dyDescent="0.25">
      <c r="C240" s="231"/>
      <c r="I240" s="215"/>
    </row>
    <row r="241" spans="3:9" outlineLevel="1" x14ac:dyDescent="0.25">
      <c r="C241" s="231"/>
      <c r="I241" s="215"/>
    </row>
    <row r="242" spans="3:9" outlineLevel="1" x14ac:dyDescent="0.25">
      <c r="C242" s="231"/>
      <c r="I242" s="215"/>
    </row>
    <row r="243" spans="3:9" outlineLevel="1" x14ac:dyDescent="0.25">
      <c r="C243" s="231"/>
      <c r="I243" s="215"/>
    </row>
    <row r="244" spans="3:9" outlineLevel="1" x14ac:dyDescent="0.25">
      <c r="C244" s="231"/>
      <c r="I244" s="215"/>
    </row>
    <row r="245" spans="3:9" outlineLevel="1" x14ac:dyDescent="0.25">
      <c r="C245" s="231"/>
      <c r="I245" s="215"/>
    </row>
    <row r="246" spans="3:9" outlineLevel="1" x14ac:dyDescent="0.25">
      <c r="C246" s="231"/>
      <c r="I246" s="215"/>
    </row>
    <row r="247" spans="3:9" outlineLevel="1" x14ac:dyDescent="0.25">
      <c r="C247" s="231"/>
      <c r="I247" s="215"/>
    </row>
    <row r="248" spans="3:9" outlineLevel="1" x14ac:dyDescent="0.25">
      <c r="C248" s="231"/>
      <c r="I248" s="215"/>
    </row>
    <row r="249" spans="3:9" outlineLevel="1" x14ac:dyDescent="0.25">
      <c r="C249" s="231"/>
      <c r="I249" s="215"/>
    </row>
    <row r="250" spans="3:9" outlineLevel="1" x14ac:dyDescent="0.25">
      <c r="C250" s="231"/>
      <c r="I250" s="215"/>
    </row>
    <row r="251" spans="3:9" outlineLevel="1" x14ac:dyDescent="0.25">
      <c r="C251" s="231"/>
      <c r="I251" s="215"/>
    </row>
    <row r="252" spans="3:9" outlineLevel="1" x14ac:dyDescent="0.25">
      <c r="C252" s="231"/>
      <c r="I252" s="215"/>
    </row>
    <row r="253" spans="3:9" outlineLevel="1" x14ac:dyDescent="0.25">
      <c r="C253" s="231"/>
      <c r="I253" s="215"/>
    </row>
    <row r="254" spans="3:9" outlineLevel="1" x14ac:dyDescent="0.25">
      <c r="C254" s="231"/>
      <c r="I254" s="215"/>
    </row>
    <row r="255" spans="3:9" outlineLevel="1" x14ac:dyDescent="0.25">
      <c r="C255" s="231"/>
      <c r="I255" s="215"/>
    </row>
    <row r="256" spans="3:9" outlineLevel="1" x14ac:dyDescent="0.25">
      <c r="C256" s="231"/>
      <c r="I256" s="215"/>
    </row>
    <row r="257" spans="3:9" outlineLevel="1" x14ac:dyDescent="0.25">
      <c r="C257" s="231"/>
      <c r="I257" s="215"/>
    </row>
    <row r="258" spans="3:9" outlineLevel="1" x14ac:dyDescent="0.25">
      <c r="C258" s="231"/>
      <c r="I258" s="215"/>
    </row>
    <row r="259" spans="3:9" outlineLevel="1" x14ac:dyDescent="0.25">
      <c r="C259" s="231"/>
      <c r="I259" s="215"/>
    </row>
    <row r="260" spans="3:9" outlineLevel="1" x14ac:dyDescent="0.25">
      <c r="C260" s="231"/>
      <c r="I260" s="215"/>
    </row>
    <row r="261" spans="3:9" outlineLevel="1" x14ac:dyDescent="0.25">
      <c r="C261" s="231"/>
      <c r="I261" s="215"/>
    </row>
    <row r="262" spans="3:9" outlineLevel="1" x14ac:dyDescent="0.25">
      <c r="C262" s="231"/>
      <c r="I262" s="215"/>
    </row>
    <row r="263" spans="3:9" outlineLevel="1" x14ac:dyDescent="0.25">
      <c r="C263" s="231"/>
      <c r="I263" s="215"/>
    </row>
    <row r="264" spans="3:9" outlineLevel="1" x14ac:dyDescent="0.25">
      <c r="C264" s="231"/>
      <c r="I264" s="215"/>
    </row>
    <row r="265" spans="3:9" outlineLevel="1" x14ac:dyDescent="0.25">
      <c r="C265" s="231"/>
      <c r="I265" s="215"/>
    </row>
    <row r="266" spans="3:9" outlineLevel="1" x14ac:dyDescent="0.25">
      <c r="C266" s="231"/>
      <c r="I266" s="215"/>
    </row>
    <row r="267" spans="3:9" outlineLevel="1" x14ac:dyDescent="0.25">
      <c r="C267" s="231"/>
      <c r="I267" s="215"/>
    </row>
    <row r="268" spans="3:9" outlineLevel="1" x14ac:dyDescent="0.25">
      <c r="C268" s="231"/>
      <c r="I268" s="215"/>
    </row>
    <row r="269" spans="3:9" outlineLevel="1" x14ac:dyDescent="0.25">
      <c r="C269" s="231"/>
      <c r="I269" s="215"/>
    </row>
    <row r="270" spans="3:9" outlineLevel="1" x14ac:dyDescent="0.25">
      <c r="C270" s="231"/>
      <c r="I270" s="215"/>
    </row>
    <row r="271" spans="3:9" outlineLevel="1" x14ac:dyDescent="0.25">
      <c r="C271" s="231"/>
      <c r="I271" s="215"/>
    </row>
    <row r="272" spans="3:9" outlineLevel="1" x14ac:dyDescent="0.25">
      <c r="C272" s="231"/>
      <c r="I272" s="215"/>
    </row>
    <row r="273" spans="3:9" outlineLevel="1" x14ac:dyDescent="0.25">
      <c r="C273" s="231"/>
      <c r="I273" s="215"/>
    </row>
    <row r="274" spans="3:9" outlineLevel="1" x14ac:dyDescent="0.25">
      <c r="C274" s="231"/>
      <c r="I274" s="215"/>
    </row>
    <row r="275" spans="3:9" outlineLevel="1" x14ac:dyDescent="0.25">
      <c r="C275" s="231"/>
      <c r="I275" s="215"/>
    </row>
    <row r="276" spans="3:9" outlineLevel="1" x14ac:dyDescent="0.25">
      <c r="C276" s="231"/>
      <c r="I276" s="215"/>
    </row>
    <row r="277" spans="3:9" outlineLevel="1" x14ac:dyDescent="0.25">
      <c r="C277" s="231"/>
      <c r="I277" s="215"/>
    </row>
    <row r="278" spans="3:9" outlineLevel="1" x14ac:dyDescent="0.25">
      <c r="C278" s="231"/>
      <c r="I278" s="215"/>
    </row>
    <row r="279" spans="3:9" outlineLevel="1" x14ac:dyDescent="0.25">
      <c r="C279" s="231"/>
      <c r="I279" s="215"/>
    </row>
    <row r="280" spans="3:9" outlineLevel="1" x14ac:dyDescent="0.25">
      <c r="C280" s="231"/>
      <c r="I280" s="215"/>
    </row>
    <row r="281" spans="3:9" outlineLevel="1" x14ac:dyDescent="0.25">
      <c r="C281" s="231"/>
      <c r="I281" s="215"/>
    </row>
    <row r="282" spans="3:9" outlineLevel="1" x14ac:dyDescent="0.25">
      <c r="C282" s="231"/>
      <c r="I282" s="215"/>
    </row>
    <row r="283" spans="3:9" outlineLevel="1" x14ac:dyDescent="0.25">
      <c r="C283" s="231"/>
      <c r="I283" s="215"/>
    </row>
    <row r="284" spans="3:9" ht="15.75" outlineLevel="1" thickBot="1" x14ac:dyDescent="0.3">
      <c r="C284" s="202"/>
      <c r="D284" s="203"/>
      <c r="E284" s="203"/>
      <c r="F284" s="203"/>
      <c r="G284" s="203"/>
      <c r="H284" s="203"/>
      <c r="I284" s="204"/>
    </row>
    <row r="285" spans="3:9" outlineLevel="1" x14ac:dyDescent="0.25"/>
    <row r="286" spans="3:9" outlineLevel="1" x14ac:dyDescent="0.25"/>
    <row r="287" spans="3:9" outlineLevel="1" x14ac:dyDescent="0.25"/>
    <row r="288" spans="3:9" outlineLevel="1" x14ac:dyDescent="0.25"/>
    <row r="289" spans="3:9" outlineLevel="1" x14ac:dyDescent="0.25"/>
    <row r="290" spans="3:9" outlineLevel="1" x14ac:dyDescent="0.25"/>
    <row r="292" spans="3:9" ht="15.75" outlineLevel="1" thickBot="1" x14ac:dyDescent="0.3"/>
    <row r="293" spans="3:9" ht="16.5" outlineLevel="1" x14ac:dyDescent="0.25">
      <c r="C293" s="635" t="s">
        <v>358</v>
      </c>
      <c r="D293" s="636"/>
      <c r="E293" s="636"/>
      <c r="F293" s="636"/>
      <c r="G293" s="636"/>
      <c r="H293" s="636"/>
      <c r="I293" s="637"/>
    </row>
    <row r="294" spans="3:9" ht="16.5" outlineLevel="1" x14ac:dyDescent="0.25">
      <c r="C294" s="638" t="s">
        <v>495</v>
      </c>
      <c r="D294" s="639"/>
      <c r="E294" s="639"/>
      <c r="F294" s="639"/>
      <c r="G294" s="639"/>
      <c r="H294" s="639"/>
      <c r="I294" s="640"/>
    </row>
    <row r="295" spans="3:9" ht="17.25" outlineLevel="1" thickBot="1" x14ac:dyDescent="0.3">
      <c r="C295" s="641" t="s">
        <v>492</v>
      </c>
      <c r="D295" s="642"/>
      <c r="E295" s="642"/>
      <c r="F295" s="642"/>
      <c r="G295" s="642"/>
      <c r="H295" s="642"/>
      <c r="I295" s="643"/>
    </row>
    <row r="296" spans="3:9" outlineLevel="1" x14ac:dyDescent="0.25">
      <c r="C296" s="231"/>
      <c r="I296" s="215"/>
    </row>
    <row r="297" spans="3:9" outlineLevel="1" x14ac:dyDescent="0.25">
      <c r="C297" s="231"/>
      <c r="I297" s="215"/>
    </row>
    <row r="298" spans="3:9" outlineLevel="1" x14ac:dyDescent="0.25">
      <c r="C298" s="231"/>
      <c r="I298" s="215"/>
    </row>
    <row r="299" spans="3:9" ht="16.5" outlineLevel="1" x14ac:dyDescent="0.3">
      <c r="C299" s="231"/>
      <c r="D299" s="142"/>
      <c r="E299" s="142"/>
      <c r="F299" s="142"/>
      <c r="G299" s="142"/>
      <c r="H299" s="192" t="s">
        <v>394</v>
      </c>
      <c r="I299" s="215"/>
    </row>
    <row r="300" spans="3:9" ht="15.75" outlineLevel="1" x14ac:dyDescent="0.25">
      <c r="C300" s="231"/>
      <c r="D300" s="142" t="str">
        <f>IF(H300&lt;0,"Profit","Profit")&amp;" as per financial statements"</f>
        <v>Profit as per financial statements</v>
      </c>
      <c r="E300" s="142"/>
      <c r="F300" s="142"/>
      <c r="G300" s="319"/>
      <c r="H300" s="320">
        <v>8341040.6232255083</v>
      </c>
      <c r="I300" s="215"/>
    </row>
    <row r="301" spans="3:9" ht="16.5" outlineLevel="1" x14ac:dyDescent="0.3">
      <c r="C301" s="231"/>
      <c r="D301" s="143" t="s">
        <v>496</v>
      </c>
      <c r="E301" s="142"/>
      <c r="F301" s="142"/>
      <c r="G301" s="142"/>
      <c r="H301" s="320"/>
      <c r="I301" s="215"/>
    </row>
    <row r="302" spans="3:9" ht="15.75" outlineLevel="1" x14ac:dyDescent="0.25">
      <c r="C302" s="231"/>
      <c r="D302" s="142" t="s">
        <v>497</v>
      </c>
      <c r="E302" s="142"/>
      <c r="F302" s="142"/>
      <c r="G302" s="142"/>
      <c r="H302" s="320">
        <v>2000</v>
      </c>
      <c r="I302" s="215"/>
    </row>
    <row r="303" spans="3:9" ht="18" outlineLevel="1" x14ac:dyDescent="0.4">
      <c r="C303" s="231"/>
      <c r="D303" s="142" t="s">
        <v>411</v>
      </c>
      <c r="E303" s="142"/>
      <c r="F303" s="142"/>
      <c r="G303" s="142"/>
      <c r="H303" s="321">
        <v>409278.51677448238</v>
      </c>
      <c r="I303" s="215"/>
    </row>
    <row r="304" spans="3:9" ht="15.75" outlineLevel="1" x14ac:dyDescent="0.25">
      <c r="C304" s="231"/>
      <c r="D304" s="142"/>
      <c r="E304" s="142"/>
      <c r="F304" s="142"/>
      <c r="G304" s="142"/>
      <c r="H304" s="165">
        <v>8752319.1399999913</v>
      </c>
      <c r="I304" s="215"/>
    </row>
    <row r="305" spans="3:9" ht="16.5" outlineLevel="1" x14ac:dyDescent="0.3">
      <c r="C305" s="231"/>
      <c r="D305" s="142" t="s">
        <v>498</v>
      </c>
      <c r="E305" s="142"/>
      <c r="F305" s="142"/>
      <c r="G305" s="142"/>
      <c r="H305" s="165"/>
      <c r="I305" s="215"/>
    </row>
    <row r="306" spans="3:9" ht="18" outlineLevel="1" x14ac:dyDescent="0.4">
      <c r="C306" s="231"/>
      <c r="D306" s="142" t="s">
        <v>499</v>
      </c>
      <c r="E306" s="142"/>
      <c r="F306" s="142"/>
      <c r="G306" s="322"/>
      <c r="H306" s="321">
        <v>392215.13888671878</v>
      </c>
      <c r="I306" s="215"/>
    </row>
    <row r="307" spans="3:9" ht="18.75" outlineLevel="1" x14ac:dyDescent="0.45">
      <c r="C307" s="231"/>
      <c r="D307" s="150" t="s">
        <v>500</v>
      </c>
      <c r="E307" s="320"/>
      <c r="F307" s="320"/>
      <c r="G307" s="142"/>
      <c r="H307" s="323">
        <v>8360104.0011132723</v>
      </c>
      <c r="I307" s="215"/>
    </row>
    <row r="308" spans="3:9" ht="18" outlineLevel="1" x14ac:dyDescent="0.4">
      <c r="C308" s="231"/>
      <c r="D308" s="324" t="s">
        <v>501</v>
      </c>
      <c r="E308" s="320"/>
      <c r="F308" s="320"/>
      <c r="G308" s="142"/>
      <c r="H308" s="325"/>
      <c r="I308" s="215"/>
    </row>
    <row r="309" spans="3:9" ht="18.75" outlineLevel="1" x14ac:dyDescent="0.45">
      <c r="C309" s="231"/>
      <c r="D309" s="142" t="s">
        <v>502</v>
      </c>
      <c r="E309" s="320"/>
      <c r="F309" s="320"/>
      <c r="G309" s="142"/>
      <c r="H309" s="295">
        <v>8360104.0011132723</v>
      </c>
      <c r="I309" s="215"/>
    </row>
    <row r="310" spans="3:9" ht="15.75" outlineLevel="1" x14ac:dyDescent="0.25">
      <c r="C310" s="231"/>
      <c r="D310" s="142" t="s">
        <v>503</v>
      </c>
      <c r="E310" s="320"/>
      <c r="F310" s="320"/>
      <c r="G310" s="142"/>
      <c r="H310" s="319">
        <v>2508031.2003339818</v>
      </c>
      <c r="I310" s="215"/>
    </row>
    <row r="311" spans="3:9" ht="15.75" outlineLevel="1" x14ac:dyDescent="0.25">
      <c r="C311" s="231"/>
      <c r="D311" s="142" t="s">
        <v>504</v>
      </c>
      <c r="E311" s="320"/>
      <c r="F311" s="320"/>
      <c r="G311" s="142"/>
      <c r="H311" s="319">
        <v>-115200</v>
      </c>
      <c r="I311" s="215"/>
    </row>
    <row r="312" spans="3:9" ht="15.75" outlineLevel="1" x14ac:dyDescent="0.25">
      <c r="C312" s="231"/>
      <c r="D312" s="142" t="s">
        <v>505</v>
      </c>
      <c r="E312" s="320"/>
      <c r="F312" s="320"/>
      <c r="G312" s="142"/>
      <c r="H312" s="319">
        <v>-173207.74004687136</v>
      </c>
      <c r="I312" s="215"/>
    </row>
    <row r="313" spans="3:9" ht="18" outlineLevel="1" x14ac:dyDescent="0.4">
      <c r="C313" s="231"/>
      <c r="D313" s="142" t="s">
        <v>506</v>
      </c>
      <c r="E313" s="320"/>
      <c r="F313" s="320"/>
      <c r="G313" s="142"/>
      <c r="H313" s="325">
        <v>-2004900</v>
      </c>
      <c r="I313" s="215"/>
    </row>
    <row r="314" spans="3:9" ht="18.75" outlineLevel="1" x14ac:dyDescent="0.45">
      <c r="C314" s="231"/>
      <c r="D314" s="150" t="s">
        <v>507</v>
      </c>
      <c r="E314" s="320"/>
      <c r="F314" s="320"/>
      <c r="G314" s="142"/>
      <c r="H314" s="295">
        <v>214723.46028711041</v>
      </c>
      <c r="I314" s="215"/>
    </row>
    <row r="315" spans="3:9" ht="16.5" outlineLevel="1" x14ac:dyDescent="0.3">
      <c r="C315" s="231"/>
      <c r="D315" s="324" t="s">
        <v>508</v>
      </c>
      <c r="E315" s="324"/>
      <c r="F315" s="324"/>
      <c r="G315" s="326"/>
      <c r="H315" s="326"/>
      <c r="I315" s="215"/>
    </row>
    <row r="316" spans="3:9" ht="16.5" outlineLevel="1" x14ac:dyDescent="0.3">
      <c r="C316" s="231"/>
      <c r="D316" s="327"/>
      <c r="E316" s="328" t="s">
        <v>509</v>
      </c>
      <c r="F316" s="328" t="s">
        <v>510</v>
      </c>
      <c r="G316" s="328" t="s">
        <v>511</v>
      </c>
      <c r="H316" s="328" t="s">
        <v>60</v>
      </c>
      <c r="I316" s="215"/>
    </row>
    <row r="317" spans="3:9" ht="16.5" outlineLevel="1" x14ac:dyDescent="0.3">
      <c r="C317" s="231"/>
      <c r="D317" s="327"/>
      <c r="E317" s="329">
        <v>0.3</v>
      </c>
      <c r="F317" s="329">
        <v>0.25</v>
      </c>
      <c r="G317" s="330">
        <v>0.125</v>
      </c>
      <c r="H317" s="327"/>
      <c r="I317" s="215"/>
    </row>
    <row r="318" spans="3:9" ht="16.5" outlineLevel="1" x14ac:dyDescent="0.3">
      <c r="C318" s="231"/>
      <c r="D318" s="327"/>
      <c r="E318" s="331" t="s">
        <v>394</v>
      </c>
      <c r="F318" s="331" t="s">
        <v>394</v>
      </c>
      <c r="G318" s="331" t="s">
        <v>394</v>
      </c>
      <c r="H318" s="331" t="s">
        <v>394</v>
      </c>
      <c r="I318" s="215"/>
    </row>
    <row r="319" spans="3:9" ht="15.75" outlineLevel="1" x14ac:dyDescent="0.25">
      <c r="C319" s="231"/>
      <c r="D319" s="326" t="s">
        <v>512</v>
      </c>
      <c r="E319" s="320">
        <v>30375.1</v>
      </c>
      <c r="F319" s="320">
        <v>548437.5</v>
      </c>
      <c r="G319" s="320">
        <v>223197.87109375</v>
      </c>
      <c r="H319" s="320">
        <f>SUM(E319:G319)</f>
        <v>802010.47109374998</v>
      </c>
      <c r="I319" s="215"/>
    </row>
    <row r="320" spans="3:9" ht="15.75" outlineLevel="1" x14ac:dyDescent="0.25">
      <c r="C320" s="231"/>
      <c r="D320" s="326" t="s">
        <v>513</v>
      </c>
      <c r="E320" s="320">
        <v>0</v>
      </c>
      <c r="F320" s="320">
        <f>-800000</f>
        <v>-800000</v>
      </c>
      <c r="G320" s="320">
        <v>0</v>
      </c>
      <c r="H320" s="320">
        <f>SUM(E320:G320)</f>
        <v>-800000</v>
      </c>
      <c r="I320" s="215"/>
    </row>
    <row r="321" spans="3:9" ht="15.75" outlineLevel="1" x14ac:dyDescent="0.25">
      <c r="C321" s="231"/>
      <c r="D321" s="326" t="s">
        <v>514</v>
      </c>
      <c r="E321" s="332">
        <v>0</v>
      </c>
      <c r="F321" s="332">
        <v>1500000</v>
      </c>
      <c r="G321" s="332">
        <v>344748</v>
      </c>
      <c r="H321" s="332">
        <f>SUM(E321:G321)</f>
        <v>1844748</v>
      </c>
      <c r="I321" s="215"/>
    </row>
    <row r="322" spans="3:9" ht="15.75" outlineLevel="1" x14ac:dyDescent="0.25">
      <c r="C322" s="231"/>
      <c r="D322" s="326"/>
      <c r="E322" s="165">
        <f>SUM(E319:E321)</f>
        <v>30375.1</v>
      </c>
      <c r="F322" s="165">
        <f>SUM(F319:F321)</f>
        <v>1248437.5</v>
      </c>
      <c r="G322" s="165">
        <f>SUM(G319:G321)</f>
        <v>567945.87109375</v>
      </c>
      <c r="H322" s="165">
        <f>SUM(H319:H321)</f>
        <v>1846758.4710937501</v>
      </c>
      <c r="I322" s="215"/>
    </row>
    <row r="323" spans="3:9" ht="15.75"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outlineLevel="1" thickTop="1" x14ac:dyDescent="0.25">
      <c r="C325" s="231"/>
      <c r="I325" s="215"/>
    </row>
    <row r="326" spans="3:9" outlineLevel="1" x14ac:dyDescent="0.25">
      <c r="C326" s="231"/>
      <c r="I326" s="215"/>
    </row>
    <row r="327" spans="3:9" outlineLevel="1" x14ac:dyDescent="0.25">
      <c r="C327" s="231"/>
      <c r="I327" s="215"/>
    </row>
    <row r="328" spans="3:9" outlineLevel="1" x14ac:dyDescent="0.25">
      <c r="C328" s="231"/>
      <c r="I328" s="215"/>
    </row>
    <row r="329" spans="3:9" outlineLevel="1" x14ac:dyDescent="0.25">
      <c r="C329" s="231"/>
      <c r="I329" s="215"/>
    </row>
    <row r="330" spans="3:9" outlineLevel="1" x14ac:dyDescent="0.25">
      <c r="C330" s="231"/>
      <c r="I330" s="215"/>
    </row>
    <row r="331" spans="3:9" outlineLevel="1" x14ac:dyDescent="0.25">
      <c r="C331" s="231"/>
      <c r="I331" s="215"/>
    </row>
    <row r="332" spans="3:9" outlineLevel="1" x14ac:dyDescent="0.25">
      <c r="C332" s="231"/>
      <c r="I332" s="215"/>
    </row>
    <row r="333" spans="3:9" outlineLevel="1" x14ac:dyDescent="0.25">
      <c r="C333" s="231"/>
      <c r="I333" s="215"/>
    </row>
    <row r="334" spans="3:9" outlineLevel="1" x14ac:dyDescent="0.25">
      <c r="C334" s="231"/>
      <c r="I334" s="215"/>
    </row>
    <row r="335" spans="3:9" outlineLevel="1" x14ac:dyDescent="0.25">
      <c r="C335" s="231"/>
      <c r="I335" s="215"/>
    </row>
    <row r="336" spans="3:9" outlineLevel="1" x14ac:dyDescent="0.25">
      <c r="C336" s="231"/>
      <c r="I336" s="215"/>
    </row>
    <row r="337" spans="3:9" outlineLevel="1" x14ac:dyDescent="0.25">
      <c r="C337" s="231"/>
      <c r="I337" s="215"/>
    </row>
    <row r="338" spans="3:9" outlineLevel="1" x14ac:dyDescent="0.25">
      <c r="C338" s="231"/>
      <c r="I338" s="215"/>
    </row>
    <row r="339" spans="3:9" outlineLevel="1" x14ac:dyDescent="0.25">
      <c r="C339" s="231"/>
      <c r="I339" s="215"/>
    </row>
    <row r="340" spans="3:9" outlineLevel="1" x14ac:dyDescent="0.25">
      <c r="C340" s="231"/>
      <c r="I340" s="215"/>
    </row>
    <row r="341" spans="3:9" outlineLevel="1" x14ac:dyDescent="0.25">
      <c r="C341" s="231"/>
      <c r="I341" s="215"/>
    </row>
    <row r="342" spans="3:9" outlineLevel="1" x14ac:dyDescent="0.25">
      <c r="C342" s="231"/>
      <c r="I342" s="215"/>
    </row>
    <row r="343" spans="3:9" outlineLevel="1" x14ac:dyDescent="0.25">
      <c r="C343" s="231"/>
      <c r="I343" s="215"/>
    </row>
    <row r="344" spans="3:9" outlineLevel="1" x14ac:dyDescent="0.25">
      <c r="C344" s="231"/>
      <c r="I344" s="215"/>
    </row>
    <row r="345" spans="3:9" outlineLevel="1" x14ac:dyDescent="0.25">
      <c r="C345" s="231"/>
      <c r="I345" s="215"/>
    </row>
    <row r="346" spans="3:9" outlineLevel="1" x14ac:dyDescent="0.25">
      <c r="C346" s="231"/>
      <c r="I346" s="215"/>
    </row>
    <row r="347" spans="3:9" outlineLevel="1" x14ac:dyDescent="0.25">
      <c r="C347" s="231"/>
      <c r="I347" s="215"/>
    </row>
    <row r="348" spans="3:9" outlineLevel="1" x14ac:dyDescent="0.25">
      <c r="C348" s="231"/>
      <c r="I348" s="215"/>
    </row>
    <row r="349" spans="3:9" outlineLevel="1" x14ac:dyDescent="0.25">
      <c r="C349" s="231"/>
      <c r="I349" s="215"/>
    </row>
    <row r="350" spans="3:9" outlineLevel="1" x14ac:dyDescent="0.25">
      <c r="C350" s="231"/>
      <c r="I350" s="215"/>
    </row>
    <row r="351" spans="3:9" outlineLevel="1" x14ac:dyDescent="0.25">
      <c r="C351" s="231"/>
      <c r="I351" s="215"/>
    </row>
    <row r="352" spans="3:9" ht="15.75" outlineLevel="1" thickBot="1" x14ac:dyDescent="0.3">
      <c r="C352" s="202"/>
      <c r="D352" s="203"/>
      <c r="E352" s="203"/>
      <c r="F352" s="203"/>
      <c r="G352" s="203"/>
      <c r="H352" s="203"/>
      <c r="I352" s="204"/>
    </row>
    <row r="353" outlineLevel="1" x14ac:dyDescent="0.25"/>
    <row r="354" outlineLevel="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21" priority="1" stopIfTrue="1" operator="greaterThan">
      <formula>0</formula>
    </cfRule>
    <cfRule type="cellIs" dxfId="520" priority="2" stopIfTrue="1" operator="equal">
      <formula>0</formula>
    </cfRule>
  </conditionalFormatting>
  <dataValidations count="1">
    <dataValidation type="list" allowBlank="1" showInputMessage="1" showErrorMessage="1" sqref="A1" xr:uid="{00000000-0002-0000-1A00-000000000000}">
      <formula1>Year</formula1>
    </dataValidation>
  </dataValida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354"/>
  <sheetViews>
    <sheetView workbookViewId="0">
      <selection sqref="A1:XFD1048576"/>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outlineLevel="1" thickBot="1" x14ac:dyDescent="0.3"/>
    <row r="4" spans="1:11" ht="16.5" outlineLevel="1" x14ac:dyDescent="0.3">
      <c r="C4" s="635" t="s">
        <v>358</v>
      </c>
      <c r="D4" s="636"/>
      <c r="E4" s="636"/>
      <c r="F4" s="636"/>
      <c r="G4" s="636"/>
      <c r="H4" s="178"/>
      <c r="I4" s="179"/>
      <c r="J4" s="142"/>
      <c r="K4" s="142"/>
    </row>
    <row r="5" spans="1:11" ht="16.5" outlineLevel="1" x14ac:dyDescent="0.25">
      <c r="C5" s="638" t="s">
        <v>296</v>
      </c>
      <c r="D5" s="639"/>
      <c r="E5" s="639"/>
      <c r="F5" s="639"/>
      <c r="G5" s="639"/>
      <c r="H5" s="142"/>
      <c r="I5" s="180"/>
      <c r="J5" s="142"/>
      <c r="K5" s="142"/>
    </row>
    <row r="6" spans="1:11" ht="16.5" outlineLevel="1" x14ac:dyDescent="0.25">
      <c r="C6" s="650" t="str">
        <f>"FOR THE YEAR ENDED 31ST DECEMBER" &amp; " " &amp;$A$1</f>
        <v>FOR THE YEAR ENDED 31ST DECEMBER 2020</v>
      </c>
      <c r="D6" s="651"/>
      <c r="E6" s="651"/>
      <c r="F6" s="651"/>
      <c r="G6" s="651"/>
      <c r="H6" s="205"/>
      <c r="I6" s="206"/>
      <c r="J6" s="142"/>
      <c r="K6" s="142"/>
    </row>
    <row r="7" spans="1:11" ht="16.5" outlineLevel="1" x14ac:dyDescent="0.3">
      <c r="C7" s="181" t="s">
        <v>367</v>
      </c>
      <c r="D7" s="143" t="s">
        <v>368</v>
      </c>
      <c r="E7" s="142"/>
      <c r="F7" s="142"/>
      <c r="G7" s="142"/>
      <c r="H7" s="142"/>
      <c r="I7" s="180"/>
      <c r="J7" s="142"/>
      <c r="K7" s="142"/>
    </row>
    <row r="8" spans="1:11" ht="16.5" customHeight="1" outlineLevel="1" x14ac:dyDescent="0.3">
      <c r="C8" s="182"/>
      <c r="D8" s="657" t="s">
        <v>493</v>
      </c>
      <c r="E8" s="658"/>
      <c r="F8" s="658"/>
      <c r="G8" s="658"/>
      <c r="H8" s="172"/>
      <c r="I8" s="183"/>
      <c r="J8" s="172"/>
      <c r="K8" s="172"/>
    </row>
    <row r="9" spans="1:11" ht="16.5" outlineLevel="1" x14ac:dyDescent="0.3">
      <c r="C9" s="182"/>
      <c r="D9" s="658"/>
      <c r="E9" s="658"/>
      <c r="F9" s="658"/>
      <c r="G9" s="658"/>
      <c r="H9" s="144"/>
      <c r="I9" s="184"/>
      <c r="J9" s="144"/>
      <c r="K9" s="144"/>
    </row>
    <row r="10" spans="1:11" ht="16.5" outlineLevel="1" x14ac:dyDescent="0.3">
      <c r="C10" s="181" t="s">
        <v>369</v>
      </c>
      <c r="D10" s="143" t="s">
        <v>370</v>
      </c>
      <c r="E10" s="142"/>
      <c r="F10" s="185"/>
      <c r="G10" s="185"/>
      <c r="H10" s="186"/>
      <c r="I10" s="187"/>
      <c r="J10" s="145"/>
      <c r="K10" s="145"/>
    </row>
    <row r="11" spans="1:11" ht="16.5" customHeight="1" outlineLevel="1" x14ac:dyDescent="0.3">
      <c r="C11" s="188"/>
      <c r="D11" s="657" t="s">
        <v>466</v>
      </c>
      <c r="E11" s="657"/>
      <c r="F11" s="657"/>
      <c r="G11" s="657"/>
      <c r="H11" s="175"/>
      <c r="I11" s="189"/>
      <c r="J11" s="175"/>
      <c r="K11" s="175"/>
    </row>
    <row r="12" spans="1:11" ht="16.5" outlineLevel="1" x14ac:dyDescent="0.3">
      <c r="C12" s="188"/>
      <c r="D12" s="657"/>
      <c r="E12" s="657"/>
      <c r="F12" s="657"/>
      <c r="G12" s="657"/>
      <c r="H12" s="175"/>
      <c r="I12" s="189"/>
      <c r="J12" s="175"/>
      <c r="K12" s="175"/>
    </row>
    <row r="13" spans="1:11" ht="16.5" outlineLevel="1" x14ac:dyDescent="0.3">
      <c r="C13" s="188"/>
      <c r="D13" s="657"/>
      <c r="E13" s="657"/>
      <c r="F13" s="657"/>
      <c r="G13" s="657"/>
      <c r="H13" s="175"/>
      <c r="I13" s="189"/>
      <c r="J13" s="175"/>
      <c r="K13" s="175"/>
    </row>
    <row r="14" spans="1:11" ht="16.5" outlineLevel="1" x14ac:dyDescent="0.3">
      <c r="C14" s="188"/>
      <c r="D14" s="175"/>
      <c r="E14" s="175"/>
      <c r="F14" s="175"/>
      <c r="G14" s="175"/>
      <c r="H14" s="175"/>
      <c r="I14" s="189"/>
      <c r="J14" s="175"/>
      <c r="K14" s="175"/>
    </row>
    <row r="15" spans="1:11" ht="16.5" outlineLevel="1" x14ac:dyDescent="0.3">
      <c r="C15" s="188"/>
      <c r="D15" s="143" t="s">
        <v>467</v>
      </c>
      <c r="E15" s="142"/>
      <c r="F15" s="142"/>
      <c r="G15" s="186"/>
      <c r="H15" s="186"/>
      <c r="I15" s="187"/>
      <c r="J15" s="145"/>
    </row>
    <row r="16" spans="1:11" ht="16.5" customHeight="1" outlineLevel="1" x14ac:dyDescent="0.3">
      <c r="C16" s="188"/>
      <c r="D16" s="147" t="s">
        <v>371</v>
      </c>
      <c r="E16" s="147"/>
      <c r="F16" s="147"/>
      <c r="G16" s="147"/>
      <c r="H16" s="147"/>
      <c r="I16" s="190"/>
      <c r="J16" s="147"/>
    </row>
    <row r="17" spans="3:10" ht="16.5" outlineLevel="1" x14ac:dyDescent="0.3">
      <c r="C17" s="191" t="s">
        <v>372</v>
      </c>
      <c r="D17" s="143" t="s">
        <v>468</v>
      </c>
      <c r="E17" s="143"/>
      <c r="F17" s="192"/>
      <c r="G17" s="192"/>
      <c r="H17" s="151"/>
      <c r="I17" s="193"/>
      <c r="J17" s="142"/>
    </row>
    <row r="18" spans="3:10" ht="16.5" customHeight="1" outlineLevel="1" x14ac:dyDescent="0.3">
      <c r="C18" s="194"/>
      <c r="D18" s="653" t="s">
        <v>474</v>
      </c>
      <c r="E18" s="654"/>
      <c r="F18" s="654"/>
      <c r="G18" s="654"/>
      <c r="H18" s="148"/>
      <c r="I18" s="195"/>
      <c r="J18" s="148"/>
    </row>
    <row r="19" spans="3:10" ht="16.5" outlineLevel="1" x14ac:dyDescent="0.3">
      <c r="C19" s="194"/>
      <c r="D19" s="654"/>
      <c r="E19" s="654"/>
      <c r="F19" s="654"/>
      <c r="G19" s="654"/>
      <c r="H19" s="148"/>
      <c r="I19" s="195"/>
      <c r="J19" s="148"/>
    </row>
    <row r="20" spans="3:10" ht="16.5" outlineLevel="1" x14ac:dyDescent="0.3">
      <c r="C20" s="194"/>
      <c r="D20" s="654"/>
      <c r="E20" s="654"/>
      <c r="F20" s="654"/>
      <c r="G20" s="654"/>
      <c r="H20" s="148"/>
      <c r="I20" s="195"/>
      <c r="J20" s="148"/>
    </row>
    <row r="21" spans="3:10" ht="16.5" outlineLevel="1" x14ac:dyDescent="0.3">
      <c r="C21" s="196"/>
      <c r="D21" s="143" t="s">
        <v>469</v>
      </c>
      <c r="E21" s="142"/>
      <c r="F21" s="142"/>
      <c r="G21" s="151"/>
      <c r="H21" s="142"/>
      <c r="I21" s="180"/>
      <c r="J21" s="142"/>
    </row>
    <row r="22" spans="3:10" ht="16.5" customHeight="1" outlineLevel="1" x14ac:dyDescent="0.3">
      <c r="C22" s="196"/>
      <c r="D22" s="655" t="s">
        <v>475</v>
      </c>
      <c r="E22" s="656"/>
      <c r="F22" s="656"/>
      <c r="G22" s="656"/>
      <c r="H22" s="147"/>
      <c r="I22" s="190"/>
      <c r="J22" s="147"/>
    </row>
    <row r="23" spans="3:10" ht="16.5" customHeight="1" outlineLevel="1" x14ac:dyDescent="0.3">
      <c r="C23" s="196"/>
      <c r="D23" s="656"/>
      <c r="E23" s="656"/>
      <c r="F23" s="656"/>
      <c r="G23" s="656"/>
      <c r="H23" s="147"/>
      <c r="I23" s="190"/>
      <c r="J23" s="147"/>
    </row>
    <row r="24" spans="3:10" ht="16.5" customHeight="1" outlineLevel="1" x14ac:dyDescent="0.3">
      <c r="C24" s="196"/>
      <c r="D24" s="656"/>
      <c r="E24" s="656"/>
      <c r="F24" s="656"/>
      <c r="G24" s="656"/>
      <c r="H24" s="147"/>
      <c r="I24" s="190"/>
      <c r="J24" s="147"/>
    </row>
    <row r="25" spans="3:10" ht="15.75" outlineLevel="1" x14ac:dyDescent="0.25">
      <c r="C25" s="197"/>
      <c r="D25" s="142" t="s">
        <v>373</v>
      </c>
      <c r="E25" s="198">
        <v>0.3</v>
      </c>
      <c r="F25" s="142"/>
      <c r="G25" s="199"/>
      <c r="H25" s="142"/>
      <c r="I25" s="180"/>
    </row>
    <row r="26" spans="3:10" ht="15.75" outlineLevel="1" x14ac:dyDescent="0.25">
      <c r="C26" s="197"/>
      <c r="D26" s="142" t="s">
        <v>374</v>
      </c>
      <c r="E26" s="198">
        <v>0.125</v>
      </c>
      <c r="F26" s="142"/>
      <c r="G26" s="199"/>
      <c r="H26" s="142"/>
      <c r="I26" s="180"/>
    </row>
    <row r="27" spans="3:10" ht="15.75" outlineLevel="1" x14ac:dyDescent="0.25">
      <c r="C27" s="197"/>
      <c r="D27" s="185" t="s">
        <v>375</v>
      </c>
      <c r="E27" s="198">
        <v>0.125</v>
      </c>
      <c r="F27" s="142"/>
      <c r="G27" s="199"/>
      <c r="H27" s="185"/>
      <c r="I27" s="180"/>
    </row>
    <row r="28" spans="3:10" ht="15.75" outlineLevel="1" x14ac:dyDescent="0.25">
      <c r="C28" s="197"/>
      <c r="D28" s="185" t="s">
        <v>376</v>
      </c>
      <c r="E28" s="198">
        <v>0.25</v>
      </c>
      <c r="F28" s="142"/>
      <c r="G28" s="199"/>
      <c r="H28" s="185"/>
      <c r="I28" s="180"/>
    </row>
    <row r="29" spans="3:10" ht="16.5" outlineLevel="1" x14ac:dyDescent="0.3">
      <c r="C29" s="188"/>
      <c r="D29" s="143" t="s">
        <v>470</v>
      </c>
      <c r="E29" s="173"/>
      <c r="F29" s="142"/>
      <c r="G29" s="142"/>
      <c r="H29" s="142"/>
      <c r="I29" s="180"/>
      <c r="J29" s="142"/>
    </row>
    <row r="30" spans="3:10" ht="16.5" customHeight="1" outlineLevel="1" x14ac:dyDescent="0.3">
      <c r="C30" s="188"/>
      <c r="D30" s="657" t="s">
        <v>476</v>
      </c>
      <c r="E30" s="657"/>
      <c r="F30" s="657"/>
      <c r="G30" s="657"/>
      <c r="H30" s="146"/>
      <c r="I30" s="200"/>
      <c r="J30" s="146"/>
    </row>
    <row r="31" spans="3:10" ht="16.5" customHeight="1" outlineLevel="1" x14ac:dyDescent="0.3">
      <c r="C31" s="188"/>
      <c r="D31" s="657"/>
      <c r="E31" s="657"/>
      <c r="F31" s="657"/>
      <c r="G31" s="657"/>
      <c r="H31" s="146"/>
      <c r="I31" s="200"/>
      <c r="J31" s="146"/>
    </row>
    <row r="32" spans="3:10" ht="16.5" customHeight="1" outlineLevel="1" x14ac:dyDescent="0.3">
      <c r="C32" s="188"/>
      <c r="D32" s="657"/>
      <c r="E32" s="657"/>
      <c r="F32" s="657"/>
      <c r="G32" s="657"/>
      <c r="H32" s="146"/>
      <c r="I32" s="200"/>
      <c r="J32" s="146"/>
    </row>
    <row r="33" spans="3:10" ht="16.5" customHeight="1" outlineLevel="1" x14ac:dyDescent="0.3">
      <c r="C33" s="188"/>
      <c r="D33" s="657"/>
      <c r="E33" s="657"/>
      <c r="F33" s="657"/>
      <c r="G33" s="657"/>
      <c r="H33" s="146"/>
      <c r="I33" s="200"/>
      <c r="J33" s="146"/>
    </row>
    <row r="34" spans="3:10" ht="16.5" outlineLevel="1" x14ac:dyDescent="0.3">
      <c r="C34" s="196"/>
      <c r="D34" s="143" t="s">
        <v>471</v>
      </c>
      <c r="E34" s="142"/>
      <c r="F34" s="142"/>
      <c r="G34" s="142"/>
      <c r="H34" s="142"/>
      <c r="I34" s="180"/>
      <c r="J34" s="142"/>
    </row>
    <row r="35" spans="3:10" ht="16.5" customHeight="1" outlineLevel="1" x14ac:dyDescent="0.3">
      <c r="C35" s="196"/>
      <c r="D35" s="657" t="s">
        <v>478</v>
      </c>
      <c r="E35" s="657"/>
      <c r="F35" s="657"/>
      <c r="G35" s="657"/>
      <c r="H35" s="149"/>
      <c r="I35" s="201"/>
      <c r="J35" s="149"/>
    </row>
    <row r="36" spans="3:10" ht="16.5" customHeight="1" outlineLevel="1" x14ac:dyDescent="0.3">
      <c r="C36" s="196"/>
      <c r="D36" s="657"/>
      <c r="E36" s="657"/>
      <c r="F36" s="657"/>
      <c r="G36" s="657"/>
      <c r="H36" s="149"/>
      <c r="I36" s="201"/>
      <c r="J36" s="149"/>
    </row>
    <row r="37" spans="3:10" ht="16.5" customHeight="1" outlineLevel="1" x14ac:dyDescent="0.3">
      <c r="C37" s="196"/>
      <c r="D37" s="657"/>
      <c r="E37" s="657"/>
      <c r="F37" s="657"/>
      <c r="G37" s="657"/>
      <c r="H37" s="149"/>
      <c r="I37" s="201"/>
      <c r="J37" s="149"/>
    </row>
    <row r="38" spans="3:10" ht="16.5" outlineLevel="1" x14ac:dyDescent="0.3">
      <c r="C38" s="188"/>
      <c r="D38" s="143" t="s">
        <v>472</v>
      </c>
      <c r="E38" s="142"/>
      <c r="F38" s="142"/>
      <c r="G38" s="142"/>
      <c r="H38" s="142"/>
      <c r="I38" s="180"/>
      <c r="J38" s="142"/>
    </row>
    <row r="39" spans="3:10" ht="16.5" customHeight="1" outlineLevel="1" x14ac:dyDescent="0.3">
      <c r="C39" s="188"/>
      <c r="D39" s="658" t="s">
        <v>377</v>
      </c>
      <c r="E39" s="658"/>
      <c r="F39" s="658"/>
      <c r="G39" s="658"/>
      <c r="H39" s="146"/>
      <c r="I39" s="200"/>
      <c r="J39" s="146"/>
    </row>
    <row r="40" spans="3:10" ht="16.5" customHeight="1" outlineLevel="1" x14ac:dyDescent="0.3">
      <c r="C40" s="188"/>
      <c r="D40" s="143" t="s">
        <v>473</v>
      </c>
      <c r="E40" s="175"/>
      <c r="F40" s="175"/>
      <c r="G40" s="175"/>
      <c r="H40" s="146"/>
      <c r="I40" s="200"/>
      <c r="J40" s="146"/>
    </row>
    <row r="41" spans="3:10" ht="16.5" customHeight="1" outlineLevel="1" x14ac:dyDescent="0.3">
      <c r="C41" s="188"/>
      <c r="D41" s="657" t="s">
        <v>477</v>
      </c>
      <c r="E41" s="657"/>
      <c r="F41" s="657"/>
      <c r="G41" s="657"/>
      <c r="H41" s="146"/>
      <c r="I41" s="200"/>
      <c r="J41" s="146"/>
    </row>
    <row r="42" spans="3:10" ht="16.5" customHeight="1" outlineLevel="1" x14ac:dyDescent="0.3">
      <c r="C42" s="188"/>
      <c r="D42" s="657"/>
      <c r="E42" s="657"/>
      <c r="F42" s="657"/>
      <c r="G42" s="657"/>
      <c r="H42" s="146"/>
      <c r="I42" s="200"/>
      <c r="J42" s="146"/>
    </row>
    <row r="43" spans="3:10" ht="16.5" outlineLevel="1" x14ac:dyDescent="0.3">
      <c r="C43" s="188"/>
      <c r="D43" s="657"/>
      <c r="E43" s="657"/>
      <c r="F43" s="657"/>
      <c r="G43" s="657"/>
      <c r="H43" s="151"/>
      <c r="I43" s="180"/>
      <c r="J43" s="142"/>
    </row>
    <row r="44" spans="3:10" ht="16.5" outlineLevel="1" x14ac:dyDescent="0.3">
      <c r="C44" s="188"/>
      <c r="D44" s="174"/>
      <c r="E44" s="174"/>
      <c r="F44" s="174"/>
      <c r="G44" s="174"/>
      <c r="H44" s="151"/>
      <c r="I44" s="180"/>
      <c r="J44" s="142"/>
    </row>
    <row r="45" spans="3:10" ht="16.5" outlineLevel="1" x14ac:dyDescent="0.3">
      <c r="C45" s="188"/>
      <c r="D45" s="174"/>
      <c r="E45" s="174"/>
      <c r="F45" s="174"/>
      <c r="G45" s="174"/>
      <c r="H45" s="151"/>
      <c r="I45" s="180"/>
      <c r="J45" s="142"/>
    </row>
    <row r="46" spans="3:10" ht="16.5" outlineLevel="1" x14ac:dyDescent="0.3">
      <c r="C46" s="188"/>
      <c r="D46" s="174"/>
      <c r="E46" s="174"/>
      <c r="F46" s="174"/>
      <c r="G46" s="174"/>
      <c r="H46" s="151"/>
      <c r="I46" s="180"/>
      <c r="J46" s="142"/>
    </row>
    <row r="47" spans="3:10" ht="16.5" outlineLevel="1" x14ac:dyDescent="0.3">
      <c r="C47" s="188"/>
      <c r="D47" s="174"/>
      <c r="E47" s="174"/>
      <c r="F47" s="174"/>
      <c r="G47" s="174"/>
      <c r="H47" s="151"/>
      <c r="I47" s="180"/>
      <c r="J47" s="142"/>
    </row>
    <row r="48" spans="3:10" ht="16.5" customHeight="1" outlineLevel="1" x14ac:dyDescent="0.3">
      <c r="C48" s="188"/>
      <c r="E48" s="146"/>
      <c r="F48" s="146"/>
      <c r="G48" s="146"/>
      <c r="H48" s="146"/>
      <c r="I48" s="200"/>
      <c r="J48" s="146"/>
    </row>
    <row r="49" spans="3:9" ht="15.75" outlineLevel="1" thickBot="1" x14ac:dyDescent="0.3">
      <c r="C49" s="202"/>
      <c r="D49" s="203"/>
      <c r="E49" s="203"/>
      <c r="F49" s="203"/>
      <c r="G49" s="203"/>
      <c r="H49" s="203"/>
      <c r="I49" s="204"/>
    </row>
    <row r="51" spans="3:9" ht="15.75" outlineLevel="1" thickBot="1" x14ac:dyDescent="0.3"/>
    <row r="52" spans="3:9" ht="16.5" outlineLevel="1" x14ac:dyDescent="0.25">
      <c r="C52" s="635" t="s">
        <v>358</v>
      </c>
      <c r="D52" s="636"/>
      <c r="E52" s="636"/>
      <c r="F52" s="636"/>
      <c r="G52" s="636"/>
      <c r="H52" s="207"/>
      <c r="I52" s="208"/>
    </row>
    <row r="53" spans="3:9" ht="16.5" outlineLevel="1" x14ac:dyDescent="0.3">
      <c r="C53" s="659" t="s">
        <v>378</v>
      </c>
      <c r="D53" s="660"/>
      <c r="E53" s="660"/>
      <c r="F53" s="660"/>
      <c r="G53" s="660"/>
      <c r="H53" s="151"/>
      <c r="I53" s="193"/>
    </row>
    <row r="54" spans="3:9" ht="16.5" outlineLevel="1" x14ac:dyDescent="0.25">
      <c r="C54" s="661" t="str">
        <f>"FOR THE YEAR ENDED 31ST DECEMBER" &amp; " " &amp;$A$1</f>
        <v>FOR THE YEAR ENDED 31ST DECEMBER 2020</v>
      </c>
      <c r="D54" s="662"/>
      <c r="E54" s="662"/>
      <c r="F54" s="662"/>
      <c r="G54" s="662"/>
      <c r="H54" s="151"/>
      <c r="I54" s="193"/>
    </row>
    <row r="55" spans="3:9" ht="16.5" outlineLevel="1" x14ac:dyDescent="0.3">
      <c r="C55" s="239" t="s">
        <v>379</v>
      </c>
      <c r="D55" s="240"/>
      <c r="E55" s="240"/>
      <c r="F55" s="240"/>
      <c r="G55" s="240"/>
      <c r="H55" s="240"/>
      <c r="I55" s="241"/>
    </row>
    <row r="56" spans="3:9" ht="16.5" outlineLevel="1" x14ac:dyDescent="0.3">
      <c r="C56" s="209"/>
      <c r="D56" s="153"/>
      <c r="E56" s="153"/>
      <c r="F56" s="153"/>
      <c r="G56" s="153"/>
      <c r="H56" s="153"/>
      <c r="I56" s="210"/>
    </row>
    <row r="57" spans="3:9" ht="16.5" outlineLevel="1" x14ac:dyDescent="0.3">
      <c r="C57" s="211"/>
      <c r="D57" s="212" t="s">
        <v>479</v>
      </c>
      <c r="E57" s="213"/>
      <c r="F57" s="213"/>
      <c r="G57" s="213"/>
      <c r="H57" s="214"/>
      <c r="I57" s="215"/>
    </row>
    <row r="58" spans="3:9" ht="16.5" customHeight="1" outlineLevel="1" x14ac:dyDescent="0.25">
      <c r="C58" s="216"/>
      <c r="D58" s="663" t="s">
        <v>487</v>
      </c>
      <c r="E58" s="663"/>
      <c r="F58" s="663"/>
      <c r="G58" s="663"/>
      <c r="H58" s="217"/>
      <c r="I58" s="215"/>
    </row>
    <row r="59" spans="3:9" ht="16.5" customHeight="1" outlineLevel="1" x14ac:dyDescent="0.25">
      <c r="C59" s="216"/>
      <c r="D59" s="663"/>
      <c r="E59" s="663"/>
      <c r="F59" s="663"/>
      <c r="G59" s="663"/>
      <c r="H59" s="217"/>
      <c r="I59" s="215"/>
    </row>
    <row r="60" spans="3:9" ht="16.5" outlineLevel="1" x14ac:dyDescent="0.3">
      <c r="C60" s="216"/>
      <c r="D60" s="218" t="s">
        <v>480</v>
      </c>
      <c r="E60" s="219"/>
      <c r="F60" s="219"/>
      <c r="G60" s="214"/>
      <c r="H60" s="214"/>
      <c r="I60" s="215"/>
    </row>
    <row r="61" spans="3:9" ht="16.5" outlineLevel="1" x14ac:dyDescent="0.3">
      <c r="C61" s="216"/>
      <c r="D61" s="220" t="s">
        <v>380</v>
      </c>
      <c r="E61" s="219"/>
      <c r="F61" s="219"/>
      <c r="G61" s="214"/>
      <c r="H61" s="214"/>
      <c r="I61" s="215"/>
    </row>
    <row r="62" spans="3:9" ht="16.5" outlineLevel="1" x14ac:dyDescent="0.3">
      <c r="C62" s="216"/>
      <c r="D62" s="221" t="s">
        <v>481</v>
      </c>
      <c r="E62" s="219"/>
      <c r="F62" s="219"/>
      <c r="G62" s="214"/>
      <c r="H62" s="214"/>
      <c r="I62" s="215"/>
    </row>
    <row r="63" spans="3:9" ht="16.5" customHeight="1" outlineLevel="1" x14ac:dyDescent="0.25">
      <c r="C63" s="216"/>
      <c r="D63" s="644" t="s">
        <v>486</v>
      </c>
      <c r="E63" s="644"/>
      <c r="F63" s="644"/>
      <c r="G63" s="644"/>
      <c r="H63" s="222"/>
      <c r="I63" s="215"/>
    </row>
    <row r="64" spans="3:9" ht="16.5" customHeight="1" outlineLevel="1" x14ac:dyDescent="0.25">
      <c r="C64" s="216"/>
      <c r="D64" s="644"/>
      <c r="E64" s="644"/>
      <c r="F64" s="644"/>
      <c r="G64" s="644"/>
      <c r="H64" s="222"/>
      <c r="I64" s="215"/>
    </row>
    <row r="65" spans="3:9" ht="16.5" outlineLevel="1" x14ac:dyDescent="0.3">
      <c r="C65" s="223" t="s">
        <v>381</v>
      </c>
      <c r="D65" s="218" t="s">
        <v>382</v>
      </c>
      <c r="E65" s="218"/>
      <c r="F65" s="224"/>
      <c r="G65" s="224"/>
      <c r="H65" s="224"/>
      <c r="I65" s="225"/>
    </row>
    <row r="66" spans="3:9" ht="15" customHeight="1" outlineLevel="1" x14ac:dyDescent="0.25">
      <c r="C66" s="216"/>
      <c r="D66" s="645" t="s">
        <v>484</v>
      </c>
      <c r="E66" s="645"/>
      <c r="F66" s="645"/>
      <c r="G66" s="645"/>
      <c r="H66" s="226"/>
      <c r="I66" s="227"/>
    </row>
    <row r="67" spans="3:9" ht="15" customHeight="1" outlineLevel="1" x14ac:dyDescent="0.25">
      <c r="C67" s="216"/>
      <c r="D67" s="645"/>
      <c r="E67" s="645"/>
      <c r="F67" s="645"/>
      <c r="G67" s="645"/>
      <c r="H67" s="226"/>
      <c r="I67" s="227"/>
    </row>
    <row r="68" spans="3:9" ht="15" customHeight="1" outlineLevel="1" x14ac:dyDescent="0.25">
      <c r="C68" s="216"/>
      <c r="D68" s="645"/>
      <c r="E68" s="645"/>
      <c r="F68" s="645"/>
      <c r="G68" s="645"/>
      <c r="H68" s="226"/>
      <c r="I68" s="227"/>
    </row>
    <row r="69" spans="3:9" ht="24.75" customHeight="1" outlineLevel="1" x14ac:dyDescent="0.25">
      <c r="C69" s="228"/>
      <c r="D69" s="645"/>
      <c r="E69" s="645"/>
      <c r="F69" s="645"/>
      <c r="G69" s="645"/>
      <c r="H69" s="226"/>
      <c r="I69" s="227"/>
    </row>
    <row r="70" spans="3:9" ht="15" customHeight="1" outlineLevel="1" x14ac:dyDescent="0.25">
      <c r="C70" s="228"/>
      <c r="D70" s="646" t="s">
        <v>383</v>
      </c>
      <c r="E70" s="646"/>
      <c r="F70" s="646"/>
      <c r="G70" s="646"/>
      <c r="H70" s="229"/>
      <c r="I70" s="230"/>
    </row>
    <row r="71" spans="3:9" ht="15" customHeight="1" outlineLevel="1" x14ac:dyDescent="0.25">
      <c r="C71" s="223" t="s">
        <v>384</v>
      </c>
      <c r="D71" s="218" t="s">
        <v>385</v>
      </c>
      <c r="E71" s="229"/>
      <c r="F71" s="229"/>
      <c r="G71" s="229"/>
      <c r="H71" s="229"/>
      <c r="I71" s="230"/>
    </row>
    <row r="72" spans="3:9" ht="16.5" outlineLevel="1" x14ac:dyDescent="0.3">
      <c r="C72" s="231"/>
      <c r="E72" s="218"/>
      <c r="F72" s="218"/>
      <c r="G72" s="218"/>
      <c r="H72" s="218"/>
      <c r="I72" s="225"/>
    </row>
    <row r="73" spans="3:9" ht="15" customHeight="1" outlineLevel="1" x14ac:dyDescent="0.25">
      <c r="C73" s="228"/>
      <c r="D73" s="648" t="s">
        <v>485</v>
      </c>
      <c r="E73" s="649"/>
      <c r="F73" s="649"/>
      <c r="G73" s="649"/>
      <c r="H73" s="232"/>
      <c r="I73" s="233"/>
    </row>
    <row r="74" spans="3:9" ht="15" customHeight="1" outlineLevel="1" x14ac:dyDescent="0.25">
      <c r="C74" s="228"/>
      <c r="D74" s="649"/>
      <c r="E74" s="649"/>
      <c r="F74" s="649"/>
      <c r="G74" s="649"/>
      <c r="H74" s="232"/>
      <c r="I74" s="233"/>
    </row>
    <row r="75" spans="3:9" ht="16.5" outlineLevel="1" x14ac:dyDescent="0.3">
      <c r="C75" s="209"/>
      <c r="D75" s="649"/>
      <c r="E75" s="649"/>
      <c r="F75" s="649"/>
      <c r="G75" s="649"/>
      <c r="H75" s="232"/>
      <c r="I75" s="233"/>
    </row>
    <row r="76" spans="3:9" ht="16.5" outlineLevel="1" x14ac:dyDescent="0.3">
      <c r="C76" s="209"/>
      <c r="D76" s="649"/>
      <c r="E76" s="649"/>
      <c r="F76" s="649"/>
      <c r="G76" s="649"/>
      <c r="H76" s="232"/>
      <c r="I76" s="233"/>
    </row>
    <row r="77" spans="3:9" ht="16.5" outlineLevel="1" x14ac:dyDescent="0.3">
      <c r="C77" s="209"/>
      <c r="D77" s="649"/>
      <c r="E77" s="649"/>
      <c r="F77" s="649"/>
      <c r="G77" s="649"/>
      <c r="H77" s="232"/>
      <c r="I77" s="233"/>
    </row>
    <row r="78" spans="3:9" ht="16.5" outlineLevel="1" x14ac:dyDescent="0.3">
      <c r="C78" s="209"/>
      <c r="D78" s="234" t="s">
        <v>482</v>
      </c>
      <c r="E78" s="234"/>
      <c r="F78" s="234"/>
      <c r="G78" s="234"/>
      <c r="H78" s="224"/>
      <c r="I78" s="215"/>
    </row>
    <row r="79" spans="3:9" ht="16.5" outlineLevel="1" x14ac:dyDescent="0.3">
      <c r="C79" s="209"/>
      <c r="D79" s="234" t="s">
        <v>386</v>
      </c>
      <c r="E79" s="234"/>
      <c r="F79" s="234"/>
      <c r="G79" s="234"/>
      <c r="H79" s="224"/>
      <c r="I79" s="215"/>
    </row>
    <row r="80" spans="3:9" ht="16.5" customHeight="1" outlineLevel="1" x14ac:dyDescent="0.3">
      <c r="C80" s="209"/>
      <c r="D80" s="645" t="s">
        <v>488</v>
      </c>
      <c r="E80" s="646"/>
      <c r="F80" s="646"/>
      <c r="G80" s="646"/>
      <c r="H80" s="235"/>
      <c r="I80" s="215"/>
    </row>
    <row r="81" spans="3:10" ht="16.5" outlineLevel="1" x14ac:dyDescent="0.3">
      <c r="C81" s="209"/>
      <c r="D81" s="646"/>
      <c r="E81" s="646"/>
      <c r="F81" s="646"/>
      <c r="G81" s="646"/>
      <c r="H81" s="235"/>
      <c r="I81" s="215"/>
    </row>
    <row r="82" spans="3:10" ht="16.5" outlineLevel="1" x14ac:dyDescent="0.3">
      <c r="C82" s="209"/>
      <c r="D82" s="234" t="s">
        <v>483</v>
      </c>
      <c r="E82" s="234"/>
      <c r="F82" s="234"/>
      <c r="G82" s="234"/>
      <c r="H82" s="224"/>
      <c r="I82" s="215"/>
    </row>
    <row r="83" spans="3:10" ht="16.5" customHeight="1" outlineLevel="1" x14ac:dyDescent="0.3">
      <c r="C83" s="209"/>
      <c r="D83" s="646" t="s">
        <v>387</v>
      </c>
      <c r="E83" s="646"/>
      <c r="F83" s="646"/>
      <c r="G83" s="646"/>
      <c r="H83" s="235"/>
      <c r="I83" s="215"/>
    </row>
    <row r="84" spans="3:10" ht="16.5" outlineLevel="1" x14ac:dyDescent="0.3">
      <c r="C84" s="209"/>
      <c r="D84" s="224" t="s">
        <v>388</v>
      </c>
      <c r="E84" s="224"/>
      <c r="F84" s="224"/>
      <c r="G84" s="224"/>
      <c r="H84" s="224"/>
      <c r="I84" s="215"/>
    </row>
    <row r="85" spans="3:10" ht="16.5" outlineLevel="1" x14ac:dyDescent="0.3">
      <c r="C85" s="209"/>
      <c r="D85" s="224" t="s">
        <v>389</v>
      </c>
      <c r="E85" s="224"/>
      <c r="F85" s="224"/>
      <c r="G85" s="224"/>
      <c r="H85" s="224"/>
      <c r="I85" s="215"/>
    </row>
    <row r="86" spans="3:10" ht="16.5" outlineLevel="1" x14ac:dyDescent="0.3">
      <c r="C86" s="209"/>
      <c r="D86" s="224"/>
      <c r="E86" s="224"/>
      <c r="F86" s="224"/>
      <c r="G86" s="224"/>
      <c r="H86" s="224"/>
      <c r="I86" s="215"/>
    </row>
    <row r="87" spans="3:10" ht="16.5" outlineLevel="1" x14ac:dyDescent="0.3">
      <c r="C87" s="209"/>
      <c r="D87" s="224"/>
      <c r="E87" s="224"/>
      <c r="F87" s="224"/>
      <c r="G87" s="224"/>
      <c r="H87" s="224"/>
      <c r="I87" s="215"/>
    </row>
    <row r="88" spans="3:10" ht="17.25" outlineLevel="1" thickBot="1" x14ac:dyDescent="0.35">
      <c r="C88" s="236"/>
      <c r="D88" s="237"/>
      <c r="E88" s="238"/>
      <c r="F88" s="238"/>
      <c r="G88" s="238"/>
      <c r="H88" s="238"/>
      <c r="I88" s="256"/>
    </row>
    <row r="89" spans="3:10" ht="16.5" outlineLevel="1" x14ac:dyDescent="0.3">
      <c r="C89" s="152"/>
      <c r="D89" s="220"/>
      <c r="E89" s="224"/>
      <c r="F89" s="224"/>
      <c r="G89" s="224"/>
      <c r="H89" s="224"/>
      <c r="I89" s="224"/>
    </row>
    <row r="90" spans="3:10" ht="16.5" outlineLevel="1" x14ac:dyDescent="0.3">
      <c r="C90" s="152"/>
      <c r="D90" s="220"/>
      <c r="E90" s="224"/>
      <c r="F90" s="224"/>
      <c r="G90" s="224"/>
      <c r="H90" s="224"/>
      <c r="I90" s="224"/>
    </row>
    <row r="91" spans="3:10" ht="17.25" thickBot="1" x14ac:dyDescent="0.35">
      <c r="C91" s="152"/>
      <c r="D91" s="220"/>
      <c r="E91" s="224"/>
      <c r="F91" s="224"/>
      <c r="G91" s="150"/>
      <c r="H91" s="153"/>
      <c r="I91" s="153"/>
    </row>
    <row r="92" spans="3:10" outlineLevel="1" x14ac:dyDescent="0.25">
      <c r="C92" s="257"/>
      <c r="D92" s="258"/>
      <c r="E92" s="258"/>
      <c r="F92" s="258"/>
      <c r="G92" s="258"/>
      <c r="H92" s="258"/>
      <c r="I92" s="259"/>
    </row>
    <row r="93" spans="3:10" ht="16.5" outlineLevel="1" x14ac:dyDescent="0.3">
      <c r="C93" s="638" t="s">
        <v>358</v>
      </c>
      <c r="D93" s="639"/>
      <c r="E93" s="639"/>
      <c r="F93" s="639"/>
      <c r="G93" s="639"/>
      <c r="H93" s="639"/>
      <c r="I93" s="640"/>
      <c r="J93" s="154"/>
    </row>
    <row r="94" spans="3:10" ht="16.5" outlineLevel="1" x14ac:dyDescent="0.3">
      <c r="C94" s="638" t="s">
        <v>378</v>
      </c>
      <c r="D94" s="639"/>
      <c r="E94" s="639"/>
      <c r="F94" s="639"/>
      <c r="G94" s="639"/>
      <c r="H94" s="639"/>
      <c r="I94" s="640"/>
      <c r="J94" s="154"/>
    </row>
    <row r="95" spans="3:10" ht="16.5" outlineLevel="1" x14ac:dyDescent="0.3">
      <c r="C95" s="650" t="s">
        <v>492</v>
      </c>
      <c r="D95" s="651"/>
      <c r="E95" s="651"/>
      <c r="F95" s="651"/>
      <c r="G95" s="651"/>
      <c r="H95" s="651"/>
      <c r="I95" s="652"/>
      <c r="J95" s="154"/>
    </row>
    <row r="96" spans="3:10" ht="16.5" outlineLevel="1" x14ac:dyDescent="0.3">
      <c r="C96" s="260" t="s">
        <v>379</v>
      </c>
      <c r="D96" s="155"/>
      <c r="E96" s="155"/>
      <c r="F96" s="155"/>
      <c r="G96" s="155"/>
      <c r="H96" s="155"/>
      <c r="I96" s="261"/>
      <c r="J96" s="155"/>
    </row>
    <row r="97" spans="3:10" ht="16.5" outlineLevel="1" x14ac:dyDescent="0.3">
      <c r="C97" s="262" t="s">
        <v>390</v>
      </c>
      <c r="D97" s="159" t="s">
        <v>391</v>
      </c>
      <c r="E97" s="242"/>
      <c r="F97" s="154"/>
      <c r="G97" s="154"/>
      <c r="H97" s="154"/>
      <c r="I97" s="263"/>
      <c r="J97" s="154"/>
    </row>
    <row r="98" spans="3:10" outlineLevel="1" x14ac:dyDescent="0.25">
      <c r="C98" s="216"/>
      <c r="D98" s="243"/>
      <c r="E98" s="156"/>
      <c r="F98" s="156"/>
      <c r="G98" s="156"/>
      <c r="H98" s="156"/>
      <c r="I98" s="264"/>
      <c r="J98" s="156"/>
    </row>
    <row r="99" spans="3:10" ht="30" outlineLevel="1" x14ac:dyDescent="0.25">
      <c r="C99" s="216"/>
      <c r="D99" s="159"/>
      <c r="E99" s="244" t="s">
        <v>392</v>
      </c>
      <c r="F99" s="244" t="s">
        <v>393</v>
      </c>
      <c r="G99" s="244" t="s">
        <v>376</v>
      </c>
      <c r="H99" s="245" t="s">
        <v>375</v>
      </c>
      <c r="I99" s="265" t="s">
        <v>60</v>
      </c>
    </row>
    <row r="100" spans="3:10" outlineLevel="1" x14ac:dyDescent="0.25">
      <c r="C100" s="266"/>
      <c r="D100" s="159"/>
      <c r="E100" s="246" t="s">
        <v>394</v>
      </c>
      <c r="F100" s="246" t="s">
        <v>394</v>
      </c>
      <c r="G100" s="246" t="s">
        <v>394</v>
      </c>
      <c r="H100" s="246" t="s">
        <v>394</v>
      </c>
      <c r="I100" s="267" t="s">
        <v>394</v>
      </c>
    </row>
    <row r="101" spans="3:10" outlineLevel="1" x14ac:dyDescent="0.25">
      <c r="C101" s="216"/>
      <c r="D101" s="159" t="s">
        <v>395</v>
      </c>
      <c r="E101" s="246"/>
      <c r="F101" s="246"/>
      <c r="G101" s="246"/>
      <c r="H101" s="246"/>
      <c r="I101" s="267"/>
    </row>
    <row r="102" spans="3:10" ht="16.5" outlineLevel="1" x14ac:dyDescent="0.3">
      <c r="C102" s="266"/>
      <c r="D102" s="213" t="s">
        <v>396</v>
      </c>
      <c r="E102" s="157">
        <v>676160</v>
      </c>
      <c r="F102" s="157">
        <v>483987</v>
      </c>
      <c r="G102" s="157">
        <v>975000</v>
      </c>
      <c r="H102" s="157">
        <v>375657</v>
      </c>
      <c r="I102" s="268">
        <f>SUM(E102:H102)</f>
        <v>2510804</v>
      </c>
    </row>
    <row r="103" spans="3:10" ht="16.5" outlineLevel="1" x14ac:dyDescent="0.3">
      <c r="C103" s="266"/>
      <c r="D103" s="213" t="s">
        <v>397</v>
      </c>
      <c r="E103" s="157">
        <v>-645785.29200000002</v>
      </c>
      <c r="F103" s="157">
        <v>-328179.919921875</v>
      </c>
      <c r="G103" s="157">
        <v>-243750</v>
      </c>
      <c r="H103" s="157">
        <v>-276379.9375</v>
      </c>
      <c r="I103" s="268">
        <v>-1140643.675</v>
      </c>
    </row>
    <row r="104" spans="3:10" ht="17.25"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outlineLevel="1" x14ac:dyDescent="0.3">
      <c r="C105" s="216"/>
      <c r="D105" s="159" t="s">
        <v>399</v>
      </c>
      <c r="E105" s="157"/>
      <c r="F105" s="157"/>
      <c r="G105" s="157"/>
      <c r="H105" s="157"/>
      <c r="I105" s="269"/>
    </row>
    <row r="106" spans="3:10" ht="16.5"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outlineLevel="1" x14ac:dyDescent="0.3">
      <c r="C107" s="270"/>
      <c r="D107" s="213" t="s">
        <v>401</v>
      </c>
      <c r="E107" s="157">
        <v>0</v>
      </c>
      <c r="F107" s="157">
        <v>0</v>
      </c>
      <c r="G107" s="157">
        <v>0</v>
      </c>
      <c r="H107" s="157">
        <v>0</v>
      </c>
      <c r="I107" s="268">
        <f>SUM(E107:H107)</f>
        <v>0</v>
      </c>
    </row>
    <row r="108" spans="3:10" ht="16.5"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outlineLevel="1" x14ac:dyDescent="0.3">
      <c r="C110" s="270"/>
      <c r="D110" s="159" t="s">
        <v>403</v>
      </c>
      <c r="E110" s="157"/>
      <c r="F110" s="157"/>
      <c r="G110" s="157"/>
      <c r="H110" s="157"/>
      <c r="I110" s="268"/>
    </row>
    <row r="111" spans="3:10" ht="16.5" outlineLevel="1" x14ac:dyDescent="0.3">
      <c r="C111" s="270"/>
      <c r="D111" s="213" t="s">
        <v>396</v>
      </c>
      <c r="E111" s="157">
        <f>E102</f>
        <v>676160</v>
      </c>
      <c r="F111" s="157">
        <f>F102</f>
        <v>483987</v>
      </c>
      <c r="G111" s="157">
        <f>G102</f>
        <v>975000</v>
      </c>
      <c r="H111" s="157">
        <f>H102</f>
        <v>375657</v>
      </c>
      <c r="I111" s="268">
        <f>SUM(E111:H111)</f>
        <v>2510804</v>
      </c>
    </row>
    <row r="112" spans="3:10" ht="16.5"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outlineLevel="1" x14ac:dyDescent="0.3">
      <c r="C114" s="216"/>
      <c r="D114" s="159" t="s">
        <v>404</v>
      </c>
      <c r="E114" s="157"/>
      <c r="F114" s="157"/>
      <c r="G114" s="157"/>
      <c r="H114" s="157"/>
      <c r="I114" s="269"/>
    </row>
    <row r="115" spans="3:9" ht="16.5"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outlineLevel="1" x14ac:dyDescent="0.3">
      <c r="C116" s="270"/>
      <c r="D116" s="213" t="s">
        <v>401</v>
      </c>
      <c r="E116" s="157">
        <v>0</v>
      </c>
      <c r="F116" s="157">
        <v>344748.28</v>
      </c>
      <c r="G116" s="157">
        <v>1500000</v>
      </c>
      <c r="H116" s="157">
        <v>0</v>
      </c>
      <c r="I116" s="268">
        <f>SUM(E116:H116)</f>
        <v>1844748.28</v>
      </c>
    </row>
    <row r="117" spans="3:9" ht="16.5" outlineLevel="1" x14ac:dyDescent="0.3">
      <c r="C117" s="270"/>
      <c r="D117" s="213" t="s">
        <v>405</v>
      </c>
      <c r="E117" s="157">
        <v>0</v>
      </c>
      <c r="F117" s="157">
        <v>0</v>
      </c>
      <c r="G117" s="157">
        <f>-975000</f>
        <v>-975000</v>
      </c>
      <c r="H117" s="157">
        <v>0</v>
      </c>
      <c r="I117" s="268">
        <f>SUM(E117:H117)</f>
        <v>-975000</v>
      </c>
    </row>
    <row r="118" spans="3:9" ht="16.5" outlineLevel="1" x14ac:dyDescent="0.3">
      <c r="C118" s="270"/>
      <c r="D118" s="213" t="s">
        <v>406</v>
      </c>
      <c r="E118" s="157">
        <v>0</v>
      </c>
      <c r="F118" s="157">
        <v>0</v>
      </c>
      <c r="G118" s="157">
        <v>426562.5</v>
      </c>
      <c r="H118" s="157">
        <v>0</v>
      </c>
      <c r="I118" s="268">
        <f>SUM(E118:H118)</f>
        <v>426562.5</v>
      </c>
    </row>
    <row r="119" spans="3:9" ht="16.5"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outlineLevel="1" x14ac:dyDescent="0.3">
      <c r="C121" s="270"/>
      <c r="D121" s="159" t="s">
        <v>407</v>
      </c>
      <c r="E121" s="157"/>
      <c r="F121" s="157"/>
      <c r="G121" s="157"/>
      <c r="H121" s="157"/>
      <c r="I121" s="268"/>
    </row>
    <row r="122" spans="3:9" ht="16.5"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outlineLevel="1" thickTop="1" x14ac:dyDescent="0.3">
      <c r="C125" s="270"/>
      <c r="D125" s="213"/>
      <c r="E125" s="158"/>
      <c r="F125" s="245"/>
      <c r="G125" s="245"/>
      <c r="H125" s="245"/>
      <c r="I125" s="265"/>
    </row>
    <row r="126" spans="3:9" ht="16.5" outlineLevel="1" x14ac:dyDescent="0.3">
      <c r="C126" s="270"/>
      <c r="D126" s="213"/>
      <c r="E126" s="154"/>
      <c r="F126" s="245"/>
      <c r="G126" s="245"/>
      <c r="H126" s="245" t="s">
        <v>394</v>
      </c>
      <c r="I126" s="265" t="s">
        <v>394</v>
      </c>
    </row>
    <row r="127" spans="3:9" ht="16.5" outlineLevel="1" x14ac:dyDescent="0.3">
      <c r="C127" s="271" t="s">
        <v>408</v>
      </c>
      <c r="D127" s="221" t="s">
        <v>409</v>
      </c>
      <c r="E127" s="154"/>
      <c r="F127" s="246"/>
      <c r="G127" s="246"/>
      <c r="H127" s="245"/>
      <c r="I127" s="267"/>
    </row>
    <row r="128" spans="3:9" ht="16.5" outlineLevel="1" x14ac:dyDescent="0.3">
      <c r="C128" s="272"/>
      <c r="D128" s="248" t="s">
        <v>410</v>
      </c>
      <c r="E128" s="154"/>
      <c r="F128" s="246"/>
      <c r="G128" s="246"/>
      <c r="H128" s="246"/>
      <c r="I128" s="263"/>
    </row>
    <row r="129" spans="3:9" ht="16.5" outlineLevel="1" x14ac:dyDescent="0.3">
      <c r="C129" s="272"/>
      <c r="D129" s="248" t="s">
        <v>411</v>
      </c>
      <c r="E129" s="159"/>
      <c r="F129" s="154"/>
      <c r="G129" s="154"/>
      <c r="H129" s="157">
        <f>-I119</f>
        <v>409278.51677448238</v>
      </c>
      <c r="I129" s="273">
        <v>223810.43022226563</v>
      </c>
    </row>
    <row r="130" spans="3:9" ht="16.5" outlineLevel="1" x14ac:dyDescent="0.3">
      <c r="C130" s="272"/>
      <c r="D130" s="248" t="s">
        <v>412</v>
      </c>
      <c r="E130" s="159"/>
      <c r="F130" s="157"/>
      <c r="G130" s="157"/>
      <c r="H130" s="249">
        <v>2500001</v>
      </c>
      <c r="I130" s="273">
        <v>2691143</v>
      </c>
    </row>
    <row r="131" spans="3:9" ht="18.75" outlineLevel="1" x14ac:dyDescent="0.45">
      <c r="C131" s="272"/>
      <c r="D131" s="248" t="s">
        <v>413</v>
      </c>
      <c r="E131" s="159"/>
      <c r="F131" s="250"/>
      <c r="G131" s="250"/>
      <c r="H131" s="249">
        <v>176009.84</v>
      </c>
      <c r="I131" s="273">
        <v>102278.42</v>
      </c>
    </row>
    <row r="132" spans="3:9" ht="18.75" outlineLevel="1" x14ac:dyDescent="0.45">
      <c r="C132" s="272"/>
      <c r="D132" s="248" t="s">
        <v>414</v>
      </c>
      <c r="E132" s="159"/>
      <c r="F132" s="251"/>
      <c r="G132" s="251"/>
      <c r="H132" s="252">
        <v>175000</v>
      </c>
      <c r="I132" s="274">
        <v>175000</v>
      </c>
    </row>
    <row r="133" spans="3:9" ht="16.5" outlineLevel="1" x14ac:dyDescent="0.3">
      <c r="C133" s="275" t="s">
        <v>415</v>
      </c>
      <c r="D133" s="253" t="s">
        <v>98</v>
      </c>
      <c r="E133" s="159"/>
      <c r="F133" s="154"/>
      <c r="G133" s="154"/>
      <c r="H133" s="154"/>
      <c r="I133" s="276"/>
    </row>
    <row r="134" spans="3:9" ht="16.5" outlineLevel="1" x14ac:dyDescent="0.3">
      <c r="C134" s="277"/>
      <c r="D134" s="253" t="s">
        <v>416</v>
      </c>
      <c r="E134" s="159"/>
      <c r="F134" s="247"/>
      <c r="G134" s="247"/>
      <c r="H134" s="154"/>
      <c r="I134" s="263"/>
    </row>
    <row r="135" spans="3:9" ht="18" outlineLevel="1" x14ac:dyDescent="0.4">
      <c r="C135" s="277"/>
      <c r="D135" s="254" t="s">
        <v>417</v>
      </c>
      <c r="E135" s="159"/>
      <c r="F135" s="157"/>
      <c r="G135" s="157"/>
      <c r="H135" s="255">
        <f>I135</f>
        <v>100000</v>
      </c>
      <c r="I135" s="278">
        <v>100000</v>
      </c>
    </row>
    <row r="136" spans="3:9" ht="18.75" outlineLevel="1" x14ac:dyDescent="0.45">
      <c r="C136" s="277"/>
      <c r="D136" s="253" t="s">
        <v>418</v>
      </c>
      <c r="E136" s="160"/>
      <c r="F136" s="250"/>
      <c r="G136" s="250"/>
      <c r="H136" s="157"/>
      <c r="I136" s="276"/>
    </row>
    <row r="137" spans="3:9" ht="17.25" outlineLevel="1" x14ac:dyDescent="0.4">
      <c r="C137" s="277"/>
      <c r="D137" s="254" t="s">
        <v>419</v>
      </c>
      <c r="E137" s="159"/>
      <c r="F137" s="255"/>
      <c r="G137" s="255"/>
      <c r="H137" s="255">
        <f>I137</f>
        <v>400</v>
      </c>
      <c r="I137" s="279">
        <v>400</v>
      </c>
    </row>
    <row r="138" spans="3:9" outlineLevel="1" x14ac:dyDescent="0.25">
      <c r="C138" s="231"/>
      <c r="I138" s="215"/>
    </row>
    <row r="139" spans="3:9" outlineLevel="1" x14ac:dyDescent="0.25">
      <c r="C139" s="231"/>
      <c r="I139" s="215"/>
    </row>
    <row r="140" spans="3:9" outlineLevel="1" x14ac:dyDescent="0.25">
      <c r="C140" s="231"/>
      <c r="I140" s="215"/>
    </row>
    <row r="141" spans="3:9" ht="15.75" outlineLevel="1" thickBot="1" x14ac:dyDescent="0.3">
      <c r="C141" s="202"/>
      <c r="D141" s="203"/>
      <c r="E141" s="203"/>
      <c r="F141" s="203"/>
      <c r="G141" s="203"/>
      <c r="H141" s="203"/>
      <c r="I141" s="204"/>
    </row>
    <row r="142" spans="3:9" outlineLevel="1" x14ac:dyDescent="0.25"/>
    <row r="143" spans="3:9" outlineLevel="1" x14ac:dyDescent="0.25"/>
    <row r="145" spans="3:11" ht="15.75" outlineLevel="1" thickBot="1" x14ac:dyDescent="0.3"/>
    <row r="146" spans="3:11" ht="16.5" outlineLevel="1" x14ac:dyDescent="0.25">
      <c r="C146" s="635" t="s">
        <v>358</v>
      </c>
      <c r="D146" s="636"/>
      <c r="E146" s="636"/>
      <c r="F146" s="636"/>
      <c r="G146" s="636"/>
      <c r="H146" s="636"/>
      <c r="I146" s="637"/>
      <c r="J146" s="165"/>
      <c r="K146" s="142"/>
    </row>
    <row r="147" spans="3:11" ht="16.5" outlineLevel="1" x14ac:dyDescent="0.25">
      <c r="C147" s="638" t="s">
        <v>378</v>
      </c>
      <c r="D147" s="639"/>
      <c r="E147" s="639"/>
      <c r="F147" s="639"/>
      <c r="G147" s="639"/>
      <c r="H147" s="639"/>
      <c r="I147" s="640"/>
      <c r="J147" s="165"/>
      <c r="K147" s="142"/>
    </row>
    <row r="148" spans="3:11" ht="16.5" outlineLevel="1" x14ac:dyDescent="0.25">
      <c r="C148" s="650" t="s">
        <v>492</v>
      </c>
      <c r="D148" s="651"/>
      <c r="E148" s="651"/>
      <c r="F148" s="651"/>
      <c r="G148" s="651"/>
      <c r="H148" s="651"/>
      <c r="I148" s="652"/>
      <c r="J148" s="165"/>
      <c r="K148" s="142"/>
    </row>
    <row r="149" spans="3:11" ht="16.5" outlineLevel="1" x14ac:dyDescent="0.3">
      <c r="C149" s="209" t="s">
        <v>379</v>
      </c>
      <c r="D149" s="152"/>
      <c r="E149" s="153"/>
      <c r="F149" s="153"/>
      <c r="G149" s="153"/>
      <c r="H149" s="165"/>
      <c r="I149" s="210"/>
    </row>
    <row r="150" spans="3:11" ht="16.5" outlineLevel="1" x14ac:dyDescent="0.3">
      <c r="C150" s="280"/>
      <c r="D150" s="176"/>
      <c r="E150" s="142"/>
      <c r="F150" s="142"/>
      <c r="G150" s="177"/>
      <c r="H150" s="165"/>
      <c r="I150" s="180"/>
    </row>
    <row r="151" spans="3:11" ht="16.5" outlineLevel="1" x14ac:dyDescent="0.3">
      <c r="C151" s="280"/>
      <c r="D151" s="176"/>
      <c r="E151" s="142"/>
      <c r="F151" s="281" t="s">
        <v>394</v>
      </c>
      <c r="G151" s="282" t="s">
        <v>394</v>
      </c>
      <c r="H151" s="165"/>
      <c r="I151" s="180"/>
    </row>
    <row r="152" spans="3:11" ht="16.5" outlineLevel="1" x14ac:dyDescent="0.3">
      <c r="C152" s="283" t="s">
        <v>420</v>
      </c>
      <c r="D152" s="143" t="s">
        <v>72</v>
      </c>
      <c r="E152" s="142"/>
      <c r="F152" s="281"/>
      <c r="G152" s="282"/>
      <c r="H152" s="165"/>
      <c r="I152" s="180"/>
    </row>
    <row r="153" spans="3:11" ht="18.75" outlineLevel="1" x14ac:dyDescent="0.45">
      <c r="C153" s="280"/>
      <c r="D153" s="284" t="s">
        <v>421</v>
      </c>
      <c r="E153" s="142"/>
      <c r="F153" s="285">
        <f>[1]BS!G137</f>
        <v>0</v>
      </c>
      <c r="G153" s="285">
        <f>[1]BS!H137</f>
        <v>0</v>
      </c>
      <c r="H153" s="165"/>
      <c r="I153" s="180"/>
    </row>
    <row r="154" spans="3:11" ht="16.5" outlineLevel="1" x14ac:dyDescent="0.3">
      <c r="C154" s="283" t="s">
        <v>422</v>
      </c>
      <c r="D154" s="161" t="s">
        <v>423</v>
      </c>
      <c r="E154" s="142"/>
      <c r="F154" s="281"/>
      <c r="G154" s="282"/>
      <c r="H154" s="165"/>
      <c r="I154" s="180"/>
    </row>
    <row r="155" spans="3:11" ht="15.75" outlineLevel="1" x14ac:dyDescent="0.25">
      <c r="C155" s="280"/>
      <c r="D155" s="162" t="s">
        <v>424</v>
      </c>
      <c r="E155" s="142"/>
      <c r="F155" s="286">
        <f>G157</f>
        <v>3296400</v>
      </c>
      <c r="G155" s="287">
        <v>4303645</v>
      </c>
      <c r="H155" s="165"/>
      <c r="I155" s="180"/>
    </row>
    <row r="156" spans="3:11" ht="15.75" outlineLevel="1" x14ac:dyDescent="0.25">
      <c r="C156" s="280"/>
      <c r="D156" s="162" t="s">
        <v>147</v>
      </c>
      <c r="E156" s="142"/>
      <c r="F156" s="286">
        <v>317589719.63</v>
      </c>
      <c r="G156" s="287">
        <v>212583719.66</v>
      </c>
      <c r="H156" s="165">
        <f>F156-G156</f>
        <v>105005999.97</v>
      </c>
      <c r="I156" s="180"/>
    </row>
    <row r="157" spans="3:11" ht="18" outlineLevel="1" x14ac:dyDescent="0.4">
      <c r="C157" s="280"/>
      <c r="D157" s="162" t="s">
        <v>425</v>
      </c>
      <c r="E157" s="142"/>
      <c r="F157" s="291">
        <f>10003059</f>
        <v>10003059</v>
      </c>
      <c r="G157" s="288">
        <v>3296400</v>
      </c>
      <c r="H157" s="165"/>
      <c r="I157" s="180"/>
    </row>
    <row r="158" spans="3:11" ht="18.75" outlineLevel="1" x14ac:dyDescent="0.45">
      <c r="C158" s="280"/>
      <c r="D158" s="142"/>
      <c r="E158" s="142"/>
      <c r="F158" s="285">
        <f>F155+F156-F157</f>
        <v>310883060.63</v>
      </c>
      <c r="G158" s="289">
        <f>G155+G156-G157</f>
        <v>213590964.66</v>
      </c>
      <c r="H158" s="165"/>
      <c r="I158" s="180"/>
    </row>
    <row r="159" spans="3:11" ht="16.5" outlineLevel="1" x14ac:dyDescent="0.3">
      <c r="C159" s="283" t="s">
        <v>426</v>
      </c>
      <c r="D159" s="143" t="s">
        <v>427</v>
      </c>
      <c r="E159" s="142"/>
      <c r="F159" s="281"/>
      <c r="G159" s="282"/>
      <c r="H159" s="165"/>
      <c r="I159" s="180"/>
    </row>
    <row r="160" spans="3:11" ht="15.75" outlineLevel="1" x14ac:dyDescent="0.25">
      <c r="C160" s="290"/>
      <c r="D160" s="142" t="s">
        <v>428</v>
      </c>
      <c r="E160" s="142"/>
      <c r="F160" s="318">
        <v>17870623.949999999</v>
      </c>
      <c r="G160" s="286">
        <v>10608390</v>
      </c>
      <c r="H160" s="165"/>
      <c r="I160" s="180"/>
    </row>
    <row r="161" spans="3:9" ht="18" outlineLevel="1" x14ac:dyDescent="0.4">
      <c r="C161" s="290"/>
      <c r="D161" s="142" t="s">
        <v>429</v>
      </c>
      <c r="E161" s="142"/>
      <c r="F161" s="291">
        <v>686952</v>
      </c>
      <c r="G161" s="291">
        <v>228443</v>
      </c>
      <c r="H161" s="165"/>
      <c r="I161" s="180"/>
    </row>
    <row r="162" spans="3:9" ht="18.75" outlineLevel="1" x14ac:dyDescent="0.45">
      <c r="C162" s="290"/>
      <c r="D162" s="142"/>
      <c r="E162" s="142"/>
      <c r="F162" s="292">
        <f>SUM(F160:F161)</f>
        <v>18557575.949999999</v>
      </c>
      <c r="G162" s="292">
        <f>SUM(G160:G161)</f>
        <v>10836833</v>
      </c>
      <c r="H162" s="165"/>
      <c r="I162" s="180"/>
    </row>
    <row r="163" spans="3:9" ht="18.75" outlineLevel="1" x14ac:dyDescent="0.45">
      <c r="C163" s="283" t="s">
        <v>430</v>
      </c>
      <c r="D163" s="143" t="s">
        <v>431</v>
      </c>
      <c r="E163" s="142"/>
      <c r="F163" s="285"/>
      <c r="G163" s="282"/>
      <c r="H163" s="165"/>
      <c r="I163" s="180"/>
    </row>
    <row r="164" spans="3:9" ht="15.75" outlineLevel="1" x14ac:dyDescent="0.25">
      <c r="C164" s="290"/>
      <c r="D164" s="142" t="s">
        <v>432</v>
      </c>
      <c r="E164" s="142"/>
      <c r="F164" s="286">
        <v>4840392.6399999997</v>
      </c>
      <c r="G164" s="286">
        <v>2550224</v>
      </c>
      <c r="H164" s="165"/>
      <c r="I164" s="180"/>
    </row>
    <row r="165" spans="3:9" ht="18" outlineLevel="1" x14ac:dyDescent="0.4">
      <c r="C165" s="290"/>
      <c r="D165" s="142" t="s">
        <v>433</v>
      </c>
      <c r="E165" s="142"/>
      <c r="F165" s="291">
        <v>10742191</v>
      </c>
      <c r="G165" s="291">
        <v>493951</v>
      </c>
      <c r="H165" s="165"/>
      <c r="I165" s="293">
        <f>[1]Ctb!H201-[1]N4!H138</f>
        <v>0</v>
      </c>
    </row>
    <row r="166" spans="3:9" ht="18.75" outlineLevel="1" x14ac:dyDescent="0.45">
      <c r="C166" s="280"/>
      <c r="D166" s="176"/>
      <c r="E166" s="142"/>
      <c r="F166" s="294">
        <f>SUM(F164:F165)</f>
        <v>15582583.640000001</v>
      </c>
      <c r="G166" s="294">
        <f>SUM(G164:G165)</f>
        <v>3044175</v>
      </c>
      <c r="H166" s="165"/>
      <c r="I166" s="180"/>
    </row>
    <row r="167" spans="3:9" ht="16.5" outlineLevel="1" x14ac:dyDescent="0.3">
      <c r="C167" s="283" t="s">
        <v>434</v>
      </c>
      <c r="D167" s="143" t="s">
        <v>489</v>
      </c>
      <c r="E167" s="142"/>
      <c r="F167" s="142"/>
      <c r="G167" s="142"/>
      <c r="H167" s="165"/>
      <c r="I167" s="180"/>
    </row>
    <row r="168" spans="3:9" ht="15.75" outlineLevel="1" x14ac:dyDescent="0.25">
      <c r="C168" s="280"/>
      <c r="D168" s="185" t="s">
        <v>435</v>
      </c>
      <c r="E168" s="142"/>
      <c r="F168" s="164">
        <v>2508031.2003339818</v>
      </c>
      <c r="G168" s="165">
        <v>1820215.2599531286</v>
      </c>
      <c r="H168" s="165"/>
      <c r="I168" s="180"/>
    </row>
    <row r="169" spans="3:9" ht="18" outlineLevel="1" x14ac:dyDescent="0.4">
      <c r="C169" s="280"/>
      <c r="D169" s="142" t="s">
        <v>436</v>
      </c>
      <c r="E169" s="142"/>
      <c r="F169" s="166">
        <v>0</v>
      </c>
      <c r="G169" s="167">
        <v>0</v>
      </c>
      <c r="H169" s="165"/>
      <c r="I169" s="180"/>
    </row>
    <row r="170" spans="3:9" ht="18.75" outlineLevel="1" x14ac:dyDescent="0.45">
      <c r="C170" s="280"/>
      <c r="D170" s="142"/>
      <c r="E170" s="142"/>
      <c r="F170" s="295">
        <f>SUM(F168:F169)</f>
        <v>2508031.2003339818</v>
      </c>
      <c r="G170" s="295">
        <f>SUM(G168:G169)</f>
        <v>1820215.2599531286</v>
      </c>
      <c r="H170" s="296"/>
      <c r="I170" s="180"/>
    </row>
    <row r="171" spans="3:9" ht="18.75" outlineLevel="1" x14ac:dyDescent="0.45">
      <c r="C171" s="297"/>
      <c r="D171" s="298" t="s">
        <v>490</v>
      </c>
      <c r="E171" s="169"/>
      <c r="F171" s="168"/>
      <c r="G171" s="169"/>
      <c r="H171" s="169"/>
      <c r="I171" s="180"/>
    </row>
    <row r="172" spans="3:9" ht="16.5" outlineLevel="1" x14ac:dyDescent="0.3">
      <c r="C172" s="299"/>
      <c r="D172" s="142" t="s">
        <v>437</v>
      </c>
      <c r="E172" s="151"/>
      <c r="F172" s="300">
        <f>G175</f>
        <v>-173207.74004687136</v>
      </c>
      <c r="G172" s="300">
        <v>-368423</v>
      </c>
      <c r="H172" s="165"/>
      <c r="I172" s="180"/>
    </row>
    <row r="173" spans="3:9" ht="16.5" outlineLevel="1" x14ac:dyDescent="0.3">
      <c r="C173" s="299"/>
      <c r="D173" s="142" t="s">
        <v>438</v>
      </c>
      <c r="E173" s="151"/>
      <c r="F173" s="300">
        <v>2508031.2003339818</v>
      </c>
      <c r="G173" s="300">
        <v>1820215.2599531286</v>
      </c>
      <c r="H173" s="165"/>
      <c r="I173" s="180"/>
    </row>
    <row r="174" spans="3:9" ht="18" outlineLevel="1" x14ac:dyDescent="0.4">
      <c r="C174" s="280"/>
      <c r="D174" s="142" t="s">
        <v>439</v>
      </c>
      <c r="E174" s="142"/>
      <c r="F174" s="301">
        <v>-2120100</v>
      </c>
      <c r="G174" s="301">
        <v>-1625000</v>
      </c>
      <c r="H174" s="165">
        <f>F174-G174</f>
        <v>-495100</v>
      </c>
      <c r="I174" s="180"/>
    </row>
    <row r="175" spans="3:9" ht="18.75"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outlineLevel="1" x14ac:dyDescent="0.3">
      <c r="C176" s="303" t="s">
        <v>441</v>
      </c>
      <c r="D176" s="304" t="s">
        <v>442</v>
      </c>
      <c r="E176" s="305"/>
      <c r="F176" s="305"/>
      <c r="G176" s="305"/>
      <c r="H176" s="165">
        <f>H175-F174</f>
        <v>-212010</v>
      </c>
      <c r="I176" s="180"/>
    </row>
    <row r="177" spans="3:9" ht="33" outlineLevel="1" x14ac:dyDescent="0.3">
      <c r="C177" s="297"/>
      <c r="D177" s="305"/>
      <c r="E177" s="177"/>
      <c r="F177" s="306" t="s">
        <v>443</v>
      </c>
      <c r="G177" s="177"/>
      <c r="H177" s="165">
        <v>214723.46028711041</v>
      </c>
      <c r="I177" s="180"/>
    </row>
    <row r="178" spans="3:9" ht="16.5" outlineLevel="1" x14ac:dyDescent="0.3">
      <c r="C178" s="297"/>
      <c r="D178" s="305"/>
      <c r="E178" s="177" t="s">
        <v>394</v>
      </c>
      <c r="F178" s="306"/>
      <c r="G178" s="177" t="s">
        <v>394</v>
      </c>
      <c r="H178" s="165">
        <v>2713.4602871104144</v>
      </c>
      <c r="I178" s="180"/>
    </row>
    <row r="179" spans="3:9" ht="16.5" outlineLevel="1" x14ac:dyDescent="0.3">
      <c r="C179" s="297"/>
      <c r="D179" s="176" t="s">
        <v>444</v>
      </c>
      <c r="E179" s="307">
        <v>219758.97</v>
      </c>
      <c r="F179" s="286">
        <f>E179-G179</f>
        <v>31222.97</v>
      </c>
      <c r="G179" s="308">
        <v>188536</v>
      </c>
      <c r="H179" s="309">
        <v>9044.8676237013806</v>
      </c>
      <c r="I179" s="180"/>
    </row>
    <row r="180" spans="3:9" ht="16.5" outlineLevel="1" x14ac:dyDescent="0.3">
      <c r="C180" s="297"/>
      <c r="D180" s="176" t="s">
        <v>445</v>
      </c>
      <c r="E180" s="307">
        <v>5722422.040000001</v>
      </c>
      <c r="F180" s="286">
        <f>E180-G180</f>
        <v>2371207.830000001</v>
      </c>
      <c r="G180" s="308">
        <v>3351214.21</v>
      </c>
      <c r="H180" s="165"/>
      <c r="I180" s="180"/>
    </row>
    <row r="181" spans="3:9" ht="18" outlineLevel="1" x14ac:dyDescent="0.4">
      <c r="C181" s="297"/>
      <c r="D181" s="176" t="s">
        <v>446</v>
      </c>
      <c r="E181" s="310">
        <v>-3699952.7</v>
      </c>
      <c r="F181" s="291">
        <f>E181-G181</f>
        <v>-7513.9000000003725</v>
      </c>
      <c r="G181" s="311">
        <v>-3692438.8</v>
      </c>
      <c r="H181" s="165"/>
      <c r="I181" s="180"/>
    </row>
    <row r="182" spans="3:9" ht="18.75" outlineLevel="1" x14ac:dyDescent="0.45">
      <c r="C182" s="297"/>
      <c r="D182" s="176"/>
      <c r="E182" s="312">
        <f>SUM(E179:E181)</f>
        <v>2242228.3100000005</v>
      </c>
      <c r="F182" s="312">
        <f>SUM(F179:F181)</f>
        <v>2394916.9000000008</v>
      </c>
      <c r="G182" s="312">
        <f>SUM(G179:G181)</f>
        <v>-152688.58999999985</v>
      </c>
      <c r="H182" s="165"/>
      <c r="I182" s="180"/>
    </row>
    <row r="183" spans="3:9" outlineLevel="1" x14ac:dyDescent="0.25">
      <c r="C183" s="231"/>
      <c r="I183" s="215"/>
    </row>
    <row r="184" spans="3:9" outlineLevel="1" x14ac:dyDescent="0.25">
      <c r="C184" s="231"/>
      <c r="I184" s="215"/>
    </row>
    <row r="185" spans="3:9" ht="15.75" outlineLevel="1" thickBot="1" x14ac:dyDescent="0.3">
      <c r="C185" s="202"/>
      <c r="D185" s="203"/>
      <c r="E185" s="203"/>
      <c r="F185" s="203"/>
      <c r="G185" s="203"/>
      <c r="H185" s="203"/>
      <c r="I185" s="204"/>
    </row>
    <row r="186" spans="3:9" outlineLevel="1" x14ac:dyDescent="0.25"/>
    <row r="187" spans="3:9" outlineLevel="1" x14ac:dyDescent="0.25"/>
    <row r="188" spans="3:9" outlineLevel="1" x14ac:dyDescent="0.25"/>
    <row r="190" spans="3:9" ht="15.75" outlineLevel="1" thickBot="1" x14ac:dyDescent="0.3"/>
    <row r="191" spans="3:9" ht="16.5" outlineLevel="1" x14ac:dyDescent="0.25">
      <c r="C191" s="635" t="s">
        <v>358</v>
      </c>
      <c r="D191" s="636"/>
      <c r="E191" s="636"/>
      <c r="F191" s="636"/>
      <c r="G191" s="636"/>
      <c r="H191" s="636"/>
      <c r="I191" s="637"/>
    </row>
    <row r="192" spans="3:9" ht="16.5" outlineLevel="1" x14ac:dyDescent="0.25">
      <c r="C192" s="638" t="s">
        <v>378</v>
      </c>
      <c r="D192" s="639"/>
      <c r="E192" s="639"/>
      <c r="F192" s="639"/>
      <c r="G192" s="639"/>
      <c r="H192" s="639"/>
      <c r="I192" s="640"/>
    </row>
    <row r="193" spans="3:9" ht="16.5" outlineLevel="1" x14ac:dyDescent="0.25">
      <c r="C193" s="650" t="s">
        <v>492</v>
      </c>
      <c r="D193" s="651"/>
      <c r="E193" s="651"/>
      <c r="F193" s="651"/>
      <c r="G193" s="651"/>
      <c r="H193" s="651"/>
      <c r="I193" s="652"/>
    </row>
    <row r="194" spans="3:9" ht="16.5" outlineLevel="1" x14ac:dyDescent="0.3">
      <c r="C194" s="209" t="s">
        <v>379</v>
      </c>
      <c r="D194" s="153"/>
      <c r="E194" s="153"/>
      <c r="F194" s="153"/>
      <c r="G194" s="153"/>
      <c r="H194" s="153"/>
      <c r="I194" s="215"/>
    </row>
    <row r="195" spans="3:9" ht="16.5" outlineLevel="1" x14ac:dyDescent="0.3">
      <c r="C195" s="209"/>
      <c r="D195" s="153"/>
      <c r="E195" s="153"/>
      <c r="F195" s="153"/>
      <c r="G195" s="163"/>
      <c r="H195" s="163"/>
      <c r="I195" s="215"/>
    </row>
    <row r="196" spans="3:9" ht="16.5" outlineLevel="1" x14ac:dyDescent="0.3">
      <c r="C196" s="299"/>
      <c r="D196" s="313"/>
      <c r="E196" s="163" t="s">
        <v>394</v>
      </c>
      <c r="F196" s="163" t="s">
        <v>394</v>
      </c>
      <c r="I196" s="215"/>
    </row>
    <row r="197" spans="3:9" ht="16.5" outlineLevel="1" x14ac:dyDescent="0.3">
      <c r="C197" s="303" t="s">
        <v>447</v>
      </c>
      <c r="D197" s="143" t="s">
        <v>448</v>
      </c>
      <c r="E197" s="153"/>
      <c r="F197" s="153"/>
      <c r="I197" s="215"/>
    </row>
    <row r="198" spans="3:9" ht="16.5" outlineLevel="1" x14ac:dyDescent="0.3">
      <c r="C198" s="297"/>
      <c r="D198" s="142" t="s">
        <v>449</v>
      </c>
      <c r="E198" s="164">
        <v>8341040.6232255083</v>
      </c>
      <c r="F198" s="164">
        <v>6071289.5797777474</v>
      </c>
      <c r="I198" s="215"/>
    </row>
    <row r="199" spans="3:9" ht="16.5" outlineLevel="1" x14ac:dyDescent="0.3">
      <c r="C199" s="297"/>
      <c r="D199" s="142" t="s">
        <v>450</v>
      </c>
      <c r="E199" s="164">
        <v>409278.51677448238</v>
      </c>
      <c r="F199" s="165">
        <v>223810.43022226563</v>
      </c>
      <c r="I199" s="215"/>
    </row>
    <row r="200" spans="3:9" ht="18" outlineLevel="1" x14ac:dyDescent="0.4">
      <c r="C200" s="297"/>
      <c r="D200" s="142" t="s">
        <v>451</v>
      </c>
      <c r="E200" s="166">
        <v>-251562.5</v>
      </c>
      <c r="F200" s="167">
        <v>0</v>
      </c>
      <c r="I200" s="215"/>
    </row>
    <row r="201" spans="3:9" ht="16.5" outlineLevel="1" x14ac:dyDescent="0.3">
      <c r="C201" s="297"/>
      <c r="D201" s="142" t="s">
        <v>452</v>
      </c>
      <c r="E201" s="164">
        <f>SUM(E198:E200)</f>
        <v>8498756.6399999913</v>
      </c>
      <c r="F201" s="164">
        <f>SUM(F198:F200)</f>
        <v>6295100.0100000128</v>
      </c>
      <c r="I201" s="215"/>
    </row>
    <row r="202" spans="3:9" ht="18.75" outlineLevel="1" x14ac:dyDescent="0.45">
      <c r="C202" s="297"/>
      <c r="D202" s="143" t="s">
        <v>453</v>
      </c>
      <c r="E202" s="168"/>
      <c r="F202" s="169"/>
      <c r="I202" s="215"/>
    </row>
    <row r="203" spans="3:9" ht="16.5" outlineLevel="1" x14ac:dyDescent="0.3">
      <c r="C203" s="297"/>
      <c r="D203" s="142" t="s">
        <v>454</v>
      </c>
      <c r="E203" s="164">
        <v>-6706659</v>
      </c>
      <c r="F203" s="165">
        <v>1007245</v>
      </c>
      <c r="I203" s="215"/>
    </row>
    <row r="204" spans="3:9" ht="16.5" outlineLevel="1" x14ac:dyDescent="0.3">
      <c r="C204" s="297"/>
      <c r="D204" s="142" t="s">
        <v>455</v>
      </c>
      <c r="E204" s="164">
        <v>-7720742.6699999999</v>
      </c>
      <c r="F204" s="165">
        <v>13927484.049999999</v>
      </c>
      <c r="I204" s="215"/>
    </row>
    <row r="205" spans="3:9" ht="18" outlineLevel="1" x14ac:dyDescent="0.4">
      <c r="C205" s="297"/>
      <c r="D205" s="142" t="s">
        <v>456</v>
      </c>
      <c r="E205" s="166">
        <v>12538408.640000001</v>
      </c>
      <c r="F205" s="167">
        <v>-11794430.57</v>
      </c>
      <c r="I205" s="215"/>
    </row>
    <row r="206" spans="3:9" ht="16.5" outlineLevel="1" x14ac:dyDescent="0.3">
      <c r="C206" s="297"/>
      <c r="D206" s="150" t="s">
        <v>457</v>
      </c>
      <c r="E206" s="314">
        <f>SUM(E201:E205)</f>
        <v>6609763.609999992</v>
      </c>
      <c r="F206" s="314">
        <f>SUM(F201:F205)</f>
        <v>9435398.4900000095</v>
      </c>
      <c r="I206" s="215"/>
    </row>
    <row r="207" spans="3:9" ht="16.5" outlineLevel="1" x14ac:dyDescent="0.3">
      <c r="C207" s="303" t="s">
        <v>458</v>
      </c>
      <c r="D207" s="159" t="s">
        <v>459</v>
      </c>
      <c r="E207" s="159"/>
      <c r="F207" s="315"/>
      <c r="G207" s="170"/>
      <c r="H207" s="171"/>
      <c r="I207" s="215"/>
    </row>
    <row r="208" spans="3:9" ht="16.5" outlineLevel="1" x14ac:dyDescent="0.3">
      <c r="C208" s="297"/>
      <c r="D208" s="647" t="s">
        <v>460</v>
      </c>
      <c r="E208" s="647"/>
      <c r="F208" s="647"/>
      <c r="G208" s="647"/>
      <c r="H208" s="647"/>
      <c r="I208" s="215"/>
    </row>
    <row r="209" spans="3:9" ht="16.5" outlineLevel="1" x14ac:dyDescent="0.3">
      <c r="C209" s="303" t="s">
        <v>461</v>
      </c>
      <c r="D209" s="143" t="s">
        <v>462</v>
      </c>
      <c r="E209" s="143"/>
      <c r="F209" s="316"/>
      <c r="G209" s="316"/>
      <c r="H209" s="316"/>
      <c r="I209" s="215"/>
    </row>
    <row r="210" spans="3:9" ht="15.75" outlineLevel="1" x14ac:dyDescent="0.25">
      <c r="C210" s="280"/>
      <c r="D210" s="664" t="s">
        <v>491</v>
      </c>
      <c r="E210" s="664"/>
      <c r="F210" s="664"/>
      <c r="G210" s="664"/>
      <c r="H210" s="664"/>
      <c r="I210" s="215"/>
    </row>
    <row r="211" spans="3:9" ht="15.75" outlineLevel="1" x14ac:dyDescent="0.25">
      <c r="C211" s="290"/>
      <c r="D211" s="664"/>
      <c r="E211" s="664"/>
      <c r="F211" s="664"/>
      <c r="G211" s="664"/>
      <c r="H211" s="664"/>
      <c r="I211" s="215"/>
    </row>
    <row r="212" spans="3:9" ht="15.75" outlineLevel="1" x14ac:dyDescent="0.25">
      <c r="C212" s="290"/>
      <c r="D212" s="664"/>
      <c r="E212" s="664"/>
      <c r="F212" s="664"/>
      <c r="G212" s="664"/>
      <c r="H212" s="664"/>
      <c r="I212" s="215"/>
    </row>
    <row r="213" spans="3:9" ht="15.75" outlineLevel="1" x14ac:dyDescent="0.25">
      <c r="C213" s="290"/>
      <c r="D213" s="664"/>
      <c r="E213" s="664"/>
      <c r="F213" s="664"/>
      <c r="G213" s="664"/>
      <c r="H213" s="664"/>
      <c r="I213" s="215"/>
    </row>
    <row r="214" spans="3:9" ht="16.5" outlineLevel="1" x14ac:dyDescent="0.3">
      <c r="C214" s="297" t="s">
        <v>463</v>
      </c>
      <c r="D214" s="317" t="s">
        <v>464</v>
      </c>
      <c r="E214" s="142"/>
      <c r="F214" s="142"/>
      <c r="G214" s="142"/>
      <c r="H214" s="142"/>
      <c r="I214" s="215"/>
    </row>
    <row r="215" spans="3:9" ht="15.75" outlineLevel="1" x14ac:dyDescent="0.25">
      <c r="C215" s="290"/>
      <c r="D215" s="664" t="s">
        <v>465</v>
      </c>
      <c r="E215" s="664"/>
      <c r="F215" s="664"/>
      <c r="G215" s="664"/>
      <c r="H215" s="664"/>
      <c r="I215" s="215"/>
    </row>
    <row r="216" spans="3:9" ht="15.75" outlineLevel="1" x14ac:dyDescent="0.25">
      <c r="C216" s="290"/>
      <c r="D216" s="664"/>
      <c r="E216" s="664"/>
      <c r="F216" s="664"/>
      <c r="G216" s="664"/>
      <c r="H216" s="664"/>
      <c r="I216" s="215"/>
    </row>
    <row r="217" spans="3:9" outlineLevel="1" x14ac:dyDescent="0.25">
      <c r="C217" s="231"/>
      <c r="I217" s="215"/>
    </row>
    <row r="218" spans="3:9" outlineLevel="1" x14ac:dyDescent="0.25">
      <c r="C218" s="231"/>
      <c r="I218" s="215"/>
    </row>
    <row r="219" spans="3:9" outlineLevel="1" x14ac:dyDescent="0.25">
      <c r="C219" s="231"/>
      <c r="I219" s="215"/>
    </row>
    <row r="220" spans="3:9" ht="15.75" outlineLevel="1" thickBot="1" x14ac:dyDescent="0.3">
      <c r="C220" s="202"/>
      <c r="D220" s="203"/>
      <c r="E220" s="203"/>
      <c r="F220" s="203"/>
      <c r="G220" s="203"/>
      <c r="H220" s="203"/>
      <c r="I220" s="204"/>
    </row>
    <row r="221" spans="3:9" outlineLevel="1" x14ac:dyDescent="0.25"/>
    <row r="222" spans="3:9" outlineLevel="1" x14ac:dyDescent="0.25"/>
    <row r="224" spans="3:9" ht="15.75" outlineLevel="1" thickBot="1" x14ac:dyDescent="0.3"/>
    <row r="225" spans="3:9" ht="16.5" outlineLevel="1" x14ac:dyDescent="0.25">
      <c r="C225" s="635" t="s">
        <v>358</v>
      </c>
      <c r="D225" s="636"/>
      <c r="E225" s="636"/>
      <c r="F225" s="636"/>
      <c r="G225" s="636"/>
      <c r="H225" s="636"/>
      <c r="I225" s="637"/>
    </row>
    <row r="226" spans="3:9" ht="16.5" outlineLevel="1" x14ac:dyDescent="0.25">
      <c r="C226" s="638" t="s">
        <v>494</v>
      </c>
      <c r="D226" s="639"/>
      <c r="E226" s="639"/>
      <c r="F226" s="639"/>
      <c r="G226" s="639"/>
      <c r="H226" s="639"/>
      <c r="I226" s="640"/>
    </row>
    <row r="227" spans="3:9" ht="17.25" outlineLevel="1" thickBot="1" x14ac:dyDescent="0.3">
      <c r="C227" s="641" t="s">
        <v>492</v>
      </c>
      <c r="D227" s="642"/>
      <c r="E227" s="642"/>
      <c r="F227" s="642"/>
      <c r="G227" s="642"/>
      <c r="H227" s="642"/>
      <c r="I227" s="643"/>
    </row>
    <row r="228" spans="3:9" outlineLevel="1" x14ac:dyDescent="0.25">
      <c r="C228" s="231"/>
      <c r="I228" s="215"/>
    </row>
    <row r="229" spans="3:9" outlineLevel="1" x14ac:dyDescent="0.25">
      <c r="C229" s="231"/>
      <c r="I229" s="215"/>
    </row>
    <row r="230" spans="3:9" outlineLevel="1" x14ac:dyDescent="0.25">
      <c r="C230" s="231"/>
      <c r="I230" s="215"/>
    </row>
    <row r="231" spans="3:9" outlineLevel="1" x14ac:dyDescent="0.25">
      <c r="C231" s="231"/>
      <c r="I231" s="215"/>
    </row>
    <row r="232" spans="3:9" outlineLevel="1" x14ac:dyDescent="0.25">
      <c r="C232" s="231"/>
      <c r="I232" s="215"/>
    </row>
    <row r="233" spans="3:9" outlineLevel="1" x14ac:dyDescent="0.25">
      <c r="C233" s="231"/>
      <c r="I233" s="215"/>
    </row>
    <row r="234" spans="3:9" outlineLevel="1" x14ac:dyDescent="0.25">
      <c r="C234" s="231"/>
      <c r="I234" s="215"/>
    </row>
    <row r="235" spans="3:9" outlineLevel="1" x14ac:dyDescent="0.25">
      <c r="C235" s="231"/>
      <c r="I235" s="215"/>
    </row>
    <row r="236" spans="3:9" outlineLevel="1" x14ac:dyDescent="0.25">
      <c r="C236" s="231"/>
      <c r="I236" s="215"/>
    </row>
    <row r="237" spans="3:9" outlineLevel="1" x14ac:dyDescent="0.25">
      <c r="C237" s="231"/>
      <c r="I237" s="215"/>
    </row>
    <row r="238" spans="3:9" outlineLevel="1" x14ac:dyDescent="0.25">
      <c r="C238" s="231"/>
      <c r="I238" s="215"/>
    </row>
    <row r="239" spans="3:9" outlineLevel="1" x14ac:dyDescent="0.25">
      <c r="C239" s="231"/>
      <c r="I239" s="215"/>
    </row>
    <row r="240" spans="3:9" outlineLevel="1" x14ac:dyDescent="0.25">
      <c r="C240" s="231"/>
      <c r="I240" s="215"/>
    </row>
    <row r="241" spans="3:9" outlineLevel="1" x14ac:dyDescent="0.25">
      <c r="C241" s="231"/>
      <c r="I241" s="215"/>
    </row>
    <row r="242" spans="3:9" outlineLevel="1" x14ac:dyDescent="0.25">
      <c r="C242" s="231"/>
      <c r="I242" s="215"/>
    </row>
    <row r="243" spans="3:9" outlineLevel="1" x14ac:dyDescent="0.25">
      <c r="C243" s="231"/>
      <c r="I243" s="215"/>
    </row>
    <row r="244" spans="3:9" outlineLevel="1" x14ac:dyDescent="0.25">
      <c r="C244" s="231"/>
      <c r="I244" s="215"/>
    </row>
    <row r="245" spans="3:9" outlineLevel="1" x14ac:dyDescent="0.25">
      <c r="C245" s="231"/>
      <c r="I245" s="215"/>
    </row>
    <row r="246" spans="3:9" outlineLevel="1" x14ac:dyDescent="0.25">
      <c r="C246" s="231"/>
      <c r="I246" s="215"/>
    </row>
    <row r="247" spans="3:9" outlineLevel="1" x14ac:dyDescent="0.25">
      <c r="C247" s="231"/>
      <c r="I247" s="215"/>
    </row>
    <row r="248" spans="3:9" outlineLevel="1" x14ac:dyDescent="0.25">
      <c r="C248" s="231"/>
      <c r="I248" s="215"/>
    </row>
    <row r="249" spans="3:9" outlineLevel="1" x14ac:dyDescent="0.25">
      <c r="C249" s="231"/>
      <c r="I249" s="215"/>
    </row>
    <row r="250" spans="3:9" outlineLevel="1" x14ac:dyDescent="0.25">
      <c r="C250" s="231"/>
      <c r="I250" s="215"/>
    </row>
    <row r="251" spans="3:9" outlineLevel="1" x14ac:dyDescent="0.25">
      <c r="C251" s="231"/>
      <c r="I251" s="215"/>
    </row>
    <row r="252" spans="3:9" outlineLevel="1" x14ac:dyDescent="0.25">
      <c r="C252" s="231"/>
      <c r="I252" s="215"/>
    </row>
    <row r="253" spans="3:9" outlineLevel="1" x14ac:dyDescent="0.25">
      <c r="C253" s="231"/>
      <c r="I253" s="215"/>
    </row>
    <row r="254" spans="3:9" outlineLevel="1" x14ac:dyDescent="0.25">
      <c r="C254" s="231"/>
      <c r="I254" s="215"/>
    </row>
    <row r="255" spans="3:9" outlineLevel="1" x14ac:dyDescent="0.25">
      <c r="C255" s="231"/>
      <c r="I255" s="215"/>
    </row>
    <row r="256" spans="3:9" outlineLevel="1" x14ac:dyDescent="0.25">
      <c r="C256" s="231"/>
      <c r="I256" s="215"/>
    </row>
    <row r="257" spans="3:9" outlineLevel="1" x14ac:dyDescent="0.25">
      <c r="C257" s="231"/>
      <c r="I257" s="215"/>
    </row>
    <row r="258" spans="3:9" outlineLevel="1" x14ac:dyDescent="0.25">
      <c r="C258" s="231"/>
      <c r="I258" s="215"/>
    </row>
    <row r="259" spans="3:9" outlineLevel="1" x14ac:dyDescent="0.25">
      <c r="C259" s="231"/>
      <c r="I259" s="215"/>
    </row>
    <row r="260" spans="3:9" outlineLevel="1" x14ac:dyDescent="0.25">
      <c r="C260" s="231"/>
      <c r="I260" s="215"/>
    </row>
    <row r="261" spans="3:9" outlineLevel="1" x14ac:dyDescent="0.25">
      <c r="C261" s="231"/>
      <c r="I261" s="215"/>
    </row>
    <row r="262" spans="3:9" outlineLevel="1" x14ac:dyDescent="0.25">
      <c r="C262" s="231"/>
      <c r="I262" s="215"/>
    </row>
    <row r="263" spans="3:9" outlineLevel="1" x14ac:dyDescent="0.25">
      <c r="C263" s="231"/>
      <c r="I263" s="215"/>
    </row>
    <row r="264" spans="3:9" outlineLevel="1" x14ac:dyDescent="0.25">
      <c r="C264" s="231"/>
      <c r="I264" s="215"/>
    </row>
    <row r="265" spans="3:9" outlineLevel="1" x14ac:dyDescent="0.25">
      <c r="C265" s="231"/>
      <c r="I265" s="215"/>
    </row>
    <row r="266" spans="3:9" outlineLevel="1" x14ac:dyDescent="0.25">
      <c r="C266" s="231"/>
      <c r="I266" s="215"/>
    </row>
    <row r="267" spans="3:9" outlineLevel="1" x14ac:dyDescent="0.25">
      <c r="C267" s="231"/>
      <c r="I267" s="215"/>
    </row>
    <row r="268" spans="3:9" outlineLevel="1" x14ac:dyDescent="0.25">
      <c r="C268" s="231"/>
      <c r="I268" s="215"/>
    </row>
    <row r="269" spans="3:9" outlineLevel="1" x14ac:dyDescent="0.25">
      <c r="C269" s="231"/>
      <c r="I269" s="215"/>
    </row>
    <row r="270" spans="3:9" outlineLevel="1" x14ac:dyDescent="0.25">
      <c r="C270" s="231"/>
      <c r="I270" s="215"/>
    </row>
    <row r="271" spans="3:9" outlineLevel="1" x14ac:dyDescent="0.25">
      <c r="C271" s="231"/>
      <c r="I271" s="215"/>
    </row>
    <row r="272" spans="3:9" outlineLevel="1" x14ac:dyDescent="0.25">
      <c r="C272" s="231"/>
      <c r="I272" s="215"/>
    </row>
    <row r="273" spans="3:9" outlineLevel="1" x14ac:dyDescent="0.25">
      <c r="C273" s="231"/>
      <c r="I273" s="215"/>
    </row>
    <row r="274" spans="3:9" outlineLevel="1" x14ac:dyDescent="0.25">
      <c r="C274" s="231"/>
      <c r="I274" s="215"/>
    </row>
    <row r="275" spans="3:9" outlineLevel="1" x14ac:dyDescent="0.25">
      <c r="C275" s="231"/>
      <c r="I275" s="215"/>
    </row>
    <row r="276" spans="3:9" outlineLevel="1" x14ac:dyDescent="0.25">
      <c r="C276" s="231"/>
      <c r="I276" s="215"/>
    </row>
    <row r="277" spans="3:9" outlineLevel="1" x14ac:dyDescent="0.25">
      <c r="C277" s="231"/>
      <c r="I277" s="215"/>
    </row>
    <row r="278" spans="3:9" outlineLevel="1" x14ac:dyDescent="0.25">
      <c r="C278" s="231"/>
      <c r="I278" s="215"/>
    </row>
    <row r="279" spans="3:9" outlineLevel="1" x14ac:dyDescent="0.25">
      <c r="C279" s="231"/>
      <c r="I279" s="215"/>
    </row>
    <row r="280" spans="3:9" outlineLevel="1" x14ac:dyDescent="0.25">
      <c r="C280" s="231"/>
      <c r="I280" s="215"/>
    </row>
    <row r="281" spans="3:9" outlineLevel="1" x14ac:dyDescent="0.25">
      <c r="C281" s="231"/>
      <c r="I281" s="215"/>
    </row>
    <row r="282" spans="3:9" outlineLevel="1" x14ac:dyDescent="0.25">
      <c r="C282" s="231"/>
      <c r="I282" s="215"/>
    </row>
    <row r="283" spans="3:9" outlineLevel="1" x14ac:dyDescent="0.25">
      <c r="C283" s="231"/>
      <c r="I283" s="215"/>
    </row>
    <row r="284" spans="3:9" ht="15.75" outlineLevel="1" thickBot="1" x14ac:dyDescent="0.3">
      <c r="C284" s="202"/>
      <c r="D284" s="203"/>
      <c r="E284" s="203"/>
      <c r="F284" s="203"/>
      <c r="G284" s="203"/>
      <c r="H284" s="203"/>
      <c r="I284" s="204"/>
    </row>
    <row r="285" spans="3:9" outlineLevel="1" x14ac:dyDescent="0.25"/>
    <row r="286" spans="3:9" outlineLevel="1" x14ac:dyDescent="0.25"/>
    <row r="287" spans="3:9" outlineLevel="1" x14ac:dyDescent="0.25"/>
    <row r="288" spans="3:9" outlineLevel="1" x14ac:dyDescent="0.25"/>
    <row r="289" spans="3:9" outlineLevel="1" x14ac:dyDescent="0.25"/>
    <row r="290" spans="3:9" outlineLevel="1" x14ac:dyDescent="0.25"/>
    <row r="292" spans="3:9" ht="15.75" outlineLevel="1" thickBot="1" x14ac:dyDescent="0.3"/>
    <row r="293" spans="3:9" ht="16.5" outlineLevel="1" x14ac:dyDescent="0.25">
      <c r="C293" s="635" t="s">
        <v>358</v>
      </c>
      <c r="D293" s="636"/>
      <c r="E293" s="636"/>
      <c r="F293" s="636"/>
      <c r="G293" s="636"/>
      <c r="H293" s="636"/>
      <c r="I293" s="637"/>
    </row>
    <row r="294" spans="3:9" ht="16.5" outlineLevel="1" x14ac:dyDescent="0.25">
      <c r="C294" s="638" t="s">
        <v>495</v>
      </c>
      <c r="D294" s="639"/>
      <c r="E294" s="639"/>
      <c r="F294" s="639"/>
      <c r="G294" s="639"/>
      <c r="H294" s="639"/>
      <c r="I294" s="640"/>
    </row>
    <row r="295" spans="3:9" ht="17.25" outlineLevel="1" thickBot="1" x14ac:dyDescent="0.3">
      <c r="C295" s="641" t="s">
        <v>492</v>
      </c>
      <c r="D295" s="642"/>
      <c r="E295" s="642"/>
      <c r="F295" s="642"/>
      <c r="G295" s="642"/>
      <c r="H295" s="642"/>
      <c r="I295" s="643"/>
    </row>
    <row r="296" spans="3:9" outlineLevel="1" x14ac:dyDescent="0.25">
      <c r="C296" s="231"/>
      <c r="I296" s="215"/>
    </row>
    <row r="297" spans="3:9" outlineLevel="1" x14ac:dyDescent="0.25">
      <c r="C297" s="231"/>
      <c r="I297" s="215"/>
    </row>
    <row r="298" spans="3:9" outlineLevel="1" x14ac:dyDescent="0.25">
      <c r="C298" s="231"/>
      <c r="I298" s="215"/>
    </row>
    <row r="299" spans="3:9" ht="16.5" outlineLevel="1" x14ac:dyDescent="0.3">
      <c r="C299" s="231"/>
      <c r="D299" s="142"/>
      <c r="E299" s="142"/>
      <c r="F299" s="142"/>
      <c r="G299" s="142"/>
      <c r="H299" s="192" t="s">
        <v>394</v>
      </c>
      <c r="I299" s="215"/>
    </row>
    <row r="300" spans="3:9" ht="15.75" outlineLevel="1" x14ac:dyDescent="0.25">
      <c r="C300" s="231"/>
      <c r="D300" s="142" t="str">
        <f>IF(H300&lt;0,"Profit","Profit")&amp;" as per financial statements"</f>
        <v>Profit as per financial statements</v>
      </c>
      <c r="E300" s="142"/>
      <c r="F300" s="142"/>
      <c r="G300" s="319"/>
      <c r="H300" s="320">
        <v>8341040.6232255083</v>
      </c>
      <c r="I300" s="215"/>
    </row>
    <row r="301" spans="3:9" ht="16.5" outlineLevel="1" x14ac:dyDescent="0.3">
      <c r="C301" s="231"/>
      <c r="D301" s="143" t="s">
        <v>496</v>
      </c>
      <c r="E301" s="142"/>
      <c r="F301" s="142"/>
      <c r="G301" s="142"/>
      <c r="H301" s="320"/>
      <c r="I301" s="215"/>
    </row>
    <row r="302" spans="3:9" ht="15.75" outlineLevel="1" x14ac:dyDescent="0.25">
      <c r="C302" s="231"/>
      <c r="D302" s="142" t="s">
        <v>497</v>
      </c>
      <c r="E302" s="142"/>
      <c r="F302" s="142"/>
      <c r="G302" s="142"/>
      <c r="H302" s="320">
        <v>2000</v>
      </c>
      <c r="I302" s="215"/>
    </row>
    <row r="303" spans="3:9" ht="18" outlineLevel="1" x14ac:dyDescent="0.4">
      <c r="C303" s="231"/>
      <c r="D303" s="142" t="s">
        <v>411</v>
      </c>
      <c r="E303" s="142"/>
      <c r="F303" s="142"/>
      <c r="G303" s="142"/>
      <c r="H303" s="321">
        <v>409278.51677448238</v>
      </c>
      <c r="I303" s="215"/>
    </row>
    <row r="304" spans="3:9" ht="15.75" outlineLevel="1" x14ac:dyDescent="0.25">
      <c r="C304" s="231"/>
      <c r="D304" s="142"/>
      <c r="E304" s="142"/>
      <c r="F304" s="142"/>
      <c r="G304" s="142"/>
      <c r="H304" s="165">
        <v>8752319.1399999913</v>
      </c>
      <c r="I304" s="215"/>
    </row>
    <row r="305" spans="3:9" ht="16.5" outlineLevel="1" x14ac:dyDescent="0.3">
      <c r="C305" s="231"/>
      <c r="D305" s="142" t="s">
        <v>498</v>
      </c>
      <c r="E305" s="142"/>
      <c r="F305" s="142"/>
      <c r="G305" s="142"/>
      <c r="H305" s="165"/>
      <c r="I305" s="215"/>
    </row>
    <row r="306" spans="3:9" ht="18" outlineLevel="1" x14ac:dyDescent="0.4">
      <c r="C306" s="231"/>
      <c r="D306" s="142" t="s">
        <v>499</v>
      </c>
      <c r="E306" s="142"/>
      <c r="F306" s="142"/>
      <c r="G306" s="322"/>
      <c r="H306" s="321">
        <v>392215.13888671878</v>
      </c>
      <c r="I306" s="215"/>
    </row>
    <row r="307" spans="3:9" ht="18.75" outlineLevel="1" x14ac:dyDescent="0.45">
      <c r="C307" s="231"/>
      <c r="D307" s="150" t="s">
        <v>500</v>
      </c>
      <c r="E307" s="320"/>
      <c r="F307" s="320"/>
      <c r="G307" s="142"/>
      <c r="H307" s="323">
        <v>8360104.0011132723</v>
      </c>
      <c r="I307" s="215"/>
    </row>
    <row r="308" spans="3:9" ht="18" outlineLevel="1" x14ac:dyDescent="0.4">
      <c r="C308" s="231"/>
      <c r="D308" s="324" t="s">
        <v>501</v>
      </c>
      <c r="E308" s="320"/>
      <c r="F308" s="320"/>
      <c r="G308" s="142"/>
      <c r="H308" s="325"/>
      <c r="I308" s="215"/>
    </row>
    <row r="309" spans="3:9" ht="18.75" outlineLevel="1" x14ac:dyDescent="0.45">
      <c r="C309" s="231"/>
      <c r="D309" s="142" t="s">
        <v>502</v>
      </c>
      <c r="E309" s="320"/>
      <c r="F309" s="320"/>
      <c r="G309" s="142"/>
      <c r="H309" s="295">
        <v>8360104.0011132723</v>
      </c>
      <c r="I309" s="215"/>
    </row>
    <row r="310" spans="3:9" ht="15.75" outlineLevel="1" x14ac:dyDescent="0.25">
      <c r="C310" s="231"/>
      <c r="D310" s="142" t="s">
        <v>503</v>
      </c>
      <c r="E310" s="320"/>
      <c r="F310" s="320"/>
      <c r="G310" s="142"/>
      <c r="H310" s="319">
        <v>2508031.2003339818</v>
      </c>
      <c r="I310" s="215"/>
    </row>
    <row r="311" spans="3:9" ht="15.75" outlineLevel="1" x14ac:dyDescent="0.25">
      <c r="C311" s="231"/>
      <c r="D311" s="142" t="s">
        <v>504</v>
      </c>
      <c r="E311" s="320"/>
      <c r="F311" s="320"/>
      <c r="G311" s="142"/>
      <c r="H311" s="319">
        <v>-115200</v>
      </c>
      <c r="I311" s="215"/>
    </row>
    <row r="312" spans="3:9" ht="15.75" outlineLevel="1" x14ac:dyDescent="0.25">
      <c r="C312" s="231"/>
      <c r="D312" s="142" t="s">
        <v>505</v>
      </c>
      <c r="E312" s="320"/>
      <c r="F312" s="320"/>
      <c r="G312" s="142"/>
      <c r="H312" s="319">
        <v>-173207.74004687136</v>
      </c>
      <c r="I312" s="215"/>
    </row>
    <row r="313" spans="3:9" ht="18" outlineLevel="1" x14ac:dyDescent="0.4">
      <c r="C313" s="231"/>
      <c r="D313" s="142" t="s">
        <v>506</v>
      </c>
      <c r="E313" s="320"/>
      <c r="F313" s="320"/>
      <c r="G313" s="142"/>
      <c r="H313" s="325">
        <v>-2004900</v>
      </c>
      <c r="I313" s="215"/>
    </row>
    <row r="314" spans="3:9" ht="18.75" outlineLevel="1" x14ac:dyDescent="0.45">
      <c r="C314" s="231"/>
      <c r="D314" s="150" t="s">
        <v>507</v>
      </c>
      <c r="E314" s="320"/>
      <c r="F314" s="320"/>
      <c r="G314" s="142"/>
      <c r="H314" s="295">
        <v>214723.46028711041</v>
      </c>
      <c r="I314" s="215"/>
    </row>
    <row r="315" spans="3:9" ht="16.5" outlineLevel="1" x14ac:dyDescent="0.3">
      <c r="C315" s="231"/>
      <c r="D315" s="324" t="s">
        <v>508</v>
      </c>
      <c r="E315" s="324"/>
      <c r="F315" s="324"/>
      <c r="G315" s="326"/>
      <c r="H315" s="326"/>
      <c r="I315" s="215"/>
    </row>
    <row r="316" spans="3:9" ht="16.5" outlineLevel="1" x14ac:dyDescent="0.3">
      <c r="C316" s="231"/>
      <c r="D316" s="327"/>
      <c r="E316" s="328" t="s">
        <v>509</v>
      </c>
      <c r="F316" s="328" t="s">
        <v>510</v>
      </c>
      <c r="G316" s="328" t="s">
        <v>511</v>
      </c>
      <c r="H316" s="328" t="s">
        <v>60</v>
      </c>
      <c r="I316" s="215"/>
    </row>
    <row r="317" spans="3:9" ht="16.5" outlineLevel="1" x14ac:dyDescent="0.3">
      <c r="C317" s="231"/>
      <c r="D317" s="327"/>
      <c r="E317" s="329">
        <v>0.3</v>
      </c>
      <c r="F317" s="329">
        <v>0.25</v>
      </c>
      <c r="G317" s="330">
        <v>0.125</v>
      </c>
      <c r="H317" s="327"/>
      <c r="I317" s="215"/>
    </row>
    <row r="318" spans="3:9" ht="16.5" outlineLevel="1" x14ac:dyDescent="0.3">
      <c r="C318" s="231"/>
      <c r="D318" s="327"/>
      <c r="E318" s="331" t="s">
        <v>394</v>
      </c>
      <c r="F318" s="331" t="s">
        <v>394</v>
      </c>
      <c r="G318" s="331" t="s">
        <v>394</v>
      </c>
      <c r="H318" s="331" t="s">
        <v>394</v>
      </c>
      <c r="I318" s="215"/>
    </row>
    <row r="319" spans="3:9" ht="15.75" outlineLevel="1" x14ac:dyDescent="0.25">
      <c r="C319" s="231"/>
      <c r="D319" s="326" t="s">
        <v>512</v>
      </c>
      <c r="E319" s="320">
        <v>30375.1</v>
      </c>
      <c r="F319" s="320">
        <v>548437.5</v>
      </c>
      <c r="G319" s="320">
        <v>223197.87109375</v>
      </c>
      <c r="H319" s="320">
        <f>SUM(E319:G319)</f>
        <v>802010.47109374998</v>
      </c>
      <c r="I319" s="215"/>
    </row>
    <row r="320" spans="3:9" ht="15.75" outlineLevel="1" x14ac:dyDescent="0.25">
      <c r="C320" s="231"/>
      <c r="D320" s="326" t="s">
        <v>513</v>
      </c>
      <c r="E320" s="320">
        <v>0</v>
      </c>
      <c r="F320" s="320">
        <f>-800000</f>
        <v>-800000</v>
      </c>
      <c r="G320" s="320">
        <v>0</v>
      </c>
      <c r="H320" s="320">
        <f>SUM(E320:G320)</f>
        <v>-800000</v>
      </c>
      <c r="I320" s="215"/>
    </row>
    <row r="321" spans="3:9" ht="15.75" outlineLevel="1" x14ac:dyDescent="0.25">
      <c r="C321" s="231"/>
      <c r="D321" s="326" t="s">
        <v>514</v>
      </c>
      <c r="E321" s="332">
        <v>0</v>
      </c>
      <c r="F321" s="332">
        <v>1500000</v>
      </c>
      <c r="G321" s="332">
        <v>344748</v>
      </c>
      <c r="H321" s="332">
        <f>SUM(E321:G321)</f>
        <v>1844748</v>
      </c>
      <c r="I321" s="215"/>
    </row>
    <row r="322" spans="3:9" ht="15.75" outlineLevel="1" x14ac:dyDescent="0.25">
      <c r="C322" s="231"/>
      <c r="D322" s="326"/>
      <c r="E322" s="165">
        <f>SUM(E319:E321)</f>
        <v>30375.1</v>
      </c>
      <c r="F322" s="165">
        <f>SUM(F319:F321)</f>
        <v>1248437.5</v>
      </c>
      <c r="G322" s="165">
        <f>SUM(G319:G321)</f>
        <v>567945.87109375</v>
      </c>
      <c r="H322" s="165">
        <f>SUM(H319:H321)</f>
        <v>1846758.4710937501</v>
      </c>
      <c r="I322" s="215"/>
    </row>
    <row r="323" spans="3:9" ht="15.75"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outlineLevel="1" thickTop="1" x14ac:dyDescent="0.25">
      <c r="C325" s="231"/>
      <c r="I325" s="215"/>
    </row>
    <row r="326" spans="3:9" outlineLevel="1" x14ac:dyDescent="0.25">
      <c r="C326" s="231"/>
      <c r="I326" s="215"/>
    </row>
    <row r="327" spans="3:9" outlineLevel="1" x14ac:dyDescent="0.25">
      <c r="C327" s="231"/>
      <c r="I327" s="215"/>
    </row>
    <row r="328" spans="3:9" outlineLevel="1" x14ac:dyDescent="0.25">
      <c r="C328" s="231"/>
      <c r="I328" s="215"/>
    </row>
    <row r="329" spans="3:9" outlineLevel="1" x14ac:dyDescent="0.25">
      <c r="C329" s="231"/>
      <c r="I329" s="215"/>
    </row>
    <row r="330" spans="3:9" outlineLevel="1" x14ac:dyDescent="0.25">
      <c r="C330" s="231"/>
      <c r="I330" s="215"/>
    </row>
    <row r="331" spans="3:9" outlineLevel="1" x14ac:dyDescent="0.25">
      <c r="C331" s="231"/>
      <c r="I331" s="215"/>
    </row>
    <row r="332" spans="3:9" outlineLevel="1" x14ac:dyDescent="0.25">
      <c r="C332" s="231"/>
      <c r="I332" s="215"/>
    </row>
    <row r="333" spans="3:9" outlineLevel="1" x14ac:dyDescent="0.25">
      <c r="C333" s="231"/>
      <c r="I333" s="215"/>
    </row>
    <row r="334" spans="3:9" outlineLevel="1" x14ac:dyDescent="0.25">
      <c r="C334" s="231"/>
      <c r="I334" s="215"/>
    </row>
    <row r="335" spans="3:9" outlineLevel="1" x14ac:dyDescent="0.25">
      <c r="C335" s="231"/>
      <c r="I335" s="215"/>
    </row>
    <row r="336" spans="3:9" outlineLevel="1" x14ac:dyDescent="0.25">
      <c r="C336" s="231"/>
      <c r="I336" s="215"/>
    </row>
    <row r="337" spans="3:9" outlineLevel="1" x14ac:dyDescent="0.25">
      <c r="C337" s="231"/>
      <c r="I337" s="215"/>
    </row>
    <row r="338" spans="3:9" outlineLevel="1" x14ac:dyDescent="0.25">
      <c r="C338" s="231"/>
      <c r="I338" s="215"/>
    </row>
    <row r="339" spans="3:9" outlineLevel="1" x14ac:dyDescent="0.25">
      <c r="C339" s="231"/>
      <c r="I339" s="215"/>
    </row>
    <row r="340" spans="3:9" outlineLevel="1" x14ac:dyDescent="0.25">
      <c r="C340" s="231"/>
      <c r="I340" s="215"/>
    </row>
    <row r="341" spans="3:9" outlineLevel="1" x14ac:dyDescent="0.25">
      <c r="C341" s="231"/>
      <c r="I341" s="215"/>
    </row>
    <row r="342" spans="3:9" outlineLevel="1" x14ac:dyDescent="0.25">
      <c r="C342" s="231"/>
      <c r="I342" s="215"/>
    </row>
    <row r="343" spans="3:9" outlineLevel="1" x14ac:dyDescent="0.25">
      <c r="C343" s="231"/>
      <c r="I343" s="215"/>
    </row>
    <row r="344" spans="3:9" outlineLevel="1" x14ac:dyDescent="0.25">
      <c r="C344" s="231"/>
      <c r="I344" s="215"/>
    </row>
    <row r="345" spans="3:9" outlineLevel="1" x14ac:dyDescent="0.25">
      <c r="C345" s="231"/>
      <c r="I345" s="215"/>
    </row>
    <row r="346" spans="3:9" outlineLevel="1" x14ac:dyDescent="0.25">
      <c r="C346" s="231"/>
      <c r="I346" s="215"/>
    </row>
    <row r="347" spans="3:9" outlineLevel="1" x14ac:dyDescent="0.25">
      <c r="C347" s="231"/>
      <c r="I347" s="215"/>
    </row>
    <row r="348" spans="3:9" outlineLevel="1" x14ac:dyDescent="0.25">
      <c r="C348" s="231"/>
      <c r="I348" s="215"/>
    </row>
    <row r="349" spans="3:9" outlineLevel="1" x14ac:dyDescent="0.25">
      <c r="C349" s="231"/>
      <c r="I349" s="215"/>
    </row>
    <row r="350" spans="3:9" outlineLevel="1" x14ac:dyDescent="0.25">
      <c r="C350" s="231"/>
      <c r="I350" s="215"/>
    </row>
    <row r="351" spans="3:9" outlineLevel="1" x14ac:dyDescent="0.25">
      <c r="C351" s="231"/>
      <c r="I351" s="215"/>
    </row>
    <row r="352" spans="3:9" ht="15.75" outlineLevel="1" thickBot="1" x14ac:dyDescent="0.3">
      <c r="C352" s="202"/>
      <c r="D352" s="203"/>
      <c r="E352" s="203"/>
      <c r="F352" s="203"/>
      <c r="G352" s="203"/>
      <c r="H352" s="203"/>
      <c r="I352" s="204"/>
    </row>
    <row r="353" outlineLevel="1" x14ac:dyDescent="0.25"/>
    <row r="354" outlineLevel="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19" priority="1" stopIfTrue="1" operator="greaterThan">
      <formula>0</formula>
    </cfRule>
    <cfRule type="cellIs" dxfId="518" priority="2" stopIfTrue="1" operator="equal">
      <formula>0</formula>
    </cfRule>
  </conditionalFormatting>
  <dataValidations count="1">
    <dataValidation type="list" allowBlank="1" showInputMessage="1" showErrorMessage="1" sqref="A1" xr:uid="{00000000-0002-0000-1B00-000000000000}">
      <formula1>Year</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355"/>
  <sheetViews>
    <sheetView zoomScaleNormal="100" workbookViewId="0">
      <selection activeCell="D360" sqref="D360"/>
    </sheetView>
  </sheetViews>
  <sheetFormatPr defaultRowHeight="15" outlineLevelRow="1" x14ac:dyDescent="0.25"/>
  <cols>
    <col min="2" max="2" width="1.85546875" customWidth="1"/>
    <col min="3" max="3" width="10.140625" customWidth="1"/>
    <col min="4" max="4" width="64.140625" customWidth="1"/>
    <col min="5" max="5" width="24.140625" customWidth="1"/>
    <col min="6" max="6" width="14" bestFit="1" customWidth="1"/>
    <col min="7" max="7" width="35" customWidth="1"/>
    <col min="8" max="8" width="14.7109375" bestFit="1" customWidth="1"/>
    <col min="9" max="9" width="15.42578125" bestFit="1" customWidth="1"/>
    <col min="10" max="10" width="14.7109375" bestFit="1" customWidth="1"/>
  </cols>
  <sheetData>
    <row r="1" spans="1:11" x14ac:dyDescent="0.25">
      <c r="A1" s="73">
        <v>2020</v>
      </c>
    </row>
    <row r="3" spans="1:11" ht="15.75" hidden="1" outlineLevel="1" thickBot="1" x14ac:dyDescent="0.3"/>
    <row r="4" spans="1:11" ht="16.5" hidden="1" outlineLevel="1" x14ac:dyDescent="0.3">
      <c r="C4" s="635" t="s">
        <v>358</v>
      </c>
      <c r="D4" s="636"/>
      <c r="E4" s="636"/>
      <c r="F4" s="636"/>
      <c r="G4" s="636"/>
      <c r="H4" s="178"/>
      <c r="I4" s="179"/>
      <c r="J4" s="142"/>
      <c r="K4" s="142"/>
    </row>
    <row r="5" spans="1:11" ht="16.5" hidden="1" outlineLevel="1" x14ac:dyDescent="0.25">
      <c r="C5" s="638" t="s">
        <v>296</v>
      </c>
      <c r="D5" s="639"/>
      <c r="E5" s="639"/>
      <c r="F5" s="639"/>
      <c r="G5" s="639"/>
      <c r="H5" s="142"/>
      <c r="I5" s="180"/>
      <c r="J5" s="142"/>
      <c r="K5" s="142"/>
    </row>
    <row r="6" spans="1:11" ht="16.5" hidden="1" outlineLevel="1" x14ac:dyDescent="0.25">
      <c r="C6" s="650" t="str">
        <f>"FOR THE YEAR ENDED 31ST DECEMBER" &amp; " " &amp;$A$1</f>
        <v>FOR THE YEAR ENDED 31ST DECEMBER 2020</v>
      </c>
      <c r="D6" s="651"/>
      <c r="E6" s="651"/>
      <c r="F6" s="651"/>
      <c r="G6" s="651"/>
      <c r="H6" s="205"/>
      <c r="I6" s="206"/>
      <c r="J6" s="142"/>
      <c r="K6" s="142"/>
    </row>
    <row r="7" spans="1:11" ht="16.5" hidden="1" outlineLevel="1" x14ac:dyDescent="0.3">
      <c r="C7" s="181" t="s">
        <v>367</v>
      </c>
      <c r="D7" s="143" t="s">
        <v>368</v>
      </c>
      <c r="E7" s="142"/>
      <c r="F7" s="142"/>
      <c r="G7" s="142"/>
      <c r="H7" s="142"/>
      <c r="I7" s="180"/>
      <c r="J7" s="142"/>
      <c r="K7" s="142"/>
    </row>
    <row r="8" spans="1:11" ht="16.5" hidden="1" customHeight="1" outlineLevel="1" x14ac:dyDescent="0.3">
      <c r="C8" s="182"/>
      <c r="D8" s="657" t="s">
        <v>493</v>
      </c>
      <c r="E8" s="658"/>
      <c r="F8" s="658"/>
      <c r="G8" s="658"/>
      <c r="H8" s="172"/>
      <c r="I8" s="183"/>
      <c r="J8" s="172"/>
      <c r="K8" s="172"/>
    </row>
    <row r="9" spans="1:11" ht="16.5" hidden="1" outlineLevel="1" x14ac:dyDescent="0.3">
      <c r="C9" s="182"/>
      <c r="D9" s="658"/>
      <c r="E9" s="658"/>
      <c r="F9" s="658"/>
      <c r="G9" s="658"/>
      <c r="H9" s="144"/>
      <c r="I9" s="184"/>
      <c r="J9" s="144"/>
      <c r="K9" s="144"/>
    </row>
    <row r="10" spans="1:11" ht="16.5" hidden="1" outlineLevel="1" x14ac:dyDescent="0.3">
      <c r="C10" s="181" t="s">
        <v>369</v>
      </c>
      <c r="D10" s="143" t="s">
        <v>370</v>
      </c>
      <c r="E10" s="142"/>
      <c r="F10" s="185"/>
      <c r="G10" s="185"/>
      <c r="H10" s="186"/>
      <c r="I10" s="187"/>
      <c r="J10" s="145"/>
      <c r="K10" s="145"/>
    </row>
    <row r="11" spans="1:11" ht="16.5" hidden="1" customHeight="1" outlineLevel="1" x14ac:dyDescent="0.3">
      <c r="C11" s="188"/>
      <c r="D11" s="657" t="s">
        <v>466</v>
      </c>
      <c r="E11" s="657"/>
      <c r="F11" s="657"/>
      <c r="G11" s="657"/>
      <c r="H11" s="175"/>
      <c r="I11" s="189"/>
      <c r="J11" s="175"/>
      <c r="K11" s="175"/>
    </row>
    <row r="12" spans="1:11" ht="16.5" hidden="1" outlineLevel="1" x14ac:dyDescent="0.3">
      <c r="C12" s="188"/>
      <c r="D12" s="657"/>
      <c r="E12" s="657"/>
      <c r="F12" s="657"/>
      <c r="G12" s="657"/>
      <c r="H12" s="175"/>
      <c r="I12" s="189"/>
      <c r="J12" s="175"/>
      <c r="K12" s="175"/>
    </row>
    <row r="13" spans="1:11" ht="16.5" hidden="1" outlineLevel="1" x14ac:dyDescent="0.3">
      <c r="C13" s="188"/>
      <c r="D13" s="657"/>
      <c r="E13" s="657"/>
      <c r="F13" s="657"/>
      <c r="G13" s="657"/>
      <c r="H13" s="175"/>
      <c r="I13" s="189"/>
      <c r="J13" s="175"/>
      <c r="K13" s="175"/>
    </row>
    <row r="14" spans="1:11" ht="16.5" hidden="1" outlineLevel="1" x14ac:dyDescent="0.3">
      <c r="C14" s="188"/>
      <c r="D14" s="175"/>
      <c r="E14" s="175"/>
      <c r="F14" s="175"/>
      <c r="G14" s="175"/>
      <c r="H14" s="175"/>
      <c r="I14" s="189"/>
      <c r="J14" s="175"/>
      <c r="K14" s="175"/>
    </row>
    <row r="15" spans="1:11" ht="16.5" hidden="1" outlineLevel="1" x14ac:dyDescent="0.3">
      <c r="C15" s="188"/>
      <c r="D15" s="143" t="s">
        <v>467</v>
      </c>
      <c r="E15" s="142"/>
      <c r="F15" s="142"/>
      <c r="G15" s="186"/>
      <c r="H15" s="186"/>
      <c r="I15" s="187"/>
      <c r="J15" s="145"/>
    </row>
    <row r="16" spans="1:11" ht="16.5" hidden="1" customHeight="1" outlineLevel="1" x14ac:dyDescent="0.3">
      <c r="C16" s="188"/>
      <c r="D16" s="147" t="s">
        <v>371</v>
      </c>
      <c r="E16" s="147"/>
      <c r="F16" s="147"/>
      <c r="G16" s="147"/>
      <c r="H16" s="147"/>
      <c r="I16" s="190"/>
      <c r="J16" s="147"/>
    </row>
    <row r="17" spans="3:10" ht="16.5" hidden="1" outlineLevel="1" x14ac:dyDescent="0.3">
      <c r="C17" s="191" t="s">
        <v>372</v>
      </c>
      <c r="D17" s="143" t="s">
        <v>468</v>
      </c>
      <c r="E17" s="143"/>
      <c r="F17" s="192"/>
      <c r="G17" s="192"/>
      <c r="H17" s="151"/>
      <c r="I17" s="193"/>
      <c r="J17" s="142"/>
    </row>
    <row r="18" spans="3:10" ht="16.5" hidden="1" customHeight="1" outlineLevel="1" x14ac:dyDescent="0.3">
      <c r="C18" s="194"/>
      <c r="D18" s="653" t="s">
        <v>474</v>
      </c>
      <c r="E18" s="654"/>
      <c r="F18" s="654"/>
      <c r="G18" s="654"/>
      <c r="H18" s="148"/>
      <c r="I18" s="195"/>
      <c r="J18" s="148"/>
    </row>
    <row r="19" spans="3:10" ht="16.5" hidden="1" outlineLevel="1" x14ac:dyDescent="0.3">
      <c r="C19" s="194"/>
      <c r="D19" s="654"/>
      <c r="E19" s="654"/>
      <c r="F19" s="654"/>
      <c r="G19" s="654"/>
      <c r="H19" s="148"/>
      <c r="I19" s="195"/>
      <c r="J19" s="148"/>
    </row>
    <row r="20" spans="3:10" ht="16.5" hidden="1" outlineLevel="1" x14ac:dyDescent="0.3">
      <c r="C20" s="194"/>
      <c r="D20" s="654"/>
      <c r="E20" s="654"/>
      <c r="F20" s="654"/>
      <c r="G20" s="654"/>
      <c r="H20" s="148"/>
      <c r="I20" s="195"/>
      <c r="J20" s="148"/>
    </row>
    <row r="21" spans="3:10" ht="16.5" hidden="1" outlineLevel="1" x14ac:dyDescent="0.3">
      <c r="C21" s="196"/>
      <c r="D21" s="143" t="s">
        <v>469</v>
      </c>
      <c r="E21" s="142"/>
      <c r="F21" s="142"/>
      <c r="G21" s="151"/>
      <c r="H21" s="142"/>
      <c r="I21" s="180"/>
      <c r="J21" s="142"/>
    </row>
    <row r="22" spans="3:10" ht="16.5" hidden="1" customHeight="1" outlineLevel="1" x14ac:dyDescent="0.3">
      <c r="C22" s="196"/>
      <c r="D22" s="655" t="s">
        <v>475</v>
      </c>
      <c r="E22" s="656"/>
      <c r="F22" s="656"/>
      <c r="G22" s="656"/>
      <c r="H22" s="147"/>
      <c r="I22" s="190"/>
      <c r="J22" s="147"/>
    </row>
    <row r="23" spans="3:10" ht="16.5" hidden="1" customHeight="1" outlineLevel="1" x14ac:dyDescent="0.3">
      <c r="C23" s="196"/>
      <c r="D23" s="656"/>
      <c r="E23" s="656"/>
      <c r="F23" s="656"/>
      <c r="G23" s="656"/>
      <c r="H23" s="147"/>
      <c r="I23" s="190"/>
      <c r="J23" s="147"/>
    </row>
    <row r="24" spans="3:10" ht="16.5" hidden="1" customHeight="1" outlineLevel="1" x14ac:dyDescent="0.3">
      <c r="C24" s="196"/>
      <c r="D24" s="656"/>
      <c r="E24" s="656"/>
      <c r="F24" s="656"/>
      <c r="G24" s="656"/>
      <c r="H24" s="147"/>
      <c r="I24" s="190"/>
      <c r="J24" s="147"/>
    </row>
    <row r="25" spans="3:10" ht="15.75" hidden="1" outlineLevel="1" x14ac:dyDescent="0.25">
      <c r="C25" s="197"/>
      <c r="D25" s="142" t="s">
        <v>373</v>
      </c>
      <c r="E25" s="198">
        <v>0.3</v>
      </c>
      <c r="F25" s="142"/>
      <c r="G25" s="199"/>
      <c r="H25" s="142"/>
      <c r="I25" s="180"/>
    </row>
    <row r="26" spans="3:10" ht="15.75" hidden="1" outlineLevel="1" x14ac:dyDescent="0.25">
      <c r="C26" s="197"/>
      <c r="D26" s="142" t="s">
        <v>374</v>
      </c>
      <c r="E26" s="198">
        <v>0.125</v>
      </c>
      <c r="F26" s="142"/>
      <c r="G26" s="199"/>
      <c r="H26" s="142"/>
      <c r="I26" s="180"/>
    </row>
    <row r="27" spans="3:10" ht="15.75" hidden="1" outlineLevel="1" x14ac:dyDescent="0.25">
      <c r="C27" s="197"/>
      <c r="D27" s="185" t="s">
        <v>375</v>
      </c>
      <c r="E27" s="198">
        <v>0.125</v>
      </c>
      <c r="F27" s="142"/>
      <c r="G27" s="199"/>
      <c r="H27" s="185"/>
      <c r="I27" s="180"/>
    </row>
    <row r="28" spans="3:10" ht="15.75" hidden="1" outlineLevel="1" x14ac:dyDescent="0.25">
      <c r="C28" s="197"/>
      <c r="D28" s="185" t="s">
        <v>376</v>
      </c>
      <c r="E28" s="198">
        <v>0.25</v>
      </c>
      <c r="F28" s="142"/>
      <c r="G28" s="199"/>
      <c r="H28" s="185"/>
      <c r="I28" s="180"/>
    </row>
    <row r="29" spans="3:10" ht="16.5" hidden="1" outlineLevel="1" x14ac:dyDescent="0.3">
      <c r="C29" s="188"/>
      <c r="D29" s="143" t="s">
        <v>470</v>
      </c>
      <c r="E29" s="173"/>
      <c r="F29" s="142"/>
      <c r="G29" s="142"/>
      <c r="H29" s="142"/>
      <c r="I29" s="180"/>
      <c r="J29" s="142"/>
    </row>
    <row r="30" spans="3:10" ht="16.5" hidden="1" customHeight="1" outlineLevel="1" x14ac:dyDescent="0.3">
      <c r="C30" s="188"/>
      <c r="D30" s="657" t="s">
        <v>476</v>
      </c>
      <c r="E30" s="657"/>
      <c r="F30" s="657"/>
      <c r="G30" s="657"/>
      <c r="H30" s="146"/>
      <c r="I30" s="200"/>
      <c r="J30" s="146"/>
    </row>
    <row r="31" spans="3:10" ht="16.5" hidden="1" customHeight="1" outlineLevel="1" x14ac:dyDescent="0.3">
      <c r="C31" s="188"/>
      <c r="D31" s="657"/>
      <c r="E31" s="657"/>
      <c r="F31" s="657"/>
      <c r="G31" s="657"/>
      <c r="H31" s="146"/>
      <c r="I31" s="200"/>
      <c r="J31" s="146"/>
    </row>
    <row r="32" spans="3:10" ht="16.5" hidden="1" customHeight="1" outlineLevel="1" x14ac:dyDescent="0.3">
      <c r="C32" s="188"/>
      <c r="D32" s="657"/>
      <c r="E32" s="657"/>
      <c r="F32" s="657"/>
      <c r="G32" s="657"/>
      <c r="H32" s="146"/>
      <c r="I32" s="200"/>
      <c r="J32" s="146"/>
    </row>
    <row r="33" spans="3:10" ht="16.5" hidden="1" customHeight="1" outlineLevel="1" x14ac:dyDescent="0.3">
      <c r="C33" s="188"/>
      <c r="D33" s="657"/>
      <c r="E33" s="657"/>
      <c r="F33" s="657"/>
      <c r="G33" s="657"/>
      <c r="H33" s="146"/>
      <c r="I33" s="200"/>
      <c r="J33" s="146"/>
    </row>
    <row r="34" spans="3:10" ht="16.5" hidden="1" outlineLevel="1" x14ac:dyDescent="0.3">
      <c r="C34" s="196"/>
      <c r="D34" s="143" t="s">
        <v>471</v>
      </c>
      <c r="E34" s="142"/>
      <c r="F34" s="142"/>
      <c r="G34" s="142"/>
      <c r="H34" s="142"/>
      <c r="I34" s="180"/>
      <c r="J34" s="142"/>
    </row>
    <row r="35" spans="3:10" ht="16.5" hidden="1" customHeight="1" outlineLevel="1" x14ac:dyDescent="0.3">
      <c r="C35" s="196"/>
      <c r="D35" s="657" t="s">
        <v>478</v>
      </c>
      <c r="E35" s="657"/>
      <c r="F35" s="657"/>
      <c r="G35" s="657"/>
      <c r="H35" s="149"/>
      <c r="I35" s="201"/>
      <c r="J35" s="149"/>
    </row>
    <row r="36" spans="3:10" ht="16.5" hidden="1" customHeight="1" outlineLevel="1" x14ac:dyDescent="0.3">
      <c r="C36" s="196"/>
      <c r="D36" s="657"/>
      <c r="E36" s="657"/>
      <c r="F36" s="657"/>
      <c r="G36" s="657"/>
      <c r="H36" s="149"/>
      <c r="I36" s="201"/>
      <c r="J36" s="149"/>
    </row>
    <row r="37" spans="3:10" ht="16.5" hidden="1" customHeight="1" outlineLevel="1" x14ac:dyDescent="0.3">
      <c r="C37" s="196"/>
      <c r="D37" s="657"/>
      <c r="E37" s="657"/>
      <c r="F37" s="657"/>
      <c r="G37" s="657"/>
      <c r="H37" s="149"/>
      <c r="I37" s="201"/>
      <c r="J37" s="149"/>
    </row>
    <row r="38" spans="3:10" ht="16.5" hidden="1" outlineLevel="1" x14ac:dyDescent="0.3">
      <c r="C38" s="188"/>
      <c r="D38" s="143" t="s">
        <v>472</v>
      </c>
      <c r="E38" s="142"/>
      <c r="F38" s="142"/>
      <c r="G38" s="142"/>
      <c r="H38" s="142"/>
      <c r="I38" s="180"/>
      <c r="J38" s="142"/>
    </row>
    <row r="39" spans="3:10" ht="16.5" hidden="1" customHeight="1" outlineLevel="1" x14ac:dyDescent="0.3">
      <c r="C39" s="188"/>
      <c r="D39" s="658" t="s">
        <v>377</v>
      </c>
      <c r="E39" s="658"/>
      <c r="F39" s="658"/>
      <c r="G39" s="658"/>
      <c r="H39" s="146"/>
      <c r="I39" s="200"/>
      <c r="J39" s="146"/>
    </row>
    <row r="40" spans="3:10" ht="16.5" hidden="1" customHeight="1" outlineLevel="1" x14ac:dyDescent="0.3">
      <c r="C40" s="188"/>
      <c r="D40" s="143" t="s">
        <v>473</v>
      </c>
      <c r="E40" s="175"/>
      <c r="F40" s="175"/>
      <c r="G40" s="175"/>
      <c r="H40" s="146"/>
      <c r="I40" s="200"/>
      <c r="J40" s="146"/>
    </row>
    <row r="41" spans="3:10" ht="16.5" hidden="1" customHeight="1" outlineLevel="1" x14ac:dyDescent="0.3">
      <c r="C41" s="188"/>
      <c r="D41" s="657" t="s">
        <v>477</v>
      </c>
      <c r="E41" s="657"/>
      <c r="F41" s="657"/>
      <c r="G41" s="657"/>
      <c r="H41" s="146"/>
      <c r="I41" s="200"/>
      <c r="J41" s="146"/>
    </row>
    <row r="42" spans="3:10" ht="16.5" hidden="1" customHeight="1" outlineLevel="1" x14ac:dyDescent="0.3">
      <c r="C42" s="188"/>
      <c r="D42" s="657"/>
      <c r="E42" s="657"/>
      <c r="F42" s="657"/>
      <c r="G42" s="657"/>
      <c r="H42" s="146"/>
      <c r="I42" s="200"/>
      <c r="J42" s="146"/>
    </row>
    <row r="43" spans="3:10" ht="16.5" hidden="1" outlineLevel="1" x14ac:dyDescent="0.3">
      <c r="C43" s="188"/>
      <c r="D43" s="657"/>
      <c r="E43" s="657"/>
      <c r="F43" s="657"/>
      <c r="G43" s="657"/>
      <c r="H43" s="151"/>
      <c r="I43" s="180"/>
      <c r="J43" s="142"/>
    </row>
    <row r="44" spans="3:10" ht="16.5" hidden="1" outlineLevel="1" x14ac:dyDescent="0.3">
      <c r="C44" s="188"/>
      <c r="D44" s="174"/>
      <c r="E44" s="174"/>
      <c r="F44" s="174"/>
      <c r="G44" s="174"/>
      <c r="H44" s="151"/>
      <c r="I44" s="180"/>
      <c r="J44" s="142"/>
    </row>
    <row r="45" spans="3:10" ht="16.5" hidden="1" outlineLevel="1" x14ac:dyDescent="0.3">
      <c r="C45" s="188"/>
      <c r="D45" s="174"/>
      <c r="E45" s="174"/>
      <c r="F45" s="174"/>
      <c r="G45" s="174"/>
      <c r="H45" s="151"/>
      <c r="I45" s="180"/>
      <c r="J45" s="142"/>
    </row>
    <row r="46" spans="3:10" ht="16.5" hidden="1" outlineLevel="1" x14ac:dyDescent="0.3">
      <c r="C46" s="188"/>
      <c r="D46" s="174"/>
      <c r="E46" s="174"/>
      <c r="F46" s="174"/>
      <c r="G46" s="174"/>
      <c r="H46" s="151"/>
      <c r="I46" s="180"/>
      <c r="J46" s="142"/>
    </row>
    <row r="47" spans="3:10" ht="16.5" hidden="1" outlineLevel="1" x14ac:dyDescent="0.3">
      <c r="C47" s="188"/>
      <c r="D47" s="174"/>
      <c r="E47" s="174"/>
      <c r="F47" s="174"/>
      <c r="G47" s="174"/>
      <c r="H47" s="151"/>
      <c r="I47" s="180"/>
      <c r="J47" s="142"/>
    </row>
    <row r="48" spans="3:10" ht="16.5" hidden="1" customHeight="1" outlineLevel="1" x14ac:dyDescent="0.3">
      <c r="C48" s="188"/>
      <c r="E48" s="146"/>
      <c r="F48" s="146"/>
      <c r="G48" s="146"/>
      <c r="H48" s="146"/>
      <c r="I48" s="200"/>
      <c r="J48" s="146"/>
    </row>
    <row r="49" spans="3:9" ht="15.75" hidden="1" outlineLevel="1" thickBot="1" x14ac:dyDescent="0.3">
      <c r="C49" s="202"/>
      <c r="D49" s="203"/>
      <c r="E49" s="203"/>
      <c r="F49" s="203"/>
      <c r="G49" s="203"/>
      <c r="H49" s="203"/>
      <c r="I49" s="204"/>
    </row>
    <row r="50" spans="3:9" collapsed="1" x14ac:dyDescent="0.25"/>
    <row r="51" spans="3:9" ht="15.75" hidden="1" outlineLevel="1" thickBot="1" x14ac:dyDescent="0.3"/>
    <row r="52" spans="3:9" ht="16.5" hidden="1" outlineLevel="1" x14ac:dyDescent="0.25">
      <c r="C52" s="635" t="s">
        <v>358</v>
      </c>
      <c r="D52" s="636"/>
      <c r="E52" s="636"/>
      <c r="F52" s="636"/>
      <c r="G52" s="636"/>
      <c r="H52" s="207"/>
      <c r="I52" s="208"/>
    </row>
    <row r="53" spans="3:9" ht="16.5" hidden="1" outlineLevel="1" x14ac:dyDescent="0.3">
      <c r="C53" s="659" t="s">
        <v>378</v>
      </c>
      <c r="D53" s="660"/>
      <c r="E53" s="660"/>
      <c r="F53" s="660"/>
      <c r="G53" s="660"/>
      <c r="H53" s="151"/>
      <c r="I53" s="193"/>
    </row>
    <row r="54" spans="3:9" ht="16.5" hidden="1" outlineLevel="1" x14ac:dyDescent="0.25">
      <c r="C54" s="661" t="str">
        <f>"FOR THE YEAR ENDED 31ST DECEMBER" &amp; " " &amp;$A$1</f>
        <v>FOR THE YEAR ENDED 31ST DECEMBER 2020</v>
      </c>
      <c r="D54" s="662"/>
      <c r="E54" s="662"/>
      <c r="F54" s="662"/>
      <c r="G54" s="662"/>
      <c r="H54" s="151"/>
      <c r="I54" s="193"/>
    </row>
    <row r="55" spans="3:9" ht="16.5" hidden="1" outlineLevel="1" x14ac:dyDescent="0.3">
      <c r="C55" s="239" t="s">
        <v>379</v>
      </c>
      <c r="D55" s="240"/>
      <c r="E55" s="240"/>
      <c r="F55" s="240"/>
      <c r="G55" s="240"/>
      <c r="H55" s="240"/>
      <c r="I55" s="241"/>
    </row>
    <row r="56" spans="3:9" ht="16.5" hidden="1" outlineLevel="1" x14ac:dyDescent="0.3">
      <c r="C56" s="209"/>
      <c r="D56" s="153"/>
      <c r="E56" s="153"/>
      <c r="F56" s="153"/>
      <c r="G56" s="153"/>
      <c r="H56" s="153"/>
      <c r="I56" s="210"/>
    </row>
    <row r="57" spans="3:9" ht="16.5" hidden="1" outlineLevel="1" x14ac:dyDescent="0.3">
      <c r="C57" s="211"/>
      <c r="D57" s="212" t="s">
        <v>479</v>
      </c>
      <c r="E57" s="213"/>
      <c r="F57" s="213"/>
      <c r="G57" s="213"/>
      <c r="H57" s="214"/>
      <c r="I57" s="215"/>
    </row>
    <row r="58" spans="3:9" ht="16.5" hidden="1" customHeight="1" outlineLevel="1" x14ac:dyDescent="0.25">
      <c r="C58" s="216"/>
      <c r="D58" s="663" t="s">
        <v>487</v>
      </c>
      <c r="E58" s="663"/>
      <c r="F58" s="663"/>
      <c r="G58" s="663"/>
      <c r="H58" s="217"/>
      <c r="I58" s="215"/>
    </row>
    <row r="59" spans="3:9" ht="16.5" hidden="1" customHeight="1" outlineLevel="1" x14ac:dyDescent="0.25">
      <c r="C59" s="216"/>
      <c r="D59" s="663"/>
      <c r="E59" s="663"/>
      <c r="F59" s="663"/>
      <c r="G59" s="663"/>
      <c r="H59" s="217"/>
      <c r="I59" s="215"/>
    </row>
    <row r="60" spans="3:9" ht="16.5" hidden="1" outlineLevel="1" x14ac:dyDescent="0.3">
      <c r="C60" s="216"/>
      <c r="D60" s="218" t="s">
        <v>480</v>
      </c>
      <c r="E60" s="219"/>
      <c r="F60" s="219"/>
      <c r="G60" s="214"/>
      <c r="H60" s="214"/>
      <c r="I60" s="215"/>
    </row>
    <row r="61" spans="3:9" ht="16.5" hidden="1" outlineLevel="1" x14ac:dyDescent="0.3">
      <c r="C61" s="216"/>
      <c r="D61" s="220" t="s">
        <v>380</v>
      </c>
      <c r="E61" s="219"/>
      <c r="F61" s="219"/>
      <c r="G61" s="214"/>
      <c r="H61" s="214"/>
      <c r="I61" s="215"/>
    </row>
    <row r="62" spans="3:9" ht="16.5" hidden="1" outlineLevel="1" x14ac:dyDescent="0.3">
      <c r="C62" s="216"/>
      <c r="D62" s="221" t="s">
        <v>481</v>
      </c>
      <c r="E62" s="219"/>
      <c r="F62" s="219"/>
      <c r="G62" s="214"/>
      <c r="H62" s="214"/>
      <c r="I62" s="215"/>
    </row>
    <row r="63" spans="3:9" ht="16.5" hidden="1" customHeight="1" outlineLevel="1" x14ac:dyDescent="0.25">
      <c r="C63" s="216"/>
      <c r="D63" s="644" t="s">
        <v>486</v>
      </c>
      <c r="E63" s="644"/>
      <c r="F63" s="644"/>
      <c r="G63" s="644"/>
      <c r="H63" s="222"/>
      <c r="I63" s="215"/>
    </row>
    <row r="64" spans="3:9" ht="16.5" hidden="1" customHeight="1" outlineLevel="1" x14ac:dyDescent="0.25">
      <c r="C64" s="216"/>
      <c r="D64" s="644"/>
      <c r="E64" s="644"/>
      <c r="F64" s="644"/>
      <c r="G64" s="644"/>
      <c r="H64" s="222"/>
      <c r="I64" s="215"/>
    </row>
    <row r="65" spans="3:9" ht="16.5" hidden="1" outlineLevel="1" x14ac:dyDescent="0.3">
      <c r="C65" s="223" t="s">
        <v>381</v>
      </c>
      <c r="D65" s="218" t="s">
        <v>382</v>
      </c>
      <c r="E65" s="218"/>
      <c r="F65" s="224"/>
      <c r="G65" s="224"/>
      <c r="H65" s="224"/>
      <c r="I65" s="225"/>
    </row>
    <row r="66" spans="3:9" ht="15" hidden="1" customHeight="1" outlineLevel="1" x14ac:dyDescent="0.25">
      <c r="C66" s="216"/>
      <c r="D66" s="645" t="s">
        <v>484</v>
      </c>
      <c r="E66" s="645"/>
      <c r="F66" s="645"/>
      <c r="G66" s="645"/>
      <c r="H66" s="226"/>
      <c r="I66" s="227"/>
    </row>
    <row r="67" spans="3:9" ht="15" hidden="1" customHeight="1" outlineLevel="1" x14ac:dyDescent="0.25">
      <c r="C67" s="216"/>
      <c r="D67" s="645"/>
      <c r="E67" s="645"/>
      <c r="F67" s="645"/>
      <c r="G67" s="645"/>
      <c r="H67" s="226"/>
      <c r="I67" s="227"/>
    </row>
    <row r="68" spans="3:9" ht="15" hidden="1" customHeight="1" outlineLevel="1" x14ac:dyDescent="0.25">
      <c r="C68" s="216"/>
      <c r="D68" s="645"/>
      <c r="E68" s="645"/>
      <c r="F68" s="645"/>
      <c r="G68" s="645"/>
      <c r="H68" s="226"/>
      <c r="I68" s="227"/>
    </row>
    <row r="69" spans="3:9" ht="24.75" hidden="1" customHeight="1" outlineLevel="1" x14ac:dyDescent="0.25">
      <c r="C69" s="228"/>
      <c r="D69" s="645"/>
      <c r="E69" s="645"/>
      <c r="F69" s="645"/>
      <c r="G69" s="645"/>
      <c r="H69" s="226"/>
      <c r="I69" s="227"/>
    </row>
    <row r="70" spans="3:9" ht="15" hidden="1" customHeight="1" outlineLevel="1" x14ac:dyDescent="0.25">
      <c r="C70" s="228"/>
      <c r="D70" s="646" t="s">
        <v>383</v>
      </c>
      <c r="E70" s="646"/>
      <c r="F70" s="646"/>
      <c r="G70" s="646"/>
      <c r="H70" s="229"/>
      <c r="I70" s="230"/>
    </row>
    <row r="71" spans="3:9" ht="15" hidden="1" customHeight="1" outlineLevel="1" x14ac:dyDescent="0.25">
      <c r="C71" s="223" t="s">
        <v>384</v>
      </c>
      <c r="D71" s="218" t="s">
        <v>385</v>
      </c>
      <c r="E71" s="229"/>
      <c r="F71" s="229"/>
      <c r="G71" s="229"/>
      <c r="H71" s="229"/>
      <c r="I71" s="230"/>
    </row>
    <row r="72" spans="3:9" ht="16.5" hidden="1" outlineLevel="1" x14ac:dyDescent="0.3">
      <c r="C72" s="231"/>
      <c r="E72" s="218"/>
      <c r="F72" s="218"/>
      <c r="G72" s="218"/>
      <c r="H72" s="218"/>
      <c r="I72" s="225"/>
    </row>
    <row r="73" spans="3:9" ht="15" hidden="1" customHeight="1" outlineLevel="1" x14ac:dyDescent="0.25">
      <c r="C73" s="228"/>
      <c r="D73" s="648" t="s">
        <v>485</v>
      </c>
      <c r="E73" s="649"/>
      <c r="F73" s="649"/>
      <c r="G73" s="649"/>
      <c r="H73" s="232"/>
      <c r="I73" s="233"/>
    </row>
    <row r="74" spans="3:9" ht="15" hidden="1" customHeight="1" outlineLevel="1" x14ac:dyDescent="0.25">
      <c r="C74" s="228"/>
      <c r="D74" s="649"/>
      <c r="E74" s="649"/>
      <c r="F74" s="649"/>
      <c r="G74" s="649"/>
      <c r="H74" s="232"/>
      <c r="I74" s="233"/>
    </row>
    <row r="75" spans="3:9" ht="16.5" hidden="1" outlineLevel="1" x14ac:dyDescent="0.3">
      <c r="C75" s="209"/>
      <c r="D75" s="649"/>
      <c r="E75" s="649"/>
      <c r="F75" s="649"/>
      <c r="G75" s="649"/>
      <c r="H75" s="232"/>
      <c r="I75" s="233"/>
    </row>
    <row r="76" spans="3:9" ht="16.5" hidden="1" outlineLevel="1" x14ac:dyDescent="0.3">
      <c r="C76" s="209"/>
      <c r="D76" s="649"/>
      <c r="E76" s="649"/>
      <c r="F76" s="649"/>
      <c r="G76" s="649"/>
      <c r="H76" s="232"/>
      <c r="I76" s="233"/>
    </row>
    <row r="77" spans="3:9" ht="16.5" hidden="1" outlineLevel="1" x14ac:dyDescent="0.3">
      <c r="C77" s="209"/>
      <c r="D77" s="649"/>
      <c r="E77" s="649"/>
      <c r="F77" s="649"/>
      <c r="G77" s="649"/>
      <c r="H77" s="232"/>
      <c r="I77" s="233"/>
    </row>
    <row r="78" spans="3:9" ht="16.5" hidden="1" outlineLevel="1" x14ac:dyDescent="0.3">
      <c r="C78" s="209"/>
      <c r="D78" s="234" t="s">
        <v>482</v>
      </c>
      <c r="E78" s="234"/>
      <c r="F78" s="234"/>
      <c r="G78" s="234"/>
      <c r="H78" s="224"/>
      <c r="I78" s="215"/>
    </row>
    <row r="79" spans="3:9" ht="16.5" hidden="1" outlineLevel="1" x14ac:dyDescent="0.3">
      <c r="C79" s="209"/>
      <c r="D79" s="234" t="s">
        <v>386</v>
      </c>
      <c r="E79" s="234"/>
      <c r="F79" s="234"/>
      <c r="G79" s="234"/>
      <c r="H79" s="224"/>
      <c r="I79" s="215"/>
    </row>
    <row r="80" spans="3:9" ht="16.5" hidden="1" customHeight="1" outlineLevel="1" x14ac:dyDescent="0.3">
      <c r="C80" s="209"/>
      <c r="D80" s="645" t="s">
        <v>488</v>
      </c>
      <c r="E80" s="646"/>
      <c r="F80" s="646"/>
      <c r="G80" s="646"/>
      <c r="H80" s="235"/>
      <c r="I80" s="215"/>
    </row>
    <row r="81" spans="3:10" ht="16.5" hidden="1" outlineLevel="1" x14ac:dyDescent="0.3">
      <c r="C81" s="209"/>
      <c r="D81" s="646"/>
      <c r="E81" s="646"/>
      <c r="F81" s="646"/>
      <c r="G81" s="646"/>
      <c r="H81" s="235"/>
      <c r="I81" s="215"/>
    </row>
    <row r="82" spans="3:10" ht="16.5" hidden="1" outlineLevel="1" x14ac:dyDescent="0.3">
      <c r="C82" s="209"/>
      <c r="D82" s="234" t="s">
        <v>483</v>
      </c>
      <c r="E82" s="234"/>
      <c r="F82" s="234"/>
      <c r="G82" s="234"/>
      <c r="H82" s="224"/>
      <c r="I82" s="215"/>
    </row>
    <row r="83" spans="3:10" ht="16.5" hidden="1" customHeight="1" outlineLevel="1" x14ac:dyDescent="0.3">
      <c r="C83" s="209"/>
      <c r="D83" s="646" t="s">
        <v>387</v>
      </c>
      <c r="E83" s="646"/>
      <c r="F83" s="646"/>
      <c r="G83" s="646"/>
      <c r="H83" s="235"/>
      <c r="I83" s="215"/>
    </row>
    <row r="84" spans="3:10" ht="16.5" hidden="1" outlineLevel="1" x14ac:dyDescent="0.3">
      <c r="C84" s="209"/>
      <c r="D84" s="224" t="s">
        <v>388</v>
      </c>
      <c r="E84" s="224"/>
      <c r="F84" s="224"/>
      <c r="G84" s="224"/>
      <c r="H84" s="224"/>
      <c r="I84" s="215"/>
    </row>
    <row r="85" spans="3:10" ht="16.5" hidden="1" outlineLevel="1" x14ac:dyDescent="0.3">
      <c r="C85" s="209"/>
      <c r="D85" s="224" t="s">
        <v>389</v>
      </c>
      <c r="E85" s="224"/>
      <c r="F85" s="224"/>
      <c r="G85" s="224"/>
      <c r="H85" s="224"/>
      <c r="I85" s="215"/>
    </row>
    <row r="86" spans="3:10" ht="16.5" hidden="1" outlineLevel="1" x14ac:dyDescent="0.3">
      <c r="C86" s="209"/>
      <c r="D86" s="224"/>
      <c r="E86" s="224"/>
      <c r="F86" s="224"/>
      <c r="G86" s="224"/>
      <c r="H86" s="224"/>
      <c r="I86" s="215"/>
    </row>
    <row r="87" spans="3:10" ht="16.5" hidden="1" outlineLevel="1" x14ac:dyDescent="0.3">
      <c r="C87" s="209"/>
      <c r="D87" s="224"/>
      <c r="E87" s="224"/>
      <c r="F87" s="224"/>
      <c r="G87" s="224"/>
      <c r="H87" s="224"/>
      <c r="I87" s="215"/>
    </row>
    <row r="88" spans="3:10" ht="17.25" hidden="1" outlineLevel="1" thickBot="1" x14ac:dyDescent="0.35">
      <c r="C88" s="236"/>
      <c r="D88" s="237"/>
      <c r="E88" s="238"/>
      <c r="F88" s="238"/>
      <c r="G88" s="238"/>
      <c r="H88" s="238"/>
      <c r="I88" s="256"/>
    </row>
    <row r="89" spans="3:10" ht="16.5" hidden="1" outlineLevel="1" x14ac:dyDescent="0.3">
      <c r="C89" s="152"/>
      <c r="D89" s="220"/>
      <c r="E89" s="224"/>
      <c r="F89" s="224"/>
      <c r="G89" s="224"/>
      <c r="H89" s="224"/>
      <c r="I89" s="224"/>
    </row>
    <row r="90" spans="3:10" ht="16.5" hidden="1" outlineLevel="1" x14ac:dyDescent="0.3">
      <c r="C90" s="152"/>
      <c r="D90" s="220"/>
      <c r="E90" s="224"/>
      <c r="F90" s="224"/>
      <c r="G90" s="224"/>
      <c r="H90" s="224"/>
      <c r="I90" s="224"/>
    </row>
    <row r="91" spans="3:10" ht="16.5" collapsed="1" x14ac:dyDescent="0.3">
      <c r="C91" s="152"/>
      <c r="D91" s="220"/>
      <c r="E91" s="224"/>
      <c r="F91" s="224"/>
      <c r="G91" s="150"/>
      <c r="H91" s="153"/>
      <c r="I91" s="153"/>
    </row>
    <row r="92" spans="3:10" hidden="1" outlineLevel="1" x14ac:dyDescent="0.25">
      <c r="C92" s="257"/>
      <c r="D92" s="258"/>
      <c r="E92" s="258"/>
      <c r="F92" s="258"/>
      <c r="G92" s="258"/>
      <c r="H92" s="258"/>
      <c r="I92" s="259"/>
    </row>
    <row r="93" spans="3:10" ht="16.5" hidden="1" outlineLevel="1" x14ac:dyDescent="0.3">
      <c r="C93" s="638" t="s">
        <v>358</v>
      </c>
      <c r="D93" s="639"/>
      <c r="E93" s="639"/>
      <c r="F93" s="639"/>
      <c r="G93" s="639"/>
      <c r="H93" s="639"/>
      <c r="I93" s="640"/>
      <c r="J93" s="154"/>
    </row>
    <row r="94" spans="3:10" ht="16.5" hidden="1" outlineLevel="1" x14ac:dyDescent="0.3">
      <c r="C94" s="638" t="s">
        <v>378</v>
      </c>
      <c r="D94" s="639"/>
      <c r="E94" s="639"/>
      <c r="F94" s="639"/>
      <c r="G94" s="639"/>
      <c r="H94" s="639"/>
      <c r="I94" s="640"/>
      <c r="J94" s="154"/>
    </row>
    <row r="95" spans="3:10" ht="16.5" hidden="1" outlineLevel="1" x14ac:dyDescent="0.3">
      <c r="C95" s="650" t="s">
        <v>492</v>
      </c>
      <c r="D95" s="651"/>
      <c r="E95" s="651"/>
      <c r="F95" s="651"/>
      <c r="G95" s="651"/>
      <c r="H95" s="651"/>
      <c r="I95" s="652"/>
      <c r="J95" s="154"/>
    </row>
    <row r="96" spans="3:10" ht="16.5" hidden="1" outlineLevel="1" x14ac:dyDescent="0.3">
      <c r="C96" s="260" t="s">
        <v>379</v>
      </c>
      <c r="D96" s="155"/>
      <c r="E96" s="155"/>
      <c r="F96" s="155"/>
      <c r="G96" s="155"/>
      <c r="H96" s="155"/>
      <c r="I96" s="261"/>
      <c r="J96" s="155"/>
    </row>
    <row r="97" spans="3:10" ht="16.5" hidden="1" outlineLevel="1" x14ac:dyDescent="0.3">
      <c r="C97" s="262" t="s">
        <v>390</v>
      </c>
      <c r="D97" s="159" t="s">
        <v>391</v>
      </c>
      <c r="E97" s="242"/>
      <c r="F97" s="154"/>
      <c r="G97" s="154"/>
      <c r="H97" s="154"/>
      <c r="I97" s="263"/>
      <c r="J97" s="154"/>
    </row>
    <row r="98" spans="3:10" hidden="1" outlineLevel="1" x14ac:dyDescent="0.25">
      <c r="C98" s="216"/>
      <c r="D98" s="243"/>
      <c r="E98" s="156"/>
      <c r="F98" s="156"/>
      <c r="G98" s="156"/>
      <c r="H98" s="156"/>
      <c r="I98" s="264"/>
      <c r="J98" s="156"/>
    </row>
    <row r="99" spans="3:10" ht="30" hidden="1" outlineLevel="1" x14ac:dyDescent="0.25">
      <c r="C99" s="216"/>
      <c r="D99" s="159"/>
      <c r="E99" s="244" t="s">
        <v>392</v>
      </c>
      <c r="F99" s="244" t="s">
        <v>393</v>
      </c>
      <c r="G99" s="244" t="s">
        <v>376</v>
      </c>
      <c r="H99" s="245" t="s">
        <v>375</v>
      </c>
      <c r="I99" s="265" t="s">
        <v>60</v>
      </c>
    </row>
    <row r="100" spans="3:10" hidden="1" outlineLevel="1" x14ac:dyDescent="0.25">
      <c r="C100" s="266"/>
      <c r="D100" s="159"/>
      <c r="E100" s="246" t="s">
        <v>394</v>
      </c>
      <c r="F100" s="246" t="s">
        <v>394</v>
      </c>
      <c r="G100" s="246" t="s">
        <v>394</v>
      </c>
      <c r="H100" s="246" t="s">
        <v>394</v>
      </c>
      <c r="I100" s="267" t="s">
        <v>394</v>
      </c>
    </row>
    <row r="101" spans="3:10" hidden="1" outlineLevel="1" x14ac:dyDescent="0.25">
      <c r="C101" s="216"/>
      <c r="D101" s="159" t="s">
        <v>395</v>
      </c>
      <c r="E101" s="246"/>
      <c r="F101" s="246"/>
      <c r="G101" s="246"/>
      <c r="H101" s="246"/>
      <c r="I101" s="267"/>
    </row>
    <row r="102" spans="3:10" ht="16.5" hidden="1" outlineLevel="1" x14ac:dyDescent="0.3">
      <c r="C102" s="266"/>
      <c r="D102" s="213" t="s">
        <v>396</v>
      </c>
      <c r="E102" s="157">
        <v>676160</v>
      </c>
      <c r="F102" s="157">
        <v>483987</v>
      </c>
      <c r="G102" s="157">
        <v>975000</v>
      </c>
      <c r="H102" s="157">
        <v>375657</v>
      </c>
      <c r="I102" s="268">
        <f>SUM(E102:H102)</f>
        <v>2510804</v>
      </c>
    </row>
    <row r="103" spans="3:10" ht="16.5" hidden="1" outlineLevel="1" x14ac:dyDescent="0.3">
      <c r="C103" s="266"/>
      <c r="D103" s="213" t="s">
        <v>397</v>
      </c>
      <c r="E103" s="157">
        <v>-645785.29200000002</v>
      </c>
      <c r="F103" s="157">
        <v>-328179.919921875</v>
      </c>
      <c r="G103" s="157">
        <v>-243750</v>
      </c>
      <c r="H103" s="157">
        <v>-276379.9375</v>
      </c>
      <c r="I103" s="268">
        <v>-1140643.675</v>
      </c>
    </row>
    <row r="104" spans="3:10" ht="17.25" hidden="1" outlineLevel="1" thickBot="1" x14ac:dyDescent="0.35">
      <c r="C104" s="266"/>
      <c r="D104" s="337" t="s">
        <v>398</v>
      </c>
      <c r="E104" s="338">
        <f>SUM(E102:E103)</f>
        <v>30374.707999999984</v>
      </c>
      <c r="F104" s="338">
        <f>SUM(F102:F103)</f>
        <v>155807.080078125</v>
      </c>
      <c r="G104" s="338">
        <f>SUM(G102:G103)</f>
        <v>731250</v>
      </c>
      <c r="H104" s="338">
        <f>SUM(H102:H103)</f>
        <v>99277.0625</v>
      </c>
      <c r="I104" s="339">
        <f>SUM(E104:H104)</f>
        <v>1016708.850578125</v>
      </c>
    </row>
    <row r="105" spans="3:10" ht="16.5" hidden="1" outlineLevel="1" x14ac:dyDescent="0.3">
      <c r="C105" s="216"/>
      <c r="D105" s="159" t="s">
        <v>399</v>
      </c>
      <c r="E105" s="157"/>
      <c r="F105" s="157"/>
      <c r="G105" s="157"/>
      <c r="H105" s="157"/>
      <c r="I105" s="269"/>
    </row>
    <row r="106" spans="3:10" ht="16.5" hidden="1" outlineLevel="1" x14ac:dyDescent="0.3">
      <c r="C106" s="270"/>
      <c r="D106" s="213" t="s">
        <v>400</v>
      </c>
      <c r="E106" s="157">
        <f>E104</f>
        <v>30374.707999999984</v>
      </c>
      <c r="F106" s="157">
        <f>F104</f>
        <v>155807.080078125</v>
      </c>
      <c r="G106" s="157">
        <f>G104</f>
        <v>731250</v>
      </c>
      <c r="H106" s="157">
        <f>H104</f>
        <v>99277.0625</v>
      </c>
      <c r="I106" s="268">
        <f>I104</f>
        <v>1016708.850578125</v>
      </c>
    </row>
    <row r="107" spans="3:10" ht="16.5" hidden="1" outlineLevel="1" x14ac:dyDescent="0.3">
      <c r="C107" s="270"/>
      <c r="D107" s="213" t="s">
        <v>401</v>
      </c>
      <c r="E107" s="157">
        <v>0</v>
      </c>
      <c r="F107" s="157">
        <v>0</v>
      </c>
      <c r="G107" s="157">
        <v>0</v>
      </c>
      <c r="H107" s="157">
        <v>0</v>
      </c>
      <c r="I107" s="268">
        <f>SUM(E107:H107)</f>
        <v>0</v>
      </c>
    </row>
    <row r="108" spans="3:10" ht="16.5" hidden="1" outlineLevel="1" x14ac:dyDescent="0.3">
      <c r="C108" s="270"/>
      <c r="D108" s="213" t="s">
        <v>402</v>
      </c>
      <c r="E108" s="157">
        <f>-(E106)*30%</f>
        <v>-9112.4123999999956</v>
      </c>
      <c r="F108" s="157">
        <f>-(12.5%*(F106))</f>
        <v>-19475.885009765625</v>
      </c>
      <c r="G108" s="157">
        <f>-SUM(G106:G107)*25%</f>
        <v>-182812.5</v>
      </c>
      <c r="H108" s="157">
        <f>-(H106*12.5%)</f>
        <v>-12409.6328125</v>
      </c>
      <c r="I108" s="268">
        <f>SUM(E108:H108)</f>
        <v>-223810.43022226563</v>
      </c>
    </row>
    <row r="109" spans="3:10" ht="17.25" hidden="1" outlineLevel="1" thickBot="1" x14ac:dyDescent="0.35">
      <c r="C109" s="270"/>
      <c r="D109" s="337" t="s">
        <v>398</v>
      </c>
      <c r="E109" s="338">
        <f>SUM(E106:E108)</f>
        <v>21262.29559999999</v>
      </c>
      <c r="F109" s="338">
        <f>SUM(F106:F108)</f>
        <v>136331.19506835938</v>
      </c>
      <c r="G109" s="338">
        <f>SUM(G106:G108)</f>
        <v>548437.5</v>
      </c>
      <c r="H109" s="338">
        <f>SUM(H106:H108)</f>
        <v>86867.4296875</v>
      </c>
      <c r="I109" s="339">
        <f>SUM(I106:I108)</f>
        <v>792898.42035585933</v>
      </c>
    </row>
    <row r="110" spans="3:10" ht="16.5" hidden="1" outlineLevel="1" x14ac:dyDescent="0.3">
      <c r="C110" s="270"/>
      <c r="D110" s="159" t="s">
        <v>403</v>
      </c>
      <c r="E110" s="157"/>
      <c r="F110" s="157"/>
      <c r="G110" s="157"/>
      <c r="H110" s="157"/>
      <c r="I110" s="268"/>
    </row>
    <row r="111" spans="3:10" ht="16.5" hidden="1" outlineLevel="1" x14ac:dyDescent="0.3">
      <c r="C111" s="270"/>
      <c r="D111" s="213" t="s">
        <v>396</v>
      </c>
      <c r="E111" s="157">
        <f>E102</f>
        <v>676160</v>
      </c>
      <c r="F111" s="157">
        <f>F102</f>
        <v>483987</v>
      </c>
      <c r="G111" s="157">
        <f>G102</f>
        <v>975000</v>
      </c>
      <c r="H111" s="157">
        <f>H102</f>
        <v>375657</v>
      </c>
      <c r="I111" s="268">
        <f>SUM(E111:H111)</f>
        <v>2510804</v>
      </c>
    </row>
    <row r="112" spans="3:10" ht="16.5" hidden="1" outlineLevel="1" x14ac:dyDescent="0.3">
      <c r="C112" s="270"/>
      <c r="D112" s="213" t="s">
        <v>397</v>
      </c>
      <c r="E112" s="157">
        <f>E103+E108</f>
        <v>-654897.70440000005</v>
      </c>
      <c r="F112" s="157">
        <f>F103+F108</f>
        <v>-347655.80493164063</v>
      </c>
      <c r="G112" s="157">
        <f>G103+G108</f>
        <v>-426562.5</v>
      </c>
      <c r="H112" s="157">
        <f>H103+H108</f>
        <v>-288789.5703125</v>
      </c>
      <c r="I112" s="268">
        <f>SUM(E112:H112)</f>
        <v>-1717905.5796441408</v>
      </c>
    </row>
    <row r="113" spans="3:9" ht="17.25" hidden="1" outlineLevel="1" thickBot="1" x14ac:dyDescent="0.35">
      <c r="C113" s="270"/>
      <c r="D113" s="337" t="s">
        <v>398</v>
      </c>
      <c r="E113" s="340">
        <f>E111+E112</f>
        <v>21262.295599999954</v>
      </c>
      <c r="F113" s="340">
        <f>F111+F112</f>
        <v>136331.19506835938</v>
      </c>
      <c r="G113" s="340">
        <f>G111+G112</f>
        <v>548437.5</v>
      </c>
      <c r="H113" s="340">
        <f>SUM(H111:H112)</f>
        <v>86867.4296875</v>
      </c>
      <c r="I113" s="341">
        <f>SUM(E113:H113)</f>
        <v>792898.42035585933</v>
      </c>
    </row>
    <row r="114" spans="3:9" ht="16.5" hidden="1" outlineLevel="1" x14ac:dyDescent="0.3">
      <c r="C114" s="216"/>
      <c r="D114" s="159" t="s">
        <v>404</v>
      </c>
      <c r="E114" s="157"/>
      <c r="F114" s="157"/>
      <c r="G114" s="157"/>
      <c r="H114" s="157"/>
      <c r="I114" s="269"/>
    </row>
    <row r="115" spans="3:9" ht="16.5" hidden="1" outlineLevel="1" x14ac:dyDescent="0.3">
      <c r="C115" s="270"/>
      <c r="D115" s="213" t="s">
        <v>400</v>
      </c>
      <c r="E115" s="157">
        <f>E113</f>
        <v>21262.295599999954</v>
      </c>
      <c r="F115" s="157">
        <f>F113</f>
        <v>136331.19506835938</v>
      </c>
      <c r="G115" s="157">
        <f>G113</f>
        <v>548437.5</v>
      </c>
      <c r="H115" s="157">
        <f>H113</f>
        <v>86867.4296875</v>
      </c>
      <c r="I115" s="268">
        <f>SUM(E115:H115)</f>
        <v>792898.42035585933</v>
      </c>
    </row>
    <row r="116" spans="3:9" ht="16.5" hidden="1" outlineLevel="1" x14ac:dyDescent="0.3">
      <c r="C116" s="270"/>
      <c r="D116" s="213" t="s">
        <v>401</v>
      </c>
      <c r="E116" s="157">
        <v>0</v>
      </c>
      <c r="F116" s="157">
        <v>344748.28</v>
      </c>
      <c r="G116" s="157">
        <v>1500000</v>
      </c>
      <c r="H116" s="157">
        <v>0</v>
      </c>
      <c r="I116" s="268">
        <f>SUM(E116:H116)</f>
        <v>1844748.28</v>
      </c>
    </row>
    <row r="117" spans="3:9" ht="16.5" hidden="1" outlineLevel="1" x14ac:dyDescent="0.3">
      <c r="C117" s="270"/>
      <c r="D117" s="213" t="s">
        <v>405</v>
      </c>
      <c r="E117" s="157">
        <v>0</v>
      </c>
      <c r="F117" s="157">
        <v>0</v>
      </c>
      <c r="G117" s="157">
        <f>-975000</f>
        <v>-975000</v>
      </c>
      <c r="H117" s="157">
        <v>0</v>
      </c>
      <c r="I117" s="268">
        <f>SUM(E117:H117)</f>
        <v>-975000</v>
      </c>
    </row>
    <row r="118" spans="3:9" ht="16.5" hidden="1" outlineLevel="1" x14ac:dyDescent="0.3">
      <c r="C118" s="270"/>
      <c r="D118" s="213" t="s">
        <v>406</v>
      </c>
      <c r="E118" s="157">
        <v>0</v>
      </c>
      <c r="F118" s="157">
        <v>0</v>
      </c>
      <c r="G118" s="157">
        <v>426562.5</v>
      </c>
      <c r="H118" s="157">
        <v>0</v>
      </c>
      <c r="I118" s="268">
        <f>SUM(E118:H118)</f>
        <v>426562.5</v>
      </c>
    </row>
    <row r="119" spans="3:9" ht="16.5" hidden="1" outlineLevel="1" x14ac:dyDescent="0.3">
      <c r="C119" s="270"/>
      <c r="D119" s="213" t="s">
        <v>402</v>
      </c>
      <c r="E119" s="157">
        <f>(-SUM(E115)*30%)</f>
        <v>-6378.6886799999857</v>
      </c>
      <c r="F119" s="157">
        <f>(-SUM(F115)*12.5%)</f>
        <v>-17041.399383544922</v>
      </c>
      <c r="G119" s="157">
        <f>-SUM(G115,G116,G117,G118)*25%</f>
        <v>-375000</v>
      </c>
      <c r="H119" s="157">
        <f>(-SUM(H115:H116)*12.5%)</f>
        <v>-10858.4287109375</v>
      </c>
      <c r="I119" s="268">
        <f>SUM(E119:H119)</f>
        <v>-409278.51677448238</v>
      </c>
    </row>
    <row r="120" spans="3:9" ht="17.25" hidden="1" outlineLevel="1" thickBot="1" x14ac:dyDescent="0.35">
      <c r="C120" s="270"/>
      <c r="D120" s="337" t="s">
        <v>398</v>
      </c>
      <c r="E120" s="338">
        <f>SUM(E115:E119)</f>
        <v>14883.606919999969</v>
      </c>
      <c r="F120" s="338">
        <f>SUM(F115:F119)</f>
        <v>464038.07568481448</v>
      </c>
      <c r="G120" s="338">
        <f>SUM(G115:G119)</f>
        <v>1125000</v>
      </c>
      <c r="H120" s="338">
        <f>SUM(H115:H119)</f>
        <v>76009.0009765625</v>
      </c>
      <c r="I120" s="339">
        <f>SUM(I115:I119)</f>
        <v>1679930.6835813771</v>
      </c>
    </row>
    <row r="121" spans="3:9" ht="16.5" hidden="1" outlineLevel="1" x14ac:dyDescent="0.3">
      <c r="C121" s="270"/>
      <c r="D121" s="159" t="s">
        <v>407</v>
      </c>
      <c r="E121" s="157"/>
      <c r="F121" s="157"/>
      <c r="G121" s="157"/>
      <c r="H121" s="157"/>
      <c r="I121" s="268"/>
    </row>
    <row r="122" spans="3:9" ht="16.5" hidden="1" outlineLevel="1" x14ac:dyDescent="0.3">
      <c r="C122" s="270"/>
      <c r="D122" s="213" t="s">
        <v>396</v>
      </c>
      <c r="E122" s="157">
        <f>SUM(E111,E116,E117)</f>
        <v>676160</v>
      </c>
      <c r="F122" s="157">
        <f>SUM(F111,F116,F117)</f>
        <v>828735.28</v>
      </c>
      <c r="G122" s="157">
        <f>SUM(G111,G116,G117)</f>
        <v>1500000</v>
      </c>
      <c r="H122" s="157">
        <f>SUM(H111,H116,H117)</f>
        <v>375657</v>
      </c>
      <c r="I122" s="268">
        <f>SUM(I111,I116,I117)</f>
        <v>3380552.2800000003</v>
      </c>
    </row>
    <row r="123" spans="3:9" ht="16.5" hidden="1" outlineLevel="1" x14ac:dyDescent="0.3">
      <c r="C123" s="270"/>
      <c r="D123" s="213" t="s">
        <v>397</v>
      </c>
      <c r="E123" s="157">
        <f>SUM(E112,E118,E119)</f>
        <v>-661276.39308000007</v>
      </c>
      <c r="F123" s="157">
        <f>SUM(F112,F118,F119)</f>
        <v>-364697.20431518555</v>
      </c>
      <c r="G123" s="157">
        <f>SUM(G112,G118,G119)</f>
        <v>-375000</v>
      </c>
      <c r="H123" s="157">
        <f>SUM(H112,H118,H119)</f>
        <v>-299647.9990234375</v>
      </c>
      <c r="I123" s="268">
        <f>SUM(I112,I118,I119)</f>
        <v>-1700621.5964186231</v>
      </c>
    </row>
    <row r="124" spans="3:9" ht="17.25" hidden="1" outlineLevel="1" thickBot="1" x14ac:dyDescent="0.35">
      <c r="C124" s="270"/>
      <c r="D124" s="334" t="s">
        <v>398</v>
      </c>
      <c r="E124" s="335">
        <f>E122+E123</f>
        <v>14883.606919999933</v>
      </c>
      <c r="F124" s="335">
        <f>F122+F123</f>
        <v>464038.07568481448</v>
      </c>
      <c r="G124" s="335">
        <f>G122+G123</f>
        <v>1125000</v>
      </c>
      <c r="H124" s="335">
        <f>SUM(H122:H123)</f>
        <v>76009.0009765625</v>
      </c>
      <c r="I124" s="336">
        <f>SUM(E124:H124)</f>
        <v>1679930.6835813769</v>
      </c>
    </row>
    <row r="125" spans="3:9" ht="17.25" hidden="1" outlineLevel="1" thickTop="1" x14ac:dyDescent="0.3">
      <c r="C125" s="270"/>
      <c r="D125" s="213"/>
      <c r="E125" s="158"/>
      <c r="F125" s="245"/>
      <c r="G125" s="245"/>
      <c r="H125" s="245"/>
      <c r="I125" s="265"/>
    </row>
    <row r="126" spans="3:9" ht="16.5" hidden="1" outlineLevel="1" x14ac:dyDescent="0.3">
      <c r="C126" s="270"/>
      <c r="D126" s="213"/>
      <c r="E126" s="154"/>
      <c r="F126" s="245"/>
      <c r="G126" s="245"/>
      <c r="H126" s="245" t="s">
        <v>394</v>
      </c>
      <c r="I126" s="265" t="s">
        <v>394</v>
      </c>
    </row>
    <row r="127" spans="3:9" ht="16.5" hidden="1" outlineLevel="1" x14ac:dyDescent="0.3">
      <c r="C127" s="271" t="s">
        <v>408</v>
      </c>
      <c r="D127" s="221" t="s">
        <v>409</v>
      </c>
      <c r="E127" s="154"/>
      <c r="F127" s="246"/>
      <c r="G127" s="246"/>
      <c r="H127" s="245"/>
      <c r="I127" s="267"/>
    </row>
    <row r="128" spans="3:9" ht="16.5" hidden="1" outlineLevel="1" x14ac:dyDescent="0.3">
      <c r="C128" s="272"/>
      <c r="D128" s="248" t="s">
        <v>410</v>
      </c>
      <c r="E128" s="154"/>
      <c r="F128" s="246"/>
      <c r="G128" s="246"/>
      <c r="H128" s="246"/>
      <c r="I128" s="263"/>
    </row>
    <row r="129" spans="3:9" ht="16.5" hidden="1" outlineLevel="1" x14ac:dyDescent="0.3">
      <c r="C129" s="272"/>
      <c r="D129" s="248" t="s">
        <v>411</v>
      </c>
      <c r="E129" s="159"/>
      <c r="F129" s="154"/>
      <c r="G129" s="154"/>
      <c r="H129" s="157">
        <f>-I119</f>
        <v>409278.51677448238</v>
      </c>
      <c r="I129" s="273">
        <v>223810.43022226563</v>
      </c>
    </row>
    <row r="130" spans="3:9" ht="16.5" hidden="1" outlineLevel="1" x14ac:dyDescent="0.3">
      <c r="C130" s="272"/>
      <c r="D130" s="248" t="s">
        <v>412</v>
      </c>
      <c r="E130" s="159"/>
      <c r="F130" s="157"/>
      <c r="G130" s="157"/>
      <c r="H130" s="249">
        <v>2500001</v>
      </c>
      <c r="I130" s="273">
        <v>2691143</v>
      </c>
    </row>
    <row r="131" spans="3:9" ht="18.75" hidden="1" outlineLevel="1" x14ac:dyDescent="0.45">
      <c r="C131" s="272"/>
      <c r="D131" s="248" t="s">
        <v>413</v>
      </c>
      <c r="E131" s="159"/>
      <c r="F131" s="250"/>
      <c r="G131" s="250"/>
      <c r="H131" s="249">
        <v>176009.84</v>
      </c>
      <c r="I131" s="273">
        <v>102278.42</v>
      </c>
    </row>
    <row r="132" spans="3:9" ht="18.75" hidden="1" outlineLevel="1" x14ac:dyDescent="0.45">
      <c r="C132" s="272"/>
      <c r="D132" s="248" t="s">
        <v>414</v>
      </c>
      <c r="E132" s="159"/>
      <c r="F132" s="251"/>
      <c r="G132" s="251"/>
      <c r="H132" s="252">
        <v>175000</v>
      </c>
      <c r="I132" s="274">
        <v>175000</v>
      </c>
    </row>
    <row r="133" spans="3:9" ht="16.5" hidden="1" outlineLevel="1" x14ac:dyDescent="0.3">
      <c r="C133" s="275" t="s">
        <v>415</v>
      </c>
      <c r="D133" s="253" t="s">
        <v>98</v>
      </c>
      <c r="E133" s="159"/>
      <c r="F133" s="154"/>
      <c r="G133" s="154"/>
      <c r="H133" s="154"/>
      <c r="I133" s="276"/>
    </row>
    <row r="134" spans="3:9" ht="16.5" hidden="1" outlineLevel="1" x14ac:dyDescent="0.3">
      <c r="C134" s="277"/>
      <c r="D134" s="253" t="s">
        <v>416</v>
      </c>
      <c r="E134" s="159"/>
      <c r="F134" s="247"/>
      <c r="G134" s="247"/>
      <c r="H134" s="154"/>
      <c r="I134" s="263"/>
    </row>
    <row r="135" spans="3:9" ht="18" hidden="1" outlineLevel="1" x14ac:dyDescent="0.4">
      <c r="C135" s="277"/>
      <c r="D135" s="254" t="s">
        <v>417</v>
      </c>
      <c r="E135" s="159"/>
      <c r="F135" s="157"/>
      <c r="G135" s="157"/>
      <c r="H135" s="255">
        <f>I135</f>
        <v>100000</v>
      </c>
      <c r="I135" s="278">
        <v>100000</v>
      </c>
    </row>
    <row r="136" spans="3:9" ht="18.75" hidden="1" outlineLevel="1" x14ac:dyDescent="0.45">
      <c r="C136" s="277"/>
      <c r="D136" s="253" t="s">
        <v>418</v>
      </c>
      <c r="E136" s="160"/>
      <c r="F136" s="250"/>
      <c r="G136" s="250"/>
      <c r="H136" s="157"/>
      <c r="I136" s="276"/>
    </row>
    <row r="137" spans="3:9" ht="17.25" hidden="1" outlineLevel="1" x14ac:dyDescent="0.4">
      <c r="C137" s="277"/>
      <c r="D137" s="254" t="s">
        <v>419</v>
      </c>
      <c r="E137" s="159"/>
      <c r="F137" s="255"/>
      <c r="G137" s="255"/>
      <c r="H137" s="255">
        <f>I137</f>
        <v>400</v>
      </c>
      <c r="I137" s="279">
        <v>400</v>
      </c>
    </row>
    <row r="138" spans="3:9" hidden="1" outlineLevel="1" x14ac:dyDescent="0.25">
      <c r="C138" s="231"/>
      <c r="I138" s="215"/>
    </row>
    <row r="139" spans="3:9" hidden="1" outlineLevel="1" x14ac:dyDescent="0.25">
      <c r="C139" s="231"/>
      <c r="I139" s="215"/>
    </row>
    <row r="140" spans="3:9" hidden="1" outlineLevel="1" x14ac:dyDescent="0.25">
      <c r="C140" s="231"/>
      <c r="I140" s="215"/>
    </row>
    <row r="141" spans="3:9" ht="15.75" hidden="1" outlineLevel="1" thickBot="1" x14ac:dyDescent="0.3">
      <c r="C141" s="202"/>
      <c r="D141" s="203"/>
      <c r="E141" s="203"/>
      <c r="F141" s="203"/>
      <c r="G141" s="203"/>
      <c r="H141" s="203"/>
      <c r="I141" s="204"/>
    </row>
    <row r="142" spans="3:9" hidden="1" outlineLevel="1" x14ac:dyDescent="0.25"/>
    <row r="143" spans="3:9" hidden="1" outlineLevel="1" x14ac:dyDescent="0.25"/>
    <row r="144" spans="3:9" collapsed="1" x14ac:dyDescent="0.25"/>
    <row r="145" spans="3:11" ht="15.75" hidden="1" outlineLevel="1" thickBot="1" x14ac:dyDescent="0.3"/>
    <row r="146" spans="3:11" ht="16.5" hidden="1" outlineLevel="1" x14ac:dyDescent="0.25">
      <c r="C146" s="635" t="s">
        <v>358</v>
      </c>
      <c r="D146" s="636"/>
      <c r="E146" s="636"/>
      <c r="F146" s="636"/>
      <c r="G146" s="636"/>
      <c r="H146" s="636"/>
      <c r="I146" s="637"/>
      <c r="J146" s="165"/>
      <c r="K146" s="142"/>
    </row>
    <row r="147" spans="3:11" ht="16.5" hidden="1" outlineLevel="1" x14ac:dyDescent="0.25">
      <c r="C147" s="638" t="s">
        <v>378</v>
      </c>
      <c r="D147" s="639"/>
      <c r="E147" s="639"/>
      <c r="F147" s="639"/>
      <c r="G147" s="639"/>
      <c r="H147" s="639"/>
      <c r="I147" s="640"/>
      <c r="J147" s="165"/>
      <c r="K147" s="142"/>
    </row>
    <row r="148" spans="3:11" ht="16.5" hidden="1" outlineLevel="1" x14ac:dyDescent="0.25">
      <c r="C148" s="650" t="s">
        <v>492</v>
      </c>
      <c r="D148" s="651"/>
      <c r="E148" s="651"/>
      <c r="F148" s="651"/>
      <c r="G148" s="651"/>
      <c r="H148" s="651"/>
      <c r="I148" s="652"/>
      <c r="J148" s="165"/>
      <c r="K148" s="142"/>
    </row>
    <row r="149" spans="3:11" ht="16.5" hidden="1" outlineLevel="1" x14ac:dyDescent="0.3">
      <c r="C149" s="209" t="s">
        <v>379</v>
      </c>
      <c r="D149" s="152"/>
      <c r="E149" s="153"/>
      <c r="F149" s="153"/>
      <c r="G149" s="153"/>
      <c r="H149" s="165"/>
      <c r="I149" s="210"/>
    </row>
    <row r="150" spans="3:11" ht="16.5" hidden="1" outlineLevel="1" x14ac:dyDescent="0.3">
      <c r="C150" s="280"/>
      <c r="D150" s="176"/>
      <c r="E150" s="142"/>
      <c r="F150" s="142"/>
      <c r="G150" s="177"/>
      <c r="H150" s="165"/>
      <c r="I150" s="180"/>
    </row>
    <row r="151" spans="3:11" ht="16.5" hidden="1" outlineLevel="1" x14ac:dyDescent="0.3">
      <c r="C151" s="280"/>
      <c r="D151" s="176"/>
      <c r="E151" s="142"/>
      <c r="F151" s="281" t="s">
        <v>394</v>
      </c>
      <c r="G151" s="282" t="s">
        <v>394</v>
      </c>
      <c r="H151" s="165"/>
      <c r="I151" s="180"/>
    </row>
    <row r="152" spans="3:11" ht="16.5" hidden="1" outlineLevel="1" x14ac:dyDescent="0.3">
      <c r="C152" s="283" t="s">
        <v>420</v>
      </c>
      <c r="D152" s="143" t="s">
        <v>72</v>
      </c>
      <c r="E152" s="142"/>
      <c r="F152" s="281"/>
      <c r="G152" s="282"/>
      <c r="H152" s="165"/>
      <c r="I152" s="180"/>
    </row>
    <row r="153" spans="3:11" ht="18.75" hidden="1" outlineLevel="1" x14ac:dyDescent="0.45">
      <c r="C153" s="280"/>
      <c r="D153" s="284" t="s">
        <v>421</v>
      </c>
      <c r="E153" s="142"/>
      <c r="F153" s="285">
        <f>[1]BS!G137</f>
        <v>0</v>
      </c>
      <c r="G153" s="285">
        <f>[1]BS!H137</f>
        <v>0</v>
      </c>
      <c r="H153" s="165"/>
      <c r="I153" s="180"/>
    </row>
    <row r="154" spans="3:11" ht="16.5" hidden="1" outlineLevel="1" x14ac:dyDescent="0.3">
      <c r="C154" s="283" t="s">
        <v>422</v>
      </c>
      <c r="D154" s="161" t="s">
        <v>423</v>
      </c>
      <c r="E154" s="142"/>
      <c r="F154" s="281"/>
      <c r="G154" s="282"/>
      <c r="H154" s="165"/>
      <c r="I154" s="180"/>
    </row>
    <row r="155" spans="3:11" ht="15.75" hidden="1" outlineLevel="1" x14ac:dyDescent="0.25">
      <c r="C155" s="280"/>
      <c r="D155" s="162" t="s">
        <v>424</v>
      </c>
      <c r="E155" s="142"/>
      <c r="F155" s="286">
        <f>G157</f>
        <v>3296400</v>
      </c>
      <c r="G155" s="287">
        <v>4303645</v>
      </c>
      <c r="H155" s="165"/>
      <c r="I155" s="180"/>
    </row>
    <row r="156" spans="3:11" ht="15.75" hidden="1" outlineLevel="1" x14ac:dyDescent="0.25">
      <c r="C156" s="280"/>
      <c r="D156" s="162" t="s">
        <v>147</v>
      </c>
      <c r="E156" s="142"/>
      <c r="F156" s="286">
        <v>317589719.63</v>
      </c>
      <c r="G156" s="287">
        <v>212583719.66</v>
      </c>
      <c r="H156" s="165">
        <f>F156-G156</f>
        <v>105005999.97</v>
      </c>
      <c r="I156" s="180"/>
    </row>
    <row r="157" spans="3:11" ht="18" hidden="1" outlineLevel="1" x14ac:dyDescent="0.4">
      <c r="C157" s="280"/>
      <c r="D157" s="162" t="s">
        <v>425</v>
      </c>
      <c r="E157" s="142"/>
      <c r="F157" s="291">
        <f>10003059</f>
        <v>10003059</v>
      </c>
      <c r="G157" s="288">
        <v>3296400</v>
      </c>
      <c r="H157" s="165"/>
      <c r="I157" s="180"/>
    </row>
    <row r="158" spans="3:11" ht="18.75" hidden="1" outlineLevel="1" x14ac:dyDescent="0.45">
      <c r="C158" s="280"/>
      <c r="D158" s="142"/>
      <c r="E158" s="142"/>
      <c r="F158" s="285">
        <f>F155+F156-F157</f>
        <v>310883060.63</v>
      </c>
      <c r="G158" s="289">
        <f>G155+G156-G157</f>
        <v>213590964.66</v>
      </c>
      <c r="H158" s="165"/>
      <c r="I158" s="180"/>
    </row>
    <row r="159" spans="3:11" ht="16.5" hidden="1" outlineLevel="1" x14ac:dyDescent="0.3">
      <c r="C159" s="283" t="s">
        <v>426</v>
      </c>
      <c r="D159" s="143" t="s">
        <v>427</v>
      </c>
      <c r="E159" s="142"/>
      <c r="F159" s="281"/>
      <c r="G159" s="282"/>
      <c r="H159" s="165"/>
      <c r="I159" s="180"/>
    </row>
    <row r="160" spans="3:11" ht="15.75" hidden="1" outlineLevel="1" x14ac:dyDescent="0.25">
      <c r="C160" s="290"/>
      <c r="D160" s="142" t="s">
        <v>428</v>
      </c>
      <c r="E160" s="142"/>
      <c r="F160" s="318">
        <v>17870623.949999999</v>
      </c>
      <c r="G160" s="286">
        <v>10608390</v>
      </c>
      <c r="H160" s="165"/>
      <c r="I160" s="180"/>
    </row>
    <row r="161" spans="3:9" ht="18" hidden="1" outlineLevel="1" x14ac:dyDescent="0.4">
      <c r="C161" s="290"/>
      <c r="D161" s="142" t="s">
        <v>429</v>
      </c>
      <c r="E161" s="142"/>
      <c r="F161" s="291">
        <v>686952</v>
      </c>
      <c r="G161" s="291">
        <v>228443</v>
      </c>
      <c r="H161" s="165"/>
      <c r="I161" s="180"/>
    </row>
    <row r="162" spans="3:9" ht="18.75" hidden="1" outlineLevel="1" x14ac:dyDescent="0.45">
      <c r="C162" s="290"/>
      <c r="D162" s="142"/>
      <c r="E162" s="142"/>
      <c r="F162" s="292">
        <f>SUM(F160:F161)</f>
        <v>18557575.949999999</v>
      </c>
      <c r="G162" s="292">
        <f>SUM(G160:G161)</f>
        <v>10836833</v>
      </c>
      <c r="H162" s="165"/>
      <c r="I162" s="180"/>
    </row>
    <row r="163" spans="3:9" ht="18.75" hidden="1" outlineLevel="1" x14ac:dyDescent="0.45">
      <c r="C163" s="283" t="s">
        <v>430</v>
      </c>
      <c r="D163" s="143" t="s">
        <v>431</v>
      </c>
      <c r="E163" s="142"/>
      <c r="F163" s="285"/>
      <c r="G163" s="282"/>
      <c r="H163" s="165"/>
      <c r="I163" s="180"/>
    </row>
    <row r="164" spans="3:9" ht="15.75" hidden="1" outlineLevel="1" x14ac:dyDescent="0.25">
      <c r="C164" s="290"/>
      <c r="D164" s="142" t="s">
        <v>432</v>
      </c>
      <c r="E164" s="142"/>
      <c r="F164" s="286">
        <v>4840392.6399999997</v>
      </c>
      <c r="G164" s="286">
        <v>2550224</v>
      </c>
      <c r="H164" s="165"/>
      <c r="I164" s="180"/>
    </row>
    <row r="165" spans="3:9" ht="18" hidden="1" outlineLevel="1" x14ac:dyDescent="0.4">
      <c r="C165" s="290"/>
      <c r="D165" s="142" t="s">
        <v>433</v>
      </c>
      <c r="E165" s="142"/>
      <c r="F165" s="291">
        <v>10742191</v>
      </c>
      <c r="G165" s="291">
        <v>493951</v>
      </c>
      <c r="H165" s="165"/>
      <c r="I165" s="293">
        <f>[1]Ctb!H201-[1]N4!H138</f>
        <v>0</v>
      </c>
    </row>
    <row r="166" spans="3:9" ht="18.75" hidden="1" outlineLevel="1" x14ac:dyDescent="0.45">
      <c r="C166" s="280"/>
      <c r="D166" s="176"/>
      <c r="E166" s="142"/>
      <c r="F166" s="294">
        <f>SUM(F164:F165)</f>
        <v>15582583.640000001</v>
      </c>
      <c r="G166" s="294">
        <f>SUM(G164:G165)</f>
        <v>3044175</v>
      </c>
      <c r="H166" s="165"/>
      <c r="I166" s="180"/>
    </row>
    <row r="167" spans="3:9" ht="16.5" hidden="1" outlineLevel="1" x14ac:dyDescent="0.3">
      <c r="C167" s="283" t="s">
        <v>434</v>
      </c>
      <c r="D167" s="143" t="s">
        <v>489</v>
      </c>
      <c r="E167" s="142"/>
      <c r="F167" s="142"/>
      <c r="G167" s="142"/>
      <c r="H167" s="165"/>
      <c r="I167" s="180"/>
    </row>
    <row r="168" spans="3:9" ht="15.75" hidden="1" outlineLevel="1" x14ac:dyDescent="0.25">
      <c r="C168" s="280"/>
      <c r="D168" s="185" t="s">
        <v>435</v>
      </c>
      <c r="E168" s="142"/>
      <c r="F168" s="164">
        <v>2508031.2003339818</v>
      </c>
      <c r="G168" s="165">
        <v>1820215.2599531286</v>
      </c>
      <c r="H168" s="165"/>
      <c r="I168" s="180"/>
    </row>
    <row r="169" spans="3:9" ht="18" hidden="1" outlineLevel="1" x14ac:dyDescent="0.4">
      <c r="C169" s="280"/>
      <c r="D169" s="142" t="s">
        <v>436</v>
      </c>
      <c r="E169" s="142"/>
      <c r="F169" s="166">
        <v>0</v>
      </c>
      <c r="G169" s="167">
        <v>0</v>
      </c>
      <c r="H169" s="165"/>
      <c r="I169" s="180"/>
    </row>
    <row r="170" spans="3:9" ht="18.75" hidden="1" outlineLevel="1" x14ac:dyDescent="0.45">
      <c r="C170" s="280"/>
      <c r="D170" s="142"/>
      <c r="E170" s="142"/>
      <c r="F170" s="295">
        <f>SUM(F168:F169)</f>
        <v>2508031.2003339818</v>
      </c>
      <c r="G170" s="295">
        <f>SUM(G168:G169)</f>
        <v>1820215.2599531286</v>
      </c>
      <c r="H170" s="296"/>
      <c r="I170" s="180"/>
    </row>
    <row r="171" spans="3:9" ht="18.75" hidden="1" outlineLevel="1" x14ac:dyDescent="0.45">
      <c r="C171" s="297"/>
      <c r="D171" s="298" t="s">
        <v>490</v>
      </c>
      <c r="E171" s="169"/>
      <c r="F171" s="168"/>
      <c r="G171" s="169"/>
      <c r="H171" s="169"/>
      <c r="I171" s="180"/>
    </row>
    <row r="172" spans="3:9" ht="16.5" hidden="1" outlineLevel="1" x14ac:dyDescent="0.3">
      <c r="C172" s="299"/>
      <c r="D172" s="142" t="s">
        <v>437</v>
      </c>
      <c r="E172" s="151"/>
      <c r="F172" s="300">
        <f>G175</f>
        <v>-173207.74004687136</v>
      </c>
      <c r="G172" s="300">
        <v>-368423</v>
      </c>
      <c r="H172" s="165"/>
      <c r="I172" s="180"/>
    </row>
    <row r="173" spans="3:9" ht="16.5" hidden="1" outlineLevel="1" x14ac:dyDescent="0.3">
      <c r="C173" s="299"/>
      <c r="D173" s="142" t="s">
        <v>438</v>
      </c>
      <c r="E173" s="151"/>
      <c r="F173" s="300">
        <v>2508031.2003339818</v>
      </c>
      <c r="G173" s="300">
        <v>1820215.2599531286</v>
      </c>
      <c r="H173" s="165"/>
      <c r="I173" s="180"/>
    </row>
    <row r="174" spans="3:9" ht="18" hidden="1" outlineLevel="1" x14ac:dyDescent="0.4">
      <c r="C174" s="280"/>
      <c r="D174" s="142" t="s">
        <v>439</v>
      </c>
      <c r="E174" s="142"/>
      <c r="F174" s="301">
        <v>-2120100</v>
      </c>
      <c r="G174" s="301">
        <v>-1625000</v>
      </c>
      <c r="H174" s="165">
        <f>F174-G174</f>
        <v>-495100</v>
      </c>
      <c r="I174" s="180"/>
    </row>
    <row r="175" spans="3:9" ht="18.75" hidden="1" outlineLevel="1" x14ac:dyDescent="0.45">
      <c r="C175" s="280"/>
      <c r="D175" s="142" t="s">
        <v>440</v>
      </c>
      <c r="E175" s="142"/>
      <c r="F175" s="168">
        <f>SUM(F172:F174)</f>
        <v>214723.46028711041</v>
      </c>
      <c r="G175" s="169">
        <f>SUM(G172:G174)</f>
        <v>-173207.74004687136</v>
      </c>
      <c r="H175" s="165">
        <f>F174*1.1</f>
        <v>-2332110</v>
      </c>
      <c r="I175" s="302">
        <f>H175-F175</f>
        <v>-2546833.4602871104</v>
      </c>
    </row>
    <row r="176" spans="3:9" ht="16.5" hidden="1" outlineLevel="1" x14ac:dyDescent="0.3">
      <c r="C176" s="303" t="s">
        <v>441</v>
      </c>
      <c r="D176" s="304" t="s">
        <v>442</v>
      </c>
      <c r="E176" s="305"/>
      <c r="F176" s="305"/>
      <c r="G176" s="305"/>
      <c r="H176" s="165">
        <f>H175-F174</f>
        <v>-212010</v>
      </c>
      <c r="I176" s="180"/>
    </row>
    <row r="177" spans="3:9" ht="33" hidden="1" outlineLevel="1" x14ac:dyDescent="0.3">
      <c r="C177" s="297"/>
      <c r="D177" s="305"/>
      <c r="E177" s="177"/>
      <c r="F177" s="306" t="s">
        <v>443</v>
      </c>
      <c r="G177" s="177"/>
      <c r="H177" s="165">
        <v>214723.46028711041</v>
      </c>
      <c r="I177" s="180"/>
    </row>
    <row r="178" spans="3:9" ht="16.5" hidden="1" outlineLevel="1" x14ac:dyDescent="0.3">
      <c r="C178" s="297"/>
      <c r="D178" s="305"/>
      <c r="E178" s="177" t="s">
        <v>394</v>
      </c>
      <c r="F178" s="306"/>
      <c r="G178" s="177" t="s">
        <v>394</v>
      </c>
      <c r="H178" s="165">
        <v>2713.4602871104144</v>
      </c>
      <c r="I178" s="180"/>
    </row>
    <row r="179" spans="3:9" ht="16.5" hidden="1" outlineLevel="1" x14ac:dyDescent="0.3">
      <c r="C179" s="297"/>
      <c r="D179" s="176" t="s">
        <v>444</v>
      </c>
      <c r="E179" s="307">
        <v>219758.97</v>
      </c>
      <c r="F179" s="286">
        <f>E179-G179</f>
        <v>31222.97</v>
      </c>
      <c r="G179" s="308">
        <v>188536</v>
      </c>
      <c r="H179" s="309">
        <v>9044.8676237013806</v>
      </c>
      <c r="I179" s="180"/>
    </row>
    <row r="180" spans="3:9" ht="16.5" hidden="1" outlineLevel="1" x14ac:dyDescent="0.3">
      <c r="C180" s="297"/>
      <c r="D180" s="176" t="s">
        <v>445</v>
      </c>
      <c r="E180" s="307">
        <v>5722422.040000001</v>
      </c>
      <c r="F180" s="286">
        <f>E180-G180</f>
        <v>2371207.830000001</v>
      </c>
      <c r="G180" s="308">
        <v>3351214.21</v>
      </c>
      <c r="H180" s="165"/>
      <c r="I180" s="180"/>
    </row>
    <row r="181" spans="3:9" ht="18" hidden="1" outlineLevel="1" x14ac:dyDescent="0.4">
      <c r="C181" s="297"/>
      <c r="D181" s="176" t="s">
        <v>446</v>
      </c>
      <c r="E181" s="310">
        <v>-3699952.7</v>
      </c>
      <c r="F181" s="291">
        <f>E181-G181</f>
        <v>-7513.9000000003725</v>
      </c>
      <c r="G181" s="311">
        <v>-3692438.8</v>
      </c>
      <c r="H181" s="165"/>
      <c r="I181" s="180"/>
    </row>
    <row r="182" spans="3:9" ht="18.75" hidden="1" outlineLevel="1" x14ac:dyDescent="0.45">
      <c r="C182" s="297"/>
      <c r="D182" s="176"/>
      <c r="E182" s="312">
        <f>SUM(E179:E181)</f>
        <v>2242228.3100000005</v>
      </c>
      <c r="F182" s="312">
        <f>SUM(F179:F181)</f>
        <v>2394916.9000000008</v>
      </c>
      <c r="G182" s="312">
        <f>SUM(G179:G181)</f>
        <v>-152688.58999999985</v>
      </c>
      <c r="H182" s="165"/>
      <c r="I182" s="180"/>
    </row>
    <row r="183" spans="3:9" hidden="1" outlineLevel="1" x14ac:dyDescent="0.25">
      <c r="C183" s="231"/>
      <c r="I183" s="215"/>
    </row>
    <row r="184" spans="3:9" hidden="1" outlineLevel="1" x14ac:dyDescent="0.25">
      <c r="C184" s="231"/>
      <c r="I184" s="215"/>
    </row>
    <row r="185" spans="3:9" ht="15.75" hidden="1" outlineLevel="1" thickBot="1" x14ac:dyDescent="0.3">
      <c r="C185" s="202"/>
      <c r="D185" s="203"/>
      <c r="E185" s="203"/>
      <c r="F185" s="203"/>
      <c r="G185" s="203"/>
      <c r="H185" s="203"/>
      <c r="I185" s="204"/>
    </row>
    <row r="186" spans="3:9" hidden="1" outlineLevel="1" x14ac:dyDescent="0.25"/>
    <row r="187" spans="3:9" hidden="1" outlineLevel="1" x14ac:dyDescent="0.25"/>
    <row r="188" spans="3:9" hidden="1" outlineLevel="1" x14ac:dyDescent="0.25"/>
    <row r="189" spans="3:9" collapsed="1" x14ac:dyDescent="0.25"/>
    <row r="190" spans="3:9" ht="15.75" hidden="1" outlineLevel="1" thickBot="1" x14ac:dyDescent="0.3"/>
    <row r="191" spans="3:9" ht="16.5" hidden="1" outlineLevel="1" x14ac:dyDescent="0.25">
      <c r="C191" s="635" t="s">
        <v>358</v>
      </c>
      <c r="D191" s="636"/>
      <c r="E191" s="636"/>
      <c r="F191" s="636"/>
      <c r="G191" s="636"/>
      <c r="H191" s="636"/>
      <c r="I191" s="637"/>
    </row>
    <row r="192" spans="3:9" ht="16.5" hidden="1" outlineLevel="1" x14ac:dyDescent="0.25">
      <c r="C192" s="638" t="s">
        <v>378</v>
      </c>
      <c r="D192" s="639"/>
      <c r="E192" s="639"/>
      <c r="F192" s="639"/>
      <c r="G192" s="639"/>
      <c r="H192" s="639"/>
      <c r="I192" s="640"/>
    </row>
    <row r="193" spans="3:9" ht="16.5" hidden="1" outlineLevel="1" x14ac:dyDescent="0.25">
      <c r="C193" s="650" t="s">
        <v>492</v>
      </c>
      <c r="D193" s="651"/>
      <c r="E193" s="651"/>
      <c r="F193" s="651"/>
      <c r="G193" s="651"/>
      <c r="H193" s="651"/>
      <c r="I193" s="652"/>
    </row>
    <row r="194" spans="3:9" ht="16.5" hidden="1" outlineLevel="1" x14ac:dyDescent="0.3">
      <c r="C194" s="209" t="s">
        <v>379</v>
      </c>
      <c r="D194" s="153"/>
      <c r="E194" s="153"/>
      <c r="F194" s="153"/>
      <c r="G194" s="153"/>
      <c r="H194" s="153"/>
      <c r="I194" s="215"/>
    </row>
    <row r="195" spans="3:9" ht="16.5" hidden="1" outlineLevel="1" x14ac:dyDescent="0.3">
      <c r="C195" s="209"/>
      <c r="D195" s="153"/>
      <c r="E195" s="153"/>
      <c r="F195" s="153"/>
      <c r="G195" s="163"/>
      <c r="H195" s="163"/>
      <c r="I195" s="215"/>
    </row>
    <row r="196" spans="3:9" ht="16.5" hidden="1" outlineLevel="1" x14ac:dyDescent="0.3">
      <c r="C196" s="299"/>
      <c r="D196" s="313"/>
      <c r="E196" s="163" t="s">
        <v>394</v>
      </c>
      <c r="F196" s="163" t="s">
        <v>394</v>
      </c>
      <c r="I196" s="215"/>
    </row>
    <row r="197" spans="3:9" ht="16.5" hidden="1" outlineLevel="1" x14ac:dyDescent="0.3">
      <c r="C197" s="303" t="s">
        <v>447</v>
      </c>
      <c r="D197" s="143" t="s">
        <v>448</v>
      </c>
      <c r="E197" s="153"/>
      <c r="F197" s="153"/>
      <c r="I197" s="215"/>
    </row>
    <row r="198" spans="3:9" ht="16.5" hidden="1" outlineLevel="1" x14ac:dyDescent="0.3">
      <c r="C198" s="297"/>
      <c r="D198" s="142" t="s">
        <v>449</v>
      </c>
      <c r="E198" s="164">
        <v>8341040.6232255083</v>
      </c>
      <c r="F198" s="164">
        <v>6071289.5797777474</v>
      </c>
      <c r="I198" s="215"/>
    </row>
    <row r="199" spans="3:9" ht="16.5" hidden="1" outlineLevel="1" x14ac:dyDescent="0.3">
      <c r="C199" s="297"/>
      <c r="D199" s="142" t="s">
        <v>450</v>
      </c>
      <c r="E199" s="164">
        <v>409278.51677448238</v>
      </c>
      <c r="F199" s="165">
        <v>223810.43022226563</v>
      </c>
      <c r="I199" s="215"/>
    </row>
    <row r="200" spans="3:9" ht="18" hidden="1" outlineLevel="1" x14ac:dyDescent="0.4">
      <c r="C200" s="297"/>
      <c r="D200" s="142" t="s">
        <v>451</v>
      </c>
      <c r="E200" s="166">
        <v>-251562.5</v>
      </c>
      <c r="F200" s="167">
        <v>0</v>
      </c>
      <c r="I200" s="215"/>
    </row>
    <row r="201" spans="3:9" ht="16.5" hidden="1" outlineLevel="1" x14ac:dyDescent="0.3">
      <c r="C201" s="297"/>
      <c r="D201" s="142" t="s">
        <v>452</v>
      </c>
      <c r="E201" s="164">
        <f>SUM(E198:E200)</f>
        <v>8498756.6399999913</v>
      </c>
      <c r="F201" s="164">
        <f>SUM(F198:F200)</f>
        <v>6295100.0100000128</v>
      </c>
      <c r="I201" s="215"/>
    </row>
    <row r="202" spans="3:9" ht="18.75" hidden="1" outlineLevel="1" x14ac:dyDescent="0.45">
      <c r="C202" s="297"/>
      <c r="D202" s="143" t="s">
        <v>453</v>
      </c>
      <c r="E202" s="168"/>
      <c r="F202" s="169"/>
      <c r="I202" s="215"/>
    </row>
    <row r="203" spans="3:9" ht="16.5" hidden="1" outlineLevel="1" x14ac:dyDescent="0.3">
      <c r="C203" s="297"/>
      <c r="D203" s="142" t="s">
        <v>454</v>
      </c>
      <c r="E203" s="164">
        <v>-6706659</v>
      </c>
      <c r="F203" s="165">
        <v>1007245</v>
      </c>
      <c r="I203" s="215"/>
    </row>
    <row r="204" spans="3:9" ht="16.5" hidden="1" outlineLevel="1" x14ac:dyDescent="0.3">
      <c r="C204" s="297"/>
      <c r="D204" s="142" t="s">
        <v>455</v>
      </c>
      <c r="E204" s="164">
        <v>-7720742.6699999999</v>
      </c>
      <c r="F204" s="165">
        <v>13927484.049999999</v>
      </c>
      <c r="I204" s="215"/>
    </row>
    <row r="205" spans="3:9" ht="18" hidden="1" outlineLevel="1" x14ac:dyDescent="0.4">
      <c r="C205" s="297"/>
      <c r="D205" s="142" t="s">
        <v>456</v>
      </c>
      <c r="E205" s="166">
        <v>12538408.640000001</v>
      </c>
      <c r="F205" s="167">
        <v>-11794430.57</v>
      </c>
      <c r="I205" s="215"/>
    </row>
    <row r="206" spans="3:9" ht="16.5" hidden="1" outlineLevel="1" x14ac:dyDescent="0.3">
      <c r="C206" s="297"/>
      <c r="D206" s="150" t="s">
        <v>457</v>
      </c>
      <c r="E206" s="314">
        <f>SUM(E201:E205)</f>
        <v>6609763.609999992</v>
      </c>
      <c r="F206" s="314">
        <f>SUM(F201:F205)</f>
        <v>9435398.4900000095</v>
      </c>
      <c r="I206" s="215"/>
    </row>
    <row r="207" spans="3:9" ht="16.5" hidden="1" outlineLevel="1" x14ac:dyDescent="0.3">
      <c r="C207" s="303" t="s">
        <v>458</v>
      </c>
      <c r="D207" s="159" t="s">
        <v>459</v>
      </c>
      <c r="E207" s="159"/>
      <c r="F207" s="315"/>
      <c r="G207" s="170"/>
      <c r="H207" s="171"/>
      <c r="I207" s="215"/>
    </row>
    <row r="208" spans="3:9" ht="16.5" hidden="1" outlineLevel="1" x14ac:dyDescent="0.3">
      <c r="C208" s="297"/>
      <c r="D208" s="647" t="s">
        <v>460</v>
      </c>
      <c r="E208" s="647"/>
      <c r="F208" s="647"/>
      <c r="G208" s="647"/>
      <c r="H208" s="647"/>
      <c r="I208" s="215"/>
    </row>
    <row r="209" spans="3:9" ht="16.5" hidden="1" outlineLevel="1" x14ac:dyDescent="0.3">
      <c r="C209" s="303" t="s">
        <v>461</v>
      </c>
      <c r="D209" s="143" t="s">
        <v>462</v>
      </c>
      <c r="E209" s="143"/>
      <c r="F209" s="316"/>
      <c r="G209" s="316"/>
      <c r="H209" s="316"/>
      <c r="I209" s="215"/>
    </row>
    <row r="210" spans="3:9" ht="15.75" hidden="1" outlineLevel="1" x14ac:dyDescent="0.25">
      <c r="C210" s="280"/>
      <c r="D210" s="664" t="s">
        <v>491</v>
      </c>
      <c r="E210" s="664"/>
      <c r="F210" s="664"/>
      <c r="G210" s="664"/>
      <c r="H210" s="664"/>
      <c r="I210" s="215"/>
    </row>
    <row r="211" spans="3:9" ht="15.75" hidden="1" outlineLevel="1" x14ac:dyDescent="0.25">
      <c r="C211" s="290"/>
      <c r="D211" s="664"/>
      <c r="E211" s="664"/>
      <c r="F211" s="664"/>
      <c r="G211" s="664"/>
      <c r="H211" s="664"/>
      <c r="I211" s="215"/>
    </row>
    <row r="212" spans="3:9" ht="15.75" hidden="1" outlineLevel="1" x14ac:dyDescent="0.25">
      <c r="C212" s="290"/>
      <c r="D212" s="664"/>
      <c r="E212" s="664"/>
      <c r="F212" s="664"/>
      <c r="G212" s="664"/>
      <c r="H212" s="664"/>
      <c r="I212" s="215"/>
    </row>
    <row r="213" spans="3:9" ht="15.75" hidden="1" outlineLevel="1" x14ac:dyDescent="0.25">
      <c r="C213" s="290"/>
      <c r="D213" s="664"/>
      <c r="E213" s="664"/>
      <c r="F213" s="664"/>
      <c r="G213" s="664"/>
      <c r="H213" s="664"/>
      <c r="I213" s="215"/>
    </row>
    <row r="214" spans="3:9" ht="16.5" hidden="1" outlineLevel="1" x14ac:dyDescent="0.3">
      <c r="C214" s="297" t="s">
        <v>463</v>
      </c>
      <c r="D214" s="317" t="s">
        <v>464</v>
      </c>
      <c r="E214" s="142"/>
      <c r="F214" s="142"/>
      <c r="G214" s="142"/>
      <c r="H214" s="142"/>
      <c r="I214" s="215"/>
    </row>
    <row r="215" spans="3:9" ht="15.75" hidden="1" outlineLevel="1" x14ac:dyDescent="0.25">
      <c r="C215" s="290"/>
      <c r="D215" s="664" t="s">
        <v>465</v>
      </c>
      <c r="E215" s="664"/>
      <c r="F215" s="664"/>
      <c r="G215" s="664"/>
      <c r="H215" s="664"/>
      <c r="I215" s="215"/>
    </row>
    <row r="216" spans="3:9" ht="15.75" hidden="1" outlineLevel="1" x14ac:dyDescent="0.25">
      <c r="C216" s="290"/>
      <c r="D216" s="664"/>
      <c r="E216" s="664"/>
      <c r="F216" s="664"/>
      <c r="G216" s="664"/>
      <c r="H216" s="664"/>
      <c r="I216" s="215"/>
    </row>
    <row r="217" spans="3:9" hidden="1" outlineLevel="1" x14ac:dyDescent="0.25">
      <c r="C217" s="231"/>
      <c r="I217" s="215"/>
    </row>
    <row r="218" spans="3:9" hidden="1" outlineLevel="1" x14ac:dyDescent="0.25">
      <c r="C218" s="231"/>
      <c r="I218" s="215"/>
    </row>
    <row r="219" spans="3:9" hidden="1" outlineLevel="1" x14ac:dyDescent="0.25">
      <c r="C219" s="231"/>
      <c r="I219" s="215"/>
    </row>
    <row r="220" spans="3:9" ht="15.75" hidden="1" outlineLevel="1" thickBot="1" x14ac:dyDescent="0.3">
      <c r="C220" s="202"/>
      <c r="D220" s="203"/>
      <c r="E220" s="203"/>
      <c r="F220" s="203"/>
      <c r="G220" s="203"/>
      <c r="H220" s="203"/>
      <c r="I220" s="204"/>
    </row>
    <row r="221" spans="3:9" hidden="1" outlineLevel="1" x14ac:dyDescent="0.25"/>
    <row r="222" spans="3:9" hidden="1" outlineLevel="1" x14ac:dyDescent="0.25"/>
    <row r="223" spans="3:9" collapsed="1" x14ac:dyDescent="0.25"/>
    <row r="224" spans="3:9" ht="15.75" hidden="1" outlineLevel="1" thickBot="1" x14ac:dyDescent="0.3"/>
    <row r="225" spans="3:9" ht="16.5" hidden="1" outlineLevel="1" x14ac:dyDescent="0.25">
      <c r="C225" s="635" t="s">
        <v>358</v>
      </c>
      <c r="D225" s="636"/>
      <c r="E225" s="636"/>
      <c r="F225" s="636"/>
      <c r="G225" s="636"/>
      <c r="H225" s="636"/>
      <c r="I225" s="637"/>
    </row>
    <row r="226" spans="3:9" ht="16.5" hidden="1" outlineLevel="1" x14ac:dyDescent="0.25">
      <c r="C226" s="638" t="s">
        <v>494</v>
      </c>
      <c r="D226" s="639"/>
      <c r="E226" s="639"/>
      <c r="F226" s="639"/>
      <c r="G226" s="639"/>
      <c r="H226" s="639"/>
      <c r="I226" s="640"/>
    </row>
    <row r="227" spans="3:9" ht="17.25" hidden="1" outlineLevel="1" thickBot="1" x14ac:dyDescent="0.3">
      <c r="C227" s="641" t="s">
        <v>492</v>
      </c>
      <c r="D227" s="642"/>
      <c r="E227" s="642"/>
      <c r="F227" s="642"/>
      <c r="G227" s="642"/>
      <c r="H227" s="642"/>
      <c r="I227" s="643"/>
    </row>
    <row r="228" spans="3:9" hidden="1" outlineLevel="1" x14ac:dyDescent="0.25">
      <c r="C228" s="231"/>
      <c r="I228" s="215"/>
    </row>
    <row r="229" spans="3:9" hidden="1" outlineLevel="1" x14ac:dyDescent="0.25">
      <c r="C229" s="231"/>
      <c r="I229" s="215"/>
    </row>
    <row r="230" spans="3:9" hidden="1" outlineLevel="1" x14ac:dyDescent="0.25">
      <c r="C230" s="231"/>
      <c r="I230" s="215"/>
    </row>
    <row r="231" spans="3:9" hidden="1" outlineLevel="1" x14ac:dyDescent="0.25">
      <c r="C231" s="231"/>
      <c r="I231" s="215"/>
    </row>
    <row r="232" spans="3:9" hidden="1" outlineLevel="1" x14ac:dyDescent="0.25">
      <c r="C232" s="231"/>
      <c r="I232" s="215"/>
    </row>
    <row r="233" spans="3:9" hidden="1" outlineLevel="1" x14ac:dyDescent="0.25">
      <c r="C233" s="231"/>
      <c r="I233" s="215"/>
    </row>
    <row r="234" spans="3:9" hidden="1" outlineLevel="1" x14ac:dyDescent="0.25">
      <c r="C234" s="231"/>
      <c r="I234" s="215"/>
    </row>
    <row r="235" spans="3:9" hidden="1" outlineLevel="1" x14ac:dyDescent="0.25">
      <c r="C235" s="231"/>
      <c r="I235" s="215"/>
    </row>
    <row r="236" spans="3:9" hidden="1" outlineLevel="1" x14ac:dyDescent="0.25">
      <c r="C236" s="231"/>
      <c r="I236" s="215"/>
    </row>
    <row r="237" spans="3:9" hidden="1" outlineLevel="1" x14ac:dyDescent="0.25">
      <c r="C237" s="231"/>
      <c r="I237" s="215"/>
    </row>
    <row r="238" spans="3:9" hidden="1" outlineLevel="1" x14ac:dyDescent="0.25">
      <c r="C238" s="231"/>
      <c r="I238" s="215"/>
    </row>
    <row r="239" spans="3:9" hidden="1" outlineLevel="1" x14ac:dyDescent="0.25">
      <c r="C239" s="231"/>
      <c r="I239" s="215"/>
    </row>
    <row r="240" spans="3:9" hidden="1" outlineLevel="1" x14ac:dyDescent="0.25">
      <c r="C240" s="231"/>
      <c r="I240" s="215"/>
    </row>
    <row r="241" spans="3:9" hidden="1" outlineLevel="1" x14ac:dyDescent="0.25">
      <c r="C241" s="231"/>
      <c r="I241" s="215"/>
    </row>
    <row r="242" spans="3:9" hidden="1" outlineLevel="1" x14ac:dyDescent="0.25">
      <c r="C242" s="231"/>
      <c r="I242" s="215"/>
    </row>
    <row r="243" spans="3:9" hidden="1" outlineLevel="1" x14ac:dyDescent="0.25">
      <c r="C243" s="231"/>
      <c r="I243" s="215"/>
    </row>
    <row r="244" spans="3:9" hidden="1" outlineLevel="1" x14ac:dyDescent="0.25">
      <c r="C244" s="231"/>
      <c r="I244" s="215"/>
    </row>
    <row r="245" spans="3:9" hidden="1" outlineLevel="1" x14ac:dyDescent="0.25">
      <c r="C245" s="231"/>
      <c r="I245" s="215"/>
    </row>
    <row r="246" spans="3:9" hidden="1" outlineLevel="1" x14ac:dyDescent="0.25">
      <c r="C246" s="231"/>
      <c r="I246" s="215"/>
    </row>
    <row r="247" spans="3:9" hidden="1" outlineLevel="1" x14ac:dyDescent="0.25">
      <c r="C247" s="231"/>
      <c r="I247" s="215"/>
    </row>
    <row r="248" spans="3:9" hidden="1" outlineLevel="1" x14ac:dyDescent="0.25">
      <c r="C248" s="231"/>
      <c r="I248" s="215"/>
    </row>
    <row r="249" spans="3:9" hidden="1" outlineLevel="1" x14ac:dyDescent="0.25">
      <c r="C249" s="231"/>
      <c r="I249" s="215"/>
    </row>
    <row r="250" spans="3:9" hidden="1" outlineLevel="1" x14ac:dyDescent="0.25">
      <c r="C250" s="231"/>
      <c r="I250" s="215"/>
    </row>
    <row r="251" spans="3:9" hidden="1" outlineLevel="1" x14ac:dyDescent="0.25">
      <c r="C251" s="231"/>
      <c r="I251" s="215"/>
    </row>
    <row r="252" spans="3:9" hidden="1" outlineLevel="1" x14ac:dyDescent="0.25">
      <c r="C252" s="231"/>
      <c r="I252" s="215"/>
    </row>
    <row r="253" spans="3:9" hidden="1" outlineLevel="1" x14ac:dyDescent="0.25">
      <c r="C253" s="231"/>
      <c r="I253" s="215"/>
    </row>
    <row r="254" spans="3:9" hidden="1" outlineLevel="1" x14ac:dyDescent="0.25">
      <c r="C254" s="231"/>
      <c r="I254" s="215"/>
    </row>
    <row r="255" spans="3:9" hidden="1" outlineLevel="1" x14ac:dyDescent="0.25">
      <c r="C255" s="231"/>
      <c r="I255" s="215"/>
    </row>
    <row r="256" spans="3:9" hidden="1" outlineLevel="1" x14ac:dyDescent="0.25">
      <c r="C256" s="231"/>
      <c r="I256" s="215"/>
    </row>
    <row r="257" spans="3:9" hidden="1" outlineLevel="1" x14ac:dyDescent="0.25">
      <c r="C257" s="231"/>
      <c r="I257" s="215"/>
    </row>
    <row r="258" spans="3:9" hidden="1" outlineLevel="1" x14ac:dyDescent="0.25">
      <c r="C258" s="231"/>
      <c r="I258" s="215"/>
    </row>
    <row r="259" spans="3:9" hidden="1" outlineLevel="1" x14ac:dyDescent="0.25">
      <c r="C259" s="231"/>
      <c r="I259" s="215"/>
    </row>
    <row r="260" spans="3:9" hidden="1" outlineLevel="1" x14ac:dyDescent="0.25">
      <c r="C260" s="231"/>
      <c r="I260" s="215"/>
    </row>
    <row r="261" spans="3:9" hidden="1" outlineLevel="1" x14ac:dyDescent="0.25">
      <c r="C261" s="231"/>
      <c r="I261" s="215"/>
    </row>
    <row r="262" spans="3:9" hidden="1" outlineLevel="1" x14ac:dyDescent="0.25">
      <c r="C262" s="231"/>
      <c r="I262" s="215"/>
    </row>
    <row r="263" spans="3:9" hidden="1" outlineLevel="1" x14ac:dyDescent="0.25">
      <c r="C263" s="231"/>
      <c r="I263" s="215"/>
    </row>
    <row r="264" spans="3:9" hidden="1" outlineLevel="1" x14ac:dyDescent="0.25">
      <c r="C264" s="231"/>
      <c r="I264" s="215"/>
    </row>
    <row r="265" spans="3:9" hidden="1" outlineLevel="1" x14ac:dyDescent="0.25">
      <c r="C265" s="231"/>
      <c r="I265" s="215"/>
    </row>
    <row r="266" spans="3:9" hidden="1" outlineLevel="1" x14ac:dyDescent="0.25">
      <c r="C266" s="231"/>
      <c r="I266" s="215"/>
    </row>
    <row r="267" spans="3:9" hidden="1" outlineLevel="1" x14ac:dyDescent="0.25">
      <c r="C267" s="231"/>
      <c r="I267" s="215"/>
    </row>
    <row r="268" spans="3:9" hidden="1" outlineLevel="1" x14ac:dyDescent="0.25">
      <c r="C268" s="231"/>
      <c r="I268" s="215"/>
    </row>
    <row r="269" spans="3:9" hidden="1" outlineLevel="1" x14ac:dyDescent="0.25">
      <c r="C269" s="231"/>
      <c r="I269" s="215"/>
    </row>
    <row r="270" spans="3:9" hidden="1" outlineLevel="1" x14ac:dyDescent="0.25">
      <c r="C270" s="231"/>
      <c r="I270" s="215"/>
    </row>
    <row r="271" spans="3:9" hidden="1" outlineLevel="1" x14ac:dyDescent="0.25">
      <c r="C271" s="231"/>
      <c r="I271" s="215"/>
    </row>
    <row r="272" spans="3:9" hidden="1" outlineLevel="1" x14ac:dyDescent="0.25">
      <c r="C272" s="231"/>
      <c r="I272" s="215"/>
    </row>
    <row r="273" spans="3:9" hidden="1" outlineLevel="1" x14ac:dyDescent="0.25">
      <c r="C273" s="231"/>
      <c r="I273" s="215"/>
    </row>
    <row r="274" spans="3:9" hidden="1" outlineLevel="1" x14ac:dyDescent="0.25">
      <c r="C274" s="231"/>
      <c r="I274" s="215"/>
    </row>
    <row r="275" spans="3:9" hidden="1" outlineLevel="1" x14ac:dyDescent="0.25">
      <c r="C275" s="231"/>
      <c r="I275" s="215"/>
    </row>
    <row r="276" spans="3:9" hidden="1" outlineLevel="1" x14ac:dyDescent="0.25">
      <c r="C276" s="231"/>
      <c r="I276" s="215"/>
    </row>
    <row r="277" spans="3:9" hidden="1" outlineLevel="1" x14ac:dyDescent="0.25">
      <c r="C277" s="231"/>
      <c r="I277" s="215"/>
    </row>
    <row r="278" spans="3:9" hidden="1" outlineLevel="1" x14ac:dyDescent="0.25">
      <c r="C278" s="231"/>
      <c r="I278" s="215"/>
    </row>
    <row r="279" spans="3:9" hidden="1" outlineLevel="1" x14ac:dyDescent="0.25">
      <c r="C279" s="231"/>
      <c r="I279" s="215"/>
    </row>
    <row r="280" spans="3:9" hidden="1" outlineLevel="1" x14ac:dyDescent="0.25">
      <c r="C280" s="231"/>
      <c r="I280" s="215"/>
    </row>
    <row r="281" spans="3:9" hidden="1" outlineLevel="1" x14ac:dyDescent="0.25">
      <c r="C281" s="231"/>
      <c r="I281" s="215"/>
    </row>
    <row r="282" spans="3:9" hidden="1" outlineLevel="1" x14ac:dyDescent="0.25">
      <c r="C282" s="231"/>
      <c r="I282" s="215"/>
    </row>
    <row r="283" spans="3:9" hidden="1" outlineLevel="1" x14ac:dyDescent="0.25">
      <c r="C283" s="231"/>
      <c r="I283" s="215"/>
    </row>
    <row r="284" spans="3:9" ht="15.75" hidden="1" outlineLevel="1" thickBot="1" x14ac:dyDescent="0.3">
      <c r="C284" s="202"/>
      <c r="D284" s="203"/>
      <c r="E284" s="203"/>
      <c r="F284" s="203"/>
      <c r="G284" s="203"/>
      <c r="H284" s="203"/>
      <c r="I284" s="204"/>
    </row>
    <row r="285" spans="3:9" hidden="1" outlineLevel="1" x14ac:dyDescent="0.25"/>
    <row r="286" spans="3:9" hidden="1" outlineLevel="1" x14ac:dyDescent="0.25"/>
    <row r="287" spans="3:9" hidden="1" outlineLevel="1" x14ac:dyDescent="0.25"/>
    <row r="288" spans="3:9" hidden="1" outlineLevel="1" x14ac:dyDescent="0.25"/>
    <row r="289" spans="3:9" hidden="1" outlineLevel="1" x14ac:dyDescent="0.25"/>
    <row r="290" spans="3:9" hidden="1" outlineLevel="1" x14ac:dyDescent="0.25"/>
    <row r="291" spans="3:9" collapsed="1" x14ac:dyDescent="0.25"/>
    <row r="292" spans="3:9" ht="15.75" hidden="1" outlineLevel="1" thickBot="1" x14ac:dyDescent="0.3"/>
    <row r="293" spans="3:9" ht="16.5" hidden="1" outlineLevel="1" x14ac:dyDescent="0.25">
      <c r="C293" s="635" t="s">
        <v>358</v>
      </c>
      <c r="D293" s="636"/>
      <c r="E293" s="636"/>
      <c r="F293" s="636"/>
      <c r="G293" s="636"/>
      <c r="H293" s="636"/>
      <c r="I293" s="637"/>
    </row>
    <row r="294" spans="3:9" ht="16.5" hidden="1" outlineLevel="1" x14ac:dyDescent="0.25">
      <c r="C294" s="638" t="s">
        <v>495</v>
      </c>
      <c r="D294" s="639"/>
      <c r="E294" s="639"/>
      <c r="F294" s="639"/>
      <c r="G294" s="639"/>
      <c r="H294" s="639"/>
      <c r="I294" s="640"/>
    </row>
    <row r="295" spans="3:9" ht="17.25" hidden="1" outlineLevel="1" thickBot="1" x14ac:dyDescent="0.3">
      <c r="C295" s="641" t="s">
        <v>492</v>
      </c>
      <c r="D295" s="642"/>
      <c r="E295" s="642"/>
      <c r="F295" s="642"/>
      <c r="G295" s="642"/>
      <c r="H295" s="642"/>
      <c r="I295" s="643"/>
    </row>
    <row r="296" spans="3:9" hidden="1" outlineLevel="1" x14ac:dyDescent="0.25">
      <c r="C296" s="231"/>
      <c r="I296" s="215"/>
    </row>
    <row r="297" spans="3:9" hidden="1" outlineLevel="1" x14ac:dyDescent="0.25">
      <c r="C297" s="231"/>
      <c r="I297" s="215"/>
    </row>
    <row r="298" spans="3:9" hidden="1" outlineLevel="1" x14ac:dyDescent="0.25">
      <c r="C298" s="231"/>
      <c r="I298" s="215"/>
    </row>
    <row r="299" spans="3:9" ht="16.5" hidden="1" outlineLevel="1" x14ac:dyDescent="0.3">
      <c r="C299" s="231"/>
      <c r="D299" s="142"/>
      <c r="E299" s="142"/>
      <c r="F299" s="142"/>
      <c r="G299" s="142"/>
      <c r="H299" s="192" t="s">
        <v>394</v>
      </c>
      <c r="I299" s="215"/>
    </row>
    <row r="300" spans="3:9" ht="15.75" hidden="1" outlineLevel="1" x14ac:dyDescent="0.25">
      <c r="C300" s="231"/>
      <c r="D300" s="142" t="str">
        <f>IF(H300&lt;0,"Profit","Profit")&amp;" as per financial statements"</f>
        <v>Profit as per financial statements</v>
      </c>
      <c r="E300" s="142"/>
      <c r="F300" s="142"/>
      <c r="G300" s="319"/>
      <c r="H300" s="320">
        <v>8341040.6232255083</v>
      </c>
      <c r="I300" s="215"/>
    </row>
    <row r="301" spans="3:9" ht="16.5" hidden="1" outlineLevel="1" x14ac:dyDescent="0.3">
      <c r="C301" s="231"/>
      <c r="D301" s="143" t="s">
        <v>496</v>
      </c>
      <c r="E301" s="142"/>
      <c r="F301" s="142"/>
      <c r="G301" s="142"/>
      <c r="H301" s="320"/>
      <c r="I301" s="215"/>
    </row>
    <row r="302" spans="3:9" ht="15.75" hidden="1" outlineLevel="1" x14ac:dyDescent="0.25">
      <c r="C302" s="231"/>
      <c r="D302" s="142" t="s">
        <v>497</v>
      </c>
      <c r="E302" s="142"/>
      <c r="F302" s="142"/>
      <c r="G302" s="142"/>
      <c r="H302" s="320">
        <v>2000</v>
      </c>
      <c r="I302" s="215"/>
    </row>
    <row r="303" spans="3:9" ht="18" hidden="1" outlineLevel="1" x14ac:dyDescent="0.4">
      <c r="C303" s="231"/>
      <c r="D303" s="142" t="s">
        <v>411</v>
      </c>
      <c r="E303" s="142"/>
      <c r="F303" s="142"/>
      <c r="G303" s="142"/>
      <c r="H303" s="321">
        <v>409278.51677448238</v>
      </c>
      <c r="I303" s="215"/>
    </row>
    <row r="304" spans="3:9" ht="15.75" hidden="1" outlineLevel="1" x14ac:dyDescent="0.25">
      <c r="C304" s="231"/>
      <c r="D304" s="142"/>
      <c r="E304" s="142"/>
      <c r="F304" s="142"/>
      <c r="G304" s="142"/>
      <c r="H304" s="165">
        <v>8752319.1399999913</v>
      </c>
      <c r="I304" s="215"/>
    </row>
    <row r="305" spans="3:9" ht="16.5" hidden="1" outlineLevel="1" x14ac:dyDescent="0.3">
      <c r="C305" s="231"/>
      <c r="D305" s="142" t="s">
        <v>498</v>
      </c>
      <c r="E305" s="142"/>
      <c r="F305" s="142"/>
      <c r="G305" s="142"/>
      <c r="H305" s="165"/>
      <c r="I305" s="215"/>
    </row>
    <row r="306" spans="3:9" ht="18" hidden="1" outlineLevel="1" x14ac:dyDescent="0.4">
      <c r="C306" s="231"/>
      <c r="D306" s="142" t="s">
        <v>499</v>
      </c>
      <c r="E306" s="142"/>
      <c r="F306" s="142"/>
      <c r="G306" s="322"/>
      <c r="H306" s="321">
        <v>392215.13888671878</v>
      </c>
      <c r="I306" s="215"/>
    </row>
    <row r="307" spans="3:9" ht="18.75" hidden="1" outlineLevel="1" x14ac:dyDescent="0.45">
      <c r="C307" s="231"/>
      <c r="D307" s="150" t="s">
        <v>500</v>
      </c>
      <c r="E307" s="320"/>
      <c r="F307" s="320"/>
      <c r="G307" s="142"/>
      <c r="H307" s="323">
        <v>8360104.0011132723</v>
      </c>
      <c r="I307" s="215"/>
    </row>
    <row r="308" spans="3:9" ht="18" hidden="1" outlineLevel="1" x14ac:dyDescent="0.4">
      <c r="C308" s="231"/>
      <c r="D308" s="324" t="s">
        <v>501</v>
      </c>
      <c r="E308" s="320"/>
      <c r="F308" s="320"/>
      <c r="G308" s="142"/>
      <c r="H308" s="325"/>
      <c r="I308" s="215"/>
    </row>
    <row r="309" spans="3:9" ht="18.75" hidden="1" outlineLevel="1" x14ac:dyDescent="0.45">
      <c r="C309" s="231"/>
      <c r="D309" s="142" t="s">
        <v>502</v>
      </c>
      <c r="E309" s="320"/>
      <c r="F309" s="320"/>
      <c r="G309" s="142"/>
      <c r="H309" s="295">
        <v>8360104.0011132723</v>
      </c>
      <c r="I309" s="215"/>
    </row>
    <row r="310" spans="3:9" ht="15.75" hidden="1" outlineLevel="1" x14ac:dyDescent="0.25">
      <c r="C310" s="231"/>
      <c r="D310" s="142" t="s">
        <v>503</v>
      </c>
      <c r="E310" s="320"/>
      <c r="F310" s="320"/>
      <c r="G310" s="142"/>
      <c r="H310" s="319">
        <v>2508031.2003339818</v>
      </c>
      <c r="I310" s="215"/>
    </row>
    <row r="311" spans="3:9" ht="15.75" hidden="1" outlineLevel="1" x14ac:dyDescent="0.25">
      <c r="C311" s="231"/>
      <c r="D311" s="142" t="s">
        <v>504</v>
      </c>
      <c r="E311" s="320"/>
      <c r="F311" s="320"/>
      <c r="G311" s="142"/>
      <c r="H311" s="319">
        <v>-115200</v>
      </c>
      <c r="I311" s="215"/>
    </row>
    <row r="312" spans="3:9" ht="15.75" hidden="1" outlineLevel="1" x14ac:dyDescent="0.25">
      <c r="C312" s="231"/>
      <c r="D312" s="142" t="s">
        <v>505</v>
      </c>
      <c r="E312" s="320"/>
      <c r="F312" s="320"/>
      <c r="G312" s="142"/>
      <c r="H312" s="319">
        <v>-173207.74004687136</v>
      </c>
      <c r="I312" s="215"/>
    </row>
    <row r="313" spans="3:9" ht="18" hidden="1" outlineLevel="1" x14ac:dyDescent="0.4">
      <c r="C313" s="231"/>
      <c r="D313" s="142" t="s">
        <v>506</v>
      </c>
      <c r="E313" s="320"/>
      <c r="F313" s="320"/>
      <c r="G313" s="142"/>
      <c r="H313" s="325">
        <v>-2004900</v>
      </c>
      <c r="I313" s="215"/>
    </row>
    <row r="314" spans="3:9" ht="18.75" hidden="1" outlineLevel="1" x14ac:dyDescent="0.45">
      <c r="C314" s="231"/>
      <c r="D314" s="150" t="s">
        <v>507</v>
      </c>
      <c r="E314" s="320"/>
      <c r="F314" s="320"/>
      <c r="G314" s="142"/>
      <c r="H314" s="295">
        <v>214723.46028711041</v>
      </c>
      <c r="I314" s="215"/>
    </row>
    <row r="315" spans="3:9" ht="16.5" hidden="1" outlineLevel="1" x14ac:dyDescent="0.3">
      <c r="C315" s="231"/>
      <c r="D315" s="324" t="s">
        <v>508</v>
      </c>
      <c r="E315" s="324"/>
      <c r="F315" s="324"/>
      <c r="G315" s="326"/>
      <c r="H315" s="326"/>
      <c r="I315" s="215"/>
    </row>
    <row r="316" spans="3:9" ht="16.5" hidden="1" outlineLevel="1" x14ac:dyDescent="0.3">
      <c r="C316" s="231"/>
      <c r="D316" s="327"/>
      <c r="E316" s="328" t="s">
        <v>509</v>
      </c>
      <c r="F316" s="328" t="s">
        <v>510</v>
      </c>
      <c r="G316" s="328" t="s">
        <v>511</v>
      </c>
      <c r="H316" s="328" t="s">
        <v>60</v>
      </c>
      <c r="I316" s="215"/>
    </row>
    <row r="317" spans="3:9" ht="16.5" hidden="1" outlineLevel="1" x14ac:dyDescent="0.3">
      <c r="C317" s="231"/>
      <c r="D317" s="327"/>
      <c r="E317" s="329">
        <v>0.3</v>
      </c>
      <c r="F317" s="329">
        <v>0.25</v>
      </c>
      <c r="G317" s="330">
        <v>0.125</v>
      </c>
      <c r="H317" s="327"/>
      <c r="I317" s="215"/>
    </row>
    <row r="318" spans="3:9" ht="16.5" hidden="1" outlineLevel="1" x14ac:dyDescent="0.3">
      <c r="C318" s="231"/>
      <c r="D318" s="327"/>
      <c r="E318" s="331" t="s">
        <v>394</v>
      </c>
      <c r="F318" s="331" t="s">
        <v>394</v>
      </c>
      <c r="G318" s="331" t="s">
        <v>394</v>
      </c>
      <c r="H318" s="331" t="s">
        <v>394</v>
      </c>
      <c r="I318" s="215"/>
    </row>
    <row r="319" spans="3:9" ht="15.75" hidden="1" outlineLevel="1" x14ac:dyDescent="0.25">
      <c r="C319" s="231"/>
      <c r="D319" s="326" t="s">
        <v>512</v>
      </c>
      <c r="E319" s="320">
        <v>30375.1</v>
      </c>
      <c r="F319" s="320">
        <v>548437.5</v>
      </c>
      <c r="G319" s="320">
        <v>223197.87109375</v>
      </c>
      <c r="H319" s="320">
        <f>SUM(E319:G319)</f>
        <v>802010.47109374998</v>
      </c>
      <c r="I319" s="215"/>
    </row>
    <row r="320" spans="3:9" ht="15.75" hidden="1" outlineLevel="1" x14ac:dyDescent="0.25">
      <c r="C320" s="231"/>
      <c r="D320" s="326" t="s">
        <v>513</v>
      </c>
      <c r="E320" s="320">
        <v>0</v>
      </c>
      <c r="F320" s="320">
        <f>-800000</f>
        <v>-800000</v>
      </c>
      <c r="G320" s="320">
        <v>0</v>
      </c>
      <c r="H320" s="320">
        <f>SUM(E320:G320)</f>
        <v>-800000</v>
      </c>
      <c r="I320" s="215"/>
    </row>
    <row r="321" spans="3:9" ht="15.75" hidden="1" outlineLevel="1" x14ac:dyDescent="0.25">
      <c r="C321" s="231"/>
      <c r="D321" s="326" t="s">
        <v>514</v>
      </c>
      <c r="E321" s="332">
        <v>0</v>
      </c>
      <c r="F321" s="332">
        <v>1500000</v>
      </c>
      <c r="G321" s="332">
        <v>344748</v>
      </c>
      <c r="H321" s="332">
        <f>SUM(E321:G321)</f>
        <v>1844748</v>
      </c>
      <c r="I321" s="215"/>
    </row>
    <row r="322" spans="3:9" ht="15.75" hidden="1" outlineLevel="1" x14ac:dyDescent="0.25">
      <c r="C322" s="231"/>
      <c r="D322" s="326"/>
      <c r="E322" s="165">
        <f>SUM(E319:E321)</f>
        <v>30375.1</v>
      </c>
      <c r="F322" s="165">
        <f>SUM(F319:F321)</f>
        <v>1248437.5</v>
      </c>
      <c r="G322" s="165">
        <f>SUM(G319:G321)</f>
        <v>567945.87109375</v>
      </c>
      <c r="H322" s="165">
        <f>SUM(H319:H321)</f>
        <v>1846758.4710937501</v>
      </c>
      <c r="I322" s="215"/>
    </row>
    <row r="323" spans="3:9" ht="15.75" hidden="1" outlineLevel="1" x14ac:dyDescent="0.25">
      <c r="C323" s="231"/>
      <c r="D323" s="326" t="s">
        <v>515</v>
      </c>
      <c r="E323" s="332">
        <f>E319*E317</f>
        <v>9112.5299999999988</v>
      </c>
      <c r="F323" s="332">
        <f>F322*F317</f>
        <v>312109.375</v>
      </c>
      <c r="G323" s="332">
        <f>G322*G317</f>
        <v>70993.23388671875</v>
      </c>
      <c r="H323" s="332">
        <f>SUM(E323:G323)</f>
        <v>392215.13888671878</v>
      </c>
      <c r="I323" s="215"/>
    </row>
    <row r="324" spans="3:9" ht="17.25" hidden="1" outlineLevel="1" thickBot="1" x14ac:dyDescent="0.35">
      <c r="C324" s="231"/>
      <c r="D324" s="327" t="s">
        <v>516</v>
      </c>
      <c r="E324" s="333">
        <f>SUM(E322-E323)</f>
        <v>21262.57</v>
      </c>
      <c r="F324" s="333">
        <f>SUM(F322-F323)</f>
        <v>936328.125</v>
      </c>
      <c r="G324" s="333">
        <f>SUM(G322-G323)</f>
        <v>496952.63720703125</v>
      </c>
      <c r="H324" s="333">
        <f>SUM(H322-H323)</f>
        <v>1454543.3322070313</v>
      </c>
      <c r="I324" s="215"/>
    </row>
    <row r="325" spans="3:9" ht="15.75" hidden="1" outlineLevel="1" thickTop="1" x14ac:dyDescent="0.25">
      <c r="C325" s="231"/>
      <c r="I325" s="215"/>
    </row>
    <row r="326" spans="3:9" hidden="1" outlineLevel="1" x14ac:dyDescent="0.25">
      <c r="C326" s="231"/>
      <c r="I326" s="215"/>
    </row>
    <row r="327" spans="3:9" hidden="1" outlineLevel="1" x14ac:dyDescent="0.25">
      <c r="C327" s="231"/>
      <c r="I327" s="215"/>
    </row>
    <row r="328" spans="3:9" hidden="1" outlineLevel="1" x14ac:dyDescent="0.25">
      <c r="C328" s="231"/>
      <c r="I328" s="215"/>
    </row>
    <row r="329" spans="3:9" hidden="1" outlineLevel="1" x14ac:dyDescent="0.25">
      <c r="C329" s="231"/>
      <c r="I329" s="215"/>
    </row>
    <row r="330" spans="3:9" hidden="1" outlineLevel="1" x14ac:dyDescent="0.25">
      <c r="C330" s="231"/>
      <c r="I330" s="215"/>
    </row>
    <row r="331" spans="3:9" hidden="1" outlineLevel="1" x14ac:dyDescent="0.25">
      <c r="C331" s="231"/>
      <c r="I331" s="215"/>
    </row>
    <row r="332" spans="3:9" hidden="1" outlineLevel="1" x14ac:dyDescent="0.25">
      <c r="C332" s="231"/>
      <c r="I332" s="215"/>
    </row>
    <row r="333" spans="3:9" hidden="1" outlineLevel="1" x14ac:dyDescent="0.25">
      <c r="C333" s="231"/>
      <c r="I333" s="215"/>
    </row>
    <row r="334" spans="3:9" hidden="1" outlineLevel="1" x14ac:dyDescent="0.25">
      <c r="C334" s="231"/>
      <c r="I334" s="215"/>
    </row>
    <row r="335" spans="3:9" hidden="1" outlineLevel="1" x14ac:dyDescent="0.25">
      <c r="C335" s="231"/>
      <c r="I335" s="215"/>
    </row>
    <row r="336" spans="3:9" hidden="1" outlineLevel="1" x14ac:dyDescent="0.25">
      <c r="C336" s="231"/>
      <c r="I336" s="215"/>
    </row>
    <row r="337" spans="3:9" hidden="1" outlineLevel="1" x14ac:dyDescent="0.25">
      <c r="C337" s="231"/>
      <c r="I337" s="215"/>
    </row>
    <row r="338" spans="3:9" hidden="1" outlineLevel="1" x14ac:dyDescent="0.25">
      <c r="C338" s="231"/>
      <c r="I338" s="215"/>
    </row>
    <row r="339" spans="3:9" hidden="1" outlineLevel="1" x14ac:dyDescent="0.25">
      <c r="C339" s="231"/>
      <c r="I339" s="215"/>
    </row>
    <row r="340" spans="3:9" hidden="1" outlineLevel="1" x14ac:dyDescent="0.25">
      <c r="C340" s="231"/>
      <c r="I340" s="215"/>
    </row>
    <row r="341" spans="3:9" hidden="1" outlineLevel="1" x14ac:dyDescent="0.25">
      <c r="C341" s="231"/>
      <c r="I341" s="215"/>
    </row>
    <row r="342" spans="3:9" hidden="1" outlineLevel="1" x14ac:dyDescent="0.25">
      <c r="C342" s="231"/>
      <c r="I342" s="215"/>
    </row>
    <row r="343" spans="3:9" hidden="1" outlineLevel="1" x14ac:dyDescent="0.25">
      <c r="C343" s="231"/>
      <c r="I343" s="215"/>
    </row>
    <row r="344" spans="3:9" hidden="1" outlineLevel="1" x14ac:dyDescent="0.25">
      <c r="C344" s="231"/>
      <c r="I344" s="215"/>
    </row>
    <row r="345" spans="3:9" hidden="1" outlineLevel="1" x14ac:dyDescent="0.25">
      <c r="C345" s="231"/>
      <c r="I345" s="215"/>
    </row>
    <row r="346" spans="3:9" hidden="1" outlineLevel="1" x14ac:dyDescent="0.25">
      <c r="C346" s="231"/>
      <c r="I346" s="215"/>
    </row>
    <row r="347" spans="3:9" hidden="1" outlineLevel="1" x14ac:dyDescent="0.25">
      <c r="C347" s="231"/>
      <c r="I347" s="215"/>
    </row>
    <row r="348" spans="3:9" hidden="1" outlineLevel="1" x14ac:dyDescent="0.25">
      <c r="C348" s="231"/>
      <c r="I348" s="215"/>
    </row>
    <row r="349" spans="3:9" hidden="1" outlineLevel="1" x14ac:dyDescent="0.25">
      <c r="C349" s="231"/>
      <c r="I349" s="215"/>
    </row>
    <row r="350" spans="3:9" hidden="1" outlineLevel="1" x14ac:dyDescent="0.25">
      <c r="C350" s="231"/>
      <c r="I350" s="215"/>
    </row>
    <row r="351" spans="3:9" hidden="1" outlineLevel="1" x14ac:dyDescent="0.25">
      <c r="C351" s="231"/>
      <c r="I351" s="215"/>
    </row>
    <row r="352" spans="3:9" ht="15.75" hidden="1" outlineLevel="1" thickBot="1" x14ac:dyDescent="0.3">
      <c r="C352" s="202"/>
      <c r="D352" s="203"/>
      <c r="E352" s="203"/>
      <c r="F352" s="203"/>
      <c r="G352" s="203"/>
      <c r="H352" s="203"/>
      <c r="I352" s="204"/>
    </row>
    <row r="353" hidden="1" outlineLevel="1" x14ac:dyDescent="0.25"/>
    <row r="354" hidden="1" outlineLevel="1" x14ac:dyDescent="0.25"/>
    <row r="355" collapsed="1" x14ac:dyDescent="0.25"/>
  </sheetData>
  <mergeCells count="39">
    <mergeCell ref="D18:G20"/>
    <mergeCell ref="C4:G4"/>
    <mergeCell ref="C5:G5"/>
    <mergeCell ref="C6:G6"/>
    <mergeCell ref="D8:G9"/>
    <mergeCell ref="D11:G13"/>
    <mergeCell ref="D70:G70"/>
    <mergeCell ref="D22:G24"/>
    <mergeCell ref="D30:G33"/>
    <mergeCell ref="D35:G37"/>
    <mergeCell ref="D39:G39"/>
    <mergeCell ref="D41:G43"/>
    <mergeCell ref="C52:G52"/>
    <mergeCell ref="C53:G53"/>
    <mergeCell ref="C54:G54"/>
    <mergeCell ref="D58:G59"/>
    <mergeCell ref="D63:G64"/>
    <mergeCell ref="D66:G69"/>
    <mergeCell ref="C193:I193"/>
    <mergeCell ref="D73:G77"/>
    <mergeCell ref="D80:G81"/>
    <mergeCell ref="D83:G83"/>
    <mergeCell ref="C93:I93"/>
    <mergeCell ref="C94:I94"/>
    <mergeCell ref="C95:I95"/>
    <mergeCell ref="C146:I146"/>
    <mergeCell ref="C147:I147"/>
    <mergeCell ref="C148:I148"/>
    <mergeCell ref="C191:I191"/>
    <mergeCell ref="C192:I192"/>
    <mergeCell ref="C293:I293"/>
    <mergeCell ref="C294:I294"/>
    <mergeCell ref="C295:I295"/>
    <mergeCell ref="D208:H208"/>
    <mergeCell ref="D210:H213"/>
    <mergeCell ref="D215:H216"/>
    <mergeCell ref="C225:I225"/>
    <mergeCell ref="C226:I226"/>
    <mergeCell ref="C227:I227"/>
  </mergeCells>
  <conditionalFormatting sqref="G207:H207">
    <cfRule type="cellIs" dxfId="517" priority="1" stopIfTrue="1" operator="greaterThan">
      <formula>0</formula>
    </cfRule>
    <cfRule type="cellIs" dxfId="516" priority="2" stopIfTrue="1" operator="equal">
      <formula>0</formula>
    </cfRule>
  </conditionalFormatting>
  <dataValidations count="1">
    <dataValidation type="list" allowBlank="1" showInputMessage="1" showErrorMessage="1" sqref="A1" xr:uid="{00000000-0002-0000-1C00-000000000000}">
      <formula1>Year</formula1>
    </dataValidation>
  </dataValidations>
  <pageMargins left="0.7" right="0.7" top="0.75" bottom="0.75" header="0.3" footer="0.3"/>
  <pageSetup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H2000"/>
  <sheetViews>
    <sheetView showGridLines="0" showRowColHeaders="0" workbookViewId="0">
      <pane ySplit="3" topLeftCell="A4" activePane="bottomLeft" state="frozen"/>
      <selection pane="bottomLeft"/>
    </sheetView>
  </sheetViews>
  <sheetFormatPr defaultRowHeight="15.75" outlineLevelCol="1" x14ac:dyDescent="0.25"/>
  <cols>
    <col min="1" max="1" width="31.140625" style="1" customWidth="1"/>
    <col min="2" max="2" width="21.28515625" style="1" customWidth="1" outlineLevel="1"/>
    <col min="3" max="3" width="20.140625" style="1" customWidth="1" outlineLevel="1"/>
    <col min="4" max="5" width="30.28515625" style="1" customWidth="1" outlineLevel="1"/>
    <col min="6" max="6" width="18.5703125" style="1" customWidth="1" outlineLevel="1"/>
    <col min="7" max="7" width="9.140625" style="1"/>
    <col min="8" max="8" width="11.85546875" style="1" bestFit="1" customWidth="1"/>
    <col min="9" max="16384" width="9.140625" style="1"/>
  </cols>
  <sheetData>
    <row r="1" spans="2:8" ht="36.75" customHeight="1" x14ac:dyDescent="0.25">
      <c r="B1" s="527" t="s">
        <v>551</v>
      </c>
      <c r="C1" s="528"/>
      <c r="D1" s="528"/>
      <c r="E1" s="528"/>
      <c r="F1" s="528"/>
    </row>
    <row r="3" spans="2:8" ht="18" x14ac:dyDescent="0.25">
      <c r="B3" s="10" t="s">
        <v>22</v>
      </c>
      <c r="C3" s="11" t="s">
        <v>9</v>
      </c>
      <c r="D3" s="11" t="s">
        <v>2</v>
      </c>
      <c r="E3" s="11" t="s">
        <v>1</v>
      </c>
      <c r="F3" s="11" t="s">
        <v>517</v>
      </c>
    </row>
    <row r="4" spans="2:8" ht="18" x14ac:dyDescent="0.35">
      <c r="B4" s="12">
        <v>2021</v>
      </c>
      <c r="C4" s="17" t="s">
        <v>11</v>
      </c>
      <c r="D4" s="17" t="s">
        <v>13</v>
      </c>
      <c r="E4" s="17" t="s">
        <v>138</v>
      </c>
      <c r="F4" s="14">
        <v>5942181.0100000007</v>
      </c>
    </row>
    <row r="5" spans="2:8" ht="15" customHeight="1" x14ac:dyDescent="0.35">
      <c r="B5" s="12">
        <v>2021</v>
      </c>
      <c r="C5" s="17" t="s">
        <v>49</v>
      </c>
      <c r="D5" s="17" t="s">
        <v>17</v>
      </c>
      <c r="E5" s="17" t="s">
        <v>139</v>
      </c>
      <c r="F5" s="14">
        <v>3699952.7</v>
      </c>
    </row>
    <row r="6" spans="2:8" ht="18" x14ac:dyDescent="0.35">
      <c r="B6" s="12">
        <v>2021</v>
      </c>
      <c r="C6" s="17" t="s">
        <v>11</v>
      </c>
      <c r="D6" s="17" t="s">
        <v>14</v>
      </c>
      <c r="E6" s="17" t="s">
        <v>172</v>
      </c>
      <c r="F6" s="14">
        <v>1679932.7632255179</v>
      </c>
    </row>
    <row r="7" spans="2:8" ht="18" x14ac:dyDescent="0.35">
      <c r="B7" s="12">
        <v>2021</v>
      </c>
      <c r="C7" s="17" t="s">
        <v>11</v>
      </c>
      <c r="D7" s="17" t="s">
        <v>13</v>
      </c>
      <c r="E7" s="17" t="s">
        <v>140</v>
      </c>
      <c r="F7" s="14">
        <v>18557575.949999999</v>
      </c>
    </row>
    <row r="8" spans="2:8" ht="15" customHeight="1" x14ac:dyDescent="0.35">
      <c r="B8" s="12">
        <v>2021</v>
      </c>
      <c r="C8" s="17" t="s">
        <v>49</v>
      </c>
      <c r="D8" s="17" t="s">
        <v>17</v>
      </c>
      <c r="E8" s="17" t="s">
        <v>141</v>
      </c>
      <c r="F8" s="14">
        <v>15582583.640000001</v>
      </c>
    </row>
    <row r="9" spans="2:8" ht="18" x14ac:dyDescent="0.35">
      <c r="B9" s="12">
        <v>2021</v>
      </c>
      <c r="C9" s="17" t="s">
        <v>49</v>
      </c>
      <c r="D9" s="17" t="s">
        <v>20</v>
      </c>
      <c r="E9" s="17" t="s">
        <v>146</v>
      </c>
      <c r="F9" s="14">
        <v>400</v>
      </c>
    </row>
    <row r="10" spans="2:8" ht="18" x14ac:dyDescent="0.35">
      <c r="B10" s="12">
        <v>2021</v>
      </c>
      <c r="C10" s="17" t="s">
        <v>49</v>
      </c>
      <c r="D10" s="17" t="s">
        <v>17</v>
      </c>
      <c r="E10" s="17" t="s">
        <v>144</v>
      </c>
      <c r="F10" s="14">
        <v>214724</v>
      </c>
      <c r="H10" s="342"/>
    </row>
    <row r="11" spans="2:8" ht="18" x14ac:dyDescent="0.35">
      <c r="B11" s="12">
        <v>2021</v>
      </c>
      <c r="C11" s="17" t="s">
        <v>49</v>
      </c>
      <c r="D11" s="17" t="s">
        <v>20</v>
      </c>
      <c r="E11" s="17" t="s">
        <v>145</v>
      </c>
      <c r="F11" s="14">
        <v>10852079.26</v>
      </c>
    </row>
    <row r="12" spans="2:8" ht="18" x14ac:dyDescent="0.35">
      <c r="B12" s="12">
        <v>2021</v>
      </c>
      <c r="C12" s="17" t="s">
        <v>11</v>
      </c>
      <c r="D12" s="17" t="s">
        <v>13</v>
      </c>
      <c r="E12" s="17" t="s">
        <v>229</v>
      </c>
      <c r="F12" s="14">
        <v>10003059</v>
      </c>
    </row>
    <row r="13" spans="2:8" ht="18" x14ac:dyDescent="0.35">
      <c r="B13" s="12">
        <v>2021</v>
      </c>
      <c r="C13" s="17" t="s">
        <v>49</v>
      </c>
      <c r="D13" s="17" t="s">
        <v>20</v>
      </c>
      <c r="E13" s="17" t="s">
        <v>145</v>
      </c>
      <c r="F13" s="14">
        <v>5833009.5228915298</v>
      </c>
    </row>
    <row r="14" spans="2:8" ht="18" x14ac:dyDescent="0.35">
      <c r="B14" s="12">
        <v>2020</v>
      </c>
      <c r="C14" s="17" t="s">
        <v>11</v>
      </c>
      <c r="D14" s="17" t="s">
        <v>13</v>
      </c>
      <c r="E14" s="17" t="s">
        <v>138</v>
      </c>
      <c r="F14" s="14">
        <v>3489750.21</v>
      </c>
    </row>
    <row r="15" spans="2:8" ht="18" x14ac:dyDescent="0.35">
      <c r="B15" s="12">
        <v>2020</v>
      </c>
      <c r="C15" s="17" t="s">
        <v>49</v>
      </c>
      <c r="D15" s="17" t="s">
        <v>17</v>
      </c>
      <c r="E15" s="17" t="s">
        <v>139</v>
      </c>
      <c r="F15" s="13">
        <v>3692438.8</v>
      </c>
    </row>
    <row r="16" spans="2:8" ht="18" x14ac:dyDescent="0.35">
      <c r="B16" s="12">
        <v>2020</v>
      </c>
      <c r="C16" s="17" t="s">
        <v>11</v>
      </c>
      <c r="D16" s="17" t="s">
        <v>14</v>
      </c>
      <c r="E16" s="17" t="s">
        <v>172</v>
      </c>
      <c r="F16" s="13">
        <v>792898.42035585933</v>
      </c>
    </row>
    <row r="17" spans="2:6" ht="18" x14ac:dyDescent="0.35">
      <c r="B17" s="12">
        <v>2020</v>
      </c>
      <c r="C17" s="17" t="s">
        <v>11</v>
      </c>
      <c r="D17" s="17" t="s">
        <v>13</v>
      </c>
      <c r="E17" s="17" t="s">
        <v>140</v>
      </c>
      <c r="F17" s="13">
        <v>10836833.279999999</v>
      </c>
    </row>
    <row r="18" spans="2:6" ht="18" x14ac:dyDescent="0.35">
      <c r="B18" s="12">
        <v>2020</v>
      </c>
      <c r="C18" s="17" t="s">
        <v>49</v>
      </c>
      <c r="D18" s="17" t="s">
        <v>17</v>
      </c>
      <c r="E18" s="17" t="s">
        <v>141</v>
      </c>
      <c r="F18" s="13">
        <v>3044177</v>
      </c>
    </row>
    <row r="19" spans="2:6" ht="18" x14ac:dyDescent="0.35">
      <c r="B19" s="12">
        <v>2020</v>
      </c>
      <c r="C19" s="17" t="s">
        <v>49</v>
      </c>
      <c r="D19" s="17" t="s">
        <v>20</v>
      </c>
      <c r="E19" s="17" t="s">
        <v>146</v>
      </c>
      <c r="F19" s="13">
        <v>400</v>
      </c>
    </row>
    <row r="20" spans="2:6" ht="18" x14ac:dyDescent="0.35">
      <c r="B20" s="12">
        <v>2020</v>
      </c>
      <c r="C20" s="17" t="s">
        <v>11</v>
      </c>
      <c r="D20" s="17" t="s">
        <v>13</v>
      </c>
      <c r="E20" s="17" t="s">
        <v>232</v>
      </c>
      <c r="F20" s="13">
        <v>173207.74004687136</v>
      </c>
    </row>
    <row r="21" spans="2:6" ht="18" x14ac:dyDescent="0.35">
      <c r="B21" s="12">
        <v>2020</v>
      </c>
      <c r="C21" s="17" t="s">
        <v>49</v>
      </c>
      <c r="D21" s="17" t="s">
        <v>20</v>
      </c>
      <c r="E21" s="17" t="s">
        <v>145</v>
      </c>
      <c r="F21" s="13">
        <v>11852074.454929359</v>
      </c>
    </row>
    <row r="22" spans="2:6" ht="18" x14ac:dyDescent="0.35">
      <c r="B22" s="12">
        <v>2020</v>
      </c>
      <c r="C22" s="17" t="s">
        <v>11</v>
      </c>
      <c r="D22" s="17" t="s">
        <v>13</v>
      </c>
      <c r="E22" s="17" t="s">
        <v>229</v>
      </c>
      <c r="F22" s="13">
        <v>3296400</v>
      </c>
    </row>
    <row r="23" spans="2:6" ht="18" x14ac:dyDescent="0.35">
      <c r="B23" s="12"/>
      <c r="C23" s="17"/>
      <c r="D23" s="17"/>
      <c r="E23" s="17"/>
      <c r="F23" s="13"/>
    </row>
    <row r="24" spans="2:6" ht="18" x14ac:dyDescent="0.35">
      <c r="B24" s="12"/>
      <c r="C24" s="17"/>
      <c r="D24" s="17"/>
      <c r="E24" s="17"/>
      <c r="F24" s="13"/>
    </row>
    <row r="25" spans="2:6" ht="18" x14ac:dyDescent="0.35">
      <c r="B25" s="12"/>
      <c r="C25" s="17"/>
      <c r="D25" s="17"/>
      <c r="E25" s="17"/>
      <c r="F25" s="13"/>
    </row>
    <row r="26" spans="2:6" ht="18" x14ac:dyDescent="0.35">
      <c r="B26" s="12"/>
      <c r="C26" s="17"/>
      <c r="D26" s="17"/>
      <c r="E26" s="17"/>
      <c r="F26" s="13"/>
    </row>
    <row r="27" spans="2:6" ht="18" x14ac:dyDescent="0.35">
      <c r="B27" s="12"/>
      <c r="C27" s="17"/>
      <c r="D27" s="17"/>
      <c r="E27" s="17"/>
      <c r="F27" s="13"/>
    </row>
    <row r="28" spans="2:6" ht="18" x14ac:dyDescent="0.35">
      <c r="B28" s="12"/>
      <c r="C28" s="17"/>
      <c r="D28" s="17"/>
      <c r="E28" s="17"/>
      <c r="F28" s="13"/>
    </row>
    <row r="29" spans="2:6" ht="18" x14ac:dyDescent="0.35">
      <c r="B29" s="12"/>
      <c r="C29" s="17"/>
      <c r="D29" s="17"/>
      <c r="E29" s="17"/>
      <c r="F29" s="13"/>
    </row>
    <row r="30" spans="2:6" ht="18" x14ac:dyDescent="0.35">
      <c r="B30" s="12"/>
      <c r="C30" s="17"/>
      <c r="D30" s="17"/>
      <c r="E30" s="17"/>
      <c r="F30" s="13"/>
    </row>
    <row r="31" spans="2:6" ht="18" x14ac:dyDescent="0.35">
      <c r="B31" s="12"/>
      <c r="C31" s="17"/>
      <c r="D31" s="17"/>
      <c r="E31" s="17"/>
      <c r="F31" s="13"/>
    </row>
    <row r="32" spans="2:6" ht="18" x14ac:dyDescent="0.35">
      <c r="B32" s="12"/>
      <c r="C32" s="17"/>
      <c r="D32" s="17"/>
      <c r="E32" s="17"/>
      <c r="F32" s="13"/>
    </row>
    <row r="33" spans="2:6" ht="18" x14ac:dyDescent="0.35">
      <c r="B33" s="12"/>
      <c r="C33" s="17"/>
      <c r="D33" s="17"/>
      <c r="E33" s="17"/>
      <c r="F33" s="13"/>
    </row>
    <row r="34" spans="2:6" ht="18" x14ac:dyDescent="0.35">
      <c r="B34" s="12"/>
      <c r="C34" s="17"/>
      <c r="D34" s="17"/>
      <c r="E34" s="17"/>
      <c r="F34" s="13"/>
    </row>
    <row r="35" spans="2:6" ht="18" x14ac:dyDescent="0.35">
      <c r="B35" s="12"/>
      <c r="C35" s="17"/>
      <c r="D35" s="17"/>
      <c r="E35" s="17"/>
      <c r="F35" s="13"/>
    </row>
    <row r="36" spans="2:6" ht="18" x14ac:dyDescent="0.35">
      <c r="B36" s="12"/>
      <c r="C36" s="17"/>
      <c r="D36" s="17"/>
      <c r="E36" s="17"/>
      <c r="F36" s="13"/>
    </row>
    <row r="37" spans="2:6" ht="18" x14ac:dyDescent="0.35">
      <c r="B37" s="12"/>
      <c r="C37" s="17"/>
      <c r="D37" s="17"/>
      <c r="E37" s="17"/>
      <c r="F37" s="13"/>
    </row>
    <row r="38" spans="2:6" ht="18" x14ac:dyDescent="0.35">
      <c r="B38" s="12"/>
      <c r="C38" s="17"/>
      <c r="D38" s="17"/>
      <c r="E38" s="17"/>
      <c r="F38" s="13"/>
    </row>
    <row r="39" spans="2:6" ht="18" x14ac:dyDescent="0.35">
      <c r="B39" s="12"/>
      <c r="C39" s="17"/>
      <c r="D39" s="17"/>
      <c r="E39" s="17"/>
      <c r="F39" s="13"/>
    </row>
    <row r="40" spans="2:6" ht="18" x14ac:dyDescent="0.35">
      <c r="B40" s="12"/>
      <c r="C40" s="17"/>
      <c r="D40" s="17"/>
      <c r="E40" s="17"/>
      <c r="F40" s="13"/>
    </row>
    <row r="41" spans="2:6" ht="18" x14ac:dyDescent="0.35">
      <c r="B41" s="12"/>
      <c r="C41" s="17"/>
      <c r="D41" s="17"/>
      <c r="E41" s="17"/>
      <c r="F41" s="13"/>
    </row>
    <row r="42" spans="2:6" ht="18" x14ac:dyDescent="0.35">
      <c r="B42" s="12"/>
      <c r="C42" s="17"/>
      <c r="D42" s="17"/>
      <c r="E42" s="17"/>
      <c r="F42" s="13"/>
    </row>
    <row r="43" spans="2:6" ht="18" x14ac:dyDescent="0.35">
      <c r="B43" s="12"/>
      <c r="C43" s="17"/>
      <c r="D43" s="17"/>
      <c r="E43" s="17"/>
      <c r="F43" s="13"/>
    </row>
    <row r="44" spans="2:6" ht="18" x14ac:dyDescent="0.35">
      <c r="B44" s="12"/>
      <c r="C44" s="17"/>
      <c r="D44" s="17"/>
      <c r="E44" s="17"/>
      <c r="F44" s="13"/>
    </row>
    <row r="45" spans="2:6" ht="18" x14ac:dyDescent="0.35">
      <c r="B45" s="12"/>
      <c r="C45" s="17"/>
      <c r="D45" s="17"/>
      <c r="E45" s="17"/>
      <c r="F45" s="13"/>
    </row>
    <row r="46" spans="2:6" ht="18" x14ac:dyDescent="0.35">
      <c r="B46" s="12"/>
      <c r="C46" s="17"/>
      <c r="D46" s="17"/>
      <c r="E46" s="17"/>
      <c r="F46" s="13"/>
    </row>
    <row r="47" spans="2:6" ht="18" x14ac:dyDescent="0.35">
      <c r="B47" s="12"/>
      <c r="C47" s="17"/>
      <c r="D47" s="17"/>
      <c r="E47" s="17"/>
      <c r="F47" s="13"/>
    </row>
    <row r="48" spans="2:6" ht="18" x14ac:dyDescent="0.35">
      <c r="B48" s="12"/>
      <c r="C48" s="17"/>
      <c r="D48" s="17"/>
      <c r="E48" s="17"/>
      <c r="F48" s="13"/>
    </row>
    <row r="49" spans="2:6" ht="18" x14ac:dyDescent="0.35">
      <c r="B49" s="12"/>
      <c r="C49" s="17"/>
      <c r="D49" s="17"/>
      <c r="E49" s="17"/>
      <c r="F49" s="13"/>
    </row>
    <row r="50" spans="2:6" ht="18" x14ac:dyDescent="0.35">
      <c r="B50" s="12"/>
      <c r="C50" s="17"/>
      <c r="D50" s="17"/>
      <c r="E50" s="17"/>
      <c r="F50" s="13"/>
    </row>
    <row r="51" spans="2:6" ht="18" x14ac:dyDescent="0.35">
      <c r="B51" s="12"/>
      <c r="C51" s="17"/>
      <c r="D51" s="17"/>
      <c r="E51" s="17"/>
      <c r="F51" s="13"/>
    </row>
    <row r="52" spans="2:6" ht="18" x14ac:dyDescent="0.35">
      <c r="B52" s="12"/>
      <c r="C52" s="17"/>
      <c r="D52" s="17"/>
      <c r="E52" s="17"/>
      <c r="F52" s="13"/>
    </row>
    <row r="53" spans="2:6" ht="18" x14ac:dyDescent="0.35">
      <c r="B53" s="12"/>
      <c r="C53" s="17"/>
      <c r="D53" s="17"/>
      <c r="E53" s="17"/>
      <c r="F53" s="13"/>
    </row>
    <row r="54" spans="2:6" ht="18" x14ac:dyDescent="0.35">
      <c r="B54" s="12"/>
      <c r="C54" s="17"/>
      <c r="D54" s="17"/>
      <c r="E54" s="17"/>
      <c r="F54" s="13"/>
    </row>
    <row r="55" spans="2:6" ht="18" x14ac:dyDescent="0.35">
      <c r="B55" s="12"/>
      <c r="C55" s="17"/>
      <c r="D55" s="17"/>
      <c r="E55" s="17"/>
      <c r="F55" s="13"/>
    </row>
    <row r="56" spans="2:6" ht="18" x14ac:dyDescent="0.35">
      <c r="B56" s="12"/>
      <c r="C56" s="17"/>
      <c r="D56" s="17"/>
      <c r="E56" s="17"/>
      <c r="F56" s="13"/>
    </row>
    <row r="57" spans="2:6" ht="18" x14ac:dyDescent="0.35">
      <c r="B57" s="12"/>
      <c r="C57" s="17"/>
      <c r="D57" s="17"/>
      <c r="E57" s="17"/>
      <c r="F57" s="13"/>
    </row>
    <row r="58" spans="2:6" ht="18" x14ac:dyDescent="0.35">
      <c r="B58" s="12"/>
      <c r="C58" s="17"/>
      <c r="D58" s="17"/>
      <c r="E58" s="17"/>
      <c r="F58" s="13"/>
    </row>
    <row r="59" spans="2:6" ht="18" x14ac:dyDescent="0.35">
      <c r="B59" s="12"/>
      <c r="C59" s="17"/>
      <c r="D59" s="17"/>
      <c r="E59" s="17"/>
      <c r="F59" s="13"/>
    </row>
    <row r="60" spans="2:6" ht="18" x14ac:dyDescent="0.35">
      <c r="B60" s="12"/>
      <c r="C60" s="17"/>
      <c r="D60" s="17"/>
      <c r="E60" s="17"/>
      <c r="F60" s="13"/>
    </row>
    <row r="61" spans="2:6" ht="18" x14ac:dyDescent="0.35">
      <c r="B61" s="12"/>
      <c r="C61" s="17"/>
      <c r="D61" s="17"/>
      <c r="E61" s="17"/>
      <c r="F61" s="13"/>
    </row>
    <row r="62" spans="2:6" ht="18" x14ac:dyDescent="0.35">
      <c r="B62" s="12"/>
      <c r="C62" s="17"/>
      <c r="D62" s="17"/>
      <c r="E62" s="17"/>
      <c r="F62" s="13"/>
    </row>
    <row r="63" spans="2:6" ht="18" x14ac:dyDescent="0.35">
      <c r="B63" s="12"/>
      <c r="C63" s="17"/>
      <c r="D63" s="17"/>
      <c r="E63" s="17"/>
      <c r="F63" s="13"/>
    </row>
    <row r="64" spans="2:6" ht="18" x14ac:dyDescent="0.35">
      <c r="B64" s="12"/>
      <c r="C64" s="17"/>
      <c r="D64" s="17"/>
      <c r="E64" s="17"/>
      <c r="F64" s="13"/>
    </row>
    <row r="65" spans="2:6" ht="18" x14ac:dyDescent="0.35">
      <c r="B65" s="12"/>
      <c r="C65" s="17"/>
      <c r="D65" s="17"/>
      <c r="E65" s="17"/>
      <c r="F65" s="13"/>
    </row>
    <row r="66" spans="2:6" ht="18" x14ac:dyDescent="0.35">
      <c r="B66" s="12"/>
      <c r="C66" s="17"/>
      <c r="D66" s="17"/>
      <c r="E66" s="17"/>
      <c r="F66" s="13"/>
    </row>
    <row r="67" spans="2:6" ht="18" x14ac:dyDescent="0.35">
      <c r="B67" s="12"/>
      <c r="C67" s="17"/>
      <c r="D67" s="17"/>
      <c r="E67" s="17"/>
      <c r="F67" s="13"/>
    </row>
    <row r="68" spans="2:6" ht="18" x14ac:dyDescent="0.35">
      <c r="B68" s="12"/>
      <c r="C68" s="17"/>
      <c r="D68" s="17"/>
      <c r="E68" s="17"/>
      <c r="F68" s="13"/>
    </row>
    <row r="69" spans="2:6" ht="18" x14ac:dyDescent="0.35">
      <c r="B69" s="12"/>
      <c r="C69" s="17"/>
      <c r="D69" s="17"/>
      <c r="E69" s="17"/>
      <c r="F69" s="13"/>
    </row>
    <row r="70" spans="2:6" ht="18" x14ac:dyDescent="0.35">
      <c r="B70" s="12"/>
      <c r="C70" s="17"/>
      <c r="D70" s="17"/>
      <c r="E70" s="17"/>
      <c r="F70" s="13"/>
    </row>
    <row r="71" spans="2:6" ht="18" x14ac:dyDescent="0.35">
      <c r="B71" s="12"/>
      <c r="C71" s="17"/>
      <c r="D71" s="17"/>
      <c r="E71" s="17"/>
      <c r="F71" s="13"/>
    </row>
    <row r="72" spans="2:6" ht="18" x14ac:dyDescent="0.35">
      <c r="B72" s="12"/>
      <c r="C72" s="17"/>
      <c r="D72" s="17"/>
      <c r="E72" s="17"/>
      <c r="F72" s="13"/>
    </row>
    <row r="73" spans="2:6" ht="18" x14ac:dyDescent="0.35">
      <c r="B73" s="12"/>
      <c r="C73" s="17"/>
      <c r="D73" s="17"/>
      <c r="E73" s="17"/>
      <c r="F73" s="13"/>
    </row>
    <row r="74" spans="2:6" ht="18" x14ac:dyDescent="0.35">
      <c r="B74" s="12"/>
      <c r="C74" s="17"/>
      <c r="D74" s="17"/>
      <c r="E74" s="17"/>
      <c r="F74" s="13"/>
    </row>
    <row r="75" spans="2:6" ht="18" x14ac:dyDescent="0.35">
      <c r="B75" s="12"/>
      <c r="C75" s="17"/>
      <c r="D75" s="17"/>
      <c r="E75" s="17"/>
      <c r="F75" s="13"/>
    </row>
    <row r="76" spans="2:6" ht="18" x14ac:dyDescent="0.35">
      <c r="B76" s="12"/>
      <c r="C76" s="17"/>
      <c r="D76" s="17"/>
      <c r="E76" s="17"/>
      <c r="F76" s="13"/>
    </row>
    <row r="77" spans="2:6" ht="18" x14ac:dyDescent="0.35">
      <c r="B77" s="12"/>
      <c r="C77" s="17"/>
      <c r="D77" s="17"/>
      <c r="E77" s="17"/>
      <c r="F77" s="13"/>
    </row>
    <row r="78" spans="2:6" ht="18" x14ac:dyDescent="0.35">
      <c r="B78" s="12"/>
      <c r="C78" s="17"/>
      <c r="D78" s="17"/>
      <c r="E78" s="17"/>
      <c r="F78" s="13"/>
    </row>
    <row r="79" spans="2:6" ht="18" x14ac:dyDescent="0.35">
      <c r="B79" s="12"/>
      <c r="C79" s="17"/>
      <c r="D79" s="17"/>
      <c r="E79" s="17"/>
      <c r="F79" s="13"/>
    </row>
    <row r="80" spans="2:6" ht="18" x14ac:dyDescent="0.35">
      <c r="B80" s="12"/>
      <c r="C80" s="17"/>
      <c r="D80" s="17"/>
      <c r="E80" s="17"/>
      <c r="F80" s="13"/>
    </row>
    <row r="81" spans="2:6" ht="18" x14ac:dyDescent="0.35">
      <c r="B81" s="12"/>
      <c r="C81" s="17"/>
      <c r="D81" s="17"/>
      <c r="E81" s="17"/>
      <c r="F81" s="13"/>
    </row>
    <row r="82" spans="2:6" ht="18" x14ac:dyDescent="0.35">
      <c r="B82" s="12"/>
      <c r="C82" s="17"/>
      <c r="D82" s="17"/>
      <c r="E82" s="17"/>
      <c r="F82" s="13"/>
    </row>
    <row r="83" spans="2:6" ht="18" x14ac:dyDescent="0.35">
      <c r="B83" s="12"/>
      <c r="C83" s="17"/>
      <c r="D83" s="17"/>
      <c r="E83" s="17"/>
      <c r="F83" s="13"/>
    </row>
    <row r="84" spans="2:6" ht="18" x14ac:dyDescent="0.35">
      <c r="B84" s="12"/>
      <c r="C84" s="17"/>
      <c r="D84" s="17"/>
      <c r="E84" s="17"/>
      <c r="F84" s="13"/>
    </row>
    <row r="85" spans="2:6" ht="18" x14ac:dyDescent="0.35">
      <c r="B85" s="12"/>
      <c r="C85" s="17"/>
      <c r="D85" s="17"/>
      <c r="E85" s="17"/>
      <c r="F85" s="13"/>
    </row>
    <row r="86" spans="2:6" ht="18" x14ac:dyDescent="0.35">
      <c r="B86" s="12"/>
      <c r="C86" s="17"/>
      <c r="D86" s="17"/>
      <c r="E86" s="17"/>
      <c r="F86" s="13"/>
    </row>
    <row r="87" spans="2:6" ht="18" x14ac:dyDescent="0.35">
      <c r="B87" s="12"/>
      <c r="C87" s="17"/>
      <c r="D87" s="17"/>
      <c r="E87" s="17"/>
      <c r="F87" s="13"/>
    </row>
    <row r="88" spans="2:6" ht="18" x14ac:dyDescent="0.35">
      <c r="B88" s="12"/>
      <c r="C88" s="17"/>
      <c r="D88" s="17"/>
      <c r="E88" s="17"/>
      <c r="F88" s="13"/>
    </row>
    <row r="89" spans="2:6" ht="18" x14ac:dyDescent="0.35">
      <c r="B89" s="12"/>
      <c r="C89" s="17"/>
      <c r="D89" s="17"/>
      <c r="E89" s="17"/>
      <c r="F89" s="13"/>
    </row>
    <row r="90" spans="2:6" ht="18" x14ac:dyDescent="0.35">
      <c r="B90" s="12"/>
      <c r="C90" s="17"/>
      <c r="D90" s="17"/>
      <c r="E90" s="17"/>
      <c r="F90" s="13"/>
    </row>
    <row r="91" spans="2:6" ht="18" x14ac:dyDescent="0.35">
      <c r="B91" s="12"/>
      <c r="C91" s="17"/>
      <c r="D91" s="17"/>
      <c r="E91" s="17"/>
      <c r="F91" s="13"/>
    </row>
    <row r="92" spans="2:6" ht="18" x14ac:dyDescent="0.35">
      <c r="B92" s="12"/>
      <c r="C92" s="17"/>
      <c r="D92" s="17"/>
      <c r="E92" s="17"/>
      <c r="F92" s="13"/>
    </row>
    <row r="93" spans="2:6" ht="18" x14ac:dyDescent="0.35">
      <c r="B93" s="12"/>
      <c r="C93" s="17"/>
      <c r="D93" s="17"/>
      <c r="E93" s="17"/>
      <c r="F93" s="13"/>
    </row>
    <row r="94" spans="2:6" ht="18" x14ac:dyDescent="0.35">
      <c r="B94" s="12"/>
      <c r="C94" s="17"/>
      <c r="D94" s="17"/>
      <c r="E94" s="17"/>
      <c r="F94" s="13"/>
    </row>
    <row r="95" spans="2:6" ht="18" x14ac:dyDescent="0.35">
      <c r="B95" s="12"/>
      <c r="C95" s="17"/>
      <c r="D95" s="17"/>
      <c r="E95" s="17"/>
      <c r="F95" s="13"/>
    </row>
    <row r="96" spans="2:6" ht="18" x14ac:dyDescent="0.35">
      <c r="B96" s="12"/>
      <c r="C96" s="17"/>
      <c r="D96" s="17"/>
      <c r="E96" s="17"/>
      <c r="F96" s="13"/>
    </row>
    <row r="97" spans="2:6" ht="18" x14ac:dyDescent="0.35">
      <c r="B97" s="12"/>
      <c r="C97" s="17"/>
      <c r="D97" s="17"/>
      <c r="E97" s="17"/>
      <c r="F97" s="13"/>
    </row>
    <row r="98" spans="2:6" ht="18" x14ac:dyDescent="0.35">
      <c r="B98" s="12"/>
      <c r="C98" s="17"/>
      <c r="D98" s="17"/>
      <c r="E98" s="17"/>
      <c r="F98" s="13"/>
    </row>
    <row r="99" spans="2:6" ht="18" x14ac:dyDescent="0.35">
      <c r="B99" s="12"/>
      <c r="C99" s="17"/>
      <c r="D99" s="17"/>
      <c r="E99" s="17"/>
      <c r="F99" s="13"/>
    </row>
    <row r="100" spans="2:6" ht="18" x14ac:dyDescent="0.35">
      <c r="B100" s="12"/>
      <c r="C100" s="17"/>
      <c r="D100" s="17"/>
      <c r="E100" s="17"/>
      <c r="F100" s="13"/>
    </row>
    <row r="101" spans="2:6" ht="18" x14ac:dyDescent="0.35">
      <c r="B101" s="12"/>
      <c r="C101" s="17"/>
      <c r="D101" s="17"/>
      <c r="E101" s="17"/>
      <c r="F101" s="13"/>
    </row>
    <row r="102" spans="2:6" ht="18" x14ac:dyDescent="0.35">
      <c r="B102" s="12"/>
      <c r="C102" s="17"/>
      <c r="D102" s="17"/>
      <c r="E102" s="17"/>
      <c r="F102" s="13"/>
    </row>
    <row r="103" spans="2:6" ht="18" x14ac:dyDescent="0.35">
      <c r="B103" s="12"/>
      <c r="C103" s="17"/>
      <c r="D103" s="17"/>
      <c r="E103" s="17"/>
      <c r="F103" s="13"/>
    </row>
    <row r="104" spans="2:6" ht="18" x14ac:dyDescent="0.35">
      <c r="B104" s="12"/>
      <c r="C104" s="17"/>
      <c r="D104" s="17"/>
      <c r="E104" s="17"/>
      <c r="F104" s="13"/>
    </row>
    <row r="105" spans="2:6" ht="18" x14ac:dyDescent="0.35">
      <c r="B105" s="12"/>
      <c r="C105" s="17"/>
      <c r="D105" s="17"/>
      <c r="E105" s="17"/>
      <c r="F105" s="13"/>
    </row>
    <row r="106" spans="2:6" ht="18" x14ac:dyDescent="0.35">
      <c r="B106" s="12"/>
      <c r="C106" s="17"/>
      <c r="D106" s="17"/>
      <c r="E106" s="17"/>
      <c r="F106" s="13"/>
    </row>
    <row r="107" spans="2:6" ht="18" x14ac:dyDescent="0.35">
      <c r="B107" s="12"/>
      <c r="C107" s="17"/>
      <c r="D107" s="17"/>
      <c r="E107" s="17"/>
      <c r="F107" s="13"/>
    </row>
    <row r="108" spans="2:6" ht="18" x14ac:dyDescent="0.35">
      <c r="B108" s="12"/>
      <c r="C108" s="17"/>
      <c r="D108" s="17"/>
      <c r="E108" s="17"/>
      <c r="F108" s="13"/>
    </row>
    <row r="109" spans="2:6" ht="18" x14ac:dyDescent="0.35">
      <c r="B109" s="12"/>
      <c r="C109" s="17"/>
      <c r="D109" s="17"/>
      <c r="E109" s="17"/>
      <c r="F109" s="13"/>
    </row>
    <row r="110" spans="2:6" ht="18" x14ac:dyDescent="0.35">
      <c r="B110" s="12"/>
      <c r="C110" s="17"/>
      <c r="D110" s="17"/>
      <c r="E110" s="17"/>
      <c r="F110" s="13"/>
    </row>
    <row r="111" spans="2:6" ht="18" x14ac:dyDescent="0.35">
      <c r="B111" s="12"/>
      <c r="C111" s="17"/>
      <c r="D111" s="17"/>
      <c r="E111" s="17"/>
      <c r="F111" s="13"/>
    </row>
    <row r="112" spans="2:6" ht="18" x14ac:dyDescent="0.35">
      <c r="B112" s="12"/>
      <c r="C112" s="17"/>
      <c r="D112" s="17"/>
      <c r="E112" s="17"/>
      <c r="F112" s="13"/>
    </row>
    <row r="113" spans="2:6" ht="18" x14ac:dyDescent="0.35">
      <c r="B113" s="12"/>
      <c r="C113" s="17"/>
      <c r="D113" s="17"/>
      <c r="E113" s="17"/>
      <c r="F113" s="13"/>
    </row>
    <row r="114" spans="2:6" ht="18" x14ac:dyDescent="0.35">
      <c r="B114" s="12"/>
      <c r="C114" s="17"/>
      <c r="D114" s="17"/>
      <c r="E114" s="17"/>
      <c r="F114" s="13"/>
    </row>
    <row r="115" spans="2:6" ht="18" x14ac:dyDescent="0.35">
      <c r="B115" s="12"/>
      <c r="C115" s="17"/>
      <c r="D115" s="17"/>
      <c r="E115" s="17"/>
      <c r="F115" s="13"/>
    </row>
    <row r="116" spans="2:6" ht="18" x14ac:dyDescent="0.35">
      <c r="B116" s="12"/>
      <c r="C116" s="17"/>
      <c r="D116" s="17"/>
      <c r="E116" s="17"/>
      <c r="F116" s="13"/>
    </row>
    <row r="117" spans="2:6" ht="18" x14ac:dyDescent="0.35">
      <c r="B117" s="12"/>
      <c r="C117" s="17"/>
      <c r="D117" s="17"/>
      <c r="E117" s="17"/>
      <c r="F117" s="13"/>
    </row>
    <row r="118" spans="2:6" ht="18" x14ac:dyDescent="0.35">
      <c r="B118" s="12"/>
      <c r="C118" s="17"/>
      <c r="D118" s="17"/>
      <c r="E118" s="17"/>
      <c r="F118" s="13"/>
    </row>
    <row r="119" spans="2:6" ht="18" x14ac:dyDescent="0.35">
      <c r="B119" s="12"/>
      <c r="C119" s="17"/>
      <c r="D119" s="17"/>
      <c r="E119" s="17"/>
      <c r="F119" s="13"/>
    </row>
    <row r="120" spans="2:6" ht="18" x14ac:dyDescent="0.35">
      <c r="B120" s="12"/>
      <c r="C120" s="17"/>
      <c r="D120" s="17"/>
      <c r="E120" s="17"/>
      <c r="F120" s="13"/>
    </row>
    <row r="121" spans="2:6" ht="18" x14ac:dyDescent="0.35">
      <c r="B121" s="12"/>
      <c r="C121" s="17"/>
      <c r="D121" s="17"/>
      <c r="E121" s="17"/>
      <c r="F121" s="13"/>
    </row>
    <row r="122" spans="2:6" ht="18" x14ac:dyDescent="0.35">
      <c r="B122" s="12"/>
      <c r="C122" s="17"/>
      <c r="D122" s="17"/>
      <c r="E122" s="17"/>
      <c r="F122" s="13"/>
    </row>
    <row r="123" spans="2:6" ht="18" x14ac:dyDescent="0.35">
      <c r="B123" s="12"/>
      <c r="C123" s="17"/>
      <c r="D123" s="17"/>
      <c r="E123" s="17"/>
      <c r="F123" s="13"/>
    </row>
    <row r="124" spans="2:6" ht="18" x14ac:dyDescent="0.35">
      <c r="B124" s="12"/>
      <c r="C124" s="17"/>
      <c r="D124" s="17"/>
      <c r="E124" s="17"/>
      <c r="F124" s="13"/>
    </row>
    <row r="125" spans="2:6" ht="18" x14ac:dyDescent="0.35">
      <c r="B125" s="12"/>
      <c r="C125" s="17"/>
      <c r="D125" s="17"/>
      <c r="E125" s="17"/>
      <c r="F125" s="13"/>
    </row>
    <row r="126" spans="2:6" ht="18" x14ac:dyDescent="0.35">
      <c r="B126" s="12"/>
      <c r="C126" s="17"/>
      <c r="D126" s="17"/>
      <c r="E126" s="17"/>
      <c r="F126" s="13"/>
    </row>
    <row r="127" spans="2:6" ht="18" x14ac:dyDescent="0.35">
      <c r="B127" s="12"/>
      <c r="C127" s="17"/>
      <c r="D127" s="17"/>
      <c r="E127" s="17"/>
      <c r="F127" s="13"/>
    </row>
    <row r="128" spans="2:6" ht="18" x14ac:dyDescent="0.35">
      <c r="B128" s="12"/>
      <c r="C128" s="17"/>
      <c r="D128" s="17"/>
      <c r="E128" s="17"/>
      <c r="F128" s="13"/>
    </row>
    <row r="129" spans="2:6" ht="18" x14ac:dyDescent="0.35">
      <c r="B129" s="12"/>
      <c r="C129" s="17"/>
      <c r="D129" s="17"/>
      <c r="E129" s="17"/>
      <c r="F129" s="13"/>
    </row>
    <row r="130" spans="2:6" ht="18" x14ac:dyDescent="0.35">
      <c r="B130" s="12"/>
      <c r="C130" s="17"/>
      <c r="D130" s="17"/>
      <c r="E130" s="17"/>
      <c r="F130" s="13"/>
    </row>
    <row r="131" spans="2:6" ht="18" x14ac:dyDescent="0.35">
      <c r="B131" s="12"/>
      <c r="C131" s="17"/>
      <c r="D131" s="17"/>
      <c r="E131" s="17"/>
      <c r="F131" s="13"/>
    </row>
    <row r="132" spans="2:6" ht="18" x14ac:dyDescent="0.35">
      <c r="B132" s="12"/>
      <c r="C132" s="17"/>
      <c r="D132" s="17"/>
      <c r="E132" s="17"/>
      <c r="F132" s="13"/>
    </row>
    <row r="133" spans="2:6" ht="18" x14ac:dyDescent="0.35">
      <c r="B133" s="12"/>
      <c r="C133" s="17"/>
      <c r="D133" s="17"/>
      <c r="E133" s="17"/>
      <c r="F133" s="13"/>
    </row>
    <row r="134" spans="2:6" ht="18" x14ac:dyDescent="0.35">
      <c r="B134" s="12"/>
      <c r="C134" s="17"/>
      <c r="D134" s="17"/>
      <c r="E134" s="17"/>
      <c r="F134" s="13"/>
    </row>
    <row r="135" spans="2:6" ht="18" x14ac:dyDescent="0.35">
      <c r="B135" s="12"/>
      <c r="C135" s="17"/>
      <c r="D135" s="17"/>
      <c r="E135" s="17"/>
      <c r="F135" s="13"/>
    </row>
    <row r="136" spans="2:6" ht="18" x14ac:dyDescent="0.35">
      <c r="B136" s="12"/>
      <c r="C136" s="17"/>
      <c r="D136" s="17"/>
      <c r="E136" s="17"/>
      <c r="F136" s="13"/>
    </row>
    <row r="137" spans="2:6" ht="18" x14ac:dyDescent="0.35">
      <c r="B137" s="12"/>
      <c r="C137" s="17"/>
      <c r="D137" s="17"/>
      <c r="E137" s="17"/>
      <c r="F137" s="13"/>
    </row>
    <row r="138" spans="2:6" ht="18" x14ac:dyDescent="0.35">
      <c r="B138" s="12"/>
      <c r="C138" s="17"/>
      <c r="D138" s="17"/>
      <c r="E138" s="17"/>
      <c r="F138" s="13"/>
    </row>
    <row r="139" spans="2:6" ht="18" x14ac:dyDescent="0.35">
      <c r="B139" s="12"/>
      <c r="C139" s="17"/>
      <c r="D139" s="17"/>
      <c r="E139" s="17"/>
      <c r="F139" s="13"/>
    </row>
    <row r="140" spans="2:6" ht="18" x14ac:dyDescent="0.35">
      <c r="B140" s="12"/>
      <c r="C140" s="17"/>
      <c r="D140" s="17"/>
      <c r="E140" s="17"/>
      <c r="F140" s="13"/>
    </row>
    <row r="141" spans="2:6" ht="18" x14ac:dyDescent="0.35">
      <c r="B141" s="12"/>
      <c r="C141" s="17"/>
      <c r="D141" s="17"/>
      <c r="E141" s="17"/>
      <c r="F141" s="13"/>
    </row>
    <row r="142" spans="2:6" ht="18" x14ac:dyDescent="0.35">
      <c r="B142" s="12"/>
      <c r="C142" s="17"/>
      <c r="D142" s="17"/>
      <c r="E142" s="17"/>
      <c r="F142" s="13"/>
    </row>
    <row r="143" spans="2:6" ht="18" x14ac:dyDescent="0.35">
      <c r="B143" s="12"/>
      <c r="C143" s="17"/>
      <c r="D143" s="17"/>
      <c r="E143" s="17"/>
      <c r="F143" s="13"/>
    </row>
    <row r="144" spans="2:6" ht="18" x14ac:dyDescent="0.35">
      <c r="B144" s="12"/>
      <c r="C144" s="17"/>
      <c r="D144" s="17"/>
      <c r="E144" s="17"/>
      <c r="F144" s="13"/>
    </row>
    <row r="145" spans="2:6" ht="18" x14ac:dyDescent="0.35">
      <c r="B145" s="12"/>
      <c r="C145" s="17"/>
      <c r="D145" s="17"/>
      <c r="E145" s="17"/>
      <c r="F145" s="13"/>
    </row>
    <row r="146" spans="2:6" ht="18" x14ac:dyDescent="0.35">
      <c r="B146" s="12"/>
      <c r="C146" s="17"/>
      <c r="D146" s="17"/>
      <c r="E146" s="17"/>
      <c r="F146" s="13"/>
    </row>
    <row r="147" spans="2:6" ht="18" x14ac:dyDescent="0.35">
      <c r="B147" s="12"/>
      <c r="C147" s="17"/>
      <c r="D147" s="17"/>
      <c r="E147" s="17"/>
      <c r="F147" s="13"/>
    </row>
    <row r="148" spans="2:6" ht="18" x14ac:dyDescent="0.35">
      <c r="B148" s="12"/>
      <c r="C148" s="17"/>
      <c r="D148" s="17"/>
      <c r="E148" s="17"/>
      <c r="F148" s="13"/>
    </row>
    <row r="149" spans="2:6" ht="18" x14ac:dyDescent="0.35">
      <c r="B149" s="12"/>
      <c r="C149" s="17"/>
      <c r="D149" s="17"/>
      <c r="E149" s="17"/>
      <c r="F149" s="13"/>
    </row>
    <row r="150" spans="2:6" ht="18" x14ac:dyDescent="0.35">
      <c r="B150" s="12"/>
      <c r="C150" s="17"/>
      <c r="D150" s="17"/>
      <c r="E150" s="17"/>
      <c r="F150" s="13"/>
    </row>
    <row r="151" spans="2:6" ht="18" x14ac:dyDescent="0.35">
      <c r="B151" s="12"/>
      <c r="C151" s="17"/>
      <c r="D151" s="17"/>
      <c r="E151" s="17"/>
      <c r="F151" s="13"/>
    </row>
    <row r="152" spans="2:6" ht="18" x14ac:dyDescent="0.35">
      <c r="B152" s="12"/>
      <c r="C152" s="17"/>
      <c r="D152" s="17"/>
      <c r="E152" s="17"/>
      <c r="F152" s="13"/>
    </row>
    <row r="153" spans="2:6" ht="18" x14ac:dyDescent="0.35">
      <c r="B153" s="12"/>
      <c r="C153" s="17"/>
      <c r="D153" s="17"/>
      <c r="E153" s="17"/>
      <c r="F153" s="13"/>
    </row>
    <row r="154" spans="2:6" ht="18" x14ac:dyDescent="0.35">
      <c r="B154" s="12"/>
      <c r="C154" s="17"/>
      <c r="D154" s="17"/>
      <c r="E154" s="17"/>
      <c r="F154" s="13"/>
    </row>
    <row r="155" spans="2:6" ht="18" x14ac:dyDescent="0.35">
      <c r="B155" s="12"/>
      <c r="C155" s="17"/>
      <c r="D155" s="17"/>
      <c r="E155" s="17"/>
      <c r="F155" s="13"/>
    </row>
    <row r="156" spans="2:6" ht="18" x14ac:dyDescent="0.35">
      <c r="B156" s="12"/>
      <c r="C156" s="17"/>
      <c r="D156" s="17"/>
      <c r="E156" s="17"/>
      <c r="F156" s="13"/>
    </row>
    <row r="157" spans="2:6" ht="18" x14ac:dyDescent="0.35">
      <c r="B157" s="12"/>
      <c r="C157" s="17"/>
      <c r="D157" s="17"/>
      <c r="E157" s="17"/>
      <c r="F157" s="13"/>
    </row>
    <row r="158" spans="2:6" ht="18" x14ac:dyDescent="0.35">
      <c r="B158" s="12"/>
      <c r="C158" s="17"/>
      <c r="D158" s="17"/>
      <c r="E158" s="17"/>
      <c r="F158" s="13"/>
    </row>
    <row r="159" spans="2:6" ht="18" x14ac:dyDescent="0.35">
      <c r="B159" s="12"/>
      <c r="C159" s="17"/>
      <c r="D159" s="17"/>
      <c r="E159" s="17"/>
      <c r="F159" s="13"/>
    </row>
    <row r="160" spans="2:6" ht="18" x14ac:dyDescent="0.35">
      <c r="B160" s="12"/>
      <c r="C160" s="17"/>
      <c r="D160" s="17"/>
      <c r="E160" s="17"/>
      <c r="F160" s="13"/>
    </row>
    <row r="161" spans="2:6" ht="18" x14ac:dyDescent="0.35">
      <c r="B161" s="12"/>
      <c r="C161" s="17"/>
      <c r="D161" s="17"/>
      <c r="E161" s="17"/>
      <c r="F161" s="13"/>
    </row>
    <row r="162" spans="2:6" ht="18" x14ac:dyDescent="0.35">
      <c r="B162" s="12"/>
      <c r="C162" s="17"/>
      <c r="D162" s="17"/>
      <c r="E162" s="17"/>
      <c r="F162" s="13"/>
    </row>
    <row r="163" spans="2:6" ht="18" x14ac:dyDescent="0.35">
      <c r="B163" s="12"/>
      <c r="C163" s="17"/>
      <c r="D163" s="17"/>
      <c r="E163" s="17"/>
      <c r="F163" s="13"/>
    </row>
    <row r="164" spans="2:6" ht="18" x14ac:dyDescent="0.35">
      <c r="B164" s="12"/>
      <c r="C164" s="17"/>
      <c r="D164" s="17"/>
      <c r="E164" s="17"/>
      <c r="F164" s="13"/>
    </row>
    <row r="165" spans="2:6" ht="18" x14ac:dyDescent="0.35">
      <c r="B165" s="12"/>
      <c r="C165" s="17"/>
      <c r="D165" s="17"/>
      <c r="E165" s="17"/>
      <c r="F165" s="13"/>
    </row>
    <row r="166" spans="2:6" ht="18" x14ac:dyDescent="0.35">
      <c r="B166" s="12"/>
      <c r="C166" s="17"/>
      <c r="D166" s="17"/>
      <c r="E166" s="17"/>
      <c r="F166" s="13"/>
    </row>
    <row r="167" spans="2:6" ht="18" x14ac:dyDescent="0.35">
      <c r="B167" s="12"/>
      <c r="C167" s="17"/>
      <c r="D167" s="17"/>
      <c r="E167" s="17"/>
      <c r="F167" s="13"/>
    </row>
    <row r="168" spans="2:6" ht="18" x14ac:dyDescent="0.35">
      <c r="B168" s="12"/>
      <c r="C168" s="17"/>
      <c r="D168" s="17"/>
      <c r="E168" s="17"/>
      <c r="F168" s="13"/>
    </row>
    <row r="169" spans="2:6" ht="18" x14ac:dyDescent="0.35">
      <c r="B169" s="12"/>
      <c r="C169" s="17"/>
      <c r="D169" s="17"/>
      <c r="E169" s="17"/>
      <c r="F169" s="13"/>
    </row>
    <row r="170" spans="2:6" ht="18" x14ac:dyDescent="0.35">
      <c r="B170" s="12"/>
      <c r="C170" s="17"/>
      <c r="D170" s="17"/>
      <c r="E170" s="17"/>
      <c r="F170" s="13"/>
    </row>
    <row r="171" spans="2:6" ht="18" x14ac:dyDescent="0.35">
      <c r="B171" s="12"/>
      <c r="C171" s="17"/>
      <c r="D171" s="17"/>
      <c r="E171" s="17"/>
      <c r="F171" s="13"/>
    </row>
    <row r="172" spans="2:6" ht="18" x14ac:dyDescent="0.35">
      <c r="B172" s="12"/>
      <c r="C172" s="17"/>
      <c r="D172" s="17"/>
      <c r="E172" s="17"/>
      <c r="F172" s="13"/>
    </row>
    <row r="173" spans="2:6" ht="18" x14ac:dyDescent="0.35">
      <c r="B173" s="12"/>
      <c r="C173" s="17"/>
      <c r="D173" s="17"/>
      <c r="E173" s="17"/>
      <c r="F173" s="13"/>
    </row>
    <row r="174" spans="2:6" ht="18" x14ac:dyDescent="0.35">
      <c r="B174" s="12"/>
      <c r="C174" s="17"/>
      <c r="D174" s="17"/>
      <c r="E174" s="17"/>
      <c r="F174" s="13"/>
    </row>
    <row r="175" spans="2:6" ht="18" x14ac:dyDescent="0.35">
      <c r="B175" s="12"/>
      <c r="C175" s="17"/>
      <c r="D175" s="17"/>
      <c r="E175" s="17"/>
      <c r="F175" s="13"/>
    </row>
    <row r="176" spans="2:6" ht="18" x14ac:dyDescent="0.35">
      <c r="B176" s="12"/>
      <c r="C176" s="17"/>
      <c r="D176" s="17"/>
      <c r="E176" s="17"/>
      <c r="F176" s="13"/>
    </row>
    <row r="177" spans="2:6" ht="18" x14ac:dyDescent="0.35">
      <c r="B177" s="12"/>
      <c r="C177" s="17"/>
      <c r="D177" s="17"/>
      <c r="E177" s="17"/>
      <c r="F177" s="13"/>
    </row>
    <row r="178" spans="2:6" ht="18" x14ac:dyDescent="0.35">
      <c r="B178" s="12"/>
      <c r="C178" s="17"/>
      <c r="D178" s="17"/>
      <c r="E178" s="17"/>
      <c r="F178" s="13"/>
    </row>
    <row r="179" spans="2:6" ht="18" x14ac:dyDescent="0.35">
      <c r="B179" s="12"/>
      <c r="C179" s="17"/>
      <c r="D179" s="17"/>
      <c r="E179" s="17"/>
      <c r="F179" s="13"/>
    </row>
    <row r="180" spans="2:6" ht="18" x14ac:dyDescent="0.35">
      <c r="B180" s="12"/>
      <c r="C180" s="17"/>
      <c r="D180" s="17"/>
      <c r="E180" s="17"/>
      <c r="F180" s="13"/>
    </row>
    <row r="181" spans="2:6" ht="18" x14ac:dyDescent="0.35">
      <c r="B181" s="12"/>
      <c r="C181" s="17"/>
      <c r="D181" s="17"/>
      <c r="E181" s="17"/>
      <c r="F181" s="13"/>
    </row>
    <row r="182" spans="2:6" ht="18" x14ac:dyDescent="0.35">
      <c r="B182" s="12"/>
      <c r="C182" s="17"/>
      <c r="D182" s="17"/>
      <c r="E182" s="17"/>
      <c r="F182" s="13"/>
    </row>
    <row r="183" spans="2:6" ht="18" x14ac:dyDescent="0.35">
      <c r="B183" s="12"/>
      <c r="C183" s="17"/>
      <c r="D183" s="17"/>
      <c r="E183" s="17"/>
      <c r="F183" s="13"/>
    </row>
    <row r="184" spans="2:6" ht="18" x14ac:dyDescent="0.35">
      <c r="B184" s="12"/>
      <c r="C184" s="17"/>
      <c r="D184" s="17"/>
      <c r="E184" s="17"/>
      <c r="F184" s="13"/>
    </row>
    <row r="185" spans="2:6" ht="18" x14ac:dyDescent="0.35">
      <c r="B185" s="12"/>
      <c r="C185" s="17"/>
      <c r="D185" s="17"/>
      <c r="E185" s="17"/>
      <c r="F185" s="13"/>
    </row>
    <row r="186" spans="2:6" ht="18" x14ac:dyDescent="0.35">
      <c r="B186" s="12"/>
      <c r="C186" s="17"/>
      <c r="D186" s="17"/>
      <c r="E186" s="17"/>
      <c r="F186" s="13"/>
    </row>
    <row r="187" spans="2:6" ht="18" x14ac:dyDescent="0.35">
      <c r="B187" s="12"/>
      <c r="C187" s="17"/>
      <c r="D187" s="17"/>
      <c r="E187" s="17"/>
      <c r="F187" s="13"/>
    </row>
    <row r="188" spans="2:6" ht="18" x14ac:dyDescent="0.35">
      <c r="B188" s="12"/>
      <c r="C188" s="17"/>
      <c r="D188" s="17"/>
      <c r="E188" s="17"/>
      <c r="F188" s="13"/>
    </row>
    <row r="189" spans="2:6" ht="18" x14ac:dyDescent="0.35">
      <c r="B189" s="12"/>
      <c r="C189" s="17"/>
      <c r="D189" s="17"/>
      <c r="E189" s="17"/>
      <c r="F189" s="13"/>
    </row>
    <row r="190" spans="2:6" ht="18" x14ac:dyDescent="0.35">
      <c r="B190" s="12"/>
      <c r="C190" s="17"/>
      <c r="D190" s="17"/>
      <c r="E190" s="17"/>
      <c r="F190" s="13"/>
    </row>
    <row r="191" spans="2:6" ht="18" x14ac:dyDescent="0.35">
      <c r="B191" s="12"/>
      <c r="C191" s="17"/>
      <c r="D191" s="17"/>
      <c r="E191" s="17"/>
      <c r="F191" s="13"/>
    </row>
    <row r="192" spans="2:6" ht="18" x14ac:dyDescent="0.35">
      <c r="B192" s="12"/>
      <c r="C192" s="17"/>
      <c r="D192" s="17"/>
      <c r="E192" s="17"/>
      <c r="F192" s="13"/>
    </row>
    <row r="193" spans="2:6" ht="18" x14ac:dyDescent="0.35">
      <c r="B193" s="12"/>
      <c r="C193" s="17"/>
      <c r="D193" s="17"/>
      <c r="E193" s="17"/>
      <c r="F193" s="13"/>
    </row>
    <row r="194" spans="2:6" ht="18" x14ac:dyDescent="0.35">
      <c r="B194" s="12"/>
      <c r="C194" s="17"/>
      <c r="D194" s="17"/>
      <c r="E194" s="17"/>
      <c r="F194" s="13"/>
    </row>
    <row r="195" spans="2:6" ht="18" x14ac:dyDescent="0.35">
      <c r="B195" s="12"/>
      <c r="C195" s="17"/>
      <c r="D195" s="17"/>
      <c r="E195" s="17"/>
      <c r="F195" s="13"/>
    </row>
    <row r="196" spans="2:6" ht="18" x14ac:dyDescent="0.35">
      <c r="B196" s="12"/>
      <c r="C196" s="17"/>
      <c r="D196" s="17"/>
      <c r="E196" s="17"/>
      <c r="F196" s="13"/>
    </row>
    <row r="197" spans="2:6" ht="18" x14ac:dyDescent="0.35">
      <c r="B197" s="12"/>
      <c r="C197" s="17"/>
      <c r="D197" s="17"/>
      <c r="E197" s="17"/>
      <c r="F197" s="13"/>
    </row>
    <row r="198" spans="2:6" ht="18" x14ac:dyDescent="0.35">
      <c r="B198" s="12"/>
      <c r="C198" s="17"/>
      <c r="D198" s="17"/>
      <c r="E198" s="17"/>
      <c r="F198" s="13"/>
    </row>
    <row r="199" spans="2:6" ht="18" x14ac:dyDescent="0.35">
      <c r="B199" s="12"/>
      <c r="C199" s="17"/>
      <c r="D199" s="17"/>
      <c r="E199" s="17"/>
      <c r="F199" s="13"/>
    </row>
    <row r="200" spans="2:6" ht="18" x14ac:dyDescent="0.35">
      <c r="B200" s="12"/>
      <c r="C200" s="17"/>
      <c r="D200" s="17"/>
      <c r="E200" s="17"/>
      <c r="F200" s="13"/>
    </row>
    <row r="201" spans="2:6" ht="18" x14ac:dyDescent="0.35">
      <c r="B201" s="12"/>
      <c r="C201" s="17"/>
      <c r="D201" s="17"/>
      <c r="E201" s="17"/>
      <c r="F201" s="13"/>
    </row>
    <row r="202" spans="2:6" ht="18" x14ac:dyDescent="0.35">
      <c r="B202" s="12"/>
      <c r="C202" s="17"/>
      <c r="D202" s="17"/>
      <c r="E202" s="17"/>
      <c r="F202" s="13"/>
    </row>
    <row r="203" spans="2:6" ht="18" x14ac:dyDescent="0.35">
      <c r="B203" s="12"/>
      <c r="C203" s="17"/>
      <c r="D203" s="17"/>
      <c r="E203" s="17"/>
      <c r="F203" s="13"/>
    </row>
    <row r="204" spans="2:6" ht="18" x14ac:dyDescent="0.35">
      <c r="B204" s="12"/>
      <c r="C204" s="17"/>
      <c r="D204" s="17"/>
      <c r="E204" s="17"/>
      <c r="F204" s="13"/>
    </row>
    <row r="205" spans="2:6" ht="18" x14ac:dyDescent="0.35">
      <c r="B205" s="12"/>
      <c r="C205" s="17"/>
      <c r="D205" s="17"/>
      <c r="E205" s="17"/>
      <c r="F205" s="13"/>
    </row>
    <row r="206" spans="2:6" ht="18" x14ac:dyDescent="0.35">
      <c r="B206" s="12"/>
      <c r="C206" s="17"/>
      <c r="D206" s="17"/>
      <c r="E206" s="17"/>
      <c r="F206" s="13"/>
    </row>
    <row r="207" spans="2:6" ht="18" x14ac:dyDescent="0.35">
      <c r="B207" s="12"/>
      <c r="C207" s="17"/>
      <c r="D207" s="17"/>
      <c r="E207" s="17"/>
      <c r="F207" s="13"/>
    </row>
    <row r="208" spans="2:6" ht="18" x14ac:dyDescent="0.35">
      <c r="B208" s="12"/>
      <c r="C208" s="17"/>
      <c r="D208" s="17"/>
      <c r="E208" s="17"/>
      <c r="F208" s="13"/>
    </row>
    <row r="209" spans="2:6" ht="18" x14ac:dyDescent="0.35">
      <c r="B209" s="12"/>
      <c r="C209" s="17"/>
      <c r="D209" s="17"/>
      <c r="E209" s="17"/>
      <c r="F209" s="13"/>
    </row>
    <row r="210" spans="2:6" ht="18" x14ac:dyDescent="0.35">
      <c r="B210" s="12"/>
      <c r="C210" s="17"/>
      <c r="D210" s="17"/>
      <c r="E210" s="17"/>
      <c r="F210" s="13"/>
    </row>
    <row r="211" spans="2:6" ht="18" x14ac:dyDescent="0.35">
      <c r="B211" s="12"/>
      <c r="C211" s="17"/>
      <c r="D211" s="17"/>
      <c r="E211" s="17"/>
      <c r="F211" s="13"/>
    </row>
    <row r="212" spans="2:6" ht="18" x14ac:dyDescent="0.35">
      <c r="B212" s="12"/>
      <c r="C212" s="17"/>
      <c r="D212" s="17"/>
      <c r="E212" s="17"/>
      <c r="F212" s="13"/>
    </row>
    <row r="213" spans="2:6" ht="18" x14ac:dyDescent="0.35">
      <c r="B213" s="12"/>
      <c r="C213" s="17"/>
      <c r="D213" s="17"/>
      <c r="E213" s="17"/>
      <c r="F213" s="13"/>
    </row>
    <row r="214" spans="2:6" ht="18" x14ac:dyDescent="0.35">
      <c r="B214" s="12"/>
      <c r="C214" s="17"/>
      <c r="D214" s="17"/>
      <c r="E214" s="17"/>
      <c r="F214" s="13"/>
    </row>
    <row r="215" spans="2:6" ht="18" x14ac:dyDescent="0.35">
      <c r="B215" s="12"/>
      <c r="C215" s="17"/>
      <c r="D215" s="17"/>
      <c r="E215" s="17"/>
      <c r="F215" s="13"/>
    </row>
    <row r="216" spans="2:6" ht="18" x14ac:dyDescent="0.35">
      <c r="B216" s="12"/>
      <c r="C216" s="17"/>
      <c r="D216" s="17"/>
      <c r="E216" s="17"/>
      <c r="F216" s="13"/>
    </row>
    <row r="217" spans="2:6" ht="18" x14ac:dyDescent="0.35">
      <c r="B217" s="12"/>
      <c r="C217" s="17"/>
      <c r="D217" s="17"/>
      <c r="E217" s="17"/>
      <c r="F217" s="13"/>
    </row>
    <row r="218" spans="2:6" ht="18" x14ac:dyDescent="0.35">
      <c r="B218" s="12"/>
      <c r="C218" s="17"/>
      <c r="D218" s="17"/>
      <c r="E218" s="17"/>
      <c r="F218" s="13"/>
    </row>
    <row r="219" spans="2:6" ht="18" x14ac:dyDescent="0.35">
      <c r="B219" s="12"/>
      <c r="C219" s="17"/>
      <c r="D219" s="17"/>
      <c r="E219" s="17"/>
      <c r="F219" s="13"/>
    </row>
    <row r="220" spans="2:6" ht="18" x14ac:dyDescent="0.35">
      <c r="B220" s="12"/>
      <c r="C220" s="17"/>
      <c r="D220" s="17"/>
      <c r="E220" s="17"/>
      <c r="F220" s="13"/>
    </row>
    <row r="221" spans="2:6" ht="18" x14ac:dyDescent="0.35">
      <c r="B221" s="12"/>
      <c r="C221" s="17"/>
      <c r="D221" s="17"/>
      <c r="E221" s="17"/>
      <c r="F221" s="13"/>
    </row>
    <row r="222" spans="2:6" ht="18" x14ac:dyDescent="0.35">
      <c r="B222" s="12"/>
      <c r="C222" s="17"/>
      <c r="D222" s="17"/>
      <c r="E222" s="17"/>
      <c r="F222" s="13"/>
    </row>
    <row r="223" spans="2:6" ht="18" x14ac:dyDescent="0.35">
      <c r="B223" s="12"/>
      <c r="C223" s="17"/>
      <c r="D223" s="17"/>
      <c r="E223" s="17"/>
      <c r="F223" s="13"/>
    </row>
    <row r="224" spans="2:6" ht="18" x14ac:dyDescent="0.35">
      <c r="B224" s="12"/>
      <c r="C224" s="17"/>
      <c r="D224" s="17"/>
      <c r="E224" s="17"/>
      <c r="F224" s="13"/>
    </row>
    <row r="225" spans="2:6" ht="18" x14ac:dyDescent="0.35">
      <c r="B225" s="12"/>
      <c r="C225" s="17"/>
      <c r="D225" s="17"/>
      <c r="E225" s="17"/>
      <c r="F225" s="13"/>
    </row>
    <row r="226" spans="2:6" ht="18" x14ac:dyDescent="0.35">
      <c r="B226" s="12"/>
      <c r="C226" s="17"/>
      <c r="D226" s="17"/>
      <c r="E226" s="17"/>
      <c r="F226" s="13"/>
    </row>
    <row r="227" spans="2:6" ht="18" x14ac:dyDescent="0.35">
      <c r="B227" s="12"/>
      <c r="C227" s="17"/>
      <c r="D227" s="17"/>
      <c r="E227" s="17"/>
      <c r="F227" s="13"/>
    </row>
    <row r="228" spans="2:6" ht="18" x14ac:dyDescent="0.35">
      <c r="B228" s="12"/>
      <c r="C228" s="17"/>
      <c r="D228" s="17"/>
      <c r="E228" s="17"/>
      <c r="F228" s="13"/>
    </row>
    <row r="229" spans="2:6" ht="18" x14ac:dyDescent="0.35">
      <c r="B229" s="12"/>
      <c r="C229" s="17"/>
      <c r="D229" s="17"/>
      <c r="E229" s="17"/>
      <c r="F229" s="13"/>
    </row>
    <row r="230" spans="2:6" ht="18" x14ac:dyDescent="0.35">
      <c r="B230" s="12"/>
      <c r="C230" s="17"/>
      <c r="D230" s="17"/>
      <c r="E230" s="17"/>
      <c r="F230" s="13"/>
    </row>
    <row r="231" spans="2:6" ht="18" x14ac:dyDescent="0.35">
      <c r="B231" s="12"/>
      <c r="C231" s="17"/>
      <c r="D231" s="17"/>
      <c r="E231" s="17"/>
      <c r="F231" s="13"/>
    </row>
    <row r="232" spans="2:6" ht="18" x14ac:dyDescent="0.35">
      <c r="B232" s="12"/>
      <c r="C232" s="17"/>
      <c r="D232" s="17"/>
      <c r="E232" s="17"/>
      <c r="F232" s="13"/>
    </row>
    <row r="233" spans="2:6" ht="18" x14ac:dyDescent="0.35">
      <c r="B233" s="12"/>
      <c r="C233" s="17"/>
      <c r="D233" s="17"/>
      <c r="E233" s="17"/>
      <c r="F233" s="13"/>
    </row>
    <row r="234" spans="2:6" ht="18" x14ac:dyDescent="0.35">
      <c r="B234" s="12"/>
      <c r="C234" s="17"/>
      <c r="D234" s="17"/>
      <c r="E234" s="17"/>
      <c r="F234" s="13"/>
    </row>
    <row r="235" spans="2:6" ht="18" x14ac:dyDescent="0.35">
      <c r="B235" s="12"/>
      <c r="C235" s="17"/>
      <c r="D235" s="17"/>
      <c r="E235" s="17"/>
      <c r="F235" s="13"/>
    </row>
    <row r="236" spans="2:6" ht="18" x14ac:dyDescent="0.35">
      <c r="B236" s="12"/>
      <c r="C236" s="17"/>
      <c r="D236" s="17"/>
      <c r="E236" s="17"/>
      <c r="F236" s="13"/>
    </row>
    <row r="237" spans="2:6" ht="18" x14ac:dyDescent="0.35">
      <c r="B237" s="12"/>
      <c r="C237" s="17"/>
      <c r="D237" s="17"/>
      <c r="E237" s="17"/>
      <c r="F237" s="13"/>
    </row>
    <row r="238" spans="2:6" ht="18" x14ac:dyDescent="0.35">
      <c r="B238" s="12"/>
      <c r="C238" s="17"/>
      <c r="D238" s="17"/>
      <c r="E238" s="17"/>
      <c r="F238" s="13"/>
    </row>
    <row r="239" spans="2:6" ht="18" x14ac:dyDescent="0.35">
      <c r="B239" s="12"/>
      <c r="C239" s="17"/>
      <c r="D239" s="17"/>
      <c r="E239" s="17"/>
      <c r="F239" s="13"/>
    </row>
    <row r="240" spans="2:6" ht="18" x14ac:dyDescent="0.35">
      <c r="B240" s="12"/>
      <c r="C240" s="17"/>
      <c r="D240" s="17"/>
      <c r="E240" s="17"/>
      <c r="F240" s="13"/>
    </row>
    <row r="241" spans="2:6" ht="18" x14ac:dyDescent="0.35">
      <c r="B241" s="12"/>
      <c r="C241" s="17"/>
      <c r="D241" s="17"/>
      <c r="E241" s="17"/>
      <c r="F241" s="13"/>
    </row>
    <row r="242" spans="2:6" ht="18" x14ac:dyDescent="0.35">
      <c r="B242" s="12"/>
      <c r="C242" s="17"/>
      <c r="D242" s="17"/>
      <c r="E242" s="17"/>
      <c r="F242" s="13"/>
    </row>
    <row r="243" spans="2:6" ht="18" x14ac:dyDescent="0.35">
      <c r="B243" s="12"/>
      <c r="C243" s="17"/>
      <c r="D243" s="17"/>
      <c r="E243" s="17"/>
      <c r="F243" s="13"/>
    </row>
    <row r="244" spans="2:6" ht="18" x14ac:dyDescent="0.35">
      <c r="B244" s="12"/>
      <c r="C244" s="17"/>
      <c r="D244" s="17"/>
      <c r="E244" s="17"/>
      <c r="F244" s="13"/>
    </row>
    <row r="245" spans="2:6" ht="18" x14ac:dyDescent="0.35">
      <c r="B245" s="12"/>
      <c r="C245" s="17"/>
      <c r="D245" s="17"/>
      <c r="E245" s="17"/>
      <c r="F245" s="13"/>
    </row>
    <row r="246" spans="2:6" ht="18" x14ac:dyDescent="0.35">
      <c r="B246" s="12"/>
      <c r="C246" s="17"/>
      <c r="D246" s="17"/>
      <c r="E246" s="17"/>
      <c r="F246" s="13"/>
    </row>
    <row r="247" spans="2:6" ht="18" x14ac:dyDescent="0.35">
      <c r="B247" s="12"/>
      <c r="C247" s="17"/>
      <c r="D247" s="17"/>
      <c r="E247" s="17"/>
      <c r="F247" s="13"/>
    </row>
    <row r="248" spans="2:6" ht="18" x14ac:dyDescent="0.35">
      <c r="B248" s="12"/>
      <c r="C248" s="17"/>
      <c r="D248" s="17"/>
      <c r="E248" s="17"/>
      <c r="F248" s="13"/>
    </row>
    <row r="249" spans="2:6" ht="18" x14ac:dyDescent="0.35">
      <c r="B249" s="12"/>
      <c r="C249" s="17"/>
      <c r="D249" s="17"/>
      <c r="E249" s="17"/>
      <c r="F249" s="13"/>
    </row>
    <row r="250" spans="2:6" ht="18" x14ac:dyDescent="0.35">
      <c r="B250" s="12"/>
      <c r="C250" s="17"/>
      <c r="D250" s="17"/>
      <c r="E250" s="17"/>
      <c r="F250" s="13"/>
    </row>
    <row r="251" spans="2:6" ht="18" x14ac:dyDescent="0.35">
      <c r="B251" s="12"/>
      <c r="C251" s="17"/>
      <c r="D251" s="17"/>
      <c r="E251" s="17"/>
      <c r="F251" s="13"/>
    </row>
    <row r="252" spans="2:6" ht="18" x14ac:dyDescent="0.35">
      <c r="B252" s="12"/>
      <c r="C252" s="17"/>
      <c r="D252" s="17"/>
      <c r="E252" s="17"/>
      <c r="F252" s="13"/>
    </row>
    <row r="253" spans="2:6" ht="18" x14ac:dyDescent="0.35">
      <c r="B253" s="12"/>
      <c r="C253" s="17"/>
      <c r="D253" s="17"/>
      <c r="E253" s="17"/>
      <c r="F253" s="13"/>
    </row>
    <row r="254" spans="2:6" ht="18" x14ac:dyDescent="0.35">
      <c r="B254" s="12"/>
      <c r="C254" s="17"/>
      <c r="D254" s="17"/>
      <c r="E254" s="17"/>
      <c r="F254" s="13"/>
    </row>
    <row r="255" spans="2:6" ht="18" x14ac:dyDescent="0.35">
      <c r="B255" s="12"/>
      <c r="C255" s="17"/>
      <c r="D255" s="17"/>
      <c r="E255" s="17"/>
      <c r="F255" s="13"/>
    </row>
    <row r="256" spans="2:6" ht="18" x14ac:dyDescent="0.35">
      <c r="B256" s="12"/>
      <c r="C256" s="17"/>
      <c r="D256" s="17"/>
      <c r="E256" s="17"/>
      <c r="F256" s="13"/>
    </row>
    <row r="257" spans="2:6" ht="18" x14ac:dyDescent="0.35">
      <c r="B257" s="12"/>
      <c r="C257" s="17"/>
      <c r="D257" s="17"/>
      <c r="E257" s="17"/>
      <c r="F257" s="13"/>
    </row>
    <row r="258" spans="2:6" ht="18" x14ac:dyDescent="0.35">
      <c r="B258" s="12"/>
      <c r="C258" s="17"/>
      <c r="D258" s="17"/>
      <c r="E258" s="17"/>
      <c r="F258" s="13"/>
    </row>
    <row r="259" spans="2:6" ht="18" x14ac:dyDescent="0.35">
      <c r="B259" s="12"/>
      <c r="C259" s="17"/>
      <c r="D259" s="17"/>
      <c r="E259" s="17"/>
      <c r="F259" s="13"/>
    </row>
    <row r="260" spans="2:6" ht="18" x14ac:dyDescent="0.35">
      <c r="B260" s="12"/>
      <c r="C260" s="17"/>
      <c r="D260" s="17"/>
      <c r="E260" s="17"/>
      <c r="F260" s="13"/>
    </row>
    <row r="261" spans="2:6" ht="18" x14ac:dyDescent="0.35">
      <c r="B261" s="12"/>
      <c r="C261" s="17"/>
      <c r="D261" s="17"/>
      <c r="E261" s="17"/>
      <c r="F261" s="13"/>
    </row>
    <row r="262" spans="2:6" ht="18" x14ac:dyDescent="0.35">
      <c r="B262" s="12"/>
      <c r="C262" s="17"/>
      <c r="D262" s="17"/>
      <c r="E262" s="17"/>
      <c r="F262" s="13"/>
    </row>
    <row r="263" spans="2:6" ht="18" x14ac:dyDescent="0.35">
      <c r="B263" s="12"/>
      <c r="C263" s="17"/>
      <c r="D263" s="17"/>
      <c r="E263" s="17"/>
      <c r="F263" s="13"/>
    </row>
    <row r="264" spans="2:6" ht="18" x14ac:dyDescent="0.35">
      <c r="B264" s="12"/>
      <c r="C264" s="17"/>
      <c r="D264" s="17"/>
      <c r="E264" s="17"/>
      <c r="F264" s="13"/>
    </row>
    <row r="265" spans="2:6" ht="18" x14ac:dyDescent="0.35">
      <c r="B265" s="12"/>
      <c r="C265" s="17"/>
      <c r="D265" s="17"/>
      <c r="E265" s="17"/>
      <c r="F265" s="13"/>
    </row>
    <row r="266" spans="2:6" ht="18" x14ac:dyDescent="0.35">
      <c r="B266" s="12"/>
      <c r="C266" s="17"/>
      <c r="D266" s="17"/>
      <c r="E266" s="17"/>
      <c r="F266" s="13"/>
    </row>
    <row r="267" spans="2:6" ht="18" x14ac:dyDescent="0.35">
      <c r="B267" s="12"/>
      <c r="C267" s="17"/>
      <c r="D267" s="17"/>
      <c r="E267" s="17"/>
      <c r="F267" s="13"/>
    </row>
    <row r="268" spans="2:6" ht="18" x14ac:dyDescent="0.35">
      <c r="B268" s="12"/>
      <c r="C268" s="17"/>
      <c r="D268" s="17"/>
      <c r="E268" s="17"/>
      <c r="F268" s="13"/>
    </row>
    <row r="269" spans="2:6" ht="18" x14ac:dyDescent="0.35">
      <c r="B269" s="12"/>
      <c r="C269" s="17"/>
      <c r="D269" s="17"/>
      <c r="E269" s="17"/>
      <c r="F269" s="13"/>
    </row>
    <row r="270" spans="2:6" ht="18" x14ac:dyDescent="0.35">
      <c r="B270" s="12"/>
      <c r="C270" s="17"/>
      <c r="D270" s="17"/>
      <c r="E270" s="17"/>
      <c r="F270" s="13"/>
    </row>
    <row r="271" spans="2:6" ht="18" x14ac:dyDescent="0.35">
      <c r="B271" s="12"/>
      <c r="C271" s="17"/>
      <c r="D271" s="17"/>
      <c r="E271" s="17"/>
      <c r="F271" s="13"/>
    </row>
    <row r="272" spans="2:6" ht="18" x14ac:dyDescent="0.35">
      <c r="B272" s="12"/>
      <c r="C272" s="17"/>
      <c r="D272" s="17"/>
      <c r="E272" s="17"/>
      <c r="F272" s="13"/>
    </row>
    <row r="273" spans="2:6" ht="18" x14ac:dyDescent="0.35">
      <c r="B273" s="12"/>
      <c r="C273" s="17"/>
      <c r="D273" s="17"/>
      <c r="E273" s="17"/>
      <c r="F273" s="13"/>
    </row>
    <row r="274" spans="2:6" ht="18" x14ac:dyDescent="0.35">
      <c r="B274" s="12"/>
      <c r="C274" s="17"/>
      <c r="D274" s="17"/>
      <c r="E274" s="17"/>
      <c r="F274" s="13"/>
    </row>
    <row r="275" spans="2:6" ht="18" x14ac:dyDescent="0.35">
      <c r="B275" s="12"/>
      <c r="C275" s="17"/>
      <c r="D275" s="17"/>
      <c r="E275" s="17"/>
      <c r="F275" s="13"/>
    </row>
    <row r="276" spans="2:6" ht="18" x14ac:dyDescent="0.35">
      <c r="B276" s="12"/>
      <c r="C276" s="17"/>
      <c r="D276" s="17"/>
      <c r="E276" s="17"/>
      <c r="F276" s="13"/>
    </row>
    <row r="277" spans="2:6" ht="18" x14ac:dyDescent="0.35">
      <c r="B277" s="12"/>
      <c r="C277" s="17"/>
      <c r="D277" s="17"/>
      <c r="E277" s="17"/>
      <c r="F277" s="13"/>
    </row>
    <row r="278" spans="2:6" ht="18" x14ac:dyDescent="0.35">
      <c r="B278" s="12"/>
      <c r="C278" s="17"/>
      <c r="D278" s="17"/>
      <c r="E278" s="17"/>
      <c r="F278" s="13"/>
    </row>
    <row r="279" spans="2:6" ht="18" x14ac:dyDescent="0.35">
      <c r="B279" s="12"/>
      <c r="C279" s="17"/>
      <c r="D279" s="17"/>
      <c r="E279" s="17"/>
      <c r="F279" s="13"/>
    </row>
    <row r="280" spans="2:6" ht="18" x14ac:dyDescent="0.35">
      <c r="B280" s="12"/>
      <c r="C280" s="17"/>
      <c r="D280" s="17"/>
      <c r="E280" s="17"/>
      <c r="F280" s="13"/>
    </row>
    <row r="281" spans="2:6" ht="18" x14ac:dyDescent="0.35">
      <c r="B281" s="12"/>
      <c r="C281" s="17"/>
      <c r="D281" s="17"/>
      <c r="E281" s="17"/>
      <c r="F281" s="13"/>
    </row>
    <row r="282" spans="2:6" ht="18" x14ac:dyDescent="0.35">
      <c r="B282" s="12"/>
      <c r="C282" s="17"/>
      <c r="D282" s="17"/>
      <c r="E282" s="17"/>
      <c r="F282" s="13"/>
    </row>
    <row r="283" spans="2:6" ht="18" x14ac:dyDescent="0.35">
      <c r="B283" s="12"/>
      <c r="C283" s="17"/>
      <c r="D283" s="17"/>
      <c r="E283" s="17"/>
      <c r="F283" s="13"/>
    </row>
    <row r="284" spans="2:6" ht="18" x14ac:dyDescent="0.35">
      <c r="B284" s="12"/>
      <c r="C284" s="17"/>
      <c r="D284" s="17"/>
      <c r="E284" s="17"/>
      <c r="F284" s="13"/>
    </row>
    <row r="285" spans="2:6" ht="18" x14ac:dyDescent="0.35">
      <c r="B285" s="12"/>
      <c r="C285" s="17"/>
      <c r="D285" s="17"/>
      <c r="E285" s="17"/>
      <c r="F285" s="13"/>
    </row>
    <row r="286" spans="2:6" ht="18" x14ac:dyDescent="0.35">
      <c r="B286" s="12"/>
      <c r="C286" s="17"/>
      <c r="D286" s="17"/>
      <c r="E286" s="17"/>
      <c r="F286" s="13"/>
    </row>
    <row r="287" spans="2:6" ht="18" x14ac:dyDescent="0.35">
      <c r="B287" s="12"/>
      <c r="C287" s="17"/>
      <c r="D287" s="17"/>
      <c r="E287" s="17"/>
      <c r="F287" s="13"/>
    </row>
    <row r="288" spans="2:6" ht="18" x14ac:dyDescent="0.35">
      <c r="B288" s="12"/>
      <c r="C288" s="17"/>
      <c r="D288" s="17"/>
      <c r="E288" s="17"/>
      <c r="F288" s="13"/>
    </row>
    <row r="289" spans="2:6" ht="18" x14ac:dyDescent="0.35">
      <c r="B289" s="12"/>
      <c r="C289" s="17"/>
      <c r="D289" s="17"/>
      <c r="E289" s="17"/>
      <c r="F289" s="13"/>
    </row>
    <row r="290" spans="2:6" ht="18" x14ac:dyDescent="0.35">
      <c r="B290" s="12"/>
      <c r="C290" s="17"/>
      <c r="D290" s="17"/>
      <c r="E290" s="17"/>
      <c r="F290" s="13"/>
    </row>
    <row r="291" spans="2:6" ht="18" x14ac:dyDescent="0.35">
      <c r="B291" s="12"/>
      <c r="C291" s="17"/>
      <c r="D291" s="17"/>
      <c r="E291" s="17"/>
      <c r="F291" s="13"/>
    </row>
    <row r="292" spans="2:6" ht="18" x14ac:dyDescent="0.35">
      <c r="B292" s="12"/>
      <c r="C292" s="17"/>
      <c r="D292" s="17"/>
      <c r="E292" s="17"/>
      <c r="F292" s="13"/>
    </row>
    <row r="293" spans="2:6" ht="18" x14ac:dyDescent="0.35">
      <c r="B293" s="12"/>
      <c r="C293" s="17"/>
      <c r="D293" s="17"/>
      <c r="E293" s="17"/>
      <c r="F293" s="13"/>
    </row>
    <row r="294" spans="2:6" ht="18" x14ac:dyDescent="0.35">
      <c r="B294" s="12"/>
      <c r="C294" s="17"/>
      <c r="D294" s="17"/>
      <c r="E294" s="17"/>
      <c r="F294" s="13"/>
    </row>
    <row r="295" spans="2:6" ht="18" x14ac:dyDescent="0.35">
      <c r="B295" s="12"/>
      <c r="C295" s="17"/>
      <c r="D295" s="17"/>
      <c r="E295" s="17"/>
      <c r="F295" s="13"/>
    </row>
    <row r="296" spans="2:6" ht="18" x14ac:dyDescent="0.35">
      <c r="B296" s="12"/>
      <c r="C296" s="17"/>
      <c r="D296" s="17"/>
      <c r="E296" s="17"/>
      <c r="F296" s="13"/>
    </row>
    <row r="297" spans="2:6" ht="18" x14ac:dyDescent="0.35">
      <c r="B297" s="12"/>
      <c r="C297" s="17"/>
      <c r="D297" s="17"/>
      <c r="E297" s="17"/>
      <c r="F297" s="13"/>
    </row>
    <row r="298" spans="2:6" ht="18" x14ac:dyDescent="0.35">
      <c r="B298" s="12"/>
      <c r="C298" s="17"/>
      <c r="D298" s="17"/>
      <c r="E298" s="17"/>
      <c r="F298" s="13"/>
    </row>
    <row r="299" spans="2:6" ht="18" x14ac:dyDescent="0.35">
      <c r="B299" s="12"/>
      <c r="C299" s="17"/>
      <c r="D299" s="17"/>
      <c r="E299" s="17"/>
      <c r="F299" s="13"/>
    </row>
    <row r="300" spans="2:6" ht="18" x14ac:dyDescent="0.35">
      <c r="B300" s="12"/>
      <c r="C300" s="17"/>
      <c r="D300" s="17"/>
      <c r="E300" s="17"/>
      <c r="F300" s="13"/>
    </row>
    <row r="301" spans="2:6" ht="18" x14ac:dyDescent="0.35">
      <c r="B301" s="12"/>
      <c r="C301" s="17"/>
      <c r="D301" s="17"/>
      <c r="E301" s="17"/>
      <c r="F301" s="13"/>
    </row>
    <row r="302" spans="2:6" ht="18" x14ac:dyDescent="0.35">
      <c r="B302" s="12"/>
      <c r="C302" s="17"/>
      <c r="D302" s="17"/>
      <c r="E302" s="17"/>
      <c r="F302" s="13"/>
    </row>
    <row r="303" spans="2:6" ht="18" x14ac:dyDescent="0.35">
      <c r="B303" s="12"/>
      <c r="C303" s="17"/>
      <c r="D303" s="17"/>
      <c r="E303" s="17"/>
      <c r="F303" s="13"/>
    </row>
    <row r="304" spans="2:6" ht="18" x14ac:dyDescent="0.35">
      <c r="B304" s="12"/>
      <c r="C304" s="17"/>
      <c r="D304" s="17"/>
      <c r="E304" s="17"/>
      <c r="F304" s="13"/>
    </row>
    <row r="305" spans="2:6" ht="18" x14ac:dyDescent="0.35">
      <c r="B305" s="12"/>
      <c r="C305" s="17"/>
      <c r="D305" s="17"/>
      <c r="E305" s="17"/>
      <c r="F305" s="13"/>
    </row>
    <row r="306" spans="2:6" ht="18" x14ac:dyDescent="0.35">
      <c r="B306" s="12"/>
      <c r="C306" s="17"/>
      <c r="D306" s="17"/>
      <c r="E306" s="17"/>
      <c r="F306" s="13"/>
    </row>
    <row r="307" spans="2:6" ht="18" x14ac:dyDescent="0.35">
      <c r="B307" s="12"/>
      <c r="C307" s="17"/>
      <c r="D307" s="17"/>
      <c r="E307" s="17"/>
      <c r="F307" s="13"/>
    </row>
    <row r="308" spans="2:6" ht="18" x14ac:dyDescent="0.35">
      <c r="B308" s="12"/>
      <c r="C308" s="17"/>
      <c r="D308" s="17"/>
      <c r="E308" s="17"/>
      <c r="F308" s="13"/>
    </row>
    <row r="309" spans="2:6" ht="18" x14ac:dyDescent="0.35">
      <c r="B309" s="12"/>
      <c r="C309" s="17"/>
      <c r="D309" s="17"/>
      <c r="E309" s="17"/>
      <c r="F309" s="13"/>
    </row>
    <row r="310" spans="2:6" ht="18" x14ac:dyDescent="0.35">
      <c r="B310" s="12"/>
      <c r="C310" s="17"/>
      <c r="D310" s="17"/>
      <c r="E310" s="17"/>
      <c r="F310" s="13"/>
    </row>
    <row r="311" spans="2:6" ht="18" x14ac:dyDescent="0.35">
      <c r="B311" s="12"/>
      <c r="C311" s="17"/>
      <c r="D311" s="17"/>
      <c r="E311" s="17"/>
      <c r="F311" s="13"/>
    </row>
    <row r="312" spans="2:6" ht="18" x14ac:dyDescent="0.35">
      <c r="B312" s="12"/>
      <c r="C312" s="17"/>
      <c r="D312" s="17"/>
      <c r="E312" s="17"/>
      <c r="F312" s="13"/>
    </row>
    <row r="313" spans="2:6" ht="18" x14ac:dyDescent="0.35">
      <c r="B313" s="12"/>
      <c r="C313" s="17"/>
      <c r="D313" s="17"/>
      <c r="E313" s="17"/>
      <c r="F313" s="13"/>
    </row>
    <row r="314" spans="2:6" ht="18" x14ac:dyDescent="0.35">
      <c r="B314" s="12"/>
      <c r="C314" s="17"/>
      <c r="D314" s="17"/>
      <c r="E314" s="17"/>
      <c r="F314" s="13"/>
    </row>
    <row r="315" spans="2:6" ht="18" x14ac:dyDescent="0.35">
      <c r="B315" s="12"/>
      <c r="C315" s="17"/>
      <c r="D315" s="17"/>
      <c r="E315" s="17"/>
      <c r="F315" s="13"/>
    </row>
    <row r="316" spans="2:6" ht="18" x14ac:dyDescent="0.35">
      <c r="B316" s="12"/>
      <c r="C316" s="17"/>
      <c r="D316" s="17"/>
      <c r="E316" s="17"/>
      <c r="F316" s="13"/>
    </row>
    <row r="317" spans="2:6" ht="18" x14ac:dyDescent="0.35">
      <c r="B317" s="12"/>
      <c r="C317" s="17"/>
      <c r="D317" s="17"/>
      <c r="E317" s="17"/>
      <c r="F317" s="13"/>
    </row>
    <row r="318" spans="2:6" ht="18" x14ac:dyDescent="0.35">
      <c r="B318" s="12"/>
      <c r="C318" s="17"/>
      <c r="D318" s="17"/>
      <c r="E318" s="17"/>
      <c r="F318" s="13"/>
    </row>
    <row r="319" spans="2:6" ht="18" x14ac:dyDescent="0.35">
      <c r="B319" s="12"/>
      <c r="C319" s="17"/>
      <c r="D319" s="17"/>
      <c r="E319" s="17"/>
      <c r="F319" s="13"/>
    </row>
    <row r="320" spans="2:6" ht="18" x14ac:dyDescent="0.35">
      <c r="B320" s="12"/>
      <c r="C320" s="17"/>
      <c r="D320" s="17"/>
      <c r="E320" s="17"/>
      <c r="F320" s="13"/>
    </row>
    <row r="321" spans="2:6" ht="18" x14ac:dyDescent="0.35">
      <c r="B321" s="12"/>
      <c r="C321" s="17"/>
      <c r="D321" s="17"/>
      <c r="E321" s="17"/>
      <c r="F321" s="13"/>
    </row>
    <row r="322" spans="2:6" ht="18" x14ac:dyDescent="0.35">
      <c r="B322" s="12"/>
      <c r="C322" s="17"/>
      <c r="D322" s="17"/>
      <c r="E322" s="17"/>
      <c r="F322" s="13"/>
    </row>
    <row r="323" spans="2:6" ht="18" x14ac:dyDescent="0.35">
      <c r="B323" s="12"/>
      <c r="C323" s="17"/>
      <c r="D323" s="17"/>
      <c r="E323" s="17"/>
      <c r="F323" s="13"/>
    </row>
    <row r="324" spans="2:6" ht="18" x14ac:dyDescent="0.35">
      <c r="B324" s="12"/>
      <c r="C324" s="17"/>
      <c r="D324" s="17"/>
      <c r="E324" s="17"/>
      <c r="F324" s="13"/>
    </row>
    <row r="325" spans="2:6" ht="18" x14ac:dyDescent="0.35">
      <c r="B325" s="12"/>
      <c r="C325" s="17"/>
      <c r="D325" s="17"/>
      <c r="E325" s="17"/>
      <c r="F325" s="13"/>
    </row>
    <row r="326" spans="2:6" ht="18" x14ac:dyDescent="0.35">
      <c r="B326" s="12"/>
      <c r="C326" s="17"/>
      <c r="D326" s="17"/>
      <c r="E326" s="17"/>
      <c r="F326" s="13"/>
    </row>
    <row r="327" spans="2:6" ht="18" x14ac:dyDescent="0.35">
      <c r="B327" s="12"/>
      <c r="C327" s="17"/>
      <c r="D327" s="17"/>
      <c r="E327" s="17"/>
      <c r="F327" s="13"/>
    </row>
    <row r="328" spans="2:6" ht="18" x14ac:dyDescent="0.35">
      <c r="B328" s="12"/>
      <c r="C328" s="17"/>
      <c r="D328" s="17"/>
      <c r="E328" s="17"/>
      <c r="F328" s="13"/>
    </row>
    <row r="329" spans="2:6" ht="18" x14ac:dyDescent="0.35">
      <c r="B329" s="12"/>
      <c r="C329" s="17"/>
      <c r="D329" s="17"/>
      <c r="E329" s="17"/>
      <c r="F329" s="13"/>
    </row>
    <row r="330" spans="2:6" ht="18" x14ac:dyDescent="0.35">
      <c r="B330" s="12"/>
      <c r="C330" s="17"/>
      <c r="D330" s="17"/>
      <c r="E330" s="17"/>
      <c r="F330" s="13"/>
    </row>
    <row r="331" spans="2:6" ht="18" x14ac:dyDescent="0.35">
      <c r="B331" s="12"/>
      <c r="C331" s="17"/>
      <c r="D331" s="17"/>
      <c r="E331" s="17"/>
      <c r="F331" s="13"/>
    </row>
    <row r="332" spans="2:6" ht="18" x14ac:dyDescent="0.35">
      <c r="B332" s="12"/>
      <c r="C332" s="17"/>
      <c r="D332" s="17"/>
      <c r="E332" s="17"/>
      <c r="F332" s="13"/>
    </row>
    <row r="333" spans="2:6" ht="18" x14ac:dyDescent="0.35">
      <c r="B333" s="12"/>
      <c r="C333" s="17"/>
      <c r="D333" s="17"/>
      <c r="E333" s="17"/>
      <c r="F333" s="13"/>
    </row>
    <row r="334" spans="2:6" ht="18" x14ac:dyDescent="0.35">
      <c r="B334" s="12"/>
      <c r="C334" s="17"/>
      <c r="D334" s="17"/>
      <c r="E334" s="17"/>
      <c r="F334" s="13"/>
    </row>
    <row r="335" spans="2:6" ht="18" x14ac:dyDescent="0.35">
      <c r="B335" s="12"/>
      <c r="C335" s="17"/>
      <c r="D335" s="17"/>
      <c r="E335" s="17"/>
      <c r="F335" s="13"/>
    </row>
    <row r="336" spans="2:6" ht="18" x14ac:dyDescent="0.35">
      <c r="B336" s="12"/>
      <c r="C336" s="17"/>
      <c r="D336" s="17"/>
      <c r="E336" s="17"/>
      <c r="F336" s="13"/>
    </row>
    <row r="337" spans="2:6" ht="18" x14ac:dyDescent="0.35">
      <c r="B337" s="12"/>
      <c r="C337" s="17"/>
      <c r="D337" s="17"/>
      <c r="E337" s="17"/>
      <c r="F337" s="13"/>
    </row>
    <row r="338" spans="2:6" ht="18" x14ac:dyDescent="0.35">
      <c r="B338" s="12"/>
      <c r="C338" s="17"/>
      <c r="D338" s="17"/>
      <c r="E338" s="17"/>
      <c r="F338" s="13"/>
    </row>
    <row r="339" spans="2:6" ht="18" x14ac:dyDescent="0.35">
      <c r="B339" s="12"/>
      <c r="C339" s="17"/>
      <c r="D339" s="17"/>
      <c r="E339" s="17"/>
      <c r="F339" s="13"/>
    </row>
    <row r="340" spans="2:6" ht="18" x14ac:dyDescent="0.35">
      <c r="B340" s="12"/>
      <c r="C340" s="17"/>
      <c r="D340" s="17"/>
      <c r="E340" s="17"/>
      <c r="F340" s="13"/>
    </row>
    <row r="341" spans="2:6" ht="18" x14ac:dyDescent="0.35">
      <c r="B341" s="12"/>
      <c r="C341" s="17"/>
      <c r="D341" s="17"/>
      <c r="E341" s="17"/>
      <c r="F341" s="13"/>
    </row>
    <row r="342" spans="2:6" ht="18" x14ac:dyDescent="0.35">
      <c r="B342" s="12"/>
      <c r="C342" s="17"/>
      <c r="D342" s="17"/>
      <c r="E342" s="17"/>
      <c r="F342" s="13"/>
    </row>
    <row r="343" spans="2:6" ht="18" x14ac:dyDescent="0.35">
      <c r="B343" s="12"/>
      <c r="C343" s="17"/>
      <c r="D343" s="17"/>
      <c r="E343" s="17"/>
      <c r="F343" s="13"/>
    </row>
    <row r="344" spans="2:6" ht="18" x14ac:dyDescent="0.35">
      <c r="B344" s="12"/>
      <c r="C344" s="17"/>
      <c r="D344" s="17"/>
      <c r="E344" s="17"/>
      <c r="F344" s="13"/>
    </row>
    <row r="345" spans="2:6" ht="18" x14ac:dyDescent="0.35">
      <c r="B345" s="12"/>
      <c r="C345" s="17"/>
      <c r="D345" s="17"/>
      <c r="E345" s="17"/>
      <c r="F345" s="13"/>
    </row>
    <row r="346" spans="2:6" ht="18" x14ac:dyDescent="0.35">
      <c r="B346" s="12"/>
      <c r="C346" s="17"/>
      <c r="D346" s="17"/>
      <c r="E346" s="17"/>
      <c r="F346" s="13"/>
    </row>
    <row r="347" spans="2:6" ht="18" x14ac:dyDescent="0.35">
      <c r="B347" s="12"/>
      <c r="C347" s="17"/>
      <c r="D347" s="17"/>
      <c r="E347" s="17"/>
      <c r="F347" s="13"/>
    </row>
    <row r="348" spans="2:6" ht="18" x14ac:dyDescent="0.35">
      <c r="B348" s="12"/>
      <c r="C348" s="17"/>
      <c r="D348" s="17"/>
      <c r="E348" s="17"/>
      <c r="F348" s="13"/>
    </row>
    <row r="349" spans="2:6" ht="18" x14ac:dyDescent="0.35">
      <c r="B349" s="12"/>
      <c r="C349" s="17"/>
      <c r="D349" s="17"/>
      <c r="E349" s="17"/>
      <c r="F349" s="13"/>
    </row>
    <row r="350" spans="2:6" ht="18" x14ac:dyDescent="0.35">
      <c r="B350" s="12"/>
      <c r="C350" s="17"/>
      <c r="D350" s="17"/>
      <c r="E350" s="17"/>
      <c r="F350" s="13"/>
    </row>
    <row r="351" spans="2:6" ht="18" x14ac:dyDescent="0.35">
      <c r="B351" s="12"/>
      <c r="C351" s="17"/>
      <c r="D351" s="17"/>
      <c r="E351" s="17"/>
      <c r="F351" s="13"/>
    </row>
    <row r="352" spans="2:6" ht="18" x14ac:dyDescent="0.35">
      <c r="B352" s="12"/>
      <c r="C352" s="17"/>
      <c r="D352" s="17"/>
      <c r="E352" s="17"/>
      <c r="F352" s="13"/>
    </row>
    <row r="353" spans="2:6" ht="18" x14ac:dyDescent="0.35">
      <c r="B353" s="12"/>
      <c r="C353" s="17"/>
      <c r="D353" s="17"/>
      <c r="E353" s="17"/>
      <c r="F353" s="13"/>
    </row>
    <row r="354" spans="2:6" ht="18" x14ac:dyDescent="0.35">
      <c r="B354" s="12"/>
      <c r="C354" s="17"/>
      <c r="D354" s="17"/>
      <c r="E354" s="17"/>
      <c r="F354" s="13"/>
    </row>
    <row r="355" spans="2:6" ht="18" x14ac:dyDescent="0.35">
      <c r="B355" s="12"/>
      <c r="C355" s="17"/>
      <c r="D355" s="17"/>
      <c r="E355" s="17"/>
      <c r="F355" s="13"/>
    </row>
    <row r="356" spans="2:6" ht="18" x14ac:dyDescent="0.35">
      <c r="B356" s="12"/>
      <c r="C356" s="17"/>
      <c r="D356" s="17"/>
      <c r="E356" s="17"/>
      <c r="F356" s="13"/>
    </row>
    <row r="357" spans="2:6" ht="18" x14ac:dyDescent="0.35">
      <c r="B357" s="12"/>
      <c r="C357" s="17"/>
      <c r="D357" s="17"/>
      <c r="E357" s="17"/>
      <c r="F357" s="13"/>
    </row>
    <row r="358" spans="2:6" ht="18" x14ac:dyDescent="0.35">
      <c r="B358" s="12"/>
      <c r="C358" s="17"/>
      <c r="D358" s="17"/>
      <c r="E358" s="17"/>
      <c r="F358" s="13"/>
    </row>
    <row r="359" spans="2:6" ht="18" x14ac:dyDescent="0.35">
      <c r="B359" s="12"/>
      <c r="C359" s="17"/>
      <c r="D359" s="17"/>
      <c r="E359" s="17"/>
      <c r="F359" s="13"/>
    </row>
    <row r="360" spans="2:6" ht="18" x14ac:dyDescent="0.35">
      <c r="B360" s="12"/>
      <c r="C360" s="17"/>
      <c r="D360" s="17"/>
      <c r="E360" s="17"/>
      <c r="F360" s="13"/>
    </row>
    <row r="361" spans="2:6" ht="18" x14ac:dyDescent="0.35">
      <c r="B361" s="12"/>
      <c r="C361" s="17"/>
      <c r="D361" s="17"/>
      <c r="E361" s="17"/>
      <c r="F361" s="13"/>
    </row>
    <row r="362" spans="2:6" ht="18" x14ac:dyDescent="0.35">
      <c r="B362" s="12"/>
      <c r="C362" s="17"/>
      <c r="D362" s="17"/>
      <c r="E362" s="17"/>
      <c r="F362" s="13"/>
    </row>
    <row r="363" spans="2:6" ht="18" x14ac:dyDescent="0.35">
      <c r="B363" s="12"/>
      <c r="C363" s="17"/>
      <c r="D363" s="17"/>
      <c r="E363" s="17"/>
      <c r="F363" s="13"/>
    </row>
    <row r="364" spans="2:6" ht="18" x14ac:dyDescent="0.35">
      <c r="B364" s="12"/>
      <c r="C364" s="17"/>
      <c r="D364" s="17"/>
      <c r="E364" s="17"/>
      <c r="F364" s="13"/>
    </row>
    <row r="365" spans="2:6" ht="18" x14ac:dyDescent="0.35">
      <c r="B365" s="12"/>
      <c r="C365" s="17"/>
      <c r="D365" s="17"/>
      <c r="E365" s="17"/>
      <c r="F365" s="13"/>
    </row>
    <row r="366" spans="2:6" ht="18" x14ac:dyDescent="0.35">
      <c r="B366" s="12"/>
      <c r="C366" s="17"/>
      <c r="D366" s="17"/>
      <c r="E366" s="17"/>
      <c r="F366" s="13"/>
    </row>
    <row r="367" spans="2:6" ht="18" x14ac:dyDescent="0.35">
      <c r="B367" s="12"/>
      <c r="C367" s="17"/>
      <c r="D367" s="17"/>
      <c r="E367" s="17"/>
      <c r="F367" s="13"/>
    </row>
    <row r="368" spans="2:6" ht="18" x14ac:dyDescent="0.35">
      <c r="B368" s="12"/>
      <c r="C368" s="17"/>
      <c r="D368" s="17"/>
      <c r="E368" s="17"/>
      <c r="F368" s="13"/>
    </row>
    <row r="369" spans="2:6" ht="18" x14ac:dyDescent="0.35">
      <c r="B369" s="12"/>
      <c r="C369" s="17"/>
      <c r="D369" s="17"/>
      <c r="E369" s="17"/>
      <c r="F369" s="13"/>
    </row>
    <row r="370" spans="2:6" ht="18" x14ac:dyDescent="0.35">
      <c r="B370" s="12"/>
      <c r="C370" s="17"/>
      <c r="D370" s="17"/>
      <c r="E370" s="17"/>
      <c r="F370" s="13"/>
    </row>
    <row r="371" spans="2:6" ht="18" x14ac:dyDescent="0.35">
      <c r="B371" s="12"/>
      <c r="C371" s="17"/>
      <c r="D371" s="17"/>
      <c r="E371" s="17"/>
      <c r="F371" s="13"/>
    </row>
    <row r="372" spans="2:6" ht="18" x14ac:dyDescent="0.35">
      <c r="B372" s="12"/>
      <c r="C372" s="17"/>
      <c r="D372" s="17"/>
      <c r="E372" s="17"/>
      <c r="F372" s="13"/>
    </row>
    <row r="373" spans="2:6" ht="18" x14ac:dyDescent="0.35">
      <c r="B373" s="12"/>
      <c r="C373" s="17"/>
      <c r="D373" s="17"/>
      <c r="E373" s="17"/>
      <c r="F373" s="13"/>
    </row>
    <row r="374" spans="2:6" ht="18" x14ac:dyDescent="0.35">
      <c r="B374" s="12"/>
      <c r="C374" s="17"/>
      <c r="D374" s="17"/>
      <c r="E374" s="17"/>
      <c r="F374" s="13"/>
    </row>
    <row r="375" spans="2:6" ht="18" x14ac:dyDescent="0.35">
      <c r="B375" s="12"/>
      <c r="C375" s="17"/>
      <c r="D375" s="17"/>
      <c r="E375" s="17"/>
      <c r="F375" s="13"/>
    </row>
    <row r="376" spans="2:6" ht="18" x14ac:dyDescent="0.35">
      <c r="B376" s="12"/>
      <c r="C376" s="17"/>
      <c r="D376" s="17"/>
      <c r="E376" s="17"/>
      <c r="F376" s="13"/>
    </row>
    <row r="377" spans="2:6" ht="18" x14ac:dyDescent="0.35">
      <c r="B377" s="12"/>
      <c r="C377" s="17"/>
      <c r="D377" s="17"/>
      <c r="E377" s="17"/>
      <c r="F377" s="13"/>
    </row>
    <row r="378" spans="2:6" ht="18" x14ac:dyDescent="0.35">
      <c r="B378" s="12"/>
      <c r="C378" s="17"/>
      <c r="D378" s="17"/>
      <c r="E378" s="17"/>
      <c r="F378" s="13"/>
    </row>
    <row r="379" spans="2:6" ht="18" x14ac:dyDescent="0.35">
      <c r="B379" s="12"/>
      <c r="C379" s="17"/>
      <c r="D379" s="17"/>
      <c r="E379" s="17"/>
      <c r="F379" s="13"/>
    </row>
    <row r="380" spans="2:6" ht="18" x14ac:dyDescent="0.35">
      <c r="B380" s="12"/>
      <c r="C380" s="17"/>
      <c r="D380" s="17"/>
      <c r="E380" s="17"/>
      <c r="F380" s="13"/>
    </row>
    <row r="381" spans="2:6" ht="18" x14ac:dyDescent="0.35">
      <c r="B381" s="12"/>
      <c r="C381" s="17"/>
      <c r="D381" s="17"/>
      <c r="E381" s="17"/>
      <c r="F381" s="13"/>
    </row>
    <row r="382" spans="2:6" ht="18" x14ac:dyDescent="0.35">
      <c r="B382" s="12"/>
      <c r="C382" s="17"/>
      <c r="D382" s="17"/>
      <c r="E382" s="17"/>
      <c r="F382" s="13"/>
    </row>
    <row r="383" spans="2:6" ht="18" x14ac:dyDescent="0.35">
      <c r="B383" s="12"/>
      <c r="C383" s="17"/>
      <c r="D383" s="17"/>
      <c r="E383" s="17"/>
      <c r="F383" s="13"/>
    </row>
    <row r="384" spans="2:6" ht="18" x14ac:dyDescent="0.35">
      <c r="B384" s="12"/>
      <c r="C384" s="17"/>
      <c r="D384" s="17"/>
      <c r="E384" s="17"/>
      <c r="F384" s="13"/>
    </row>
    <row r="385" spans="2:6" ht="18" x14ac:dyDescent="0.35">
      <c r="B385" s="12"/>
      <c r="C385" s="17"/>
      <c r="D385" s="17"/>
      <c r="E385" s="17"/>
      <c r="F385" s="13"/>
    </row>
    <row r="386" spans="2:6" ht="18" x14ac:dyDescent="0.35">
      <c r="B386" s="12"/>
      <c r="C386" s="17"/>
      <c r="D386" s="17"/>
      <c r="E386" s="17"/>
      <c r="F386" s="13"/>
    </row>
    <row r="387" spans="2:6" ht="18" x14ac:dyDescent="0.35">
      <c r="B387" s="12"/>
      <c r="C387" s="17"/>
      <c r="D387" s="17"/>
      <c r="E387" s="17"/>
      <c r="F387" s="13"/>
    </row>
    <row r="388" spans="2:6" ht="18" x14ac:dyDescent="0.35">
      <c r="B388" s="12"/>
      <c r="C388" s="17"/>
      <c r="D388" s="17"/>
      <c r="E388" s="17"/>
      <c r="F388" s="13"/>
    </row>
    <row r="389" spans="2:6" ht="18" x14ac:dyDescent="0.35">
      <c r="B389" s="12"/>
      <c r="C389" s="17"/>
      <c r="D389" s="17"/>
      <c r="E389" s="17"/>
      <c r="F389" s="13"/>
    </row>
    <row r="390" spans="2:6" ht="18" x14ac:dyDescent="0.35">
      <c r="B390" s="12"/>
      <c r="C390" s="17"/>
      <c r="D390" s="17"/>
      <c r="E390" s="17"/>
      <c r="F390" s="13"/>
    </row>
    <row r="391" spans="2:6" ht="18" x14ac:dyDescent="0.35">
      <c r="B391" s="12"/>
      <c r="C391" s="17"/>
      <c r="D391" s="17"/>
      <c r="E391" s="17"/>
      <c r="F391" s="13"/>
    </row>
    <row r="392" spans="2:6" ht="18" x14ac:dyDescent="0.35">
      <c r="B392" s="12"/>
      <c r="C392" s="17"/>
      <c r="D392" s="17"/>
      <c r="E392" s="17"/>
      <c r="F392" s="13"/>
    </row>
    <row r="393" spans="2:6" ht="18" x14ac:dyDescent="0.35">
      <c r="B393" s="12"/>
      <c r="C393" s="17"/>
      <c r="D393" s="17"/>
      <c r="E393" s="17"/>
      <c r="F393" s="13"/>
    </row>
    <row r="394" spans="2:6" ht="18" x14ac:dyDescent="0.35">
      <c r="B394" s="12"/>
      <c r="C394" s="17"/>
      <c r="D394" s="17"/>
      <c r="E394" s="17"/>
      <c r="F394" s="13"/>
    </row>
    <row r="395" spans="2:6" ht="18" x14ac:dyDescent="0.35">
      <c r="B395" s="12"/>
      <c r="C395" s="17"/>
      <c r="D395" s="17"/>
      <c r="E395" s="17"/>
      <c r="F395" s="13"/>
    </row>
    <row r="396" spans="2:6" ht="18" x14ac:dyDescent="0.35">
      <c r="B396" s="12"/>
      <c r="C396" s="17"/>
      <c r="D396" s="17"/>
      <c r="E396" s="17"/>
      <c r="F396" s="13"/>
    </row>
    <row r="397" spans="2:6" ht="18" x14ac:dyDescent="0.35">
      <c r="B397" s="12"/>
      <c r="C397" s="17"/>
      <c r="D397" s="17"/>
      <c r="E397" s="17"/>
      <c r="F397" s="13"/>
    </row>
    <row r="398" spans="2:6" ht="18" x14ac:dyDescent="0.35">
      <c r="B398" s="12"/>
      <c r="C398" s="17"/>
      <c r="D398" s="17"/>
      <c r="E398" s="17"/>
      <c r="F398" s="13"/>
    </row>
    <row r="399" spans="2:6" ht="18" x14ac:dyDescent="0.35">
      <c r="B399" s="12"/>
      <c r="C399" s="17"/>
      <c r="D399" s="17"/>
      <c r="E399" s="17"/>
      <c r="F399" s="13"/>
    </row>
    <row r="400" spans="2:6" ht="18" x14ac:dyDescent="0.35">
      <c r="B400" s="15"/>
      <c r="C400" s="18"/>
      <c r="D400" s="18"/>
      <c r="E400" s="17"/>
      <c r="F400" s="16"/>
    </row>
    <row r="401" spans="2:6" ht="18" x14ac:dyDescent="0.35">
      <c r="B401" s="421"/>
      <c r="C401" s="422"/>
      <c r="D401" s="422"/>
      <c r="E401" s="422"/>
      <c r="F401" s="423"/>
    </row>
    <row r="402" spans="2:6" ht="18" x14ac:dyDescent="0.35">
      <c r="B402" s="421"/>
      <c r="C402" s="422"/>
      <c r="D402" s="422"/>
      <c r="E402" s="422"/>
      <c r="F402" s="423"/>
    </row>
    <row r="403" spans="2:6" ht="18" x14ac:dyDescent="0.35">
      <c r="B403" s="421"/>
      <c r="C403" s="422"/>
      <c r="D403" s="422"/>
      <c r="E403" s="422"/>
      <c r="F403" s="423"/>
    </row>
    <row r="404" spans="2:6" ht="18" x14ac:dyDescent="0.35">
      <c r="B404" s="421"/>
      <c r="C404" s="422"/>
      <c r="D404" s="422"/>
      <c r="E404" s="422"/>
      <c r="F404" s="423"/>
    </row>
    <row r="405" spans="2:6" ht="18" x14ac:dyDescent="0.35">
      <c r="B405" s="421"/>
      <c r="C405" s="422"/>
      <c r="D405" s="422"/>
      <c r="E405" s="422"/>
      <c r="F405" s="423"/>
    </row>
    <row r="406" spans="2:6" ht="18" x14ac:dyDescent="0.35">
      <c r="B406" s="421"/>
      <c r="C406" s="422"/>
      <c r="D406" s="422"/>
      <c r="E406" s="422"/>
      <c r="F406" s="423"/>
    </row>
    <row r="407" spans="2:6" ht="18" x14ac:dyDescent="0.35">
      <c r="B407" s="421"/>
      <c r="C407" s="422"/>
      <c r="D407" s="422"/>
      <c r="E407" s="422"/>
      <c r="F407" s="423"/>
    </row>
    <row r="408" spans="2:6" ht="18" x14ac:dyDescent="0.35">
      <c r="B408" s="421"/>
      <c r="C408" s="422"/>
      <c r="D408" s="422"/>
      <c r="E408" s="422"/>
      <c r="F408" s="423"/>
    </row>
    <row r="409" spans="2:6" ht="18" x14ac:dyDescent="0.35">
      <c r="B409" s="421"/>
      <c r="C409" s="422"/>
      <c r="D409" s="422"/>
      <c r="E409" s="422"/>
      <c r="F409" s="423"/>
    </row>
    <row r="410" spans="2:6" ht="18" x14ac:dyDescent="0.35">
      <c r="B410" s="421"/>
      <c r="C410" s="422"/>
      <c r="D410" s="422"/>
      <c r="E410" s="422"/>
      <c r="F410" s="423"/>
    </row>
    <row r="411" spans="2:6" ht="18" x14ac:dyDescent="0.35">
      <c r="B411" s="421"/>
      <c r="C411" s="422"/>
      <c r="D411" s="422"/>
      <c r="E411" s="422"/>
      <c r="F411" s="423"/>
    </row>
    <row r="412" spans="2:6" ht="18" x14ac:dyDescent="0.35">
      <c r="B412" s="421"/>
      <c r="C412" s="422"/>
      <c r="D412" s="422"/>
      <c r="E412" s="422"/>
      <c r="F412" s="423"/>
    </row>
    <row r="413" spans="2:6" ht="18" x14ac:dyDescent="0.35">
      <c r="B413" s="421"/>
      <c r="C413" s="422"/>
      <c r="D413" s="422"/>
      <c r="E413" s="422"/>
      <c r="F413" s="423"/>
    </row>
    <row r="414" spans="2:6" ht="18" x14ac:dyDescent="0.35">
      <c r="B414" s="421"/>
      <c r="C414" s="422"/>
      <c r="D414" s="422"/>
      <c r="E414" s="422"/>
      <c r="F414" s="423"/>
    </row>
    <row r="415" spans="2:6" ht="18" x14ac:dyDescent="0.35">
      <c r="B415" s="421"/>
      <c r="C415" s="422"/>
      <c r="D415" s="422"/>
      <c r="E415" s="422"/>
      <c r="F415" s="423"/>
    </row>
    <row r="416" spans="2:6" ht="18" x14ac:dyDescent="0.35">
      <c r="B416" s="421"/>
      <c r="C416" s="422"/>
      <c r="D416" s="422"/>
      <c r="E416" s="422"/>
      <c r="F416" s="423"/>
    </row>
    <row r="417" spans="2:6" ht="18" x14ac:dyDescent="0.35">
      <c r="B417" s="421"/>
      <c r="C417" s="422"/>
      <c r="D417" s="422"/>
      <c r="E417" s="422"/>
      <c r="F417" s="423"/>
    </row>
    <row r="418" spans="2:6" ht="18" x14ac:dyDescent="0.35">
      <c r="B418" s="421"/>
      <c r="C418" s="422"/>
      <c r="D418" s="422"/>
      <c r="E418" s="422"/>
      <c r="F418" s="423"/>
    </row>
    <row r="419" spans="2:6" ht="18" x14ac:dyDescent="0.35">
      <c r="B419" s="421"/>
      <c r="C419" s="422"/>
      <c r="D419" s="422"/>
      <c r="E419" s="422"/>
      <c r="F419" s="423"/>
    </row>
    <row r="420" spans="2:6" ht="18" x14ac:dyDescent="0.35">
      <c r="B420" s="421"/>
      <c r="C420" s="422"/>
      <c r="D420" s="422"/>
      <c r="E420" s="422"/>
      <c r="F420" s="423"/>
    </row>
    <row r="421" spans="2:6" ht="18" x14ac:dyDescent="0.35">
      <c r="B421" s="421"/>
      <c r="C421" s="422"/>
      <c r="D421" s="422"/>
      <c r="E421" s="422"/>
      <c r="F421" s="423"/>
    </row>
    <row r="422" spans="2:6" ht="18" x14ac:dyDescent="0.35">
      <c r="B422" s="421"/>
      <c r="C422" s="422"/>
      <c r="D422" s="422"/>
      <c r="E422" s="422"/>
      <c r="F422" s="423"/>
    </row>
    <row r="423" spans="2:6" ht="18" x14ac:dyDescent="0.35">
      <c r="B423" s="421"/>
      <c r="C423" s="422"/>
      <c r="D423" s="422"/>
      <c r="E423" s="422"/>
      <c r="F423" s="423"/>
    </row>
    <row r="424" spans="2:6" ht="18" x14ac:dyDescent="0.35">
      <c r="B424" s="421"/>
      <c r="C424" s="422"/>
      <c r="D424" s="422"/>
      <c r="E424" s="422"/>
      <c r="F424" s="423"/>
    </row>
    <row r="425" spans="2:6" ht="18" x14ac:dyDescent="0.35">
      <c r="B425" s="421"/>
      <c r="C425" s="422"/>
      <c r="D425" s="422"/>
      <c r="E425" s="422"/>
      <c r="F425" s="423"/>
    </row>
    <row r="426" spans="2:6" ht="18" x14ac:dyDescent="0.35">
      <c r="B426" s="421"/>
      <c r="C426" s="422"/>
      <c r="D426" s="422"/>
      <c r="E426" s="422"/>
      <c r="F426" s="423"/>
    </row>
    <row r="427" spans="2:6" ht="18" x14ac:dyDescent="0.35">
      <c r="B427" s="421"/>
      <c r="C427" s="422"/>
      <c r="D427" s="422"/>
      <c r="E427" s="422"/>
      <c r="F427" s="423"/>
    </row>
    <row r="428" spans="2:6" ht="18" x14ac:dyDescent="0.35">
      <c r="B428" s="421"/>
      <c r="C428" s="422"/>
      <c r="D428" s="422"/>
      <c r="E428" s="422"/>
      <c r="F428" s="423"/>
    </row>
    <row r="429" spans="2:6" ht="18" x14ac:dyDescent="0.35">
      <c r="B429" s="421"/>
      <c r="C429" s="422"/>
      <c r="D429" s="422"/>
      <c r="E429" s="422"/>
      <c r="F429" s="423"/>
    </row>
    <row r="430" spans="2:6" ht="18" x14ac:dyDescent="0.35">
      <c r="B430" s="421"/>
      <c r="C430" s="422"/>
      <c r="D430" s="422"/>
      <c r="E430" s="422"/>
      <c r="F430" s="423"/>
    </row>
    <row r="431" spans="2:6" ht="18" x14ac:dyDescent="0.35">
      <c r="B431" s="421"/>
      <c r="C431" s="422"/>
      <c r="D431" s="422"/>
      <c r="E431" s="422"/>
      <c r="F431" s="423"/>
    </row>
    <row r="432" spans="2:6" ht="18" x14ac:dyDescent="0.35">
      <c r="B432" s="421"/>
      <c r="C432" s="422"/>
      <c r="D432" s="422"/>
      <c r="E432" s="422"/>
      <c r="F432" s="423"/>
    </row>
    <row r="433" spans="2:6" ht="18" x14ac:dyDescent="0.35">
      <c r="B433" s="421"/>
      <c r="C433" s="422"/>
      <c r="D433" s="422"/>
      <c r="E433" s="422"/>
      <c r="F433" s="423"/>
    </row>
    <row r="434" spans="2:6" ht="18" x14ac:dyDescent="0.35">
      <c r="B434" s="421"/>
      <c r="C434" s="422"/>
      <c r="D434" s="422"/>
      <c r="E434" s="422"/>
      <c r="F434" s="423"/>
    </row>
    <row r="435" spans="2:6" ht="18" x14ac:dyDescent="0.35">
      <c r="B435" s="421"/>
      <c r="C435" s="422"/>
      <c r="D435" s="422"/>
      <c r="E435" s="422"/>
      <c r="F435" s="423"/>
    </row>
    <row r="436" spans="2:6" ht="18" x14ac:dyDescent="0.35">
      <c r="B436" s="421"/>
      <c r="C436" s="422"/>
      <c r="D436" s="422"/>
      <c r="E436" s="422"/>
      <c r="F436" s="423"/>
    </row>
    <row r="437" spans="2:6" ht="18" x14ac:dyDescent="0.35">
      <c r="B437" s="421"/>
      <c r="C437" s="422"/>
      <c r="D437" s="422"/>
      <c r="E437" s="422"/>
      <c r="F437" s="423"/>
    </row>
    <row r="438" spans="2:6" ht="18" x14ac:dyDescent="0.35">
      <c r="B438" s="421"/>
      <c r="C438" s="422"/>
      <c r="D438" s="422"/>
      <c r="E438" s="422"/>
      <c r="F438" s="423"/>
    </row>
    <row r="439" spans="2:6" ht="18" x14ac:dyDescent="0.35">
      <c r="B439" s="421"/>
      <c r="C439" s="422"/>
      <c r="D439" s="422"/>
      <c r="E439" s="422"/>
      <c r="F439" s="423"/>
    </row>
    <row r="440" spans="2:6" ht="18" x14ac:dyDescent="0.35">
      <c r="B440" s="421"/>
      <c r="C440" s="422"/>
      <c r="D440" s="422"/>
      <c r="E440" s="422"/>
      <c r="F440" s="423"/>
    </row>
    <row r="441" spans="2:6" ht="18" x14ac:dyDescent="0.35">
      <c r="B441" s="421"/>
      <c r="C441" s="422"/>
      <c r="D441" s="422"/>
      <c r="E441" s="422"/>
      <c r="F441" s="423"/>
    </row>
    <row r="442" spans="2:6" ht="18" x14ac:dyDescent="0.35">
      <c r="B442" s="421"/>
      <c r="C442" s="422"/>
      <c r="D442" s="422"/>
      <c r="E442" s="422"/>
      <c r="F442" s="423"/>
    </row>
    <row r="443" spans="2:6" ht="18" x14ac:dyDescent="0.35">
      <c r="B443" s="421"/>
      <c r="C443" s="422"/>
      <c r="D443" s="422"/>
      <c r="E443" s="422"/>
      <c r="F443" s="423"/>
    </row>
    <row r="444" spans="2:6" ht="18" x14ac:dyDescent="0.35">
      <c r="B444" s="421"/>
      <c r="C444" s="422"/>
      <c r="D444" s="422"/>
      <c r="E444" s="422"/>
      <c r="F444" s="423"/>
    </row>
    <row r="445" spans="2:6" ht="18" x14ac:dyDescent="0.35">
      <c r="B445" s="421"/>
      <c r="C445" s="422"/>
      <c r="D445" s="422"/>
      <c r="E445" s="422"/>
      <c r="F445" s="423"/>
    </row>
    <row r="446" spans="2:6" ht="18" x14ac:dyDescent="0.35">
      <c r="B446" s="421"/>
      <c r="C446" s="422"/>
      <c r="D446" s="422"/>
      <c r="E446" s="422"/>
      <c r="F446" s="423"/>
    </row>
    <row r="447" spans="2:6" ht="18" x14ac:dyDescent="0.35">
      <c r="B447" s="421"/>
      <c r="C447" s="422"/>
      <c r="D447" s="422"/>
      <c r="E447" s="422"/>
      <c r="F447" s="423"/>
    </row>
    <row r="448" spans="2:6" ht="18" x14ac:dyDescent="0.35">
      <c r="B448" s="421"/>
      <c r="C448" s="422"/>
      <c r="D448" s="422"/>
      <c r="E448" s="422"/>
      <c r="F448" s="423"/>
    </row>
    <row r="449" spans="2:6" ht="18" x14ac:dyDescent="0.35">
      <c r="B449" s="421"/>
      <c r="C449" s="422"/>
      <c r="D449" s="422"/>
      <c r="E449" s="422"/>
      <c r="F449" s="423"/>
    </row>
    <row r="450" spans="2:6" ht="18" x14ac:dyDescent="0.35">
      <c r="B450" s="421"/>
      <c r="C450" s="422"/>
      <c r="D450" s="422"/>
      <c r="E450" s="422"/>
      <c r="F450" s="423"/>
    </row>
    <row r="451" spans="2:6" ht="18" x14ac:dyDescent="0.35">
      <c r="B451" s="421"/>
      <c r="C451" s="422"/>
      <c r="D451" s="422"/>
      <c r="E451" s="422"/>
      <c r="F451" s="423"/>
    </row>
    <row r="452" spans="2:6" ht="18" x14ac:dyDescent="0.35">
      <c r="B452" s="421"/>
      <c r="C452" s="422"/>
      <c r="D452" s="422"/>
      <c r="E452" s="422"/>
      <c r="F452" s="423"/>
    </row>
    <row r="453" spans="2:6" ht="18" x14ac:dyDescent="0.35">
      <c r="B453" s="421"/>
      <c r="C453" s="422"/>
      <c r="D453" s="422"/>
      <c r="E453" s="422"/>
      <c r="F453" s="423"/>
    </row>
    <row r="454" spans="2:6" ht="18" x14ac:dyDescent="0.35">
      <c r="B454" s="421"/>
      <c r="C454" s="422"/>
      <c r="D454" s="422"/>
      <c r="E454" s="422"/>
      <c r="F454" s="423"/>
    </row>
    <row r="455" spans="2:6" ht="18" x14ac:dyDescent="0.35">
      <c r="B455" s="421"/>
      <c r="C455" s="422"/>
      <c r="D455" s="422"/>
      <c r="E455" s="422"/>
      <c r="F455" s="423"/>
    </row>
    <row r="456" spans="2:6" ht="18" x14ac:dyDescent="0.35">
      <c r="B456" s="421"/>
      <c r="C456" s="422"/>
      <c r="D456" s="422"/>
      <c r="E456" s="422"/>
      <c r="F456" s="423"/>
    </row>
    <row r="457" spans="2:6" ht="18" x14ac:dyDescent="0.35">
      <c r="B457" s="421"/>
      <c r="C457" s="422"/>
      <c r="D457" s="422"/>
      <c r="E457" s="422"/>
      <c r="F457" s="423"/>
    </row>
    <row r="458" spans="2:6" ht="18" x14ac:dyDescent="0.35">
      <c r="B458" s="421"/>
      <c r="C458" s="422"/>
      <c r="D458" s="422"/>
      <c r="E458" s="422"/>
      <c r="F458" s="423"/>
    </row>
    <row r="459" spans="2:6" ht="18" x14ac:dyDescent="0.35">
      <c r="B459" s="421"/>
      <c r="C459" s="422"/>
      <c r="D459" s="422"/>
      <c r="E459" s="422"/>
      <c r="F459" s="423"/>
    </row>
    <row r="460" spans="2:6" ht="18" x14ac:dyDescent="0.35">
      <c r="B460" s="421"/>
      <c r="C460" s="422"/>
      <c r="D460" s="422"/>
      <c r="E460" s="422"/>
      <c r="F460" s="423"/>
    </row>
    <row r="461" spans="2:6" ht="18" x14ac:dyDescent="0.35">
      <c r="B461" s="421"/>
      <c r="C461" s="422"/>
      <c r="D461" s="422"/>
      <c r="E461" s="422"/>
      <c r="F461" s="423"/>
    </row>
    <row r="462" spans="2:6" ht="18" x14ac:dyDescent="0.35">
      <c r="B462" s="421"/>
      <c r="C462" s="422"/>
      <c r="D462" s="422"/>
      <c r="E462" s="422"/>
      <c r="F462" s="423"/>
    </row>
    <row r="463" spans="2:6" ht="18" x14ac:dyDescent="0.35">
      <c r="B463" s="421"/>
      <c r="C463" s="422"/>
      <c r="D463" s="422"/>
      <c r="E463" s="422"/>
      <c r="F463" s="423"/>
    </row>
    <row r="464" spans="2:6" ht="18" x14ac:dyDescent="0.35">
      <c r="B464" s="421"/>
      <c r="C464" s="422"/>
      <c r="D464" s="422"/>
      <c r="E464" s="422"/>
      <c r="F464" s="423"/>
    </row>
    <row r="465" spans="2:6" ht="18" x14ac:dyDescent="0.35">
      <c r="B465" s="421"/>
      <c r="C465" s="422"/>
      <c r="D465" s="422"/>
      <c r="E465" s="422"/>
      <c r="F465" s="423"/>
    </row>
    <row r="466" spans="2:6" ht="18" x14ac:dyDescent="0.35">
      <c r="B466" s="421"/>
      <c r="C466" s="422"/>
      <c r="D466" s="422"/>
      <c r="E466" s="422"/>
      <c r="F466" s="423"/>
    </row>
    <row r="467" spans="2:6" ht="18" x14ac:dyDescent="0.35">
      <c r="B467" s="421"/>
      <c r="C467" s="422"/>
      <c r="D467" s="422"/>
      <c r="E467" s="422"/>
      <c r="F467" s="423"/>
    </row>
    <row r="468" spans="2:6" ht="18" x14ac:dyDescent="0.35">
      <c r="B468" s="421"/>
      <c r="C468" s="422"/>
      <c r="D468" s="422"/>
      <c r="E468" s="422"/>
      <c r="F468" s="423"/>
    </row>
    <row r="469" spans="2:6" ht="18" x14ac:dyDescent="0.35">
      <c r="B469" s="421"/>
      <c r="C469" s="422"/>
      <c r="D469" s="422"/>
      <c r="E469" s="422"/>
      <c r="F469" s="423"/>
    </row>
    <row r="470" spans="2:6" ht="18" x14ac:dyDescent="0.35">
      <c r="B470" s="421"/>
      <c r="C470" s="422"/>
      <c r="D470" s="422"/>
      <c r="E470" s="422"/>
      <c r="F470" s="423"/>
    </row>
    <row r="471" spans="2:6" ht="18" x14ac:dyDescent="0.35">
      <c r="B471" s="421"/>
      <c r="C471" s="422"/>
      <c r="D471" s="422"/>
      <c r="E471" s="422"/>
      <c r="F471" s="423"/>
    </row>
    <row r="472" spans="2:6" ht="18" x14ac:dyDescent="0.35">
      <c r="B472" s="421"/>
      <c r="C472" s="422"/>
      <c r="D472" s="422"/>
      <c r="E472" s="422"/>
      <c r="F472" s="423"/>
    </row>
    <row r="473" spans="2:6" ht="18" x14ac:dyDescent="0.35">
      <c r="B473" s="421"/>
      <c r="C473" s="422"/>
      <c r="D473" s="422"/>
      <c r="E473" s="422"/>
      <c r="F473" s="423"/>
    </row>
    <row r="474" spans="2:6" ht="18" x14ac:dyDescent="0.35">
      <c r="B474" s="421"/>
      <c r="C474" s="422"/>
      <c r="D474" s="422"/>
      <c r="E474" s="422"/>
      <c r="F474" s="423"/>
    </row>
    <row r="475" spans="2:6" ht="18" x14ac:dyDescent="0.35">
      <c r="B475" s="421"/>
      <c r="C475" s="422"/>
      <c r="D475" s="422"/>
      <c r="E475" s="422"/>
      <c r="F475" s="423"/>
    </row>
    <row r="476" spans="2:6" ht="18" x14ac:dyDescent="0.35">
      <c r="B476" s="421"/>
      <c r="C476" s="422"/>
      <c r="D476" s="422"/>
      <c r="E476" s="422"/>
      <c r="F476" s="423"/>
    </row>
    <row r="477" spans="2:6" ht="18" x14ac:dyDescent="0.35">
      <c r="B477" s="421"/>
      <c r="C477" s="422"/>
      <c r="D477" s="422"/>
      <c r="E477" s="422"/>
      <c r="F477" s="423"/>
    </row>
    <row r="478" spans="2:6" ht="18" x14ac:dyDescent="0.35">
      <c r="B478" s="421"/>
      <c r="C478" s="422"/>
      <c r="D478" s="422"/>
      <c r="E478" s="422"/>
      <c r="F478" s="423"/>
    </row>
    <row r="479" spans="2:6" ht="18" x14ac:dyDescent="0.35">
      <c r="B479" s="421"/>
      <c r="C479" s="422"/>
      <c r="D479" s="422"/>
      <c r="E479" s="422"/>
      <c r="F479" s="423"/>
    </row>
    <row r="480" spans="2:6" ht="18" x14ac:dyDescent="0.35">
      <c r="B480" s="421"/>
      <c r="C480" s="422"/>
      <c r="D480" s="422"/>
      <c r="E480" s="422"/>
      <c r="F480" s="423"/>
    </row>
    <row r="481" spans="2:6" ht="18" x14ac:dyDescent="0.35">
      <c r="B481" s="421"/>
      <c r="C481" s="422"/>
      <c r="D481" s="422"/>
      <c r="E481" s="422"/>
      <c r="F481" s="423"/>
    </row>
    <row r="482" spans="2:6" ht="18" x14ac:dyDescent="0.35">
      <c r="B482" s="421"/>
      <c r="C482" s="422"/>
      <c r="D482" s="422"/>
      <c r="E482" s="422"/>
      <c r="F482" s="423"/>
    </row>
    <row r="483" spans="2:6" ht="18" x14ac:dyDescent="0.35">
      <c r="B483" s="421"/>
      <c r="C483" s="422"/>
      <c r="D483" s="422"/>
      <c r="E483" s="422"/>
      <c r="F483" s="423"/>
    </row>
    <row r="484" spans="2:6" ht="18" x14ac:dyDescent="0.35">
      <c r="B484" s="421"/>
      <c r="C484" s="422"/>
      <c r="D484" s="422"/>
      <c r="E484" s="422"/>
      <c r="F484" s="423"/>
    </row>
    <row r="485" spans="2:6" ht="18" x14ac:dyDescent="0.35">
      <c r="B485" s="421"/>
      <c r="C485" s="422"/>
      <c r="D485" s="422"/>
      <c r="E485" s="422"/>
      <c r="F485" s="423"/>
    </row>
    <row r="486" spans="2:6" ht="18" x14ac:dyDescent="0.35">
      <c r="B486" s="421"/>
      <c r="C486" s="422"/>
      <c r="D486" s="422"/>
      <c r="E486" s="422"/>
      <c r="F486" s="423"/>
    </row>
    <row r="487" spans="2:6" ht="18" x14ac:dyDescent="0.35">
      <c r="B487" s="421"/>
      <c r="C487" s="422"/>
      <c r="D487" s="422"/>
      <c r="E487" s="422"/>
      <c r="F487" s="423"/>
    </row>
    <row r="488" spans="2:6" ht="18" x14ac:dyDescent="0.35">
      <c r="B488" s="421"/>
      <c r="C488" s="422"/>
      <c r="D488" s="422"/>
      <c r="E488" s="422"/>
      <c r="F488" s="423"/>
    </row>
    <row r="489" spans="2:6" ht="18" x14ac:dyDescent="0.35">
      <c r="B489" s="421"/>
      <c r="C489" s="422"/>
      <c r="D489" s="422"/>
      <c r="E489" s="422"/>
      <c r="F489" s="423"/>
    </row>
    <row r="490" spans="2:6" ht="18" x14ac:dyDescent="0.35">
      <c r="B490" s="421"/>
      <c r="C490" s="422"/>
      <c r="D490" s="422"/>
      <c r="E490" s="422"/>
      <c r="F490" s="423"/>
    </row>
    <row r="491" spans="2:6" ht="18" x14ac:dyDescent="0.35">
      <c r="B491" s="421"/>
      <c r="C491" s="422"/>
      <c r="D491" s="422"/>
      <c r="E491" s="422"/>
      <c r="F491" s="423"/>
    </row>
    <row r="492" spans="2:6" ht="18" x14ac:dyDescent="0.35">
      <c r="B492" s="421"/>
      <c r="C492" s="422"/>
      <c r="D492" s="422"/>
      <c r="E492" s="422"/>
      <c r="F492" s="423"/>
    </row>
    <row r="493" spans="2:6" ht="18" x14ac:dyDescent="0.35">
      <c r="B493" s="421"/>
      <c r="C493" s="422"/>
      <c r="D493" s="422"/>
      <c r="E493" s="422"/>
      <c r="F493" s="423"/>
    </row>
    <row r="494" spans="2:6" ht="18" x14ac:dyDescent="0.35">
      <c r="B494" s="421"/>
      <c r="C494" s="422"/>
      <c r="D494" s="422"/>
      <c r="E494" s="422"/>
      <c r="F494" s="423"/>
    </row>
    <row r="495" spans="2:6" ht="18" x14ac:dyDescent="0.35">
      <c r="B495" s="421"/>
      <c r="C495" s="422"/>
      <c r="D495" s="422"/>
      <c r="E495" s="422"/>
      <c r="F495" s="423"/>
    </row>
    <row r="496" spans="2:6" ht="18" x14ac:dyDescent="0.35">
      <c r="B496" s="421"/>
      <c r="C496" s="422"/>
      <c r="D496" s="422"/>
      <c r="E496" s="422"/>
      <c r="F496" s="423"/>
    </row>
    <row r="497" spans="2:6" ht="18" x14ac:dyDescent="0.35">
      <c r="B497" s="421"/>
      <c r="C497" s="422"/>
      <c r="D497" s="422"/>
      <c r="E497" s="422"/>
      <c r="F497" s="423"/>
    </row>
    <row r="498" spans="2:6" ht="18" x14ac:dyDescent="0.35">
      <c r="B498" s="421"/>
      <c r="C498" s="422"/>
      <c r="D498" s="422"/>
      <c r="E498" s="422"/>
      <c r="F498" s="423"/>
    </row>
    <row r="499" spans="2:6" ht="18" x14ac:dyDescent="0.35">
      <c r="B499" s="421"/>
      <c r="C499" s="422"/>
      <c r="D499" s="422"/>
      <c r="E499" s="422"/>
      <c r="F499" s="423"/>
    </row>
    <row r="500" spans="2:6" ht="18" x14ac:dyDescent="0.35">
      <c r="B500" s="421"/>
      <c r="C500" s="422"/>
      <c r="D500" s="422"/>
      <c r="E500" s="422"/>
      <c r="F500" s="423"/>
    </row>
    <row r="501" spans="2:6" ht="18" x14ac:dyDescent="0.35">
      <c r="B501" s="421"/>
      <c r="C501" s="422"/>
      <c r="D501" s="422"/>
      <c r="E501" s="422"/>
      <c r="F501" s="423"/>
    </row>
    <row r="502" spans="2:6" ht="18" x14ac:dyDescent="0.35">
      <c r="B502" s="421"/>
      <c r="C502" s="422"/>
      <c r="D502" s="422"/>
      <c r="E502" s="422"/>
      <c r="F502" s="423"/>
    </row>
    <row r="503" spans="2:6" ht="18" x14ac:dyDescent="0.35">
      <c r="B503" s="421"/>
      <c r="C503" s="422"/>
      <c r="D503" s="422"/>
      <c r="E503" s="422"/>
      <c r="F503" s="423"/>
    </row>
    <row r="504" spans="2:6" ht="18" x14ac:dyDescent="0.35">
      <c r="B504" s="421"/>
      <c r="C504" s="422"/>
      <c r="D504" s="422"/>
      <c r="E504" s="422"/>
      <c r="F504" s="423"/>
    </row>
    <row r="505" spans="2:6" ht="18" x14ac:dyDescent="0.35">
      <c r="B505" s="421"/>
      <c r="C505" s="422"/>
      <c r="D505" s="422"/>
      <c r="E505" s="422"/>
      <c r="F505" s="423"/>
    </row>
    <row r="506" spans="2:6" ht="18" x14ac:dyDescent="0.35">
      <c r="B506" s="421"/>
      <c r="C506" s="422"/>
      <c r="D506" s="422"/>
      <c r="E506" s="422"/>
      <c r="F506" s="423"/>
    </row>
    <row r="507" spans="2:6" ht="18" x14ac:dyDescent="0.35">
      <c r="B507" s="421"/>
      <c r="C507" s="422"/>
      <c r="D507" s="422"/>
      <c r="E507" s="422"/>
      <c r="F507" s="423"/>
    </row>
    <row r="508" spans="2:6" ht="18" x14ac:dyDescent="0.35">
      <c r="B508" s="421"/>
      <c r="C508" s="422"/>
      <c r="D508" s="422"/>
      <c r="E508" s="422"/>
      <c r="F508" s="423"/>
    </row>
    <row r="509" spans="2:6" ht="18" x14ac:dyDescent="0.35">
      <c r="B509" s="421"/>
      <c r="C509" s="422"/>
      <c r="D509" s="422"/>
      <c r="E509" s="422"/>
      <c r="F509" s="423"/>
    </row>
    <row r="510" spans="2:6" ht="18" x14ac:dyDescent="0.35">
      <c r="B510" s="421"/>
      <c r="C510" s="422"/>
      <c r="D510" s="422"/>
      <c r="E510" s="422"/>
      <c r="F510" s="423"/>
    </row>
    <row r="511" spans="2:6" ht="18" x14ac:dyDescent="0.35">
      <c r="B511" s="421"/>
      <c r="C511" s="422"/>
      <c r="D511" s="422"/>
      <c r="E511" s="422"/>
      <c r="F511" s="423"/>
    </row>
    <row r="512" spans="2:6" ht="18" x14ac:dyDescent="0.35">
      <c r="B512" s="421"/>
      <c r="C512" s="422"/>
      <c r="D512" s="422"/>
      <c r="E512" s="422"/>
      <c r="F512" s="423"/>
    </row>
    <row r="513" spans="2:6" ht="18" x14ac:dyDescent="0.35">
      <c r="B513" s="421"/>
      <c r="C513" s="422"/>
      <c r="D513" s="422"/>
      <c r="E513" s="422"/>
      <c r="F513" s="423"/>
    </row>
    <row r="514" spans="2:6" ht="18" x14ac:dyDescent="0.35">
      <c r="B514" s="421"/>
      <c r="C514" s="422"/>
      <c r="D514" s="422"/>
      <c r="E514" s="422"/>
      <c r="F514" s="423"/>
    </row>
    <row r="515" spans="2:6" ht="18" x14ac:dyDescent="0.35">
      <c r="B515" s="421"/>
      <c r="C515" s="422"/>
      <c r="D515" s="422"/>
      <c r="E515" s="422"/>
      <c r="F515" s="423"/>
    </row>
    <row r="516" spans="2:6" ht="18" x14ac:dyDescent="0.35">
      <c r="B516" s="421"/>
      <c r="C516" s="422"/>
      <c r="D516" s="422"/>
      <c r="E516" s="422"/>
      <c r="F516" s="423"/>
    </row>
    <row r="517" spans="2:6" ht="18" x14ac:dyDescent="0.35">
      <c r="B517" s="421"/>
      <c r="C517" s="422"/>
      <c r="D517" s="422"/>
      <c r="E517" s="422"/>
      <c r="F517" s="423"/>
    </row>
    <row r="518" spans="2:6" ht="18" x14ac:dyDescent="0.35">
      <c r="B518" s="421"/>
      <c r="C518" s="422"/>
      <c r="D518" s="422"/>
      <c r="E518" s="422"/>
      <c r="F518" s="423"/>
    </row>
    <row r="519" spans="2:6" ht="18" x14ac:dyDescent="0.35">
      <c r="B519" s="421"/>
      <c r="C519" s="422"/>
      <c r="D519" s="422"/>
      <c r="E519" s="422"/>
      <c r="F519" s="423"/>
    </row>
    <row r="520" spans="2:6" ht="18" x14ac:dyDescent="0.35">
      <c r="B520" s="421"/>
      <c r="C520" s="422"/>
      <c r="D520" s="422"/>
      <c r="E520" s="422"/>
      <c r="F520" s="423"/>
    </row>
    <row r="521" spans="2:6" ht="18" x14ac:dyDescent="0.35">
      <c r="B521" s="421"/>
      <c r="C521" s="422"/>
      <c r="D521" s="422"/>
      <c r="E521" s="422"/>
      <c r="F521" s="423"/>
    </row>
    <row r="522" spans="2:6" ht="18" x14ac:dyDescent="0.35">
      <c r="B522" s="421"/>
      <c r="C522" s="422"/>
      <c r="D522" s="422"/>
      <c r="E522" s="422"/>
      <c r="F522" s="423"/>
    </row>
    <row r="523" spans="2:6" ht="18" x14ac:dyDescent="0.35">
      <c r="B523" s="421"/>
      <c r="C523" s="422"/>
      <c r="D523" s="422"/>
      <c r="E523" s="422"/>
      <c r="F523" s="423"/>
    </row>
    <row r="524" spans="2:6" ht="18" x14ac:dyDescent="0.35">
      <c r="B524" s="421"/>
      <c r="C524" s="422"/>
      <c r="D524" s="422"/>
      <c r="E524" s="422"/>
      <c r="F524" s="423"/>
    </row>
    <row r="525" spans="2:6" ht="18" x14ac:dyDescent="0.35">
      <c r="B525" s="421"/>
      <c r="C525" s="422"/>
      <c r="D525" s="422"/>
      <c r="E525" s="422"/>
      <c r="F525" s="423"/>
    </row>
    <row r="526" spans="2:6" ht="18" x14ac:dyDescent="0.35">
      <c r="B526" s="421"/>
      <c r="C526" s="422"/>
      <c r="D526" s="422"/>
      <c r="E526" s="422"/>
      <c r="F526" s="423"/>
    </row>
    <row r="527" spans="2:6" ht="18" x14ac:dyDescent="0.35">
      <c r="B527" s="421"/>
      <c r="C527" s="422"/>
      <c r="D527" s="422"/>
      <c r="E527" s="422"/>
      <c r="F527" s="423"/>
    </row>
    <row r="528" spans="2:6" ht="18" x14ac:dyDescent="0.35">
      <c r="B528" s="421"/>
      <c r="C528" s="422"/>
      <c r="D528" s="422"/>
      <c r="E528" s="422"/>
      <c r="F528" s="423"/>
    </row>
    <row r="529" spans="2:6" ht="18" x14ac:dyDescent="0.35">
      <c r="B529" s="421"/>
      <c r="C529" s="422"/>
      <c r="D529" s="422"/>
      <c r="E529" s="422"/>
      <c r="F529" s="423"/>
    </row>
    <row r="530" spans="2:6" ht="18" x14ac:dyDescent="0.35">
      <c r="B530" s="421"/>
      <c r="C530" s="422"/>
      <c r="D530" s="422"/>
      <c r="E530" s="422"/>
      <c r="F530" s="423"/>
    </row>
    <row r="531" spans="2:6" ht="18" x14ac:dyDescent="0.35">
      <c r="B531" s="421"/>
      <c r="C531" s="422"/>
      <c r="D531" s="422"/>
      <c r="E531" s="422"/>
      <c r="F531" s="423"/>
    </row>
    <row r="532" spans="2:6" ht="18" x14ac:dyDescent="0.35">
      <c r="B532" s="421"/>
      <c r="C532" s="422"/>
      <c r="D532" s="422"/>
      <c r="E532" s="422"/>
      <c r="F532" s="423"/>
    </row>
    <row r="533" spans="2:6" ht="18" x14ac:dyDescent="0.35">
      <c r="B533" s="421"/>
      <c r="C533" s="422"/>
      <c r="D533" s="422"/>
      <c r="E533" s="422"/>
      <c r="F533" s="423"/>
    </row>
    <row r="534" spans="2:6" ht="18" x14ac:dyDescent="0.35">
      <c r="B534" s="421"/>
      <c r="C534" s="422"/>
      <c r="D534" s="422"/>
      <c r="E534" s="422"/>
      <c r="F534" s="423"/>
    </row>
    <row r="535" spans="2:6" ht="18" x14ac:dyDescent="0.35">
      <c r="B535" s="421"/>
      <c r="C535" s="422"/>
      <c r="D535" s="422"/>
      <c r="E535" s="422"/>
      <c r="F535" s="423"/>
    </row>
    <row r="536" spans="2:6" ht="18" x14ac:dyDescent="0.35">
      <c r="B536" s="421"/>
      <c r="C536" s="422"/>
      <c r="D536" s="422"/>
      <c r="E536" s="422"/>
      <c r="F536" s="423"/>
    </row>
    <row r="537" spans="2:6" ht="18" x14ac:dyDescent="0.35">
      <c r="B537" s="421"/>
      <c r="C537" s="422"/>
      <c r="D537" s="422"/>
      <c r="E537" s="422"/>
      <c r="F537" s="423"/>
    </row>
    <row r="538" spans="2:6" ht="18" x14ac:dyDescent="0.35">
      <c r="B538" s="421"/>
      <c r="C538" s="422"/>
      <c r="D538" s="422"/>
      <c r="E538" s="422"/>
      <c r="F538" s="423"/>
    </row>
    <row r="539" spans="2:6" ht="18" x14ac:dyDescent="0.35">
      <c r="B539" s="421"/>
      <c r="C539" s="422"/>
      <c r="D539" s="422"/>
      <c r="E539" s="422"/>
      <c r="F539" s="423"/>
    </row>
    <row r="540" spans="2:6" ht="18" x14ac:dyDescent="0.35">
      <c r="B540" s="421"/>
      <c r="C540" s="422"/>
      <c r="D540" s="422"/>
      <c r="E540" s="422"/>
      <c r="F540" s="423"/>
    </row>
    <row r="541" spans="2:6" ht="18" x14ac:dyDescent="0.35">
      <c r="B541" s="421"/>
      <c r="C541" s="422"/>
      <c r="D541" s="422"/>
      <c r="E541" s="422"/>
      <c r="F541" s="423"/>
    </row>
    <row r="542" spans="2:6" ht="18" x14ac:dyDescent="0.35">
      <c r="B542" s="421"/>
      <c r="C542" s="422"/>
      <c r="D542" s="422"/>
      <c r="E542" s="422"/>
      <c r="F542" s="423"/>
    </row>
    <row r="543" spans="2:6" ht="18" x14ac:dyDescent="0.35">
      <c r="B543" s="421"/>
      <c r="C543" s="422"/>
      <c r="D543" s="422"/>
      <c r="E543" s="422"/>
      <c r="F543" s="423"/>
    </row>
    <row r="544" spans="2:6" ht="18" x14ac:dyDescent="0.35">
      <c r="B544" s="421"/>
      <c r="C544" s="422"/>
      <c r="D544" s="422"/>
      <c r="E544" s="422"/>
      <c r="F544" s="423"/>
    </row>
    <row r="545" spans="2:6" ht="18" x14ac:dyDescent="0.35">
      <c r="B545" s="421"/>
      <c r="C545" s="422"/>
      <c r="D545" s="422"/>
      <c r="E545" s="422"/>
      <c r="F545" s="423"/>
    </row>
    <row r="546" spans="2:6" ht="18" x14ac:dyDescent="0.35">
      <c r="B546" s="421"/>
      <c r="C546" s="422"/>
      <c r="D546" s="422"/>
      <c r="E546" s="422"/>
      <c r="F546" s="423"/>
    </row>
    <row r="547" spans="2:6" ht="18" x14ac:dyDescent="0.35">
      <c r="B547" s="421"/>
      <c r="C547" s="422"/>
      <c r="D547" s="422"/>
      <c r="E547" s="422"/>
      <c r="F547" s="423"/>
    </row>
    <row r="548" spans="2:6" ht="18" x14ac:dyDescent="0.35">
      <c r="B548" s="421"/>
      <c r="C548" s="422"/>
      <c r="D548" s="422"/>
      <c r="E548" s="422"/>
      <c r="F548" s="423"/>
    </row>
    <row r="549" spans="2:6" ht="18" x14ac:dyDescent="0.35">
      <c r="B549" s="421"/>
      <c r="C549" s="422"/>
      <c r="D549" s="422"/>
      <c r="E549" s="422"/>
      <c r="F549" s="423"/>
    </row>
    <row r="550" spans="2:6" ht="18" x14ac:dyDescent="0.35">
      <c r="B550" s="421"/>
      <c r="C550" s="422"/>
      <c r="D550" s="422"/>
      <c r="E550" s="422"/>
      <c r="F550" s="423"/>
    </row>
    <row r="551" spans="2:6" ht="18" x14ac:dyDescent="0.35">
      <c r="B551" s="421"/>
      <c r="C551" s="422"/>
      <c r="D551" s="422"/>
      <c r="E551" s="422"/>
      <c r="F551" s="423"/>
    </row>
    <row r="552" spans="2:6" ht="18" x14ac:dyDescent="0.35">
      <c r="B552" s="421"/>
      <c r="C552" s="422"/>
      <c r="D552" s="422"/>
      <c r="E552" s="422"/>
      <c r="F552" s="423"/>
    </row>
    <row r="553" spans="2:6" ht="18" x14ac:dyDescent="0.35">
      <c r="B553" s="421"/>
      <c r="C553" s="422"/>
      <c r="D553" s="422"/>
      <c r="E553" s="422"/>
      <c r="F553" s="423"/>
    </row>
    <row r="554" spans="2:6" ht="18" x14ac:dyDescent="0.35">
      <c r="B554" s="421"/>
      <c r="C554" s="422"/>
      <c r="D554" s="422"/>
      <c r="E554" s="422"/>
      <c r="F554" s="423"/>
    </row>
    <row r="555" spans="2:6" ht="18" x14ac:dyDescent="0.35">
      <c r="B555" s="421"/>
      <c r="C555" s="422"/>
      <c r="D555" s="422"/>
      <c r="E555" s="422"/>
      <c r="F555" s="423"/>
    </row>
    <row r="556" spans="2:6" ht="18" x14ac:dyDescent="0.35">
      <c r="B556" s="421"/>
      <c r="C556" s="422"/>
      <c r="D556" s="422"/>
      <c r="E556" s="422"/>
      <c r="F556" s="423"/>
    </row>
    <row r="557" spans="2:6" ht="18" x14ac:dyDescent="0.35">
      <c r="B557" s="421"/>
      <c r="C557" s="422"/>
      <c r="D557" s="422"/>
      <c r="E557" s="422"/>
      <c r="F557" s="423"/>
    </row>
    <row r="558" spans="2:6" ht="18" x14ac:dyDescent="0.35">
      <c r="B558" s="421"/>
      <c r="C558" s="422"/>
      <c r="D558" s="422"/>
      <c r="E558" s="422"/>
      <c r="F558" s="423"/>
    </row>
    <row r="559" spans="2:6" ht="18" x14ac:dyDescent="0.35">
      <c r="B559" s="421"/>
      <c r="C559" s="422"/>
      <c r="D559" s="422"/>
      <c r="E559" s="422"/>
      <c r="F559" s="423"/>
    </row>
    <row r="560" spans="2:6" ht="18" x14ac:dyDescent="0.35">
      <c r="B560" s="421"/>
      <c r="C560" s="422"/>
      <c r="D560" s="422"/>
      <c r="E560" s="422"/>
      <c r="F560" s="423"/>
    </row>
    <row r="561" spans="2:6" ht="18" x14ac:dyDescent="0.35">
      <c r="B561" s="421"/>
      <c r="C561" s="422"/>
      <c r="D561" s="422"/>
      <c r="E561" s="422"/>
      <c r="F561" s="423"/>
    </row>
    <row r="562" spans="2:6" ht="18" x14ac:dyDescent="0.35">
      <c r="B562" s="421"/>
      <c r="C562" s="422"/>
      <c r="D562" s="422"/>
      <c r="E562" s="422"/>
      <c r="F562" s="423"/>
    </row>
    <row r="563" spans="2:6" ht="18" x14ac:dyDescent="0.35">
      <c r="B563" s="421"/>
      <c r="C563" s="422"/>
      <c r="D563" s="422"/>
      <c r="E563" s="422"/>
      <c r="F563" s="423"/>
    </row>
    <row r="564" spans="2:6" ht="18" x14ac:dyDescent="0.35">
      <c r="B564" s="421"/>
      <c r="C564" s="422"/>
      <c r="D564" s="422"/>
      <c r="E564" s="422"/>
      <c r="F564" s="423"/>
    </row>
    <row r="565" spans="2:6" ht="18" x14ac:dyDescent="0.35">
      <c r="B565" s="421"/>
      <c r="C565" s="422"/>
      <c r="D565" s="422"/>
      <c r="E565" s="422"/>
      <c r="F565" s="423"/>
    </row>
    <row r="566" spans="2:6" ht="18" x14ac:dyDescent="0.35">
      <c r="B566" s="421"/>
      <c r="C566" s="422"/>
      <c r="D566" s="422"/>
      <c r="E566" s="422"/>
      <c r="F566" s="423"/>
    </row>
    <row r="567" spans="2:6" ht="18" x14ac:dyDescent="0.35">
      <c r="B567" s="421"/>
      <c r="C567" s="422"/>
      <c r="D567" s="422"/>
      <c r="E567" s="422"/>
      <c r="F567" s="423"/>
    </row>
    <row r="568" spans="2:6" ht="18" x14ac:dyDescent="0.35">
      <c r="B568" s="421"/>
      <c r="C568" s="422"/>
      <c r="D568" s="422"/>
      <c r="E568" s="422"/>
      <c r="F568" s="423"/>
    </row>
    <row r="569" spans="2:6" ht="18" x14ac:dyDescent="0.35">
      <c r="B569" s="421"/>
      <c r="C569" s="422"/>
      <c r="D569" s="422"/>
      <c r="E569" s="422"/>
      <c r="F569" s="423"/>
    </row>
    <row r="570" spans="2:6" ht="18" x14ac:dyDescent="0.35">
      <c r="B570" s="421"/>
      <c r="C570" s="422"/>
      <c r="D570" s="422"/>
      <c r="E570" s="422"/>
      <c r="F570" s="423"/>
    </row>
    <row r="571" spans="2:6" ht="18" x14ac:dyDescent="0.35">
      <c r="B571" s="421"/>
      <c r="C571" s="422"/>
      <c r="D571" s="422"/>
      <c r="E571" s="422"/>
      <c r="F571" s="423"/>
    </row>
    <row r="572" spans="2:6" ht="18" x14ac:dyDescent="0.35">
      <c r="B572" s="421"/>
      <c r="C572" s="422"/>
      <c r="D572" s="422"/>
      <c r="E572" s="422"/>
      <c r="F572" s="423"/>
    </row>
    <row r="573" spans="2:6" ht="18" x14ac:dyDescent="0.35">
      <c r="B573" s="421"/>
      <c r="C573" s="422"/>
      <c r="D573" s="422"/>
      <c r="E573" s="422"/>
      <c r="F573" s="423"/>
    </row>
    <row r="574" spans="2:6" ht="18" x14ac:dyDescent="0.35">
      <c r="B574" s="421"/>
      <c r="C574" s="422"/>
      <c r="D574" s="422"/>
      <c r="E574" s="422"/>
      <c r="F574" s="423"/>
    </row>
    <row r="575" spans="2:6" ht="18" x14ac:dyDescent="0.35">
      <c r="B575" s="421"/>
      <c r="C575" s="422"/>
      <c r="D575" s="422"/>
      <c r="E575" s="422"/>
      <c r="F575" s="423"/>
    </row>
    <row r="576" spans="2:6" ht="18" x14ac:dyDescent="0.35">
      <c r="B576" s="421"/>
      <c r="C576" s="422"/>
      <c r="D576" s="422"/>
      <c r="E576" s="422"/>
      <c r="F576" s="423"/>
    </row>
    <row r="577" spans="2:6" ht="18" x14ac:dyDescent="0.35">
      <c r="B577" s="421"/>
      <c r="C577" s="422"/>
      <c r="D577" s="422"/>
      <c r="E577" s="422"/>
      <c r="F577" s="423"/>
    </row>
    <row r="578" spans="2:6" ht="18" x14ac:dyDescent="0.35">
      <c r="B578" s="421"/>
      <c r="C578" s="422"/>
      <c r="D578" s="422"/>
      <c r="E578" s="422"/>
      <c r="F578" s="423"/>
    </row>
    <row r="579" spans="2:6" ht="18" x14ac:dyDescent="0.35">
      <c r="B579" s="421"/>
      <c r="C579" s="422"/>
      <c r="D579" s="422"/>
      <c r="E579" s="422"/>
      <c r="F579" s="423"/>
    </row>
    <row r="580" spans="2:6" ht="18" x14ac:dyDescent="0.35">
      <c r="B580" s="421"/>
      <c r="C580" s="422"/>
      <c r="D580" s="422"/>
      <c r="E580" s="422"/>
      <c r="F580" s="423"/>
    </row>
    <row r="581" spans="2:6" ht="18" x14ac:dyDescent="0.35">
      <c r="B581" s="421"/>
      <c r="C581" s="422"/>
      <c r="D581" s="422"/>
      <c r="E581" s="422"/>
      <c r="F581" s="423"/>
    </row>
    <row r="582" spans="2:6" ht="18" x14ac:dyDescent="0.35">
      <c r="B582" s="421"/>
      <c r="C582" s="422"/>
      <c r="D582" s="422"/>
      <c r="E582" s="422"/>
      <c r="F582" s="423"/>
    </row>
    <row r="583" spans="2:6" ht="18" x14ac:dyDescent="0.35">
      <c r="B583" s="421"/>
      <c r="C583" s="422"/>
      <c r="D583" s="422"/>
      <c r="E583" s="422"/>
      <c r="F583" s="423"/>
    </row>
    <row r="584" spans="2:6" ht="18" x14ac:dyDescent="0.35">
      <c r="B584" s="421"/>
      <c r="C584" s="422"/>
      <c r="D584" s="422"/>
      <c r="E584" s="422"/>
      <c r="F584" s="423"/>
    </row>
    <row r="585" spans="2:6" ht="18" x14ac:dyDescent="0.35">
      <c r="B585" s="421"/>
      <c r="C585" s="422"/>
      <c r="D585" s="422"/>
      <c r="E585" s="422"/>
      <c r="F585" s="423"/>
    </row>
    <row r="586" spans="2:6" ht="18" x14ac:dyDescent="0.35">
      <c r="B586" s="421"/>
      <c r="C586" s="422"/>
      <c r="D586" s="422"/>
      <c r="E586" s="422"/>
      <c r="F586" s="423"/>
    </row>
    <row r="587" spans="2:6" ht="18" x14ac:dyDescent="0.35">
      <c r="B587" s="421"/>
      <c r="C587" s="422"/>
      <c r="D587" s="422"/>
      <c r="E587" s="422"/>
      <c r="F587" s="423"/>
    </row>
    <row r="588" spans="2:6" ht="18" x14ac:dyDescent="0.35">
      <c r="B588" s="421"/>
      <c r="C588" s="422"/>
      <c r="D588" s="422"/>
      <c r="E588" s="422"/>
      <c r="F588" s="423"/>
    </row>
    <row r="589" spans="2:6" ht="18" x14ac:dyDescent="0.35">
      <c r="B589" s="421"/>
      <c r="C589" s="422"/>
      <c r="D589" s="422"/>
      <c r="E589" s="422"/>
      <c r="F589" s="423"/>
    </row>
    <row r="590" spans="2:6" ht="18" x14ac:dyDescent="0.35">
      <c r="B590" s="421"/>
      <c r="C590" s="422"/>
      <c r="D590" s="422"/>
      <c r="E590" s="422"/>
      <c r="F590" s="423"/>
    </row>
    <row r="591" spans="2:6" ht="18" x14ac:dyDescent="0.35">
      <c r="B591" s="421"/>
      <c r="C591" s="422"/>
      <c r="D591" s="422"/>
      <c r="E591" s="422"/>
      <c r="F591" s="423"/>
    </row>
    <row r="592" spans="2:6" ht="18" x14ac:dyDescent="0.35">
      <c r="B592" s="421"/>
      <c r="C592" s="422"/>
      <c r="D592" s="422"/>
      <c r="E592" s="422"/>
      <c r="F592" s="423"/>
    </row>
    <row r="593" spans="2:6" ht="18" x14ac:dyDescent="0.35">
      <c r="B593" s="421"/>
      <c r="C593" s="422"/>
      <c r="D593" s="422"/>
      <c r="E593" s="422"/>
      <c r="F593" s="423"/>
    </row>
    <row r="594" spans="2:6" ht="18" x14ac:dyDescent="0.35">
      <c r="B594" s="421"/>
      <c r="C594" s="422"/>
      <c r="D594" s="422"/>
      <c r="E594" s="422"/>
      <c r="F594" s="423"/>
    </row>
    <row r="595" spans="2:6" ht="18" x14ac:dyDescent="0.35">
      <c r="B595" s="421"/>
      <c r="C595" s="422"/>
      <c r="D595" s="422"/>
      <c r="E595" s="422"/>
      <c r="F595" s="423"/>
    </row>
    <row r="596" spans="2:6" ht="18" x14ac:dyDescent="0.35">
      <c r="B596" s="421"/>
      <c r="C596" s="422"/>
      <c r="D596" s="422"/>
      <c r="E596" s="422"/>
      <c r="F596" s="423"/>
    </row>
    <row r="597" spans="2:6" ht="18" x14ac:dyDescent="0.35">
      <c r="B597" s="421"/>
      <c r="C597" s="422"/>
      <c r="D597" s="422"/>
      <c r="E597" s="422"/>
      <c r="F597" s="423"/>
    </row>
    <row r="598" spans="2:6" ht="18" x14ac:dyDescent="0.35">
      <c r="B598" s="421"/>
      <c r="C598" s="422"/>
      <c r="D598" s="422"/>
      <c r="E598" s="422"/>
      <c r="F598" s="423"/>
    </row>
    <row r="599" spans="2:6" ht="18" x14ac:dyDescent="0.35">
      <c r="B599" s="421"/>
      <c r="C599" s="422"/>
      <c r="D599" s="422"/>
      <c r="E599" s="422"/>
      <c r="F599" s="423"/>
    </row>
    <row r="600" spans="2:6" ht="18" x14ac:dyDescent="0.35">
      <c r="B600" s="421"/>
      <c r="C600" s="422"/>
      <c r="D600" s="422"/>
      <c r="E600" s="422"/>
      <c r="F600" s="423"/>
    </row>
    <row r="601" spans="2:6" ht="18" x14ac:dyDescent="0.35">
      <c r="B601" s="421"/>
      <c r="C601" s="422"/>
      <c r="D601" s="422"/>
      <c r="E601" s="422"/>
      <c r="F601" s="423"/>
    </row>
    <row r="602" spans="2:6" ht="18" x14ac:dyDescent="0.35">
      <c r="B602" s="421"/>
      <c r="C602" s="422"/>
      <c r="D602" s="422"/>
      <c r="E602" s="422"/>
      <c r="F602" s="423"/>
    </row>
    <row r="603" spans="2:6" ht="18" x14ac:dyDescent="0.35">
      <c r="B603" s="421"/>
      <c r="C603" s="422"/>
      <c r="D603" s="422"/>
      <c r="E603" s="422"/>
      <c r="F603" s="423"/>
    </row>
    <row r="604" spans="2:6" ht="18" x14ac:dyDescent="0.35">
      <c r="B604" s="421"/>
      <c r="C604" s="422"/>
      <c r="D604" s="422"/>
      <c r="E604" s="422"/>
      <c r="F604" s="423"/>
    </row>
    <row r="605" spans="2:6" ht="18" x14ac:dyDescent="0.35">
      <c r="B605" s="421"/>
      <c r="C605" s="422"/>
      <c r="D605" s="422"/>
      <c r="E605" s="422"/>
      <c r="F605" s="423"/>
    </row>
    <row r="606" spans="2:6" ht="18" x14ac:dyDescent="0.35">
      <c r="B606" s="421"/>
      <c r="C606" s="422"/>
      <c r="D606" s="422"/>
      <c r="E606" s="422"/>
      <c r="F606" s="423"/>
    </row>
    <row r="607" spans="2:6" ht="18" x14ac:dyDescent="0.35">
      <c r="B607" s="421"/>
      <c r="C607" s="422"/>
      <c r="D607" s="422"/>
      <c r="E607" s="422"/>
      <c r="F607" s="423"/>
    </row>
    <row r="608" spans="2:6" ht="18" x14ac:dyDescent="0.35">
      <c r="B608" s="421"/>
      <c r="C608" s="422"/>
      <c r="D608" s="422"/>
      <c r="E608" s="422"/>
      <c r="F608" s="423"/>
    </row>
    <row r="609" spans="2:6" ht="18" x14ac:dyDescent="0.35">
      <c r="B609" s="421"/>
      <c r="C609" s="422"/>
      <c r="D609" s="422"/>
      <c r="E609" s="422"/>
      <c r="F609" s="423"/>
    </row>
    <row r="610" spans="2:6" ht="18" x14ac:dyDescent="0.35">
      <c r="B610" s="421"/>
      <c r="C610" s="422"/>
      <c r="D610" s="422"/>
      <c r="E610" s="422"/>
      <c r="F610" s="423"/>
    </row>
    <row r="611" spans="2:6" ht="18" x14ac:dyDescent="0.35">
      <c r="B611" s="421"/>
      <c r="C611" s="422"/>
      <c r="D611" s="422"/>
      <c r="E611" s="422"/>
      <c r="F611" s="423"/>
    </row>
    <row r="612" spans="2:6" ht="18" x14ac:dyDescent="0.35">
      <c r="B612" s="421"/>
      <c r="C612" s="422"/>
      <c r="D612" s="422"/>
      <c r="E612" s="422"/>
      <c r="F612" s="423"/>
    </row>
    <row r="613" spans="2:6" ht="18" x14ac:dyDescent="0.35">
      <c r="B613" s="421"/>
      <c r="C613" s="422"/>
      <c r="D613" s="422"/>
      <c r="E613" s="422"/>
      <c r="F613" s="423"/>
    </row>
    <row r="614" spans="2:6" ht="18" x14ac:dyDescent="0.35">
      <c r="B614" s="421"/>
      <c r="C614" s="422"/>
      <c r="D614" s="422"/>
      <c r="E614" s="422"/>
      <c r="F614" s="423"/>
    </row>
    <row r="615" spans="2:6" ht="18" x14ac:dyDescent="0.35">
      <c r="B615" s="421"/>
      <c r="C615" s="422"/>
      <c r="D615" s="422"/>
      <c r="E615" s="422"/>
      <c r="F615" s="423"/>
    </row>
    <row r="616" spans="2:6" ht="18" x14ac:dyDescent="0.35">
      <c r="B616" s="421"/>
      <c r="C616" s="422"/>
      <c r="D616" s="422"/>
      <c r="E616" s="422"/>
      <c r="F616" s="423"/>
    </row>
    <row r="617" spans="2:6" ht="18" x14ac:dyDescent="0.35">
      <c r="B617" s="421"/>
      <c r="C617" s="422"/>
      <c r="D617" s="422"/>
      <c r="E617" s="422"/>
      <c r="F617" s="423"/>
    </row>
    <row r="618" spans="2:6" ht="18" x14ac:dyDescent="0.35">
      <c r="B618" s="421"/>
      <c r="C618" s="422"/>
      <c r="D618" s="422"/>
      <c r="E618" s="422"/>
      <c r="F618" s="423"/>
    </row>
    <row r="619" spans="2:6" ht="18" x14ac:dyDescent="0.35">
      <c r="B619" s="421"/>
      <c r="C619" s="422"/>
      <c r="D619" s="422"/>
      <c r="E619" s="422"/>
      <c r="F619" s="423"/>
    </row>
    <row r="620" spans="2:6" ht="18" x14ac:dyDescent="0.35">
      <c r="B620" s="421"/>
      <c r="C620" s="422"/>
      <c r="D620" s="422"/>
      <c r="E620" s="422"/>
      <c r="F620" s="423"/>
    </row>
    <row r="621" spans="2:6" ht="18" x14ac:dyDescent="0.35">
      <c r="B621" s="421"/>
      <c r="C621" s="422"/>
      <c r="D621" s="422"/>
      <c r="E621" s="422"/>
      <c r="F621" s="423"/>
    </row>
    <row r="622" spans="2:6" ht="18" x14ac:dyDescent="0.35">
      <c r="B622" s="421"/>
      <c r="C622" s="422"/>
      <c r="D622" s="422"/>
      <c r="E622" s="422"/>
      <c r="F622" s="423"/>
    </row>
    <row r="623" spans="2:6" ht="18" x14ac:dyDescent="0.35">
      <c r="B623" s="421"/>
      <c r="C623" s="422"/>
      <c r="D623" s="422"/>
      <c r="E623" s="422"/>
      <c r="F623" s="423"/>
    </row>
    <row r="624" spans="2:6" ht="18" x14ac:dyDescent="0.35">
      <c r="B624" s="421"/>
      <c r="C624" s="422"/>
      <c r="D624" s="422"/>
      <c r="E624" s="422"/>
      <c r="F624" s="423"/>
    </row>
    <row r="625" spans="2:6" ht="18" x14ac:dyDescent="0.35">
      <c r="B625" s="421"/>
      <c r="C625" s="422"/>
      <c r="D625" s="422"/>
      <c r="E625" s="422"/>
      <c r="F625" s="423"/>
    </row>
    <row r="626" spans="2:6" ht="18" x14ac:dyDescent="0.35">
      <c r="B626" s="421"/>
      <c r="C626" s="422"/>
      <c r="D626" s="422"/>
      <c r="E626" s="422"/>
      <c r="F626" s="423"/>
    </row>
    <row r="627" spans="2:6" ht="18" x14ac:dyDescent="0.35">
      <c r="B627" s="421"/>
      <c r="C627" s="422"/>
      <c r="D627" s="422"/>
      <c r="E627" s="422"/>
      <c r="F627" s="423"/>
    </row>
    <row r="628" spans="2:6" ht="18" x14ac:dyDescent="0.35">
      <c r="B628" s="421"/>
      <c r="C628" s="422"/>
      <c r="D628" s="422"/>
      <c r="E628" s="422"/>
      <c r="F628" s="423"/>
    </row>
    <row r="629" spans="2:6" ht="18" x14ac:dyDescent="0.35">
      <c r="B629" s="421"/>
      <c r="C629" s="422"/>
      <c r="D629" s="422"/>
      <c r="E629" s="422"/>
      <c r="F629" s="423"/>
    </row>
    <row r="630" spans="2:6" ht="18" x14ac:dyDescent="0.35">
      <c r="B630" s="421"/>
      <c r="C630" s="422"/>
      <c r="D630" s="422"/>
      <c r="E630" s="422"/>
      <c r="F630" s="423"/>
    </row>
    <row r="631" spans="2:6" ht="18" x14ac:dyDescent="0.35">
      <c r="B631" s="421"/>
      <c r="C631" s="422"/>
      <c r="D631" s="422"/>
      <c r="E631" s="422"/>
      <c r="F631" s="423"/>
    </row>
    <row r="632" spans="2:6" ht="18" x14ac:dyDescent="0.35">
      <c r="B632" s="421"/>
      <c r="C632" s="422"/>
      <c r="D632" s="422"/>
      <c r="E632" s="422"/>
      <c r="F632" s="423"/>
    </row>
    <row r="633" spans="2:6" ht="18" x14ac:dyDescent="0.35">
      <c r="B633" s="421"/>
      <c r="C633" s="422"/>
      <c r="D633" s="422"/>
      <c r="E633" s="422"/>
      <c r="F633" s="423"/>
    </row>
    <row r="634" spans="2:6" ht="18" x14ac:dyDescent="0.35">
      <c r="B634" s="421"/>
      <c r="C634" s="422"/>
      <c r="D634" s="422"/>
      <c r="E634" s="422"/>
      <c r="F634" s="423"/>
    </row>
    <row r="635" spans="2:6" ht="18" x14ac:dyDescent="0.35">
      <c r="B635" s="421"/>
      <c r="C635" s="422"/>
      <c r="D635" s="422"/>
      <c r="E635" s="422"/>
      <c r="F635" s="423"/>
    </row>
    <row r="636" spans="2:6" ht="18" x14ac:dyDescent="0.35">
      <c r="B636" s="421"/>
      <c r="C636" s="422"/>
      <c r="D636" s="422"/>
      <c r="E636" s="422"/>
      <c r="F636" s="423"/>
    </row>
    <row r="637" spans="2:6" ht="18" x14ac:dyDescent="0.35">
      <c r="B637" s="421"/>
      <c r="C637" s="422"/>
      <c r="D637" s="422"/>
      <c r="E637" s="422"/>
      <c r="F637" s="423"/>
    </row>
    <row r="638" spans="2:6" ht="18" x14ac:dyDescent="0.35">
      <c r="B638" s="421"/>
      <c r="C638" s="422"/>
      <c r="D638" s="422"/>
      <c r="E638" s="422"/>
      <c r="F638" s="423"/>
    </row>
    <row r="639" spans="2:6" ht="18" x14ac:dyDescent="0.35">
      <c r="B639" s="421"/>
      <c r="C639" s="422"/>
      <c r="D639" s="422"/>
      <c r="E639" s="422"/>
      <c r="F639" s="423"/>
    </row>
    <row r="640" spans="2:6" ht="18" x14ac:dyDescent="0.35">
      <c r="B640" s="421"/>
      <c r="C640" s="422"/>
      <c r="D640" s="422"/>
      <c r="E640" s="422"/>
      <c r="F640" s="423"/>
    </row>
    <row r="641" spans="2:6" ht="18" x14ac:dyDescent="0.35">
      <c r="B641" s="421"/>
      <c r="C641" s="422"/>
      <c r="D641" s="422"/>
      <c r="E641" s="422"/>
      <c r="F641" s="423"/>
    </row>
    <row r="642" spans="2:6" ht="18" x14ac:dyDescent="0.35">
      <c r="B642" s="421"/>
      <c r="C642" s="422"/>
      <c r="D642" s="422"/>
      <c r="E642" s="422"/>
      <c r="F642" s="423"/>
    </row>
    <row r="643" spans="2:6" ht="18" x14ac:dyDescent="0.35">
      <c r="B643" s="421"/>
      <c r="C643" s="422"/>
      <c r="D643" s="422"/>
      <c r="E643" s="422"/>
      <c r="F643" s="423"/>
    </row>
    <row r="644" spans="2:6" ht="18" x14ac:dyDescent="0.35">
      <c r="B644" s="421"/>
      <c r="C644" s="422"/>
      <c r="D644" s="422"/>
      <c r="E644" s="422"/>
      <c r="F644" s="423"/>
    </row>
    <row r="645" spans="2:6" ht="18" x14ac:dyDescent="0.35">
      <c r="B645" s="421"/>
      <c r="C645" s="422"/>
      <c r="D645" s="422"/>
      <c r="E645" s="422"/>
      <c r="F645" s="423"/>
    </row>
    <row r="646" spans="2:6" ht="18" x14ac:dyDescent="0.35">
      <c r="B646" s="421"/>
      <c r="C646" s="422"/>
      <c r="D646" s="422"/>
      <c r="E646" s="422"/>
      <c r="F646" s="423"/>
    </row>
    <row r="647" spans="2:6" ht="18" x14ac:dyDescent="0.35">
      <c r="B647" s="421"/>
      <c r="C647" s="422"/>
      <c r="D647" s="422"/>
      <c r="E647" s="422"/>
      <c r="F647" s="423"/>
    </row>
    <row r="648" spans="2:6" ht="18" x14ac:dyDescent="0.35">
      <c r="B648" s="421"/>
      <c r="C648" s="422"/>
      <c r="D648" s="422"/>
      <c r="E648" s="422"/>
      <c r="F648" s="423"/>
    </row>
    <row r="649" spans="2:6" ht="18" x14ac:dyDescent="0.35">
      <c r="B649" s="421"/>
      <c r="C649" s="422"/>
      <c r="D649" s="422"/>
      <c r="E649" s="422"/>
      <c r="F649" s="423"/>
    </row>
    <row r="650" spans="2:6" ht="18" x14ac:dyDescent="0.35">
      <c r="B650" s="421"/>
      <c r="C650" s="422"/>
      <c r="D650" s="422"/>
      <c r="E650" s="422"/>
      <c r="F650" s="423"/>
    </row>
    <row r="651" spans="2:6" ht="18" x14ac:dyDescent="0.35">
      <c r="B651" s="421"/>
      <c r="C651" s="422"/>
      <c r="D651" s="422"/>
      <c r="E651" s="422"/>
      <c r="F651" s="423"/>
    </row>
    <row r="652" spans="2:6" ht="18" x14ac:dyDescent="0.35">
      <c r="B652" s="421"/>
      <c r="C652" s="422"/>
      <c r="D652" s="422"/>
      <c r="E652" s="422"/>
      <c r="F652" s="423"/>
    </row>
    <row r="653" spans="2:6" ht="18" x14ac:dyDescent="0.35">
      <c r="B653" s="421"/>
      <c r="C653" s="422"/>
      <c r="D653" s="422"/>
      <c r="E653" s="422"/>
      <c r="F653" s="423"/>
    </row>
    <row r="654" spans="2:6" ht="18" x14ac:dyDescent="0.35">
      <c r="B654" s="421"/>
      <c r="C654" s="422"/>
      <c r="D654" s="422"/>
      <c r="E654" s="422"/>
      <c r="F654" s="423"/>
    </row>
    <row r="655" spans="2:6" ht="18" x14ac:dyDescent="0.35">
      <c r="B655" s="421"/>
      <c r="C655" s="422"/>
      <c r="D655" s="422"/>
      <c r="E655" s="422"/>
      <c r="F655" s="423"/>
    </row>
    <row r="656" spans="2:6" ht="18" x14ac:dyDescent="0.35">
      <c r="B656" s="421"/>
      <c r="C656" s="422"/>
      <c r="D656" s="422"/>
      <c r="E656" s="422"/>
      <c r="F656" s="423"/>
    </row>
    <row r="657" spans="2:6" ht="18" x14ac:dyDescent="0.35">
      <c r="B657" s="421"/>
      <c r="C657" s="422"/>
      <c r="D657" s="422"/>
      <c r="E657" s="422"/>
      <c r="F657" s="423"/>
    </row>
    <row r="658" spans="2:6" ht="18" x14ac:dyDescent="0.35">
      <c r="B658" s="421"/>
      <c r="C658" s="422"/>
      <c r="D658" s="422"/>
      <c r="E658" s="422"/>
      <c r="F658" s="423"/>
    </row>
    <row r="659" spans="2:6" ht="18" x14ac:dyDescent="0.35">
      <c r="B659" s="421"/>
      <c r="C659" s="422"/>
      <c r="D659" s="422"/>
      <c r="E659" s="422"/>
      <c r="F659" s="423"/>
    </row>
    <row r="660" spans="2:6" ht="18" x14ac:dyDescent="0.35">
      <c r="B660" s="421"/>
      <c r="C660" s="422"/>
      <c r="D660" s="422"/>
      <c r="E660" s="422"/>
      <c r="F660" s="423"/>
    </row>
    <row r="661" spans="2:6" ht="18" x14ac:dyDescent="0.35">
      <c r="B661" s="421"/>
      <c r="C661" s="422"/>
      <c r="D661" s="422"/>
      <c r="E661" s="422"/>
      <c r="F661" s="423"/>
    </row>
    <row r="662" spans="2:6" ht="18" x14ac:dyDescent="0.35">
      <c r="B662" s="421"/>
      <c r="C662" s="422"/>
      <c r="D662" s="422"/>
      <c r="E662" s="422"/>
      <c r="F662" s="423"/>
    </row>
    <row r="663" spans="2:6" ht="18" x14ac:dyDescent="0.35">
      <c r="B663" s="421"/>
      <c r="C663" s="422"/>
      <c r="D663" s="422"/>
      <c r="E663" s="422"/>
      <c r="F663" s="423"/>
    </row>
    <row r="664" spans="2:6" ht="18" x14ac:dyDescent="0.35">
      <c r="B664" s="421"/>
      <c r="C664" s="422"/>
      <c r="D664" s="422"/>
      <c r="E664" s="422"/>
      <c r="F664" s="423"/>
    </row>
    <row r="665" spans="2:6" ht="18" x14ac:dyDescent="0.35">
      <c r="B665" s="421"/>
      <c r="C665" s="422"/>
      <c r="D665" s="422"/>
      <c r="E665" s="422"/>
      <c r="F665" s="423"/>
    </row>
    <row r="666" spans="2:6" ht="18" x14ac:dyDescent="0.35">
      <c r="B666" s="421"/>
      <c r="C666" s="422"/>
      <c r="D666" s="422"/>
      <c r="E666" s="422"/>
      <c r="F666" s="423"/>
    </row>
    <row r="667" spans="2:6" ht="18" x14ac:dyDescent="0.35">
      <c r="B667" s="421"/>
      <c r="C667" s="422"/>
      <c r="D667" s="422"/>
      <c r="E667" s="422"/>
      <c r="F667" s="423"/>
    </row>
    <row r="668" spans="2:6" ht="18" x14ac:dyDescent="0.35">
      <c r="B668" s="421"/>
      <c r="C668" s="422"/>
      <c r="D668" s="422"/>
      <c r="E668" s="422"/>
      <c r="F668" s="423"/>
    </row>
    <row r="669" spans="2:6" ht="18" x14ac:dyDescent="0.35">
      <c r="B669" s="421"/>
      <c r="C669" s="422"/>
      <c r="D669" s="422"/>
      <c r="E669" s="422"/>
      <c r="F669" s="423"/>
    </row>
    <row r="670" spans="2:6" ht="18" x14ac:dyDescent="0.35">
      <c r="B670" s="421"/>
      <c r="C670" s="422"/>
      <c r="D670" s="422"/>
      <c r="E670" s="422"/>
      <c r="F670" s="423"/>
    </row>
    <row r="671" spans="2:6" ht="18" x14ac:dyDescent="0.35">
      <c r="B671" s="421"/>
      <c r="C671" s="422"/>
      <c r="D671" s="422"/>
      <c r="E671" s="422"/>
      <c r="F671" s="423"/>
    </row>
    <row r="672" spans="2:6" ht="18" x14ac:dyDescent="0.35">
      <c r="B672" s="421"/>
      <c r="C672" s="422"/>
      <c r="D672" s="422"/>
      <c r="E672" s="422"/>
      <c r="F672" s="423"/>
    </row>
    <row r="673" spans="2:6" ht="18" x14ac:dyDescent="0.35">
      <c r="B673" s="421"/>
      <c r="C673" s="422"/>
      <c r="D673" s="422"/>
      <c r="E673" s="422"/>
      <c r="F673" s="423"/>
    </row>
    <row r="674" spans="2:6" ht="18" x14ac:dyDescent="0.35">
      <c r="B674" s="421"/>
      <c r="C674" s="422"/>
      <c r="D674" s="422"/>
      <c r="E674" s="422"/>
      <c r="F674" s="423"/>
    </row>
    <row r="675" spans="2:6" ht="18" x14ac:dyDescent="0.35">
      <c r="B675" s="421"/>
      <c r="C675" s="422"/>
      <c r="D675" s="422"/>
      <c r="E675" s="422"/>
      <c r="F675" s="423"/>
    </row>
    <row r="676" spans="2:6" ht="18" x14ac:dyDescent="0.35">
      <c r="B676" s="421"/>
      <c r="C676" s="422"/>
      <c r="D676" s="422"/>
      <c r="E676" s="422"/>
      <c r="F676" s="423"/>
    </row>
    <row r="677" spans="2:6" ht="18" x14ac:dyDescent="0.35">
      <c r="B677" s="421"/>
      <c r="C677" s="422"/>
      <c r="D677" s="422"/>
      <c r="E677" s="422"/>
      <c r="F677" s="423"/>
    </row>
    <row r="678" spans="2:6" ht="18" x14ac:dyDescent="0.35">
      <c r="B678" s="421"/>
      <c r="C678" s="422"/>
      <c r="D678" s="422"/>
      <c r="E678" s="422"/>
      <c r="F678" s="423"/>
    </row>
    <row r="679" spans="2:6" ht="18" x14ac:dyDescent="0.35">
      <c r="B679" s="421"/>
      <c r="C679" s="422"/>
      <c r="D679" s="422"/>
      <c r="E679" s="422"/>
      <c r="F679" s="423"/>
    </row>
    <row r="680" spans="2:6" ht="18" x14ac:dyDescent="0.35">
      <c r="B680" s="421"/>
      <c r="C680" s="422"/>
      <c r="D680" s="422"/>
      <c r="E680" s="422"/>
      <c r="F680" s="423"/>
    </row>
    <row r="681" spans="2:6" ht="18" x14ac:dyDescent="0.35">
      <c r="B681" s="421"/>
      <c r="C681" s="422"/>
      <c r="D681" s="422"/>
      <c r="E681" s="422"/>
      <c r="F681" s="423"/>
    </row>
    <row r="682" spans="2:6" ht="18" x14ac:dyDescent="0.35">
      <c r="B682" s="421"/>
      <c r="C682" s="422"/>
      <c r="D682" s="422"/>
      <c r="E682" s="422"/>
      <c r="F682" s="423"/>
    </row>
    <row r="683" spans="2:6" ht="18" x14ac:dyDescent="0.35">
      <c r="B683" s="421"/>
      <c r="C683" s="422"/>
      <c r="D683" s="422"/>
      <c r="E683" s="422"/>
      <c r="F683" s="423"/>
    </row>
    <row r="684" spans="2:6" ht="18" x14ac:dyDescent="0.35">
      <c r="B684" s="421"/>
      <c r="C684" s="422"/>
      <c r="D684" s="422"/>
      <c r="E684" s="422"/>
      <c r="F684" s="423"/>
    </row>
    <row r="685" spans="2:6" ht="18" x14ac:dyDescent="0.35">
      <c r="B685" s="421"/>
      <c r="C685" s="422"/>
      <c r="D685" s="422"/>
      <c r="E685" s="422"/>
      <c r="F685" s="423"/>
    </row>
    <row r="686" spans="2:6" ht="18" x14ac:dyDescent="0.35">
      <c r="B686" s="421"/>
      <c r="C686" s="422"/>
      <c r="D686" s="422"/>
      <c r="E686" s="422"/>
      <c r="F686" s="423"/>
    </row>
    <row r="687" spans="2:6" ht="18" x14ac:dyDescent="0.35">
      <c r="B687" s="421"/>
      <c r="C687" s="422"/>
      <c r="D687" s="422"/>
      <c r="E687" s="422"/>
      <c r="F687" s="423"/>
    </row>
    <row r="688" spans="2:6" ht="18" x14ac:dyDescent="0.35">
      <c r="B688" s="421"/>
      <c r="C688" s="422"/>
      <c r="D688" s="422"/>
      <c r="E688" s="422"/>
      <c r="F688" s="423"/>
    </row>
    <row r="689" spans="2:6" ht="18" x14ac:dyDescent="0.35">
      <c r="B689" s="421"/>
      <c r="C689" s="422"/>
      <c r="D689" s="422"/>
      <c r="E689" s="422"/>
      <c r="F689" s="423"/>
    </row>
    <row r="690" spans="2:6" ht="18" x14ac:dyDescent="0.35">
      <c r="B690" s="421"/>
      <c r="C690" s="422"/>
      <c r="D690" s="422"/>
      <c r="E690" s="422"/>
      <c r="F690" s="423"/>
    </row>
    <row r="691" spans="2:6" ht="18" x14ac:dyDescent="0.35">
      <c r="B691" s="421"/>
      <c r="C691" s="422"/>
      <c r="D691" s="422"/>
      <c r="E691" s="422"/>
      <c r="F691" s="423"/>
    </row>
    <row r="692" spans="2:6" ht="18" x14ac:dyDescent="0.35">
      <c r="B692" s="421"/>
      <c r="C692" s="422"/>
      <c r="D692" s="422"/>
      <c r="E692" s="422"/>
      <c r="F692" s="423"/>
    </row>
    <row r="693" spans="2:6" ht="18" x14ac:dyDescent="0.35">
      <c r="B693" s="421"/>
      <c r="C693" s="422"/>
      <c r="D693" s="422"/>
      <c r="E693" s="422"/>
      <c r="F693" s="423"/>
    </row>
    <row r="694" spans="2:6" ht="18" x14ac:dyDescent="0.35">
      <c r="B694" s="421"/>
      <c r="C694" s="422"/>
      <c r="D694" s="422"/>
      <c r="E694" s="422"/>
      <c r="F694" s="423"/>
    </row>
    <row r="695" spans="2:6" ht="18" x14ac:dyDescent="0.35">
      <c r="B695" s="421"/>
      <c r="C695" s="422"/>
      <c r="D695" s="422"/>
      <c r="E695" s="422"/>
      <c r="F695" s="423"/>
    </row>
    <row r="696" spans="2:6" ht="18" x14ac:dyDescent="0.35">
      <c r="B696" s="421"/>
      <c r="C696" s="422"/>
      <c r="D696" s="422"/>
      <c r="E696" s="422"/>
      <c r="F696" s="423"/>
    </row>
    <row r="697" spans="2:6" ht="18" x14ac:dyDescent="0.35">
      <c r="B697" s="421"/>
      <c r="C697" s="422"/>
      <c r="D697" s="422"/>
      <c r="E697" s="422"/>
      <c r="F697" s="423"/>
    </row>
    <row r="698" spans="2:6" ht="18" x14ac:dyDescent="0.35">
      <c r="B698" s="421"/>
      <c r="C698" s="422"/>
      <c r="D698" s="422"/>
      <c r="E698" s="422"/>
      <c r="F698" s="423"/>
    </row>
    <row r="699" spans="2:6" ht="18" x14ac:dyDescent="0.35">
      <c r="B699" s="421"/>
      <c r="C699" s="422"/>
      <c r="D699" s="422"/>
      <c r="E699" s="422"/>
      <c r="F699" s="423"/>
    </row>
    <row r="700" spans="2:6" ht="18" x14ac:dyDescent="0.35">
      <c r="B700" s="421"/>
      <c r="C700" s="422"/>
      <c r="D700" s="422"/>
      <c r="E700" s="422"/>
      <c r="F700" s="423"/>
    </row>
    <row r="701" spans="2:6" ht="18" x14ac:dyDescent="0.35">
      <c r="B701" s="421"/>
      <c r="C701" s="422"/>
      <c r="D701" s="422"/>
      <c r="E701" s="422"/>
      <c r="F701" s="423"/>
    </row>
    <row r="702" spans="2:6" ht="18" x14ac:dyDescent="0.35">
      <c r="B702" s="421"/>
      <c r="C702" s="422"/>
      <c r="D702" s="422"/>
      <c r="E702" s="422"/>
      <c r="F702" s="423"/>
    </row>
    <row r="703" spans="2:6" ht="18" x14ac:dyDescent="0.35">
      <c r="B703" s="421"/>
      <c r="C703" s="422"/>
      <c r="D703" s="422"/>
      <c r="E703" s="422"/>
      <c r="F703" s="423"/>
    </row>
    <row r="704" spans="2:6" ht="18" x14ac:dyDescent="0.35">
      <c r="B704" s="421"/>
      <c r="C704" s="422"/>
      <c r="D704" s="422"/>
      <c r="E704" s="422"/>
      <c r="F704" s="423"/>
    </row>
    <row r="705" spans="2:6" ht="18" x14ac:dyDescent="0.35">
      <c r="B705" s="421"/>
      <c r="C705" s="422"/>
      <c r="D705" s="422"/>
      <c r="E705" s="422"/>
      <c r="F705" s="423"/>
    </row>
    <row r="706" spans="2:6" ht="18" x14ac:dyDescent="0.35">
      <c r="B706" s="421"/>
      <c r="C706" s="422"/>
      <c r="D706" s="422"/>
      <c r="E706" s="422"/>
      <c r="F706" s="423"/>
    </row>
    <row r="707" spans="2:6" ht="18" x14ac:dyDescent="0.35">
      <c r="B707" s="421"/>
      <c r="C707" s="422"/>
      <c r="D707" s="422"/>
      <c r="E707" s="422"/>
      <c r="F707" s="423"/>
    </row>
    <row r="708" spans="2:6" ht="18" x14ac:dyDescent="0.35">
      <c r="B708" s="421"/>
      <c r="C708" s="422"/>
      <c r="D708" s="422"/>
      <c r="E708" s="422"/>
      <c r="F708" s="423"/>
    </row>
    <row r="709" spans="2:6" ht="18" x14ac:dyDescent="0.35">
      <c r="B709" s="421"/>
      <c r="C709" s="422"/>
      <c r="D709" s="422"/>
      <c r="E709" s="422"/>
      <c r="F709" s="423"/>
    </row>
    <row r="710" spans="2:6" ht="18" x14ac:dyDescent="0.35">
      <c r="B710" s="421"/>
      <c r="C710" s="422"/>
      <c r="D710" s="422"/>
      <c r="E710" s="422"/>
      <c r="F710" s="423"/>
    </row>
    <row r="711" spans="2:6" ht="18" x14ac:dyDescent="0.35">
      <c r="B711" s="421"/>
      <c r="C711" s="422"/>
      <c r="D711" s="422"/>
      <c r="E711" s="422"/>
      <c r="F711" s="423"/>
    </row>
    <row r="712" spans="2:6" ht="18" x14ac:dyDescent="0.35">
      <c r="B712" s="421"/>
      <c r="C712" s="422"/>
      <c r="D712" s="422"/>
      <c r="E712" s="422"/>
      <c r="F712" s="423"/>
    </row>
    <row r="713" spans="2:6" ht="18" x14ac:dyDescent="0.35">
      <c r="B713" s="421"/>
      <c r="C713" s="422"/>
      <c r="D713" s="422"/>
      <c r="E713" s="422"/>
      <c r="F713" s="423"/>
    </row>
    <row r="714" spans="2:6" ht="18" x14ac:dyDescent="0.35">
      <c r="B714" s="421"/>
      <c r="C714" s="422"/>
      <c r="D714" s="422"/>
      <c r="E714" s="422"/>
      <c r="F714" s="423"/>
    </row>
    <row r="715" spans="2:6" ht="18" x14ac:dyDescent="0.35">
      <c r="B715" s="421"/>
      <c r="C715" s="422"/>
      <c r="D715" s="422"/>
      <c r="E715" s="422"/>
      <c r="F715" s="423"/>
    </row>
    <row r="716" spans="2:6" ht="18" x14ac:dyDescent="0.35">
      <c r="B716" s="421"/>
      <c r="C716" s="422"/>
      <c r="D716" s="422"/>
      <c r="E716" s="422"/>
      <c r="F716" s="423"/>
    </row>
    <row r="717" spans="2:6" ht="18" x14ac:dyDescent="0.35">
      <c r="B717" s="421"/>
      <c r="C717" s="422"/>
      <c r="D717" s="422"/>
      <c r="E717" s="422"/>
      <c r="F717" s="423"/>
    </row>
    <row r="718" spans="2:6" ht="18" x14ac:dyDescent="0.35">
      <c r="B718" s="421"/>
      <c r="C718" s="422"/>
      <c r="D718" s="422"/>
      <c r="E718" s="422"/>
      <c r="F718" s="423"/>
    </row>
    <row r="719" spans="2:6" ht="18" x14ac:dyDescent="0.35">
      <c r="B719" s="421"/>
      <c r="C719" s="422"/>
      <c r="D719" s="422"/>
      <c r="E719" s="422"/>
      <c r="F719" s="423"/>
    </row>
    <row r="720" spans="2:6" ht="18" x14ac:dyDescent="0.35">
      <c r="B720" s="421"/>
      <c r="C720" s="422"/>
      <c r="D720" s="422"/>
      <c r="E720" s="422"/>
      <c r="F720" s="423"/>
    </row>
    <row r="721" spans="2:6" ht="18" x14ac:dyDescent="0.35">
      <c r="B721" s="421"/>
      <c r="C721" s="422"/>
      <c r="D721" s="422"/>
      <c r="E721" s="422"/>
      <c r="F721" s="423"/>
    </row>
    <row r="722" spans="2:6" ht="18" x14ac:dyDescent="0.35">
      <c r="B722" s="421"/>
      <c r="C722" s="422"/>
      <c r="D722" s="422"/>
      <c r="E722" s="422"/>
      <c r="F722" s="423"/>
    </row>
    <row r="723" spans="2:6" ht="18" x14ac:dyDescent="0.35">
      <c r="B723" s="421"/>
      <c r="C723" s="422"/>
      <c r="D723" s="422"/>
      <c r="E723" s="422"/>
      <c r="F723" s="423"/>
    </row>
    <row r="724" spans="2:6" ht="18" x14ac:dyDescent="0.35">
      <c r="B724" s="421"/>
      <c r="C724" s="422"/>
      <c r="D724" s="422"/>
      <c r="E724" s="422"/>
      <c r="F724" s="423"/>
    </row>
    <row r="725" spans="2:6" ht="18" x14ac:dyDescent="0.35">
      <c r="B725" s="421"/>
      <c r="C725" s="422"/>
      <c r="D725" s="422"/>
      <c r="E725" s="422"/>
      <c r="F725" s="423"/>
    </row>
    <row r="726" spans="2:6" ht="18" x14ac:dyDescent="0.35">
      <c r="B726" s="421"/>
      <c r="C726" s="422"/>
      <c r="D726" s="422"/>
      <c r="E726" s="422"/>
      <c r="F726" s="423"/>
    </row>
    <row r="727" spans="2:6" ht="18" x14ac:dyDescent="0.35">
      <c r="B727" s="421"/>
      <c r="C727" s="422"/>
      <c r="D727" s="422"/>
      <c r="E727" s="422"/>
      <c r="F727" s="423"/>
    </row>
    <row r="728" spans="2:6" ht="18" x14ac:dyDescent="0.35">
      <c r="B728" s="421"/>
      <c r="C728" s="422"/>
      <c r="D728" s="422"/>
      <c r="E728" s="422"/>
      <c r="F728" s="423"/>
    </row>
    <row r="729" spans="2:6" ht="18" x14ac:dyDescent="0.35">
      <c r="B729" s="421"/>
      <c r="C729" s="422"/>
      <c r="D729" s="422"/>
      <c r="E729" s="422"/>
      <c r="F729" s="423"/>
    </row>
    <row r="730" spans="2:6" ht="18" x14ac:dyDescent="0.35">
      <c r="B730" s="421"/>
      <c r="C730" s="422"/>
      <c r="D730" s="422"/>
      <c r="E730" s="422"/>
      <c r="F730" s="423"/>
    </row>
    <row r="731" spans="2:6" ht="18" x14ac:dyDescent="0.35">
      <c r="B731" s="421"/>
      <c r="C731" s="422"/>
      <c r="D731" s="422"/>
      <c r="E731" s="422"/>
      <c r="F731" s="423"/>
    </row>
    <row r="732" spans="2:6" ht="18" x14ac:dyDescent="0.35">
      <c r="B732" s="421"/>
      <c r="C732" s="422"/>
      <c r="D732" s="422"/>
      <c r="E732" s="422"/>
      <c r="F732" s="423"/>
    </row>
    <row r="733" spans="2:6" ht="18" x14ac:dyDescent="0.35">
      <c r="B733" s="421"/>
      <c r="C733" s="422"/>
      <c r="D733" s="422"/>
      <c r="E733" s="422"/>
      <c r="F733" s="423"/>
    </row>
    <row r="734" spans="2:6" ht="18" x14ac:dyDescent="0.35">
      <c r="B734" s="421"/>
      <c r="C734" s="422"/>
      <c r="D734" s="422"/>
      <c r="E734" s="422"/>
      <c r="F734" s="423"/>
    </row>
    <row r="735" spans="2:6" ht="18" x14ac:dyDescent="0.35">
      <c r="B735" s="421"/>
      <c r="C735" s="422"/>
      <c r="D735" s="422"/>
      <c r="E735" s="422"/>
      <c r="F735" s="423"/>
    </row>
    <row r="736" spans="2:6" ht="18" x14ac:dyDescent="0.35">
      <c r="B736" s="421"/>
      <c r="C736" s="422"/>
      <c r="D736" s="422"/>
      <c r="E736" s="422"/>
      <c r="F736" s="423"/>
    </row>
    <row r="737" spans="2:6" ht="18" x14ac:dyDescent="0.35">
      <c r="B737" s="421"/>
      <c r="C737" s="422"/>
      <c r="D737" s="422"/>
      <c r="E737" s="422"/>
      <c r="F737" s="423"/>
    </row>
    <row r="738" spans="2:6" ht="18" x14ac:dyDescent="0.35">
      <c r="B738" s="421"/>
      <c r="C738" s="422"/>
      <c r="D738" s="422"/>
      <c r="E738" s="422"/>
      <c r="F738" s="423"/>
    </row>
    <row r="739" spans="2:6" ht="18" x14ac:dyDescent="0.35">
      <c r="B739" s="421"/>
      <c r="C739" s="422"/>
      <c r="D739" s="422"/>
      <c r="E739" s="422"/>
      <c r="F739" s="423"/>
    </row>
    <row r="740" spans="2:6" ht="18" x14ac:dyDescent="0.35">
      <c r="B740" s="421"/>
      <c r="C740" s="422"/>
      <c r="D740" s="422"/>
      <c r="E740" s="422"/>
      <c r="F740" s="423"/>
    </row>
    <row r="741" spans="2:6" ht="18" x14ac:dyDescent="0.35">
      <c r="B741" s="421"/>
      <c r="C741" s="422"/>
      <c r="D741" s="422"/>
      <c r="E741" s="422"/>
      <c r="F741" s="423"/>
    </row>
    <row r="742" spans="2:6" ht="18" x14ac:dyDescent="0.35">
      <c r="B742" s="421"/>
      <c r="C742" s="422"/>
      <c r="D742" s="422"/>
      <c r="E742" s="422"/>
      <c r="F742" s="423"/>
    </row>
    <row r="743" spans="2:6" ht="18" x14ac:dyDescent="0.35">
      <c r="B743" s="421"/>
      <c r="C743" s="422"/>
      <c r="D743" s="422"/>
      <c r="E743" s="422"/>
      <c r="F743" s="423"/>
    </row>
    <row r="744" spans="2:6" ht="18" x14ac:dyDescent="0.35">
      <c r="B744" s="421"/>
      <c r="C744" s="422"/>
      <c r="D744" s="422"/>
      <c r="E744" s="422"/>
      <c r="F744" s="423"/>
    </row>
    <row r="745" spans="2:6" ht="18" x14ac:dyDescent="0.35">
      <c r="B745" s="421"/>
      <c r="C745" s="422"/>
      <c r="D745" s="422"/>
      <c r="E745" s="422"/>
      <c r="F745" s="423"/>
    </row>
    <row r="746" spans="2:6" ht="18" x14ac:dyDescent="0.35">
      <c r="B746" s="421"/>
      <c r="C746" s="422"/>
      <c r="D746" s="422"/>
      <c r="E746" s="422"/>
      <c r="F746" s="423"/>
    </row>
    <row r="747" spans="2:6" ht="18" x14ac:dyDescent="0.35">
      <c r="B747" s="421"/>
      <c r="C747" s="422"/>
      <c r="D747" s="422"/>
      <c r="E747" s="422"/>
      <c r="F747" s="423"/>
    </row>
    <row r="748" spans="2:6" ht="18" x14ac:dyDescent="0.35">
      <c r="B748" s="421"/>
      <c r="C748" s="422"/>
      <c r="D748" s="422"/>
      <c r="E748" s="422"/>
      <c r="F748" s="423"/>
    </row>
    <row r="749" spans="2:6" ht="18" x14ac:dyDescent="0.35">
      <c r="B749" s="421"/>
      <c r="C749" s="422"/>
      <c r="D749" s="422"/>
      <c r="E749" s="422"/>
      <c r="F749" s="423"/>
    </row>
    <row r="750" spans="2:6" ht="18" x14ac:dyDescent="0.35">
      <c r="B750" s="421"/>
      <c r="C750" s="422"/>
      <c r="D750" s="422"/>
      <c r="E750" s="422"/>
      <c r="F750" s="423"/>
    </row>
    <row r="751" spans="2:6" ht="18" x14ac:dyDescent="0.35">
      <c r="B751" s="421"/>
      <c r="C751" s="422"/>
      <c r="D751" s="422"/>
      <c r="E751" s="422"/>
      <c r="F751" s="423"/>
    </row>
    <row r="752" spans="2:6" ht="18" x14ac:dyDescent="0.35">
      <c r="B752" s="421"/>
      <c r="C752" s="422"/>
      <c r="D752" s="422"/>
      <c r="E752" s="422"/>
      <c r="F752" s="423"/>
    </row>
    <row r="753" spans="2:6" ht="18" x14ac:dyDescent="0.35">
      <c r="B753" s="421"/>
      <c r="C753" s="422"/>
      <c r="D753" s="422"/>
      <c r="E753" s="422"/>
      <c r="F753" s="423"/>
    </row>
    <row r="754" spans="2:6" ht="18" x14ac:dyDescent="0.35">
      <c r="B754" s="421"/>
      <c r="C754" s="422"/>
      <c r="D754" s="422"/>
      <c r="E754" s="422"/>
      <c r="F754" s="423"/>
    </row>
    <row r="755" spans="2:6" ht="18" x14ac:dyDescent="0.35">
      <c r="B755" s="421"/>
      <c r="C755" s="422"/>
      <c r="D755" s="422"/>
      <c r="E755" s="422"/>
      <c r="F755" s="423"/>
    </row>
    <row r="756" spans="2:6" ht="18" x14ac:dyDescent="0.35">
      <c r="B756" s="421"/>
      <c r="C756" s="422"/>
      <c r="D756" s="422"/>
      <c r="E756" s="422"/>
      <c r="F756" s="423"/>
    </row>
    <row r="757" spans="2:6" ht="18" x14ac:dyDescent="0.35">
      <c r="B757" s="421"/>
      <c r="C757" s="422"/>
      <c r="D757" s="422"/>
      <c r="E757" s="422"/>
      <c r="F757" s="423"/>
    </row>
    <row r="758" spans="2:6" ht="18" x14ac:dyDescent="0.35">
      <c r="B758" s="421"/>
      <c r="C758" s="422"/>
      <c r="D758" s="422"/>
      <c r="E758" s="422"/>
      <c r="F758" s="423"/>
    </row>
    <row r="759" spans="2:6" ht="18" x14ac:dyDescent="0.35">
      <c r="B759" s="421"/>
      <c r="C759" s="422"/>
      <c r="D759" s="422"/>
      <c r="E759" s="422"/>
      <c r="F759" s="423"/>
    </row>
    <row r="760" spans="2:6" ht="18" x14ac:dyDescent="0.35">
      <c r="B760" s="421"/>
      <c r="C760" s="422"/>
      <c r="D760" s="422"/>
      <c r="E760" s="422"/>
      <c r="F760" s="423"/>
    </row>
    <row r="761" spans="2:6" ht="18" x14ac:dyDescent="0.35">
      <c r="B761" s="421"/>
      <c r="C761" s="422"/>
      <c r="D761" s="422"/>
      <c r="E761" s="422"/>
      <c r="F761" s="423"/>
    </row>
    <row r="762" spans="2:6" ht="18" x14ac:dyDescent="0.35">
      <c r="B762" s="421"/>
      <c r="C762" s="422"/>
      <c r="D762" s="422"/>
      <c r="E762" s="422"/>
      <c r="F762" s="423"/>
    </row>
    <row r="763" spans="2:6" ht="18" x14ac:dyDescent="0.35">
      <c r="B763" s="421"/>
      <c r="C763" s="422"/>
      <c r="D763" s="422"/>
      <c r="E763" s="422"/>
      <c r="F763" s="423"/>
    </row>
    <row r="764" spans="2:6" ht="18" x14ac:dyDescent="0.35">
      <c r="B764" s="421"/>
      <c r="C764" s="422"/>
      <c r="D764" s="422"/>
      <c r="E764" s="422"/>
      <c r="F764" s="423"/>
    </row>
    <row r="765" spans="2:6" ht="18" x14ac:dyDescent="0.35">
      <c r="B765" s="421"/>
      <c r="C765" s="422"/>
      <c r="D765" s="422"/>
      <c r="E765" s="422"/>
      <c r="F765" s="423"/>
    </row>
    <row r="766" spans="2:6" ht="18" x14ac:dyDescent="0.35">
      <c r="B766" s="421"/>
      <c r="C766" s="422"/>
      <c r="D766" s="422"/>
      <c r="E766" s="422"/>
      <c r="F766" s="423"/>
    </row>
    <row r="767" spans="2:6" ht="18" x14ac:dyDescent="0.35">
      <c r="B767" s="421"/>
      <c r="C767" s="422"/>
      <c r="D767" s="422"/>
      <c r="E767" s="422"/>
      <c r="F767" s="423"/>
    </row>
    <row r="768" spans="2:6" ht="18" x14ac:dyDescent="0.35">
      <c r="B768" s="421"/>
      <c r="C768" s="422"/>
      <c r="D768" s="422"/>
      <c r="E768" s="422"/>
      <c r="F768" s="423"/>
    </row>
    <row r="769" spans="2:6" ht="18" x14ac:dyDescent="0.35">
      <c r="B769" s="421"/>
      <c r="C769" s="422"/>
      <c r="D769" s="422"/>
      <c r="E769" s="422"/>
      <c r="F769" s="423"/>
    </row>
    <row r="770" spans="2:6" ht="18" x14ac:dyDescent="0.35">
      <c r="B770" s="421"/>
      <c r="C770" s="422"/>
      <c r="D770" s="422"/>
      <c r="E770" s="422"/>
      <c r="F770" s="423"/>
    </row>
    <row r="771" spans="2:6" ht="18" x14ac:dyDescent="0.35">
      <c r="B771" s="421"/>
      <c r="C771" s="422"/>
      <c r="D771" s="422"/>
      <c r="E771" s="422"/>
      <c r="F771" s="423"/>
    </row>
    <row r="772" spans="2:6" ht="18" x14ac:dyDescent="0.35">
      <c r="B772" s="421"/>
      <c r="C772" s="422"/>
      <c r="D772" s="422"/>
      <c r="E772" s="422"/>
      <c r="F772" s="423"/>
    </row>
    <row r="773" spans="2:6" ht="18" x14ac:dyDescent="0.35">
      <c r="B773" s="421"/>
      <c r="C773" s="422"/>
      <c r="D773" s="422"/>
      <c r="E773" s="422"/>
      <c r="F773" s="423"/>
    </row>
    <row r="774" spans="2:6" ht="18" x14ac:dyDescent="0.35">
      <c r="B774" s="421"/>
      <c r="C774" s="422"/>
      <c r="D774" s="422"/>
      <c r="E774" s="422"/>
      <c r="F774" s="423"/>
    </row>
    <row r="775" spans="2:6" ht="18" x14ac:dyDescent="0.35">
      <c r="B775" s="421"/>
      <c r="C775" s="422"/>
      <c r="D775" s="422"/>
      <c r="E775" s="422"/>
      <c r="F775" s="423"/>
    </row>
    <row r="776" spans="2:6" ht="18" x14ac:dyDescent="0.35">
      <c r="B776" s="421"/>
      <c r="C776" s="422"/>
      <c r="D776" s="422"/>
      <c r="E776" s="422"/>
      <c r="F776" s="423"/>
    </row>
    <row r="777" spans="2:6" ht="18" x14ac:dyDescent="0.35">
      <c r="B777" s="421"/>
      <c r="C777" s="422"/>
      <c r="D777" s="422"/>
      <c r="E777" s="422"/>
      <c r="F777" s="423"/>
    </row>
    <row r="778" spans="2:6" ht="18" x14ac:dyDescent="0.35">
      <c r="B778" s="421"/>
      <c r="C778" s="422"/>
      <c r="D778" s="422"/>
      <c r="E778" s="422"/>
      <c r="F778" s="423"/>
    </row>
    <row r="779" spans="2:6" ht="18" x14ac:dyDescent="0.35">
      <c r="B779" s="421"/>
      <c r="C779" s="422"/>
      <c r="D779" s="422"/>
      <c r="E779" s="422"/>
      <c r="F779" s="423"/>
    </row>
    <row r="780" spans="2:6" ht="18" x14ac:dyDescent="0.35">
      <c r="B780" s="421"/>
      <c r="C780" s="422"/>
      <c r="D780" s="422"/>
      <c r="E780" s="422"/>
      <c r="F780" s="423"/>
    </row>
    <row r="781" spans="2:6" ht="18" x14ac:dyDescent="0.35">
      <c r="B781" s="421"/>
      <c r="C781" s="422"/>
      <c r="D781" s="422"/>
      <c r="E781" s="422"/>
      <c r="F781" s="423"/>
    </row>
    <row r="782" spans="2:6" ht="18" x14ac:dyDescent="0.35">
      <c r="B782" s="421"/>
      <c r="C782" s="422"/>
      <c r="D782" s="422"/>
      <c r="E782" s="422"/>
      <c r="F782" s="423"/>
    </row>
    <row r="783" spans="2:6" ht="18" x14ac:dyDescent="0.35">
      <c r="B783" s="421"/>
      <c r="C783" s="422"/>
      <c r="D783" s="422"/>
      <c r="E783" s="422"/>
      <c r="F783" s="423"/>
    </row>
    <row r="784" spans="2:6" ht="18" x14ac:dyDescent="0.35">
      <c r="B784" s="421"/>
      <c r="C784" s="422"/>
      <c r="D784" s="422"/>
      <c r="E784" s="422"/>
      <c r="F784" s="423"/>
    </row>
    <row r="785" spans="2:6" ht="18" x14ac:dyDescent="0.35">
      <c r="B785" s="421"/>
      <c r="C785" s="422"/>
      <c r="D785" s="422"/>
      <c r="E785" s="422"/>
      <c r="F785" s="423"/>
    </row>
    <row r="786" spans="2:6" ht="18" x14ac:dyDescent="0.35">
      <c r="B786" s="421"/>
      <c r="C786" s="422"/>
      <c r="D786" s="422"/>
      <c r="E786" s="422"/>
      <c r="F786" s="423"/>
    </row>
    <row r="787" spans="2:6" ht="18" x14ac:dyDescent="0.35">
      <c r="B787" s="421"/>
      <c r="C787" s="422"/>
      <c r="D787" s="422"/>
      <c r="E787" s="422"/>
      <c r="F787" s="423"/>
    </row>
    <row r="788" spans="2:6" ht="18" x14ac:dyDescent="0.35">
      <c r="B788" s="421"/>
      <c r="C788" s="422"/>
      <c r="D788" s="422"/>
      <c r="E788" s="422"/>
      <c r="F788" s="423"/>
    </row>
    <row r="789" spans="2:6" ht="18" x14ac:dyDescent="0.35">
      <c r="B789" s="421"/>
      <c r="C789" s="422"/>
      <c r="D789" s="422"/>
      <c r="E789" s="422"/>
      <c r="F789" s="423"/>
    </row>
    <row r="790" spans="2:6" ht="18" x14ac:dyDescent="0.35">
      <c r="B790" s="421"/>
      <c r="C790" s="422"/>
      <c r="D790" s="422"/>
      <c r="E790" s="422"/>
      <c r="F790" s="423"/>
    </row>
    <row r="791" spans="2:6" ht="18" x14ac:dyDescent="0.35">
      <c r="B791" s="421"/>
      <c r="C791" s="422"/>
      <c r="D791" s="422"/>
      <c r="E791" s="422"/>
      <c r="F791" s="423"/>
    </row>
    <row r="792" spans="2:6" ht="18" x14ac:dyDescent="0.35">
      <c r="B792" s="421"/>
      <c r="C792" s="422"/>
      <c r="D792" s="422"/>
      <c r="E792" s="422"/>
      <c r="F792" s="423"/>
    </row>
    <row r="793" spans="2:6" ht="18" x14ac:dyDescent="0.35">
      <c r="B793" s="421"/>
      <c r="C793" s="422"/>
      <c r="D793" s="422"/>
      <c r="E793" s="422"/>
      <c r="F793" s="423"/>
    </row>
    <row r="794" spans="2:6" ht="18" x14ac:dyDescent="0.35">
      <c r="B794" s="421"/>
      <c r="C794" s="422"/>
      <c r="D794" s="422"/>
      <c r="E794" s="422"/>
      <c r="F794" s="423"/>
    </row>
    <row r="795" spans="2:6" ht="18" x14ac:dyDescent="0.35">
      <c r="B795" s="421"/>
      <c r="C795" s="422"/>
      <c r="D795" s="422"/>
      <c r="E795" s="422"/>
      <c r="F795" s="423"/>
    </row>
    <row r="796" spans="2:6" ht="18" x14ac:dyDescent="0.35">
      <c r="B796" s="421"/>
      <c r="C796" s="422"/>
      <c r="D796" s="422"/>
      <c r="E796" s="422"/>
      <c r="F796" s="423"/>
    </row>
    <row r="797" spans="2:6" ht="18" x14ac:dyDescent="0.35">
      <c r="B797" s="421"/>
      <c r="C797" s="422"/>
      <c r="D797" s="422"/>
      <c r="E797" s="422"/>
      <c r="F797" s="423"/>
    </row>
    <row r="798" spans="2:6" ht="18" x14ac:dyDescent="0.35">
      <c r="B798" s="421"/>
      <c r="C798" s="422"/>
      <c r="D798" s="422"/>
      <c r="E798" s="422"/>
      <c r="F798" s="423"/>
    </row>
    <row r="799" spans="2:6" ht="18" x14ac:dyDescent="0.35">
      <c r="B799" s="421"/>
      <c r="C799" s="422"/>
      <c r="D799" s="422"/>
      <c r="E799" s="422"/>
      <c r="F799" s="423"/>
    </row>
    <row r="800" spans="2:6" ht="18" x14ac:dyDescent="0.35">
      <c r="B800" s="421"/>
      <c r="C800" s="422"/>
      <c r="D800" s="422"/>
      <c r="E800" s="422"/>
      <c r="F800" s="423"/>
    </row>
    <row r="801" spans="2:6" ht="18" x14ac:dyDescent="0.35">
      <c r="B801" s="421"/>
      <c r="C801" s="422"/>
      <c r="D801" s="422"/>
      <c r="E801" s="422"/>
      <c r="F801" s="423"/>
    </row>
    <row r="802" spans="2:6" ht="18" x14ac:dyDescent="0.35">
      <c r="B802" s="421"/>
      <c r="C802" s="422"/>
      <c r="D802" s="422"/>
      <c r="E802" s="422"/>
      <c r="F802" s="423"/>
    </row>
    <row r="803" spans="2:6" ht="18" x14ac:dyDescent="0.35">
      <c r="B803" s="421"/>
      <c r="C803" s="422"/>
      <c r="D803" s="422"/>
      <c r="E803" s="422"/>
      <c r="F803" s="423"/>
    </row>
    <row r="804" spans="2:6" ht="18" x14ac:dyDescent="0.35">
      <c r="B804" s="421"/>
      <c r="C804" s="422"/>
      <c r="D804" s="422"/>
      <c r="E804" s="422"/>
      <c r="F804" s="423"/>
    </row>
    <row r="805" spans="2:6" ht="18" x14ac:dyDescent="0.35">
      <c r="B805" s="421"/>
      <c r="C805" s="422"/>
      <c r="D805" s="422"/>
      <c r="E805" s="422"/>
      <c r="F805" s="423"/>
    </row>
    <row r="806" spans="2:6" ht="18" x14ac:dyDescent="0.35">
      <c r="B806" s="421"/>
      <c r="C806" s="422"/>
      <c r="D806" s="422"/>
      <c r="E806" s="422"/>
      <c r="F806" s="423"/>
    </row>
    <row r="807" spans="2:6" ht="18" x14ac:dyDescent="0.35">
      <c r="B807" s="421"/>
      <c r="C807" s="422"/>
      <c r="D807" s="422"/>
      <c r="E807" s="422"/>
      <c r="F807" s="423"/>
    </row>
    <row r="808" spans="2:6" ht="18" x14ac:dyDescent="0.35">
      <c r="B808" s="421"/>
      <c r="C808" s="422"/>
      <c r="D808" s="422"/>
      <c r="E808" s="422"/>
      <c r="F808" s="423"/>
    </row>
    <row r="809" spans="2:6" ht="18" x14ac:dyDescent="0.35">
      <c r="B809" s="421"/>
      <c r="C809" s="422"/>
      <c r="D809" s="422"/>
      <c r="E809" s="422"/>
      <c r="F809" s="423"/>
    </row>
    <row r="810" spans="2:6" ht="18" x14ac:dyDescent="0.35">
      <c r="B810" s="421"/>
      <c r="C810" s="422"/>
      <c r="D810" s="422"/>
      <c r="E810" s="422"/>
      <c r="F810" s="423"/>
    </row>
    <row r="811" spans="2:6" ht="18" x14ac:dyDescent="0.35">
      <c r="B811" s="421"/>
      <c r="C811" s="422"/>
      <c r="D811" s="422"/>
      <c r="E811" s="422"/>
      <c r="F811" s="423"/>
    </row>
    <row r="812" spans="2:6" ht="18" x14ac:dyDescent="0.35">
      <c r="B812" s="421"/>
      <c r="C812" s="422"/>
      <c r="D812" s="422"/>
      <c r="E812" s="422"/>
      <c r="F812" s="423"/>
    </row>
    <row r="813" spans="2:6" ht="18" x14ac:dyDescent="0.35">
      <c r="B813" s="421"/>
      <c r="C813" s="422"/>
      <c r="D813" s="422"/>
      <c r="E813" s="422"/>
      <c r="F813" s="423"/>
    </row>
    <row r="814" spans="2:6" ht="18" x14ac:dyDescent="0.35">
      <c r="B814" s="421"/>
      <c r="C814" s="422"/>
      <c r="D814" s="422"/>
      <c r="E814" s="422"/>
      <c r="F814" s="423"/>
    </row>
    <row r="815" spans="2:6" ht="18" x14ac:dyDescent="0.35">
      <c r="B815" s="421"/>
      <c r="C815" s="422"/>
      <c r="D815" s="422"/>
      <c r="E815" s="422"/>
      <c r="F815" s="423"/>
    </row>
    <row r="816" spans="2:6" ht="18" x14ac:dyDescent="0.35">
      <c r="B816" s="421"/>
      <c r="C816" s="422"/>
      <c r="D816" s="422"/>
      <c r="E816" s="422"/>
      <c r="F816" s="423"/>
    </row>
    <row r="817" spans="2:6" ht="18" x14ac:dyDescent="0.35">
      <c r="B817" s="421"/>
      <c r="C817" s="422"/>
      <c r="D817" s="422"/>
      <c r="E817" s="422"/>
      <c r="F817" s="423"/>
    </row>
    <row r="818" spans="2:6" ht="18" x14ac:dyDescent="0.35">
      <c r="B818" s="421"/>
      <c r="C818" s="422"/>
      <c r="D818" s="422"/>
      <c r="E818" s="422"/>
      <c r="F818" s="423"/>
    </row>
    <row r="819" spans="2:6" ht="18" x14ac:dyDescent="0.35">
      <c r="B819" s="421"/>
      <c r="C819" s="422"/>
      <c r="D819" s="422"/>
      <c r="E819" s="422"/>
      <c r="F819" s="423"/>
    </row>
    <row r="820" spans="2:6" ht="18" x14ac:dyDescent="0.35">
      <c r="B820" s="421"/>
      <c r="C820" s="422"/>
      <c r="D820" s="422"/>
      <c r="E820" s="422"/>
      <c r="F820" s="423"/>
    </row>
    <row r="821" spans="2:6" ht="18" x14ac:dyDescent="0.35">
      <c r="B821" s="421"/>
      <c r="C821" s="422"/>
      <c r="D821" s="422"/>
      <c r="E821" s="422"/>
      <c r="F821" s="423"/>
    </row>
    <row r="822" spans="2:6" ht="18" x14ac:dyDescent="0.35">
      <c r="B822" s="421"/>
      <c r="C822" s="422"/>
      <c r="D822" s="422"/>
      <c r="E822" s="422"/>
      <c r="F822" s="423"/>
    </row>
    <row r="823" spans="2:6" ht="18" x14ac:dyDescent="0.35">
      <c r="B823" s="421"/>
      <c r="C823" s="422"/>
      <c r="D823" s="422"/>
      <c r="E823" s="422"/>
      <c r="F823" s="423"/>
    </row>
    <row r="824" spans="2:6" ht="18" x14ac:dyDescent="0.35">
      <c r="B824" s="421"/>
      <c r="C824" s="422"/>
      <c r="D824" s="422"/>
      <c r="E824" s="422"/>
      <c r="F824" s="423"/>
    </row>
    <row r="825" spans="2:6" ht="18" x14ac:dyDescent="0.35">
      <c r="B825" s="421"/>
      <c r="C825" s="422"/>
      <c r="D825" s="422"/>
      <c r="E825" s="422"/>
      <c r="F825" s="423"/>
    </row>
    <row r="826" spans="2:6" ht="18" x14ac:dyDescent="0.35">
      <c r="B826" s="421"/>
      <c r="C826" s="422"/>
      <c r="D826" s="422"/>
      <c r="E826" s="422"/>
      <c r="F826" s="423"/>
    </row>
    <row r="827" spans="2:6" ht="18" x14ac:dyDescent="0.35">
      <c r="B827" s="421"/>
      <c r="C827" s="422"/>
      <c r="D827" s="422"/>
      <c r="E827" s="422"/>
      <c r="F827" s="423"/>
    </row>
    <row r="828" spans="2:6" ht="18" x14ac:dyDescent="0.35">
      <c r="B828" s="421"/>
      <c r="C828" s="422"/>
      <c r="D828" s="422"/>
      <c r="E828" s="422"/>
      <c r="F828" s="423"/>
    </row>
    <row r="829" spans="2:6" ht="18" x14ac:dyDescent="0.35">
      <c r="B829" s="421"/>
      <c r="C829" s="422"/>
      <c r="D829" s="422"/>
      <c r="E829" s="422"/>
      <c r="F829" s="423"/>
    </row>
    <row r="830" spans="2:6" ht="18" x14ac:dyDescent="0.35">
      <c r="B830" s="421"/>
      <c r="C830" s="422"/>
      <c r="D830" s="422"/>
      <c r="E830" s="422"/>
      <c r="F830" s="423"/>
    </row>
    <row r="831" spans="2:6" ht="18" x14ac:dyDescent="0.35">
      <c r="B831" s="421"/>
      <c r="C831" s="422"/>
      <c r="D831" s="422"/>
      <c r="E831" s="422"/>
      <c r="F831" s="423"/>
    </row>
    <row r="832" spans="2:6" ht="18" x14ac:dyDescent="0.35">
      <c r="B832" s="421"/>
      <c r="C832" s="422"/>
      <c r="D832" s="422"/>
      <c r="E832" s="422"/>
      <c r="F832" s="423"/>
    </row>
    <row r="833" spans="2:6" ht="18" x14ac:dyDescent="0.35">
      <c r="B833" s="421"/>
      <c r="C833" s="422"/>
      <c r="D833" s="422"/>
      <c r="E833" s="422"/>
      <c r="F833" s="423"/>
    </row>
    <row r="834" spans="2:6" ht="18" x14ac:dyDescent="0.35">
      <c r="B834" s="421"/>
      <c r="C834" s="422"/>
      <c r="D834" s="422"/>
      <c r="E834" s="422"/>
      <c r="F834" s="423"/>
    </row>
    <row r="835" spans="2:6" ht="18" x14ac:dyDescent="0.35">
      <c r="B835" s="421"/>
      <c r="C835" s="422"/>
      <c r="D835" s="422"/>
      <c r="E835" s="422"/>
      <c r="F835" s="423"/>
    </row>
    <row r="836" spans="2:6" ht="18" x14ac:dyDescent="0.35">
      <c r="B836" s="421"/>
      <c r="C836" s="422"/>
      <c r="D836" s="422"/>
      <c r="E836" s="422"/>
      <c r="F836" s="423"/>
    </row>
    <row r="837" spans="2:6" ht="18" x14ac:dyDescent="0.35">
      <c r="B837" s="421"/>
      <c r="C837" s="422"/>
      <c r="D837" s="422"/>
      <c r="E837" s="422"/>
      <c r="F837" s="423"/>
    </row>
    <row r="838" spans="2:6" ht="18" x14ac:dyDescent="0.35">
      <c r="B838" s="421"/>
      <c r="C838" s="422"/>
      <c r="D838" s="422"/>
      <c r="E838" s="422"/>
      <c r="F838" s="423"/>
    </row>
    <row r="839" spans="2:6" ht="18" x14ac:dyDescent="0.35">
      <c r="B839" s="421"/>
      <c r="C839" s="422"/>
      <c r="D839" s="422"/>
      <c r="E839" s="422"/>
      <c r="F839" s="423"/>
    </row>
    <row r="840" spans="2:6" ht="18" x14ac:dyDescent="0.35">
      <c r="B840" s="421"/>
      <c r="C840" s="422"/>
      <c r="D840" s="422"/>
      <c r="E840" s="422"/>
      <c r="F840" s="423"/>
    </row>
    <row r="841" spans="2:6" ht="18" x14ac:dyDescent="0.35">
      <c r="B841" s="421"/>
      <c r="C841" s="422"/>
      <c r="D841" s="422"/>
      <c r="E841" s="422"/>
      <c r="F841" s="423"/>
    </row>
    <row r="842" spans="2:6" ht="18" x14ac:dyDescent="0.35">
      <c r="B842" s="421"/>
      <c r="C842" s="422"/>
      <c r="D842" s="422"/>
      <c r="E842" s="422"/>
      <c r="F842" s="423"/>
    </row>
    <row r="843" spans="2:6" ht="18" x14ac:dyDescent="0.35">
      <c r="B843" s="421"/>
      <c r="C843" s="422"/>
      <c r="D843" s="422"/>
      <c r="E843" s="422"/>
      <c r="F843" s="423"/>
    </row>
    <row r="844" spans="2:6" ht="18" x14ac:dyDescent="0.35">
      <c r="B844" s="421"/>
      <c r="C844" s="422"/>
      <c r="D844" s="422"/>
      <c r="E844" s="422"/>
      <c r="F844" s="423"/>
    </row>
    <row r="845" spans="2:6" ht="18" x14ac:dyDescent="0.35">
      <c r="B845" s="421"/>
      <c r="C845" s="422"/>
      <c r="D845" s="422"/>
      <c r="E845" s="422"/>
      <c r="F845" s="423"/>
    </row>
    <row r="846" spans="2:6" ht="18" x14ac:dyDescent="0.35">
      <c r="B846" s="421"/>
      <c r="C846" s="422"/>
      <c r="D846" s="422"/>
      <c r="E846" s="422"/>
      <c r="F846" s="423"/>
    </row>
    <row r="847" spans="2:6" ht="18" x14ac:dyDescent="0.35">
      <c r="B847" s="421"/>
      <c r="C847" s="422"/>
      <c r="D847" s="422"/>
      <c r="E847" s="422"/>
      <c r="F847" s="423"/>
    </row>
    <row r="848" spans="2:6" ht="18" x14ac:dyDescent="0.35">
      <c r="B848" s="421"/>
      <c r="C848" s="422"/>
      <c r="D848" s="422"/>
      <c r="E848" s="422"/>
      <c r="F848" s="423"/>
    </row>
    <row r="849" spans="2:6" ht="18" x14ac:dyDescent="0.35">
      <c r="B849" s="421"/>
      <c r="C849" s="422"/>
      <c r="D849" s="422"/>
      <c r="E849" s="422"/>
      <c r="F849" s="423"/>
    </row>
    <row r="850" spans="2:6" ht="18" x14ac:dyDescent="0.35">
      <c r="B850" s="421"/>
      <c r="C850" s="422"/>
      <c r="D850" s="422"/>
      <c r="E850" s="422"/>
      <c r="F850" s="423"/>
    </row>
    <row r="851" spans="2:6" ht="18" x14ac:dyDescent="0.35">
      <c r="B851" s="421"/>
      <c r="C851" s="422"/>
      <c r="D851" s="422"/>
      <c r="E851" s="422"/>
      <c r="F851" s="423"/>
    </row>
    <row r="852" spans="2:6" ht="18" x14ac:dyDescent="0.35">
      <c r="B852" s="421"/>
      <c r="C852" s="422"/>
      <c r="D852" s="422"/>
      <c r="E852" s="422"/>
      <c r="F852" s="423"/>
    </row>
    <row r="853" spans="2:6" ht="18" x14ac:dyDescent="0.35">
      <c r="B853" s="421"/>
      <c r="C853" s="422"/>
      <c r="D853" s="422"/>
      <c r="E853" s="422"/>
      <c r="F853" s="423"/>
    </row>
    <row r="854" spans="2:6" ht="18" x14ac:dyDescent="0.35">
      <c r="B854" s="421"/>
      <c r="C854" s="422"/>
      <c r="D854" s="422"/>
      <c r="E854" s="422"/>
      <c r="F854" s="423"/>
    </row>
    <row r="855" spans="2:6" ht="18" x14ac:dyDescent="0.35">
      <c r="B855" s="421"/>
      <c r="C855" s="422"/>
      <c r="D855" s="422"/>
      <c r="E855" s="422"/>
      <c r="F855" s="423"/>
    </row>
    <row r="856" spans="2:6" ht="18" x14ac:dyDescent="0.35">
      <c r="B856" s="421"/>
      <c r="C856" s="422"/>
      <c r="D856" s="422"/>
      <c r="E856" s="422"/>
      <c r="F856" s="423"/>
    </row>
    <row r="857" spans="2:6" ht="18" x14ac:dyDescent="0.35">
      <c r="B857" s="421"/>
      <c r="C857" s="422"/>
      <c r="D857" s="422"/>
      <c r="E857" s="422"/>
      <c r="F857" s="423"/>
    </row>
    <row r="858" spans="2:6" ht="18" x14ac:dyDescent="0.35">
      <c r="B858" s="421"/>
      <c r="C858" s="422"/>
      <c r="D858" s="422"/>
      <c r="E858" s="422"/>
      <c r="F858" s="423"/>
    </row>
    <row r="859" spans="2:6" ht="18" x14ac:dyDescent="0.35">
      <c r="B859" s="421"/>
      <c r="C859" s="422"/>
      <c r="D859" s="422"/>
      <c r="E859" s="422"/>
      <c r="F859" s="423"/>
    </row>
    <row r="860" spans="2:6" ht="18" x14ac:dyDescent="0.35">
      <c r="B860" s="421"/>
      <c r="C860" s="422"/>
      <c r="D860" s="422"/>
      <c r="E860" s="422"/>
      <c r="F860" s="423"/>
    </row>
    <row r="861" spans="2:6" ht="18" x14ac:dyDescent="0.35">
      <c r="B861" s="421"/>
      <c r="C861" s="422"/>
      <c r="D861" s="422"/>
      <c r="E861" s="422"/>
      <c r="F861" s="423"/>
    </row>
    <row r="862" spans="2:6" ht="18" x14ac:dyDescent="0.35">
      <c r="B862" s="421"/>
      <c r="C862" s="422"/>
      <c r="D862" s="422"/>
      <c r="E862" s="422"/>
      <c r="F862" s="423"/>
    </row>
    <row r="863" spans="2:6" ht="18" x14ac:dyDescent="0.35">
      <c r="B863" s="421"/>
      <c r="C863" s="422"/>
      <c r="D863" s="422"/>
      <c r="E863" s="422"/>
      <c r="F863" s="423"/>
    </row>
    <row r="864" spans="2:6" ht="18" x14ac:dyDescent="0.35">
      <c r="B864" s="421"/>
      <c r="C864" s="422"/>
      <c r="D864" s="422"/>
      <c r="E864" s="422"/>
      <c r="F864" s="423"/>
    </row>
    <row r="865" spans="2:6" ht="18" x14ac:dyDescent="0.35">
      <c r="B865" s="421"/>
      <c r="C865" s="422"/>
      <c r="D865" s="422"/>
      <c r="E865" s="422"/>
      <c r="F865" s="423"/>
    </row>
    <row r="866" spans="2:6" ht="18" x14ac:dyDescent="0.35">
      <c r="B866" s="421"/>
      <c r="C866" s="422"/>
      <c r="D866" s="422"/>
      <c r="E866" s="422"/>
      <c r="F866" s="423"/>
    </row>
    <row r="867" spans="2:6" ht="18" x14ac:dyDescent="0.35">
      <c r="B867" s="421"/>
      <c r="C867" s="422"/>
      <c r="D867" s="422"/>
      <c r="E867" s="422"/>
      <c r="F867" s="423"/>
    </row>
    <row r="868" spans="2:6" ht="18" x14ac:dyDescent="0.35">
      <c r="B868" s="421"/>
      <c r="C868" s="422"/>
      <c r="D868" s="422"/>
      <c r="E868" s="422"/>
      <c r="F868" s="423"/>
    </row>
    <row r="869" spans="2:6" ht="18" x14ac:dyDescent="0.35">
      <c r="B869" s="421"/>
      <c r="C869" s="422"/>
      <c r="D869" s="422"/>
      <c r="E869" s="422"/>
      <c r="F869" s="423"/>
    </row>
    <row r="870" spans="2:6" ht="18" x14ac:dyDescent="0.35">
      <c r="B870" s="421"/>
      <c r="C870" s="422"/>
      <c r="D870" s="422"/>
      <c r="E870" s="422"/>
      <c r="F870" s="423"/>
    </row>
    <row r="871" spans="2:6" ht="18" x14ac:dyDescent="0.35">
      <c r="B871" s="421"/>
      <c r="C871" s="422"/>
      <c r="D871" s="422"/>
      <c r="E871" s="422"/>
      <c r="F871" s="423"/>
    </row>
    <row r="872" spans="2:6" ht="18" x14ac:dyDescent="0.35">
      <c r="B872" s="421"/>
      <c r="C872" s="422"/>
      <c r="D872" s="422"/>
      <c r="E872" s="422"/>
      <c r="F872" s="423"/>
    </row>
    <row r="873" spans="2:6" ht="18" x14ac:dyDescent="0.35">
      <c r="B873" s="421"/>
      <c r="C873" s="422"/>
      <c r="D873" s="422"/>
      <c r="E873" s="422"/>
      <c r="F873" s="423"/>
    </row>
    <row r="874" spans="2:6" ht="18" x14ac:dyDescent="0.35">
      <c r="B874" s="421"/>
      <c r="C874" s="422"/>
      <c r="D874" s="422"/>
      <c r="E874" s="422"/>
      <c r="F874" s="423"/>
    </row>
    <row r="875" spans="2:6" ht="18" x14ac:dyDescent="0.35">
      <c r="B875" s="421"/>
      <c r="C875" s="422"/>
      <c r="D875" s="422"/>
      <c r="E875" s="422"/>
      <c r="F875" s="423"/>
    </row>
    <row r="876" spans="2:6" ht="18" x14ac:dyDescent="0.35">
      <c r="B876" s="421"/>
      <c r="C876" s="422"/>
      <c r="D876" s="422"/>
      <c r="E876" s="422"/>
      <c r="F876" s="423"/>
    </row>
    <row r="877" spans="2:6" ht="18" x14ac:dyDescent="0.35">
      <c r="B877" s="421"/>
      <c r="C877" s="422"/>
      <c r="D877" s="422"/>
      <c r="E877" s="422"/>
      <c r="F877" s="423"/>
    </row>
    <row r="878" spans="2:6" ht="18" x14ac:dyDescent="0.35">
      <c r="B878" s="421"/>
      <c r="C878" s="422"/>
      <c r="D878" s="422"/>
      <c r="E878" s="422"/>
      <c r="F878" s="423"/>
    </row>
    <row r="879" spans="2:6" ht="18" x14ac:dyDescent="0.35">
      <c r="B879" s="421"/>
      <c r="C879" s="422"/>
      <c r="D879" s="422"/>
      <c r="E879" s="422"/>
      <c r="F879" s="423"/>
    </row>
    <row r="880" spans="2:6" ht="18" x14ac:dyDescent="0.35">
      <c r="B880" s="421"/>
      <c r="C880" s="422"/>
      <c r="D880" s="422"/>
      <c r="E880" s="422"/>
      <c r="F880" s="423"/>
    </row>
    <row r="881" spans="2:6" ht="18" x14ac:dyDescent="0.35">
      <c r="B881" s="421"/>
      <c r="C881" s="422"/>
      <c r="D881" s="422"/>
      <c r="E881" s="422"/>
      <c r="F881" s="423"/>
    </row>
    <row r="882" spans="2:6" ht="18" x14ac:dyDescent="0.35">
      <c r="B882" s="421"/>
      <c r="C882" s="422"/>
      <c r="D882" s="422"/>
      <c r="E882" s="422"/>
      <c r="F882" s="423"/>
    </row>
    <row r="883" spans="2:6" ht="18" x14ac:dyDescent="0.35">
      <c r="B883" s="421"/>
      <c r="C883" s="422"/>
      <c r="D883" s="422"/>
      <c r="E883" s="422"/>
      <c r="F883" s="423"/>
    </row>
    <row r="884" spans="2:6" ht="18" x14ac:dyDescent="0.35">
      <c r="B884" s="421"/>
      <c r="C884" s="422"/>
      <c r="D884" s="422"/>
      <c r="E884" s="422"/>
      <c r="F884" s="423"/>
    </row>
    <row r="885" spans="2:6" ht="18" x14ac:dyDescent="0.35">
      <c r="B885" s="421"/>
      <c r="C885" s="422"/>
      <c r="D885" s="422"/>
      <c r="E885" s="422"/>
      <c r="F885" s="423"/>
    </row>
    <row r="886" spans="2:6" ht="18" x14ac:dyDescent="0.35">
      <c r="B886" s="421"/>
      <c r="C886" s="422"/>
      <c r="D886" s="422"/>
      <c r="E886" s="422"/>
      <c r="F886" s="423"/>
    </row>
    <row r="887" spans="2:6" ht="18" x14ac:dyDescent="0.35">
      <c r="B887" s="421"/>
      <c r="C887" s="422"/>
      <c r="D887" s="422"/>
      <c r="E887" s="422"/>
      <c r="F887" s="423"/>
    </row>
    <row r="888" spans="2:6" ht="18" x14ac:dyDescent="0.35">
      <c r="B888" s="421"/>
      <c r="C888" s="422"/>
      <c r="D888" s="422"/>
      <c r="E888" s="422"/>
      <c r="F888" s="423"/>
    </row>
    <row r="889" spans="2:6" ht="18" x14ac:dyDescent="0.35">
      <c r="B889" s="421"/>
      <c r="C889" s="422"/>
      <c r="D889" s="422"/>
      <c r="E889" s="422"/>
      <c r="F889" s="423"/>
    </row>
    <row r="890" spans="2:6" ht="18" x14ac:dyDescent="0.35">
      <c r="B890" s="421"/>
      <c r="C890" s="422"/>
      <c r="D890" s="422"/>
      <c r="E890" s="422"/>
      <c r="F890" s="423"/>
    </row>
    <row r="891" spans="2:6" ht="18" x14ac:dyDescent="0.35">
      <c r="B891" s="421"/>
      <c r="C891" s="422"/>
      <c r="D891" s="422"/>
      <c r="E891" s="422"/>
      <c r="F891" s="423"/>
    </row>
    <row r="892" spans="2:6" ht="18" x14ac:dyDescent="0.35">
      <c r="B892" s="421"/>
      <c r="C892" s="422"/>
      <c r="D892" s="422"/>
      <c r="E892" s="422"/>
      <c r="F892" s="423"/>
    </row>
    <row r="893" spans="2:6" ht="18" x14ac:dyDescent="0.35">
      <c r="B893" s="421"/>
      <c r="C893" s="422"/>
      <c r="D893" s="422"/>
      <c r="E893" s="422"/>
      <c r="F893" s="423"/>
    </row>
    <row r="894" spans="2:6" ht="18" x14ac:dyDescent="0.35">
      <c r="B894" s="421"/>
      <c r="C894" s="422"/>
      <c r="D894" s="422"/>
      <c r="E894" s="422"/>
      <c r="F894" s="423"/>
    </row>
    <row r="895" spans="2:6" ht="18" x14ac:dyDescent="0.35">
      <c r="B895" s="421"/>
      <c r="C895" s="422"/>
      <c r="D895" s="422"/>
      <c r="E895" s="422"/>
      <c r="F895" s="423"/>
    </row>
    <row r="896" spans="2:6" ht="18" x14ac:dyDescent="0.35">
      <c r="B896" s="421"/>
      <c r="C896" s="422"/>
      <c r="D896" s="422"/>
      <c r="E896" s="422"/>
      <c r="F896" s="423"/>
    </row>
    <row r="897" spans="2:6" ht="18" x14ac:dyDescent="0.35">
      <c r="B897" s="421"/>
      <c r="C897" s="422"/>
      <c r="D897" s="422"/>
      <c r="E897" s="422"/>
      <c r="F897" s="423"/>
    </row>
    <row r="898" spans="2:6" ht="18" x14ac:dyDescent="0.35">
      <c r="B898" s="421"/>
      <c r="C898" s="422"/>
      <c r="D898" s="422"/>
      <c r="E898" s="422"/>
      <c r="F898" s="423"/>
    </row>
    <row r="899" spans="2:6" ht="18" x14ac:dyDescent="0.35">
      <c r="B899" s="421"/>
      <c r="C899" s="422"/>
      <c r="D899" s="422"/>
      <c r="E899" s="422"/>
      <c r="F899" s="423"/>
    </row>
    <row r="900" spans="2:6" ht="18" x14ac:dyDescent="0.35">
      <c r="B900" s="421"/>
      <c r="C900" s="422"/>
      <c r="D900" s="422"/>
      <c r="E900" s="422"/>
      <c r="F900" s="423"/>
    </row>
    <row r="901" spans="2:6" ht="18" x14ac:dyDescent="0.35">
      <c r="B901" s="421"/>
      <c r="C901" s="422"/>
      <c r="D901" s="422"/>
      <c r="E901" s="422"/>
      <c r="F901" s="423"/>
    </row>
    <row r="902" spans="2:6" ht="18" x14ac:dyDescent="0.35">
      <c r="B902" s="421"/>
      <c r="C902" s="422"/>
      <c r="D902" s="422"/>
      <c r="E902" s="422"/>
      <c r="F902" s="423"/>
    </row>
    <row r="903" spans="2:6" ht="18" x14ac:dyDescent="0.35">
      <c r="B903" s="421"/>
      <c r="C903" s="422"/>
      <c r="D903" s="422"/>
      <c r="E903" s="422"/>
      <c r="F903" s="423"/>
    </row>
    <row r="904" spans="2:6" ht="18" x14ac:dyDescent="0.35">
      <c r="B904" s="421"/>
      <c r="C904" s="422"/>
      <c r="D904" s="422"/>
      <c r="E904" s="422"/>
      <c r="F904" s="423"/>
    </row>
    <row r="905" spans="2:6" ht="18" x14ac:dyDescent="0.35">
      <c r="B905" s="421"/>
      <c r="C905" s="422"/>
      <c r="D905" s="422"/>
      <c r="E905" s="422"/>
      <c r="F905" s="423"/>
    </row>
    <row r="906" spans="2:6" ht="18" x14ac:dyDescent="0.35">
      <c r="B906" s="421"/>
      <c r="C906" s="422"/>
      <c r="D906" s="422"/>
      <c r="E906" s="422"/>
      <c r="F906" s="423"/>
    </row>
    <row r="907" spans="2:6" ht="18" x14ac:dyDescent="0.35">
      <c r="B907" s="421"/>
      <c r="C907" s="422"/>
      <c r="D907" s="422"/>
      <c r="E907" s="422"/>
      <c r="F907" s="423"/>
    </row>
    <row r="908" spans="2:6" ht="18" x14ac:dyDescent="0.35">
      <c r="B908" s="421"/>
      <c r="C908" s="422"/>
      <c r="D908" s="422"/>
      <c r="E908" s="422"/>
      <c r="F908" s="423"/>
    </row>
    <row r="909" spans="2:6" ht="18" x14ac:dyDescent="0.35">
      <c r="B909" s="421"/>
      <c r="C909" s="422"/>
      <c r="D909" s="422"/>
      <c r="E909" s="422"/>
      <c r="F909" s="423"/>
    </row>
    <row r="910" spans="2:6" ht="18" x14ac:dyDescent="0.35">
      <c r="B910" s="421"/>
      <c r="C910" s="422"/>
      <c r="D910" s="422"/>
      <c r="E910" s="422"/>
      <c r="F910" s="423"/>
    </row>
    <row r="911" spans="2:6" ht="18" x14ac:dyDescent="0.35">
      <c r="B911" s="421"/>
      <c r="C911" s="422"/>
      <c r="D911" s="422"/>
      <c r="E911" s="422"/>
      <c r="F911" s="423"/>
    </row>
    <row r="912" spans="2:6" ht="18" x14ac:dyDescent="0.35">
      <c r="B912" s="421"/>
      <c r="C912" s="422"/>
      <c r="D912" s="422"/>
      <c r="E912" s="422"/>
      <c r="F912" s="423"/>
    </row>
    <row r="913" spans="2:6" ht="18" x14ac:dyDescent="0.35">
      <c r="B913" s="421"/>
      <c r="C913" s="422"/>
      <c r="D913" s="422"/>
      <c r="E913" s="422"/>
      <c r="F913" s="423"/>
    </row>
    <row r="914" spans="2:6" ht="18" x14ac:dyDescent="0.35">
      <c r="B914" s="421"/>
      <c r="C914" s="422"/>
      <c r="D914" s="422"/>
      <c r="E914" s="422"/>
      <c r="F914" s="423"/>
    </row>
    <row r="915" spans="2:6" ht="18" x14ac:dyDescent="0.35">
      <c r="B915" s="421"/>
      <c r="C915" s="422"/>
      <c r="D915" s="422"/>
      <c r="E915" s="422"/>
      <c r="F915" s="423"/>
    </row>
    <row r="916" spans="2:6" ht="18" x14ac:dyDescent="0.35">
      <c r="B916" s="421"/>
      <c r="C916" s="422"/>
      <c r="D916" s="422"/>
      <c r="E916" s="422"/>
      <c r="F916" s="423"/>
    </row>
    <row r="917" spans="2:6" ht="18" x14ac:dyDescent="0.35">
      <c r="B917" s="421"/>
      <c r="C917" s="422"/>
      <c r="D917" s="422"/>
      <c r="E917" s="422"/>
      <c r="F917" s="423"/>
    </row>
    <row r="918" spans="2:6" ht="18" x14ac:dyDescent="0.35">
      <c r="B918" s="421"/>
      <c r="C918" s="422"/>
      <c r="D918" s="422"/>
      <c r="E918" s="422"/>
      <c r="F918" s="423"/>
    </row>
    <row r="919" spans="2:6" ht="18" x14ac:dyDescent="0.35">
      <c r="B919" s="421"/>
      <c r="C919" s="422"/>
      <c r="D919" s="422"/>
      <c r="E919" s="422"/>
      <c r="F919" s="423"/>
    </row>
    <row r="920" spans="2:6" ht="18" x14ac:dyDescent="0.35">
      <c r="B920" s="421"/>
      <c r="C920" s="422"/>
      <c r="D920" s="422"/>
      <c r="E920" s="422"/>
      <c r="F920" s="423"/>
    </row>
    <row r="921" spans="2:6" ht="18" x14ac:dyDescent="0.35">
      <c r="B921" s="421"/>
      <c r="C921" s="422"/>
      <c r="D921" s="422"/>
      <c r="E921" s="422"/>
      <c r="F921" s="423"/>
    </row>
    <row r="922" spans="2:6" ht="18" x14ac:dyDescent="0.35">
      <c r="B922" s="421"/>
      <c r="C922" s="422"/>
      <c r="D922" s="422"/>
      <c r="E922" s="422"/>
      <c r="F922" s="423"/>
    </row>
    <row r="923" spans="2:6" ht="18" x14ac:dyDescent="0.35">
      <c r="B923" s="421"/>
      <c r="C923" s="422"/>
      <c r="D923" s="422"/>
      <c r="E923" s="422"/>
      <c r="F923" s="423"/>
    </row>
    <row r="924" spans="2:6" ht="18" x14ac:dyDescent="0.35">
      <c r="B924" s="421"/>
      <c r="C924" s="422"/>
      <c r="D924" s="422"/>
      <c r="E924" s="422"/>
      <c r="F924" s="423"/>
    </row>
    <row r="925" spans="2:6" ht="18" x14ac:dyDescent="0.35">
      <c r="B925" s="421"/>
      <c r="C925" s="422"/>
      <c r="D925" s="422"/>
      <c r="E925" s="422"/>
      <c r="F925" s="423"/>
    </row>
    <row r="926" spans="2:6" ht="18" x14ac:dyDescent="0.35">
      <c r="B926" s="421"/>
      <c r="C926" s="422"/>
      <c r="D926" s="422"/>
      <c r="E926" s="422"/>
      <c r="F926" s="423"/>
    </row>
    <row r="927" spans="2:6" ht="18" x14ac:dyDescent="0.35">
      <c r="B927" s="421"/>
      <c r="C927" s="422"/>
      <c r="D927" s="422"/>
      <c r="E927" s="422"/>
      <c r="F927" s="423"/>
    </row>
    <row r="928" spans="2:6" ht="18" x14ac:dyDescent="0.35">
      <c r="B928" s="421"/>
      <c r="C928" s="422"/>
      <c r="D928" s="422"/>
      <c r="E928" s="422"/>
      <c r="F928" s="423"/>
    </row>
    <row r="929" spans="2:6" ht="18" x14ac:dyDescent="0.35">
      <c r="B929" s="421"/>
      <c r="C929" s="422"/>
      <c r="D929" s="422"/>
      <c r="E929" s="422"/>
      <c r="F929" s="423"/>
    </row>
    <row r="930" spans="2:6" ht="18" x14ac:dyDescent="0.35">
      <c r="B930" s="421"/>
      <c r="C930" s="422"/>
      <c r="D930" s="422"/>
      <c r="E930" s="422"/>
      <c r="F930" s="423"/>
    </row>
    <row r="931" spans="2:6" ht="18" x14ac:dyDescent="0.35">
      <c r="B931" s="421"/>
      <c r="C931" s="422"/>
      <c r="D931" s="422"/>
      <c r="E931" s="422"/>
      <c r="F931" s="423"/>
    </row>
    <row r="932" spans="2:6" ht="18" x14ac:dyDescent="0.35">
      <c r="B932" s="421"/>
      <c r="C932" s="422"/>
      <c r="D932" s="422"/>
      <c r="E932" s="422"/>
      <c r="F932" s="423"/>
    </row>
    <row r="933" spans="2:6" ht="18" x14ac:dyDescent="0.35">
      <c r="B933" s="421"/>
      <c r="C933" s="422"/>
      <c r="D933" s="422"/>
      <c r="E933" s="422"/>
      <c r="F933" s="423"/>
    </row>
    <row r="934" spans="2:6" ht="18" x14ac:dyDescent="0.35">
      <c r="B934" s="421"/>
      <c r="C934" s="422"/>
      <c r="D934" s="422"/>
      <c r="E934" s="422"/>
      <c r="F934" s="423"/>
    </row>
    <row r="935" spans="2:6" ht="18" x14ac:dyDescent="0.35">
      <c r="B935" s="421"/>
      <c r="C935" s="422"/>
      <c r="D935" s="422"/>
      <c r="E935" s="422"/>
      <c r="F935" s="423"/>
    </row>
    <row r="936" spans="2:6" ht="18" x14ac:dyDescent="0.35">
      <c r="B936" s="421"/>
      <c r="C936" s="422"/>
      <c r="D936" s="422"/>
      <c r="E936" s="422"/>
      <c r="F936" s="423"/>
    </row>
    <row r="937" spans="2:6" ht="18" x14ac:dyDescent="0.35">
      <c r="B937" s="421"/>
      <c r="C937" s="422"/>
      <c r="D937" s="422"/>
      <c r="E937" s="422"/>
      <c r="F937" s="423"/>
    </row>
    <row r="938" spans="2:6" ht="18" x14ac:dyDescent="0.35">
      <c r="B938" s="421"/>
      <c r="C938" s="422"/>
      <c r="D938" s="422"/>
      <c r="E938" s="422"/>
      <c r="F938" s="423"/>
    </row>
    <row r="939" spans="2:6" ht="18" x14ac:dyDescent="0.35">
      <c r="B939" s="421"/>
      <c r="C939" s="422"/>
      <c r="D939" s="422"/>
      <c r="E939" s="422"/>
      <c r="F939" s="423"/>
    </row>
    <row r="940" spans="2:6" ht="18" x14ac:dyDescent="0.35">
      <c r="B940" s="421"/>
      <c r="C940" s="422"/>
      <c r="D940" s="422"/>
      <c r="E940" s="422"/>
      <c r="F940" s="423"/>
    </row>
    <row r="941" spans="2:6" ht="18" x14ac:dyDescent="0.35">
      <c r="B941" s="421"/>
      <c r="C941" s="422"/>
      <c r="D941" s="422"/>
      <c r="E941" s="422"/>
      <c r="F941" s="423"/>
    </row>
    <row r="942" spans="2:6" ht="18" x14ac:dyDescent="0.35">
      <c r="B942" s="421"/>
      <c r="C942" s="422"/>
      <c r="D942" s="422"/>
      <c r="E942" s="422"/>
      <c r="F942" s="423"/>
    </row>
    <row r="943" spans="2:6" ht="18" x14ac:dyDescent="0.35">
      <c r="B943" s="421"/>
      <c r="C943" s="422"/>
      <c r="D943" s="422"/>
      <c r="E943" s="422"/>
      <c r="F943" s="423"/>
    </row>
    <row r="944" spans="2:6" ht="18" x14ac:dyDescent="0.35">
      <c r="B944" s="421"/>
      <c r="C944" s="422"/>
      <c r="D944" s="422"/>
      <c r="E944" s="422"/>
      <c r="F944" s="423"/>
    </row>
    <row r="945" spans="2:6" ht="18" x14ac:dyDescent="0.35">
      <c r="B945" s="421"/>
      <c r="C945" s="422"/>
      <c r="D945" s="422"/>
      <c r="E945" s="422"/>
      <c r="F945" s="423"/>
    </row>
    <row r="946" spans="2:6" ht="18" x14ac:dyDescent="0.35">
      <c r="B946" s="421"/>
      <c r="C946" s="422"/>
      <c r="D946" s="422"/>
      <c r="E946" s="422"/>
      <c r="F946" s="423"/>
    </row>
    <row r="947" spans="2:6" ht="18" x14ac:dyDescent="0.35">
      <c r="B947" s="421"/>
      <c r="C947" s="422"/>
      <c r="D947" s="422"/>
      <c r="E947" s="422"/>
      <c r="F947" s="423"/>
    </row>
    <row r="948" spans="2:6" ht="18" x14ac:dyDescent="0.35">
      <c r="B948" s="421"/>
      <c r="C948" s="422"/>
      <c r="D948" s="422"/>
      <c r="E948" s="422"/>
      <c r="F948" s="423"/>
    </row>
    <row r="949" spans="2:6" ht="18" x14ac:dyDescent="0.35">
      <c r="B949" s="421"/>
      <c r="C949" s="422"/>
      <c r="D949" s="422"/>
      <c r="E949" s="422"/>
      <c r="F949" s="423"/>
    </row>
    <row r="950" spans="2:6" ht="18" x14ac:dyDescent="0.35">
      <c r="B950" s="421"/>
      <c r="C950" s="422"/>
      <c r="D950" s="422"/>
      <c r="E950" s="422"/>
      <c r="F950" s="423"/>
    </row>
    <row r="951" spans="2:6" ht="18" x14ac:dyDescent="0.35">
      <c r="B951" s="421"/>
      <c r="C951" s="422"/>
      <c r="D951" s="422"/>
      <c r="E951" s="422"/>
      <c r="F951" s="423"/>
    </row>
    <row r="952" spans="2:6" ht="18" x14ac:dyDescent="0.35">
      <c r="B952" s="421"/>
      <c r="C952" s="422"/>
      <c r="D952" s="422"/>
      <c r="E952" s="422"/>
      <c r="F952" s="423"/>
    </row>
    <row r="953" spans="2:6" ht="18" x14ac:dyDescent="0.35">
      <c r="B953" s="421"/>
      <c r="C953" s="422"/>
      <c r="D953" s="422"/>
      <c r="E953" s="422"/>
      <c r="F953" s="423"/>
    </row>
    <row r="954" spans="2:6" ht="18" x14ac:dyDescent="0.35">
      <c r="B954" s="421"/>
      <c r="C954" s="422"/>
      <c r="D954" s="422"/>
      <c r="E954" s="422"/>
      <c r="F954" s="423"/>
    </row>
    <row r="955" spans="2:6" ht="18" x14ac:dyDescent="0.35">
      <c r="B955" s="421"/>
      <c r="C955" s="422"/>
      <c r="D955" s="422"/>
      <c r="E955" s="422"/>
      <c r="F955" s="423"/>
    </row>
    <row r="956" spans="2:6" ht="18" x14ac:dyDescent="0.35">
      <c r="B956" s="421"/>
      <c r="C956" s="422"/>
      <c r="D956" s="422"/>
      <c r="E956" s="422"/>
      <c r="F956" s="423"/>
    </row>
    <row r="957" spans="2:6" ht="18" x14ac:dyDescent="0.35">
      <c r="B957" s="421"/>
      <c r="C957" s="422"/>
      <c r="D957" s="422"/>
      <c r="E957" s="422"/>
      <c r="F957" s="423"/>
    </row>
    <row r="958" spans="2:6" ht="18" x14ac:dyDescent="0.35">
      <c r="B958" s="421"/>
      <c r="C958" s="422"/>
      <c r="D958" s="422"/>
      <c r="E958" s="422"/>
      <c r="F958" s="423"/>
    </row>
    <row r="959" spans="2:6" ht="18" x14ac:dyDescent="0.35">
      <c r="B959" s="421"/>
      <c r="C959" s="422"/>
      <c r="D959" s="422"/>
      <c r="E959" s="422"/>
      <c r="F959" s="423"/>
    </row>
    <row r="960" spans="2:6" ht="18" x14ac:dyDescent="0.35">
      <c r="B960" s="421"/>
      <c r="C960" s="422"/>
      <c r="D960" s="422"/>
      <c r="E960" s="422"/>
      <c r="F960" s="423"/>
    </row>
    <row r="961" spans="2:6" ht="18" x14ac:dyDescent="0.35">
      <c r="B961" s="421"/>
      <c r="C961" s="422"/>
      <c r="D961" s="422"/>
      <c r="E961" s="422"/>
      <c r="F961" s="423"/>
    </row>
    <row r="962" spans="2:6" ht="18" x14ac:dyDescent="0.35">
      <c r="B962" s="421"/>
      <c r="C962" s="422"/>
      <c r="D962" s="422"/>
      <c r="E962" s="422"/>
      <c r="F962" s="423"/>
    </row>
    <row r="963" spans="2:6" ht="18" x14ac:dyDescent="0.35">
      <c r="B963" s="421"/>
      <c r="C963" s="422"/>
      <c r="D963" s="422"/>
      <c r="E963" s="422"/>
      <c r="F963" s="423"/>
    </row>
    <row r="964" spans="2:6" ht="18" x14ac:dyDescent="0.35">
      <c r="B964" s="421"/>
      <c r="C964" s="422"/>
      <c r="D964" s="422"/>
      <c r="E964" s="422"/>
      <c r="F964" s="423"/>
    </row>
    <row r="965" spans="2:6" ht="18" x14ac:dyDescent="0.35">
      <c r="B965" s="421"/>
      <c r="C965" s="422"/>
      <c r="D965" s="422"/>
      <c r="E965" s="422"/>
      <c r="F965" s="423"/>
    </row>
    <row r="966" spans="2:6" ht="18" x14ac:dyDescent="0.35">
      <c r="B966" s="421"/>
      <c r="C966" s="422"/>
      <c r="D966" s="422"/>
      <c r="E966" s="422"/>
      <c r="F966" s="423"/>
    </row>
    <row r="967" spans="2:6" ht="18" x14ac:dyDescent="0.35">
      <c r="B967" s="421"/>
      <c r="C967" s="422"/>
      <c r="D967" s="422"/>
      <c r="E967" s="422"/>
      <c r="F967" s="423"/>
    </row>
    <row r="968" spans="2:6" ht="18" x14ac:dyDescent="0.35">
      <c r="B968" s="421"/>
      <c r="C968" s="422"/>
      <c r="D968" s="422"/>
      <c r="E968" s="422"/>
      <c r="F968" s="423"/>
    </row>
    <row r="969" spans="2:6" ht="18" x14ac:dyDescent="0.35">
      <c r="B969" s="421"/>
      <c r="C969" s="422"/>
      <c r="D969" s="422"/>
      <c r="E969" s="422"/>
      <c r="F969" s="423"/>
    </row>
    <row r="970" spans="2:6" ht="18" x14ac:dyDescent="0.35">
      <c r="B970" s="421"/>
      <c r="C970" s="422"/>
      <c r="D970" s="422"/>
      <c r="E970" s="422"/>
      <c r="F970" s="423"/>
    </row>
    <row r="971" spans="2:6" ht="18" x14ac:dyDescent="0.35">
      <c r="B971" s="421"/>
      <c r="C971" s="422"/>
      <c r="D971" s="422"/>
      <c r="E971" s="422"/>
      <c r="F971" s="423"/>
    </row>
    <row r="972" spans="2:6" ht="18" x14ac:dyDescent="0.35">
      <c r="B972" s="421"/>
      <c r="C972" s="422"/>
      <c r="D972" s="422"/>
      <c r="E972" s="422"/>
      <c r="F972" s="423"/>
    </row>
    <row r="973" spans="2:6" ht="18" x14ac:dyDescent="0.35">
      <c r="B973" s="421"/>
      <c r="C973" s="422"/>
      <c r="D973" s="422"/>
      <c r="E973" s="422"/>
      <c r="F973" s="423"/>
    </row>
    <row r="974" spans="2:6" ht="18" x14ac:dyDescent="0.35">
      <c r="B974" s="421"/>
      <c r="C974" s="422"/>
      <c r="D974" s="422"/>
      <c r="E974" s="422"/>
      <c r="F974" s="423"/>
    </row>
    <row r="975" spans="2:6" ht="18" x14ac:dyDescent="0.35">
      <c r="B975" s="421"/>
      <c r="C975" s="422"/>
      <c r="D975" s="422"/>
      <c r="E975" s="422"/>
      <c r="F975" s="423"/>
    </row>
    <row r="976" spans="2:6" ht="18" x14ac:dyDescent="0.35">
      <c r="B976" s="421"/>
      <c r="C976" s="422"/>
      <c r="D976" s="422"/>
      <c r="E976" s="422"/>
      <c r="F976" s="423"/>
    </row>
    <row r="977" spans="2:6" ht="18" x14ac:dyDescent="0.35">
      <c r="B977" s="421"/>
      <c r="C977" s="422"/>
      <c r="D977" s="422"/>
      <c r="E977" s="422"/>
      <c r="F977" s="423"/>
    </row>
    <row r="978" spans="2:6" ht="18" x14ac:dyDescent="0.35">
      <c r="B978" s="421"/>
      <c r="C978" s="422"/>
      <c r="D978" s="422"/>
      <c r="E978" s="422"/>
      <c r="F978" s="423"/>
    </row>
    <row r="979" spans="2:6" ht="18" x14ac:dyDescent="0.35">
      <c r="B979" s="421"/>
      <c r="C979" s="422"/>
      <c r="D979" s="422"/>
      <c r="E979" s="422"/>
      <c r="F979" s="423"/>
    </row>
    <row r="980" spans="2:6" ht="18" x14ac:dyDescent="0.35">
      <c r="B980" s="421"/>
      <c r="C980" s="422"/>
      <c r="D980" s="422"/>
      <c r="E980" s="422"/>
      <c r="F980" s="423"/>
    </row>
    <row r="981" spans="2:6" ht="18" x14ac:dyDescent="0.35">
      <c r="B981" s="421"/>
      <c r="C981" s="422"/>
      <c r="D981" s="422"/>
      <c r="E981" s="422"/>
      <c r="F981" s="423"/>
    </row>
    <row r="982" spans="2:6" ht="18" x14ac:dyDescent="0.35">
      <c r="B982" s="421"/>
      <c r="C982" s="422"/>
      <c r="D982" s="422"/>
      <c r="E982" s="422"/>
      <c r="F982" s="423"/>
    </row>
    <row r="983" spans="2:6" ht="18" x14ac:dyDescent="0.35">
      <c r="B983" s="421"/>
      <c r="C983" s="422"/>
      <c r="D983" s="422"/>
      <c r="E983" s="422"/>
      <c r="F983" s="423"/>
    </row>
    <row r="984" spans="2:6" ht="18" x14ac:dyDescent="0.35">
      <c r="B984" s="421"/>
      <c r="C984" s="422"/>
      <c r="D984" s="422"/>
      <c r="E984" s="422"/>
      <c r="F984" s="423"/>
    </row>
    <row r="985" spans="2:6" ht="18" x14ac:dyDescent="0.35">
      <c r="B985" s="421"/>
      <c r="C985" s="422"/>
      <c r="D985" s="422"/>
      <c r="E985" s="422"/>
      <c r="F985" s="423"/>
    </row>
    <row r="986" spans="2:6" ht="18" x14ac:dyDescent="0.35">
      <c r="B986" s="421"/>
      <c r="C986" s="422"/>
      <c r="D986" s="422"/>
      <c r="E986" s="422"/>
      <c r="F986" s="423"/>
    </row>
    <row r="987" spans="2:6" ht="18" x14ac:dyDescent="0.35">
      <c r="B987" s="421"/>
      <c r="C987" s="422"/>
      <c r="D987" s="422"/>
      <c r="E987" s="422"/>
      <c r="F987" s="423"/>
    </row>
    <row r="988" spans="2:6" ht="18" x14ac:dyDescent="0.35">
      <c r="B988" s="421"/>
      <c r="C988" s="422"/>
      <c r="D988" s="422"/>
      <c r="E988" s="422"/>
      <c r="F988" s="423"/>
    </row>
    <row r="989" spans="2:6" ht="18" x14ac:dyDescent="0.35">
      <c r="B989" s="421"/>
      <c r="C989" s="422"/>
      <c r="D989" s="422"/>
      <c r="E989" s="422"/>
      <c r="F989" s="423"/>
    </row>
    <row r="990" spans="2:6" ht="18" x14ac:dyDescent="0.35">
      <c r="B990" s="421"/>
      <c r="C990" s="422"/>
      <c r="D990" s="422"/>
      <c r="E990" s="422"/>
      <c r="F990" s="423"/>
    </row>
    <row r="991" spans="2:6" ht="18" x14ac:dyDescent="0.35">
      <c r="B991" s="421"/>
      <c r="C991" s="422"/>
      <c r="D991" s="422"/>
      <c r="E991" s="422"/>
      <c r="F991" s="423"/>
    </row>
    <row r="992" spans="2:6" ht="18" x14ac:dyDescent="0.35">
      <c r="B992" s="421"/>
      <c r="C992" s="422"/>
      <c r="D992" s="422"/>
      <c r="E992" s="422"/>
      <c r="F992" s="423"/>
    </row>
    <row r="993" spans="2:6" ht="18" x14ac:dyDescent="0.35">
      <c r="B993" s="421"/>
      <c r="C993" s="422"/>
      <c r="D993" s="422"/>
      <c r="E993" s="422"/>
      <c r="F993" s="423"/>
    </row>
    <row r="994" spans="2:6" ht="18" x14ac:dyDescent="0.35">
      <c r="B994" s="421"/>
      <c r="C994" s="422"/>
      <c r="D994" s="422"/>
      <c r="E994" s="422"/>
      <c r="F994" s="423"/>
    </row>
    <row r="995" spans="2:6" ht="18" x14ac:dyDescent="0.35">
      <c r="B995" s="421"/>
      <c r="C995" s="422"/>
      <c r="D995" s="422"/>
      <c r="E995" s="422"/>
      <c r="F995" s="423"/>
    </row>
    <row r="996" spans="2:6" ht="18" x14ac:dyDescent="0.35">
      <c r="B996" s="421"/>
      <c r="C996" s="422"/>
      <c r="D996" s="422"/>
      <c r="E996" s="422"/>
      <c r="F996" s="423"/>
    </row>
    <row r="997" spans="2:6" ht="18" x14ac:dyDescent="0.35">
      <c r="B997" s="421"/>
      <c r="C997" s="422"/>
      <c r="D997" s="422"/>
      <c r="E997" s="422"/>
      <c r="F997" s="423"/>
    </row>
    <row r="998" spans="2:6" ht="18" x14ac:dyDescent="0.35">
      <c r="B998" s="421"/>
      <c r="C998" s="422"/>
      <c r="D998" s="422"/>
      <c r="E998" s="422"/>
      <c r="F998" s="423"/>
    </row>
    <row r="999" spans="2:6" ht="18" x14ac:dyDescent="0.35">
      <c r="B999" s="421"/>
      <c r="C999" s="422"/>
      <c r="D999" s="422"/>
      <c r="E999" s="422"/>
      <c r="F999" s="423"/>
    </row>
    <row r="1000" spans="2:6" ht="18" x14ac:dyDescent="0.35">
      <c r="B1000" s="421"/>
      <c r="C1000" s="422"/>
      <c r="D1000" s="422"/>
      <c r="E1000" s="422"/>
      <c r="F1000" s="423"/>
    </row>
    <row r="1001" spans="2:6" ht="18" x14ac:dyDescent="0.35">
      <c r="B1001" s="421"/>
      <c r="C1001" s="422"/>
      <c r="D1001" s="422"/>
      <c r="E1001" s="422"/>
      <c r="F1001" s="423"/>
    </row>
    <row r="1002" spans="2:6" ht="18" x14ac:dyDescent="0.35">
      <c r="B1002" s="421"/>
      <c r="C1002" s="422"/>
      <c r="D1002" s="422"/>
      <c r="E1002" s="422"/>
      <c r="F1002" s="423"/>
    </row>
    <row r="1003" spans="2:6" ht="18" x14ac:dyDescent="0.35">
      <c r="B1003" s="421"/>
      <c r="C1003" s="422"/>
      <c r="D1003" s="422"/>
      <c r="E1003" s="422"/>
      <c r="F1003" s="423"/>
    </row>
    <row r="1004" spans="2:6" ht="18" x14ac:dyDescent="0.35">
      <c r="B1004" s="421"/>
      <c r="C1004" s="422"/>
      <c r="D1004" s="422"/>
      <c r="E1004" s="422"/>
      <c r="F1004" s="423"/>
    </row>
    <row r="1005" spans="2:6" ht="18" x14ac:dyDescent="0.35">
      <c r="B1005" s="421"/>
      <c r="C1005" s="422"/>
      <c r="D1005" s="422"/>
      <c r="E1005" s="422"/>
      <c r="F1005" s="423"/>
    </row>
    <row r="1006" spans="2:6" ht="18" x14ac:dyDescent="0.35">
      <c r="B1006" s="421"/>
      <c r="C1006" s="422"/>
      <c r="D1006" s="422"/>
      <c r="E1006" s="422"/>
      <c r="F1006" s="423"/>
    </row>
    <row r="1007" spans="2:6" ht="18" x14ac:dyDescent="0.35">
      <c r="B1007" s="421"/>
      <c r="C1007" s="422"/>
      <c r="D1007" s="422"/>
      <c r="E1007" s="422"/>
      <c r="F1007" s="423"/>
    </row>
    <row r="1008" spans="2:6" ht="18" x14ac:dyDescent="0.35">
      <c r="B1008" s="421"/>
      <c r="C1008" s="422"/>
      <c r="D1008" s="422"/>
      <c r="E1008" s="422"/>
      <c r="F1008" s="423"/>
    </row>
    <row r="1009" spans="2:6" ht="18" x14ac:dyDescent="0.35">
      <c r="B1009" s="421"/>
      <c r="C1009" s="422"/>
      <c r="D1009" s="422"/>
      <c r="E1009" s="422"/>
      <c r="F1009" s="423"/>
    </row>
    <row r="1010" spans="2:6" ht="18" x14ac:dyDescent="0.35">
      <c r="B1010" s="421"/>
      <c r="C1010" s="422"/>
      <c r="D1010" s="422"/>
      <c r="E1010" s="422"/>
      <c r="F1010" s="423"/>
    </row>
    <row r="1011" spans="2:6" ht="18" x14ac:dyDescent="0.35">
      <c r="B1011" s="421"/>
      <c r="C1011" s="422"/>
      <c r="D1011" s="422"/>
      <c r="E1011" s="422"/>
      <c r="F1011" s="423"/>
    </row>
    <row r="1012" spans="2:6" ht="18" x14ac:dyDescent="0.35">
      <c r="B1012" s="421"/>
      <c r="C1012" s="422"/>
      <c r="D1012" s="422"/>
      <c r="E1012" s="422"/>
      <c r="F1012" s="423"/>
    </row>
    <row r="1013" spans="2:6" ht="18" x14ac:dyDescent="0.35">
      <c r="B1013" s="421"/>
      <c r="C1013" s="422"/>
      <c r="D1013" s="422"/>
      <c r="E1013" s="422"/>
      <c r="F1013" s="423"/>
    </row>
    <row r="1014" spans="2:6" ht="18" x14ac:dyDescent="0.35">
      <c r="B1014" s="421"/>
      <c r="C1014" s="422"/>
      <c r="D1014" s="422"/>
      <c r="E1014" s="422"/>
      <c r="F1014" s="423"/>
    </row>
    <row r="1015" spans="2:6" ht="18" x14ac:dyDescent="0.35">
      <c r="B1015" s="421"/>
      <c r="C1015" s="422"/>
      <c r="D1015" s="422"/>
      <c r="E1015" s="422"/>
      <c r="F1015" s="423"/>
    </row>
    <row r="1016" spans="2:6" ht="18" x14ac:dyDescent="0.35">
      <c r="B1016" s="421"/>
      <c r="C1016" s="422"/>
      <c r="D1016" s="422"/>
      <c r="E1016" s="422"/>
      <c r="F1016" s="423"/>
    </row>
    <row r="1017" spans="2:6" ht="18" x14ac:dyDescent="0.35">
      <c r="B1017" s="421"/>
      <c r="C1017" s="422"/>
      <c r="D1017" s="422"/>
      <c r="E1017" s="422"/>
      <c r="F1017" s="423"/>
    </row>
    <row r="1018" spans="2:6" ht="18" x14ac:dyDescent="0.35">
      <c r="B1018" s="421"/>
      <c r="C1018" s="422"/>
      <c r="D1018" s="422"/>
      <c r="E1018" s="422"/>
      <c r="F1018" s="423"/>
    </row>
    <row r="1019" spans="2:6" ht="18" x14ac:dyDescent="0.35">
      <c r="B1019" s="421"/>
      <c r="C1019" s="422"/>
      <c r="D1019" s="422"/>
      <c r="E1019" s="422"/>
      <c r="F1019" s="423"/>
    </row>
    <row r="1020" spans="2:6" ht="18" x14ac:dyDescent="0.35">
      <c r="B1020" s="421"/>
      <c r="C1020" s="422"/>
      <c r="D1020" s="422"/>
      <c r="E1020" s="422"/>
      <c r="F1020" s="423"/>
    </row>
    <row r="1021" spans="2:6" ht="18" x14ac:dyDescent="0.35">
      <c r="B1021" s="421"/>
      <c r="C1021" s="422"/>
      <c r="D1021" s="422"/>
      <c r="E1021" s="422"/>
      <c r="F1021" s="423"/>
    </row>
    <row r="1022" spans="2:6" ht="18" x14ac:dyDescent="0.35">
      <c r="B1022" s="421"/>
      <c r="C1022" s="422"/>
      <c r="D1022" s="422"/>
      <c r="E1022" s="422"/>
      <c r="F1022" s="423"/>
    </row>
    <row r="1023" spans="2:6" ht="18" x14ac:dyDescent="0.35">
      <c r="B1023" s="421"/>
      <c r="C1023" s="422"/>
      <c r="D1023" s="422"/>
      <c r="E1023" s="422"/>
      <c r="F1023" s="423"/>
    </row>
    <row r="1024" spans="2:6" ht="18" x14ac:dyDescent="0.35">
      <c r="B1024" s="421"/>
      <c r="C1024" s="422"/>
      <c r="D1024" s="422"/>
      <c r="E1024" s="422"/>
      <c r="F1024" s="423"/>
    </row>
    <row r="1025" spans="2:6" ht="18" x14ac:dyDescent="0.35">
      <c r="B1025" s="421"/>
      <c r="C1025" s="422"/>
      <c r="D1025" s="422"/>
      <c r="E1025" s="422"/>
      <c r="F1025" s="423"/>
    </row>
    <row r="1026" spans="2:6" ht="18" x14ac:dyDescent="0.35">
      <c r="B1026" s="421"/>
      <c r="C1026" s="422"/>
      <c r="D1026" s="422"/>
      <c r="E1026" s="422"/>
      <c r="F1026" s="423"/>
    </row>
    <row r="1027" spans="2:6" ht="18" x14ac:dyDescent="0.35">
      <c r="B1027" s="421"/>
      <c r="C1027" s="422"/>
      <c r="D1027" s="422"/>
      <c r="E1027" s="422"/>
      <c r="F1027" s="423"/>
    </row>
    <row r="1028" spans="2:6" ht="18" x14ac:dyDescent="0.35">
      <c r="B1028" s="421"/>
      <c r="C1028" s="422"/>
      <c r="D1028" s="422"/>
      <c r="E1028" s="422"/>
      <c r="F1028" s="423"/>
    </row>
    <row r="1029" spans="2:6" ht="18" x14ac:dyDescent="0.35">
      <c r="B1029" s="421"/>
      <c r="C1029" s="422"/>
      <c r="D1029" s="422"/>
      <c r="E1029" s="422"/>
      <c r="F1029" s="423"/>
    </row>
    <row r="1030" spans="2:6" ht="18" x14ac:dyDescent="0.35">
      <c r="B1030" s="421"/>
      <c r="C1030" s="422"/>
      <c r="D1030" s="422"/>
      <c r="E1030" s="422"/>
      <c r="F1030" s="423"/>
    </row>
    <row r="1031" spans="2:6" ht="18" x14ac:dyDescent="0.35">
      <c r="B1031" s="421"/>
      <c r="C1031" s="422"/>
      <c r="D1031" s="422"/>
      <c r="E1031" s="422"/>
      <c r="F1031" s="423"/>
    </row>
    <row r="1032" spans="2:6" ht="18" x14ac:dyDescent="0.35">
      <c r="B1032" s="421"/>
      <c r="C1032" s="422"/>
      <c r="D1032" s="422"/>
      <c r="E1032" s="422"/>
      <c r="F1032" s="423"/>
    </row>
    <row r="1033" spans="2:6" ht="18" x14ac:dyDescent="0.35">
      <c r="B1033" s="421"/>
      <c r="C1033" s="422"/>
      <c r="D1033" s="422"/>
      <c r="E1033" s="422"/>
      <c r="F1033" s="423"/>
    </row>
    <row r="1034" spans="2:6" ht="18" x14ac:dyDescent="0.35">
      <c r="B1034" s="421"/>
      <c r="C1034" s="422"/>
      <c r="D1034" s="422"/>
      <c r="E1034" s="422"/>
      <c r="F1034" s="423"/>
    </row>
    <row r="1035" spans="2:6" ht="18" x14ac:dyDescent="0.35">
      <c r="B1035" s="421"/>
      <c r="C1035" s="422"/>
      <c r="D1035" s="422"/>
      <c r="E1035" s="422"/>
      <c r="F1035" s="423"/>
    </row>
    <row r="1036" spans="2:6" ht="18" x14ac:dyDescent="0.35">
      <c r="B1036" s="421"/>
      <c r="C1036" s="422"/>
      <c r="D1036" s="422"/>
      <c r="E1036" s="422"/>
      <c r="F1036" s="423"/>
    </row>
    <row r="1037" spans="2:6" ht="18" x14ac:dyDescent="0.35">
      <c r="B1037" s="421"/>
      <c r="C1037" s="422"/>
      <c r="D1037" s="422"/>
      <c r="E1037" s="422"/>
      <c r="F1037" s="423"/>
    </row>
    <row r="1038" spans="2:6" ht="18" x14ac:dyDescent="0.35">
      <c r="B1038" s="421"/>
      <c r="C1038" s="422"/>
      <c r="D1038" s="422"/>
      <c r="E1038" s="422"/>
      <c r="F1038" s="423"/>
    </row>
    <row r="1039" spans="2:6" ht="18" x14ac:dyDescent="0.35">
      <c r="B1039" s="421"/>
      <c r="C1039" s="422"/>
      <c r="D1039" s="422"/>
      <c r="E1039" s="422"/>
      <c r="F1039" s="423"/>
    </row>
    <row r="1040" spans="2:6" ht="18" x14ac:dyDescent="0.35">
      <c r="B1040" s="421"/>
      <c r="C1040" s="422"/>
      <c r="D1040" s="422"/>
      <c r="E1040" s="422"/>
      <c r="F1040" s="423"/>
    </row>
    <row r="1041" spans="2:6" ht="18" x14ac:dyDescent="0.35">
      <c r="B1041" s="421"/>
      <c r="C1041" s="422"/>
      <c r="D1041" s="422"/>
      <c r="E1041" s="422"/>
      <c r="F1041" s="423"/>
    </row>
    <row r="1042" spans="2:6" ht="18" x14ac:dyDescent="0.35">
      <c r="B1042" s="421"/>
      <c r="C1042" s="422"/>
      <c r="D1042" s="422"/>
      <c r="E1042" s="422"/>
      <c r="F1042" s="423"/>
    </row>
    <row r="1043" spans="2:6" ht="18" x14ac:dyDescent="0.35">
      <c r="B1043" s="421"/>
      <c r="C1043" s="422"/>
      <c r="D1043" s="422"/>
      <c r="E1043" s="422"/>
      <c r="F1043" s="423"/>
    </row>
    <row r="1044" spans="2:6" ht="18" x14ac:dyDescent="0.35">
      <c r="B1044" s="421"/>
      <c r="C1044" s="422"/>
      <c r="D1044" s="422"/>
      <c r="E1044" s="422"/>
      <c r="F1044" s="423"/>
    </row>
    <row r="1045" spans="2:6" ht="18" x14ac:dyDescent="0.35">
      <c r="B1045" s="421"/>
      <c r="C1045" s="422"/>
      <c r="D1045" s="422"/>
      <c r="E1045" s="422"/>
      <c r="F1045" s="423"/>
    </row>
    <row r="1046" spans="2:6" ht="18" x14ac:dyDescent="0.35">
      <c r="B1046" s="421"/>
      <c r="C1046" s="422"/>
      <c r="D1046" s="422"/>
      <c r="E1046" s="422"/>
      <c r="F1046" s="423"/>
    </row>
    <row r="1047" spans="2:6" ht="18" x14ac:dyDescent="0.35">
      <c r="B1047" s="421"/>
      <c r="C1047" s="422"/>
      <c r="D1047" s="422"/>
      <c r="E1047" s="422"/>
      <c r="F1047" s="423"/>
    </row>
    <row r="1048" spans="2:6" ht="18" x14ac:dyDescent="0.35">
      <c r="B1048" s="421"/>
      <c r="C1048" s="422"/>
      <c r="D1048" s="422"/>
      <c r="E1048" s="422"/>
      <c r="F1048" s="423"/>
    </row>
    <row r="1049" spans="2:6" ht="18" x14ac:dyDescent="0.35">
      <c r="B1049" s="421"/>
      <c r="C1049" s="422"/>
      <c r="D1049" s="422"/>
      <c r="E1049" s="422"/>
      <c r="F1049" s="423"/>
    </row>
    <row r="1050" spans="2:6" ht="18" x14ac:dyDescent="0.35">
      <c r="B1050" s="421"/>
      <c r="C1050" s="422"/>
      <c r="D1050" s="422"/>
      <c r="E1050" s="422"/>
      <c r="F1050" s="423"/>
    </row>
    <row r="1051" spans="2:6" ht="18" x14ac:dyDescent="0.35">
      <c r="B1051" s="421"/>
      <c r="C1051" s="422"/>
      <c r="D1051" s="422"/>
      <c r="E1051" s="422"/>
      <c r="F1051" s="423"/>
    </row>
    <row r="1052" spans="2:6" ht="18" x14ac:dyDescent="0.35">
      <c r="B1052" s="421"/>
      <c r="C1052" s="422"/>
      <c r="D1052" s="422"/>
      <c r="E1052" s="422"/>
      <c r="F1052" s="423"/>
    </row>
    <row r="1053" spans="2:6" ht="18" x14ac:dyDescent="0.35">
      <c r="B1053" s="421"/>
      <c r="C1053" s="422"/>
      <c r="D1053" s="422"/>
      <c r="E1053" s="422"/>
      <c r="F1053" s="423"/>
    </row>
    <row r="1054" spans="2:6" ht="18" x14ac:dyDescent="0.35">
      <c r="B1054" s="421"/>
      <c r="C1054" s="422"/>
      <c r="D1054" s="422"/>
      <c r="E1054" s="422"/>
      <c r="F1054" s="423"/>
    </row>
    <row r="1055" spans="2:6" ht="18" x14ac:dyDescent="0.35">
      <c r="B1055" s="421"/>
      <c r="C1055" s="422"/>
      <c r="D1055" s="422"/>
      <c r="E1055" s="422"/>
      <c r="F1055" s="423"/>
    </row>
    <row r="1056" spans="2:6" ht="18" x14ac:dyDescent="0.35">
      <c r="B1056" s="421"/>
      <c r="C1056" s="422"/>
      <c r="D1056" s="422"/>
      <c r="E1056" s="422"/>
      <c r="F1056" s="423"/>
    </row>
    <row r="1057" spans="2:6" ht="18" x14ac:dyDescent="0.35">
      <c r="B1057" s="421"/>
      <c r="C1057" s="422"/>
      <c r="D1057" s="422"/>
      <c r="E1057" s="422"/>
      <c r="F1057" s="423"/>
    </row>
    <row r="1058" spans="2:6" ht="18" x14ac:dyDescent="0.35">
      <c r="B1058" s="421"/>
      <c r="C1058" s="422"/>
      <c r="D1058" s="422"/>
      <c r="E1058" s="422"/>
      <c r="F1058" s="423"/>
    </row>
    <row r="1059" spans="2:6" ht="18" x14ac:dyDescent="0.35">
      <c r="B1059" s="421"/>
      <c r="C1059" s="422"/>
      <c r="D1059" s="422"/>
      <c r="E1059" s="422"/>
      <c r="F1059" s="423"/>
    </row>
    <row r="1060" spans="2:6" ht="18" x14ac:dyDescent="0.35">
      <c r="B1060" s="421"/>
      <c r="C1060" s="422"/>
      <c r="D1060" s="422"/>
      <c r="E1060" s="422"/>
      <c r="F1060" s="423"/>
    </row>
    <row r="1061" spans="2:6" ht="18" x14ac:dyDescent="0.35">
      <c r="B1061" s="421"/>
      <c r="C1061" s="422"/>
      <c r="D1061" s="422"/>
      <c r="E1061" s="422"/>
      <c r="F1061" s="423"/>
    </row>
    <row r="1062" spans="2:6" ht="18" x14ac:dyDescent="0.35">
      <c r="B1062" s="421"/>
      <c r="C1062" s="422"/>
      <c r="D1062" s="422"/>
      <c r="E1062" s="422"/>
      <c r="F1062" s="423"/>
    </row>
    <row r="1063" spans="2:6" ht="18" x14ac:dyDescent="0.35">
      <c r="B1063" s="421"/>
      <c r="C1063" s="422"/>
      <c r="D1063" s="422"/>
      <c r="E1063" s="422"/>
      <c r="F1063" s="423"/>
    </row>
    <row r="1064" spans="2:6" ht="18" x14ac:dyDescent="0.35">
      <c r="B1064" s="421"/>
      <c r="C1064" s="422"/>
      <c r="D1064" s="422"/>
      <c r="E1064" s="422"/>
      <c r="F1064" s="423"/>
    </row>
    <row r="1065" spans="2:6" ht="18" x14ac:dyDescent="0.35">
      <c r="B1065" s="421"/>
      <c r="C1065" s="422"/>
      <c r="D1065" s="422"/>
      <c r="E1065" s="422"/>
      <c r="F1065" s="423"/>
    </row>
    <row r="1066" spans="2:6" ht="18" x14ac:dyDescent="0.35">
      <c r="B1066" s="421"/>
      <c r="C1066" s="422"/>
      <c r="D1066" s="422"/>
      <c r="E1066" s="422"/>
      <c r="F1066" s="423"/>
    </row>
    <row r="1067" spans="2:6" ht="18" x14ac:dyDescent="0.35">
      <c r="B1067" s="421"/>
      <c r="C1067" s="422"/>
      <c r="D1067" s="422"/>
      <c r="E1067" s="422"/>
      <c r="F1067" s="423"/>
    </row>
    <row r="1068" spans="2:6" ht="18" x14ac:dyDescent="0.35">
      <c r="B1068" s="421"/>
      <c r="C1068" s="422"/>
      <c r="D1068" s="422"/>
      <c r="E1068" s="422"/>
      <c r="F1068" s="423"/>
    </row>
    <row r="1069" spans="2:6" ht="18" x14ac:dyDescent="0.35">
      <c r="B1069" s="421"/>
      <c r="C1069" s="422"/>
      <c r="D1069" s="422"/>
      <c r="E1069" s="422"/>
      <c r="F1069" s="423"/>
    </row>
    <row r="1070" spans="2:6" ht="18" x14ac:dyDescent="0.35">
      <c r="B1070" s="421"/>
      <c r="C1070" s="422"/>
      <c r="D1070" s="422"/>
      <c r="E1070" s="422"/>
      <c r="F1070" s="423"/>
    </row>
    <row r="1071" spans="2:6" ht="18" x14ac:dyDescent="0.35">
      <c r="B1071" s="421"/>
      <c r="C1071" s="422"/>
      <c r="D1071" s="422"/>
      <c r="E1071" s="422"/>
      <c r="F1071" s="423"/>
    </row>
    <row r="1072" spans="2:6" ht="18" x14ac:dyDescent="0.35">
      <c r="B1072" s="421"/>
      <c r="C1072" s="422"/>
      <c r="D1072" s="422"/>
      <c r="E1072" s="422"/>
      <c r="F1072" s="423"/>
    </row>
    <row r="1073" spans="2:6" ht="18" x14ac:dyDescent="0.35">
      <c r="B1073" s="421"/>
      <c r="C1073" s="422"/>
      <c r="D1073" s="422"/>
      <c r="E1073" s="422"/>
      <c r="F1073" s="423"/>
    </row>
    <row r="1074" spans="2:6" ht="18" x14ac:dyDescent="0.35">
      <c r="B1074" s="421"/>
      <c r="C1074" s="422"/>
      <c r="D1074" s="422"/>
      <c r="E1074" s="422"/>
      <c r="F1074" s="423"/>
    </row>
    <row r="1075" spans="2:6" ht="18" x14ac:dyDescent="0.35">
      <c r="B1075" s="421"/>
      <c r="C1075" s="422"/>
      <c r="D1075" s="422"/>
      <c r="E1075" s="422"/>
      <c r="F1075" s="423"/>
    </row>
    <row r="1076" spans="2:6" ht="18" x14ac:dyDescent="0.35">
      <c r="B1076" s="421"/>
      <c r="C1076" s="422"/>
      <c r="D1076" s="422"/>
      <c r="E1076" s="422"/>
      <c r="F1076" s="423"/>
    </row>
    <row r="1077" spans="2:6" ht="18" x14ac:dyDescent="0.35">
      <c r="B1077" s="421"/>
      <c r="C1077" s="422"/>
      <c r="D1077" s="422"/>
      <c r="E1077" s="422"/>
      <c r="F1077" s="423"/>
    </row>
    <row r="1078" spans="2:6" ht="18" x14ac:dyDescent="0.35">
      <c r="B1078" s="421"/>
      <c r="C1078" s="422"/>
      <c r="D1078" s="422"/>
      <c r="E1078" s="422"/>
      <c r="F1078" s="423"/>
    </row>
    <row r="1079" spans="2:6" ht="18" x14ac:dyDescent="0.35">
      <c r="B1079" s="421"/>
      <c r="C1079" s="422"/>
      <c r="D1079" s="422"/>
      <c r="E1079" s="422"/>
      <c r="F1079" s="423"/>
    </row>
    <row r="1080" spans="2:6" ht="18" x14ac:dyDescent="0.35">
      <c r="B1080" s="421"/>
      <c r="C1080" s="422"/>
      <c r="D1080" s="422"/>
      <c r="E1080" s="422"/>
      <c r="F1080" s="423"/>
    </row>
    <row r="1081" spans="2:6" ht="18" x14ac:dyDescent="0.35">
      <c r="B1081" s="421"/>
      <c r="C1081" s="422"/>
      <c r="D1081" s="422"/>
      <c r="E1081" s="422"/>
      <c r="F1081" s="423"/>
    </row>
    <row r="1082" spans="2:6" ht="18" x14ac:dyDescent="0.35">
      <c r="B1082" s="421"/>
      <c r="C1082" s="422"/>
      <c r="D1082" s="422"/>
      <c r="E1082" s="422"/>
      <c r="F1082" s="423"/>
    </row>
    <row r="1083" spans="2:6" ht="18" x14ac:dyDescent="0.35">
      <c r="B1083" s="421"/>
      <c r="C1083" s="422"/>
      <c r="D1083" s="422"/>
      <c r="E1083" s="422"/>
      <c r="F1083" s="423"/>
    </row>
    <row r="1084" spans="2:6" ht="18" x14ac:dyDescent="0.35">
      <c r="B1084" s="421"/>
      <c r="C1084" s="422"/>
      <c r="D1084" s="422"/>
      <c r="E1084" s="422"/>
      <c r="F1084" s="423"/>
    </row>
    <row r="1085" spans="2:6" ht="18" x14ac:dyDescent="0.35">
      <c r="B1085" s="421"/>
      <c r="C1085" s="422"/>
      <c r="D1085" s="422"/>
      <c r="E1085" s="422"/>
      <c r="F1085" s="423"/>
    </row>
    <row r="1086" spans="2:6" ht="18" x14ac:dyDescent="0.35">
      <c r="B1086" s="421"/>
      <c r="C1086" s="422"/>
      <c r="D1086" s="422"/>
      <c r="E1086" s="422"/>
      <c r="F1086" s="423"/>
    </row>
    <row r="1087" spans="2:6" ht="18" x14ac:dyDescent="0.35">
      <c r="B1087" s="421"/>
      <c r="C1087" s="422"/>
      <c r="D1087" s="422"/>
      <c r="E1087" s="422"/>
      <c r="F1087" s="423"/>
    </row>
    <row r="1088" spans="2:6" ht="18" x14ac:dyDescent="0.35">
      <c r="B1088" s="421"/>
      <c r="C1088" s="422"/>
      <c r="D1088" s="422"/>
      <c r="E1088" s="422"/>
      <c r="F1088" s="423"/>
    </row>
    <row r="1089" spans="2:6" ht="18" x14ac:dyDescent="0.35">
      <c r="B1089" s="421"/>
      <c r="C1089" s="422"/>
      <c r="D1089" s="422"/>
      <c r="E1089" s="422"/>
      <c r="F1089" s="423"/>
    </row>
    <row r="1090" spans="2:6" ht="18" x14ac:dyDescent="0.35">
      <c r="B1090" s="421"/>
      <c r="C1090" s="422"/>
      <c r="D1090" s="422"/>
      <c r="E1090" s="422"/>
      <c r="F1090" s="423"/>
    </row>
    <row r="1091" spans="2:6" ht="18" x14ac:dyDescent="0.35">
      <c r="B1091" s="421"/>
      <c r="C1091" s="422"/>
      <c r="D1091" s="422"/>
      <c r="E1091" s="422"/>
      <c r="F1091" s="423"/>
    </row>
    <row r="1092" spans="2:6" ht="18" x14ac:dyDescent="0.35">
      <c r="B1092" s="421"/>
      <c r="C1092" s="422"/>
      <c r="D1092" s="422"/>
      <c r="E1092" s="422"/>
      <c r="F1092" s="423"/>
    </row>
    <row r="1093" spans="2:6" ht="18" x14ac:dyDescent="0.35">
      <c r="B1093" s="421"/>
      <c r="C1093" s="422"/>
      <c r="D1093" s="422"/>
      <c r="E1093" s="422"/>
      <c r="F1093" s="423"/>
    </row>
    <row r="1094" spans="2:6" ht="18" x14ac:dyDescent="0.35">
      <c r="B1094" s="421"/>
      <c r="C1094" s="422"/>
      <c r="D1094" s="422"/>
      <c r="E1094" s="422"/>
      <c r="F1094" s="423"/>
    </row>
    <row r="1095" spans="2:6" ht="18" x14ac:dyDescent="0.35">
      <c r="B1095" s="421"/>
      <c r="C1095" s="422"/>
      <c r="D1095" s="422"/>
      <c r="E1095" s="422"/>
      <c r="F1095" s="423"/>
    </row>
    <row r="1096" spans="2:6" ht="18" x14ac:dyDescent="0.35">
      <c r="B1096" s="421"/>
      <c r="C1096" s="422"/>
      <c r="D1096" s="422"/>
      <c r="E1096" s="422"/>
      <c r="F1096" s="423"/>
    </row>
    <row r="1097" spans="2:6" ht="18" x14ac:dyDescent="0.35">
      <c r="B1097" s="421"/>
      <c r="C1097" s="422"/>
      <c r="D1097" s="422"/>
      <c r="E1097" s="422"/>
      <c r="F1097" s="423"/>
    </row>
    <row r="1098" spans="2:6" ht="18" x14ac:dyDescent="0.35">
      <c r="B1098" s="421"/>
      <c r="C1098" s="422"/>
      <c r="D1098" s="422"/>
      <c r="E1098" s="422"/>
      <c r="F1098" s="423"/>
    </row>
    <row r="1099" spans="2:6" ht="18" x14ac:dyDescent="0.35">
      <c r="B1099" s="421"/>
      <c r="C1099" s="422"/>
      <c r="D1099" s="422"/>
      <c r="E1099" s="422"/>
      <c r="F1099" s="423"/>
    </row>
    <row r="1100" spans="2:6" ht="18" x14ac:dyDescent="0.35">
      <c r="B1100" s="421"/>
      <c r="C1100" s="422"/>
      <c r="D1100" s="422"/>
      <c r="E1100" s="422"/>
      <c r="F1100" s="423"/>
    </row>
    <row r="1101" spans="2:6" ht="18" x14ac:dyDescent="0.35">
      <c r="B1101" s="421"/>
      <c r="C1101" s="422"/>
      <c r="D1101" s="422"/>
      <c r="E1101" s="422"/>
      <c r="F1101" s="423"/>
    </row>
    <row r="1102" spans="2:6" ht="18" x14ac:dyDescent="0.35">
      <c r="B1102" s="421"/>
      <c r="C1102" s="422"/>
      <c r="D1102" s="422"/>
      <c r="E1102" s="422"/>
      <c r="F1102" s="423"/>
    </row>
    <row r="1103" spans="2:6" ht="18" x14ac:dyDescent="0.35">
      <c r="B1103" s="421"/>
      <c r="C1103" s="422"/>
      <c r="D1103" s="422"/>
      <c r="E1103" s="422"/>
      <c r="F1103" s="423"/>
    </row>
    <row r="1104" spans="2:6" ht="18" x14ac:dyDescent="0.35">
      <c r="B1104" s="421"/>
      <c r="C1104" s="422"/>
      <c r="D1104" s="422"/>
      <c r="E1104" s="422"/>
      <c r="F1104" s="423"/>
    </row>
    <row r="1105" spans="2:6" ht="18" x14ac:dyDescent="0.35">
      <c r="B1105" s="421"/>
      <c r="C1105" s="422"/>
      <c r="D1105" s="422"/>
      <c r="E1105" s="422"/>
      <c r="F1105" s="423"/>
    </row>
    <row r="1106" spans="2:6" ht="18" x14ac:dyDescent="0.35">
      <c r="B1106" s="421"/>
      <c r="C1106" s="422"/>
      <c r="D1106" s="422"/>
      <c r="E1106" s="422"/>
      <c r="F1106" s="423"/>
    </row>
    <row r="1107" spans="2:6" ht="18" x14ac:dyDescent="0.35">
      <c r="B1107" s="421"/>
      <c r="C1107" s="422"/>
      <c r="D1107" s="422"/>
      <c r="E1107" s="422"/>
      <c r="F1107" s="423"/>
    </row>
    <row r="1108" spans="2:6" ht="18" x14ac:dyDescent="0.35">
      <c r="B1108" s="421"/>
      <c r="C1108" s="422"/>
      <c r="D1108" s="422"/>
      <c r="E1108" s="422"/>
      <c r="F1108" s="423"/>
    </row>
    <row r="1109" spans="2:6" ht="18" x14ac:dyDescent="0.35">
      <c r="B1109" s="421"/>
      <c r="C1109" s="422"/>
      <c r="D1109" s="422"/>
      <c r="E1109" s="422"/>
      <c r="F1109" s="423"/>
    </row>
    <row r="1110" spans="2:6" ht="18" x14ac:dyDescent="0.35">
      <c r="B1110" s="421"/>
      <c r="C1110" s="422"/>
      <c r="D1110" s="422"/>
      <c r="E1110" s="422"/>
      <c r="F1110" s="423"/>
    </row>
    <row r="1111" spans="2:6" ht="18" x14ac:dyDescent="0.35">
      <c r="B1111" s="421"/>
      <c r="C1111" s="422"/>
      <c r="D1111" s="422"/>
      <c r="E1111" s="422"/>
      <c r="F1111" s="423"/>
    </row>
    <row r="1112" spans="2:6" ht="18" x14ac:dyDescent="0.35">
      <c r="B1112" s="421"/>
      <c r="C1112" s="422"/>
      <c r="D1112" s="422"/>
      <c r="E1112" s="422"/>
      <c r="F1112" s="423"/>
    </row>
    <row r="1113" spans="2:6" ht="18" x14ac:dyDescent="0.35">
      <c r="B1113" s="421"/>
      <c r="C1113" s="422"/>
      <c r="D1113" s="422"/>
      <c r="E1113" s="422"/>
      <c r="F1113" s="423"/>
    </row>
    <row r="1114" spans="2:6" ht="18" x14ac:dyDescent="0.35">
      <c r="B1114" s="421"/>
      <c r="C1114" s="422"/>
      <c r="D1114" s="422"/>
      <c r="E1114" s="422"/>
      <c r="F1114" s="423"/>
    </row>
    <row r="1115" spans="2:6" ht="18" x14ac:dyDescent="0.35">
      <c r="B1115" s="421"/>
      <c r="C1115" s="422"/>
      <c r="D1115" s="422"/>
      <c r="E1115" s="422"/>
      <c r="F1115" s="423"/>
    </row>
    <row r="1116" spans="2:6" ht="18" x14ac:dyDescent="0.35">
      <c r="B1116" s="421"/>
      <c r="C1116" s="422"/>
      <c r="D1116" s="422"/>
      <c r="E1116" s="422"/>
      <c r="F1116" s="423"/>
    </row>
    <row r="1117" spans="2:6" ht="18" x14ac:dyDescent="0.35">
      <c r="B1117" s="421"/>
      <c r="C1117" s="422"/>
      <c r="D1117" s="422"/>
      <c r="E1117" s="422"/>
      <c r="F1117" s="423"/>
    </row>
    <row r="1118" spans="2:6" ht="18" x14ac:dyDescent="0.35">
      <c r="B1118" s="421"/>
      <c r="C1118" s="422"/>
      <c r="D1118" s="422"/>
      <c r="E1118" s="422"/>
      <c r="F1118" s="423"/>
    </row>
    <row r="1119" spans="2:6" ht="18" x14ac:dyDescent="0.35">
      <c r="B1119" s="421"/>
      <c r="C1119" s="422"/>
      <c r="D1119" s="422"/>
      <c r="E1119" s="422"/>
      <c r="F1119" s="423"/>
    </row>
    <row r="1120" spans="2:6" ht="18" x14ac:dyDescent="0.35">
      <c r="B1120" s="421"/>
      <c r="C1120" s="422"/>
      <c r="D1120" s="422"/>
      <c r="E1120" s="422"/>
      <c r="F1120" s="423"/>
    </row>
    <row r="1121" spans="2:6" ht="18" x14ac:dyDescent="0.35">
      <c r="B1121" s="421"/>
      <c r="C1121" s="422"/>
      <c r="D1121" s="422"/>
      <c r="E1121" s="422"/>
      <c r="F1121" s="423"/>
    </row>
    <row r="1122" spans="2:6" ht="18" x14ac:dyDescent="0.35">
      <c r="B1122" s="421"/>
      <c r="C1122" s="422"/>
      <c r="D1122" s="422"/>
      <c r="E1122" s="422"/>
      <c r="F1122" s="423"/>
    </row>
    <row r="1123" spans="2:6" ht="18" x14ac:dyDescent="0.35">
      <c r="B1123" s="421"/>
      <c r="C1123" s="422"/>
      <c r="D1123" s="422"/>
      <c r="E1123" s="422"/>
      <c r="F1123" s="423"/>
    </row>
    <row r="1124" spans="2:6" ht="18" x14ac:dyDescent="0.35">
      <c r="B1124" s="421"/>
      <c r="C1124" s="422"/>
      <c r="D1124" s="422"/>
      <c r="E1124" s="422"/>
      <c r="F1124" s="423"/>
    </row>
    <row r="1125" spans="2:6" ht="18" x14ac:dyDescent="0.35">
      <c r="B1125" s="421"/>
      <c r="C1125" s="422"/>
      <c r="D1125" s="422"/>
      <c r="E1125" s="422"/>
      <c r="F1125" s="423"/>
    </row>
    <row r="1126" spans="2:6" ht="18" x14ac:dyDescent="0.35">
      <c r="B1126" s="421"/>
      <c r="C1126" s="422"/>
      <c r="D1126" s="422"/>
      <c r="E1126" s="422"/>
      <c r="F1126" s="423"/>
    </row>
    <row r="1127" spans="2:6" ht="18" x14ac:dyDescent="0.35">
      <c r="B1127" s="421"/>
      <c r="C1127" s="422"/>
      <c r="D1127" s="422"/>
      <c r="E1127" s="422"/>
      <c r="F1127" s="423"/>
    </row>
    <row r="1128" spans="2:6" ht="18" x14ac:dyDescent="0.35">
      <c r="B1128" s="421"/>
      <c r="C1128" s="422"/>
      <c r="D1128" s="422"/>
      <c r="E1128" s="422"/>
      <c r="F1128" s="423"/>
    </row>
    <row r="1129" spans="2:6" ht="18" x14ac:dyDescent="0.35">
      <c r="B1129" s="421"/>
      <c r="C1129" s="422"/>
      <c r="D1129" s="422"/>
      <c r="E1129" s="422"/>
      <c r="F1129" s="423"/>
    </row>
    <row r="1130" spans="2:6" ht="18" x14ac:dyDescent="0.35">
      <c r="B1130" s="421"/>
      <c r="C1130" s="422"/>
      <c r="D1130" s="422"/>
      <c r="E1130" s="422"/>
      <c r="F1130" s="423"/>
    </row>
    <row r="1131" spans="2:6" ht="18" x14ac:dyDescent="0.35">
      <c r="B1131" s="421"/>
      <c r="C1131" s="422"/>
      <c r="D1131" s="422"/>
      <c r="E1131" s="422"/>
      <c r="F1131" s="423"/>
    </row>
    <row r="1132" spans="2:6" ht="18" x14ac:dyDescent="0.35">
      <c r="B1132" s="421"/>
      <c r="C1132" s="422"/>
      <c r="D1132" s="422"/>
      <c r="E1132" s="422"/>
      <c r="F1132" s="423"/>
    </row>
    <row r="1133" spans="2:6" ht="18" x14ac:dyDescent="0.35">
      <c r="B1133" s="421"/>
      <c r="C1133" s="422"/>
      <c r="D1133" s="422"/>
      <c r="E1133" s="422"/>
      <c r="F1133" s="423"/>
    </row>
    <row r="1134" spans="2:6" ht="18" x14ac:dyDescent="0.35">
      <c r="B1134" s="421"/>
      <c r="C1134" s="422"/>
      <c r="D1134" s="422"/>
      <c r="E1134" s="422"/>
      <c r="F1134" s="423"/>
    </row>
    <row r="1135" spans="2:6" ht="18" x14ac:dyDescent="0.35">
      <c r="B1135" s="421"/>
      <c r="C1135" s="422"/>
      <c r="D1135" s="422"/>
      <c r="E1135" s="422"/>
      <c r="F1135" s="423"/>
    </row>
    <row r="1136" spans="2:6" ht="18" x14ac:dyDescent="0.35">
      <c r="B1136" s="421"/>
      <c r="C1136" s="422"/>
      <c r="D1136" s="422"/>
      <c r="E1136" s="422"/>
      <c r="F1136" s="423"/>
    </row>
    <row r="1137" spans="2:6" ht="18" x14ac:dyDescent="0.35">
      <c r="B1137" s="421"/>
      <c r="C1137" s="422"/>
      <c r="D1137" s="422"/>
      <c r="E1137" s="422"/>
      <c r="F1137" s="423"/>
    </row>
    <row r="1138" spans="2:6" ht="18" x14ac:dyDescent="0.35">
      <c r="B1138" s="421"/>
      <c r="C1138" s="422"/>
      <c r="D1138" s="422"/>
      <c r="E1138" s="422"/>
      <c r="F1138" s="423"/>
    </row>
    <row r="1139" spans="2:6" ht="18" x14ac:dyDescent="0.35">
      <c r="B1139" s="421"/>
      <c r="C1139" s="422"/>
      <c r="D1139" s="422"/>
      <c r="E1139" s="422"/>
      <c r="F1139" s="423"/>
    </row>
    <row r="1140" spans="2:6" ht="18" x14ac:dyDescent="0.35">
      <c r="B1140" s="421"/>
      <c r="C1140" s="422"/>
      <c r="D1140" s="422"/>
      <c r="E1140" s="422"/>
      <c r="F1140" s="423"/>
    </row>
    <row r="1141" spans="2:6" ht="18" x14ac:dyDescent="0.35">
      <c r="B1141" s="421"/>
      <c r="C1141" s="422"/>
      <c r="D1141" s="422"/>
      <c r="E1141" s="422"/>
      <c r="F1141" s="423"/>
    </row>
    <row r="1142" spans="2:6" ht="18" x14ac:dyDescent="0.35">
      <c r="B1142" s="421"/>
      <c r="C1142" s="422"/>
      <c r="D1142" s="422"/>
      <c r="E1142" s="422"/>
      <c r="F1142" s="423"/>
    </row>
    <row r="1143" spans="2:6" ht="18" x14ac:dyDescent="0.35">
      <c r="B1143" s="421"/>
      <c r="C1143" s="422"/>
      <c r="D1143" s="422"/>
      <c r="E1143" s="422"/>
      <c r="F1143" s="423"/>
    </row>
    <row r="1144" spans="2:6" ht="18" x14ac:dyDescent="0.35">
      <c r="B1144" s="421"/>
      <c r="C1144" s="422"/>
      <c r="D1144" s="422"/>
      <c r="E1144" s="422"/>
      <c r="F1144" s="423"/>
    </row>
    <row r="1145" spans="2:6" ht="18" x14ac:dyDescent="0.35">
      <c r="B1145" s="421"/>
      <c r="C1145" s="422"/>
      <c r="D1145" s="422"/>
      <c r="E1145" s="422"/>
      <c r="F1145" s="423"/>
    </row>
    <row r="1146" spans="2:6" ht="18" x14ac:dyDescent="0.35">
      <c r="B1146" s="421"/>
      <c r="C1146" s="422"/>
      <c r="D1146" s="422"/>
      <c r="E1146" s="422"/>
      <c r="F1146" s="423"/>
    </row>
    <row r="1147" spans="2:6" ht="18" x14ac:dyDescent="0.35">
      <c r="B1147" s="421"/>
      <c r="C1147" s="422"/>
      <c r="D1147" s="422"/>
      <c r="E1147" s="422"/>
      <c r="F1147" s="423"/>
    </row>
    <row r="1148" spans="2:6" ht="18" x14ac:dyDescent="0.35">
      <c r="B1148" s="421"/>
      <c r="C1148" s="422"/>
      <c r="D1148" s="422"/>
      <c r="E1148" s="422"/>
      <c r="F1148" s="423"/>
    </row>
    <row r="1149" spans="2:6" ht="18" x14ac:dyDescent="0.35">
      <c r="B1149" s="421"/>
      <c r="C1149" s="422"/>
      <c r="D1149" s="422"/>
      <c r="E1149" s="422"/>
      <c r="F1149" s="423"/>
    </row>
    <row r="1150" spans="2:6" ht="18" x14ac:dyDescent="0.35">
      <c r="B1150" s="421"/>
      <c r="C1150" s="422"/>
      <c r="D1150" s="422"/>
      <c r="E1150" s="422"/>
      <c r="F1150" s="423"/>
    </row>
    <row r="1151" spans="2:6" ht="18" x14ac:dyDescent="0.35">
      <c r="B1151" s="421"/>
      <c r="C1151" s="422"/>
      <c r="D1151" s="422"/>
      <c r="E1151" s="422"/>
      <c r="F1151" s="423"/>
    </row>
    <row r="1152" spans="2:6" ht="18" x14ac:dyDescent="0.35">
      <c r="B1152" s="421"/>
      <c r="C1152" s="422"/>
      <c r="D1152" s="422"/>
      <c r="E1152" s="422"/>
      <c r="F1152" s="423"/>
    </row>
    <row r="1153" spans="2:6" ht="18" x14ac:dyDescent="0.35">
      <c r="B1153" s="421"/>
      <c r="C1153" s="422"/>
      <c r="D1153" s="422"/>
      <c r="E1153" s="422"/>
      <c r="F1153" s="423"/>
    </row>
    <row r="1154" spans="2:6" ht="18" x14ac:dyDescent="0.35">
      <c r="B1154" s="421"/>
      <c r="C1154" s="422"/>
      <c r="D1154" s="422"/>
      <c r="E1154" s="422"/>
      <c r="F1154" s="423"/>
    </row>
    <row r="1155" spans="2:6" ht="18" x14ac:dyDescent="0.35">
      <c r="B1155" s="421"/>
      <c r="C1155" s="422"/>
      <c r="D1155" s="422"/>
      <c r="E1155" s="422"/>
      <c r="F1155" s="423"/>
    </row>
    <row r="1156" spans="2:6" ht="18" x14ac:dyDescent="0.35">
      <c r="B1156" s="421"/>
      <c r="C1156" s="422"/>
      <c r="D1156" s="422"/>
      <c r="E1156" s="422"/>
      <c r="F1156" s="423"/>
    </row>
    <row r="1157" spans="2:6" ht="18" x14ac:dyDescent="0.35">
      <c r="B1157" s="421"/>
      <c r="C1157" s="422"/>
      <c r="D1157" s="422"/>
      <c r="E1157" s="422"/>
      <c r="F1157" s="423"/>
    </row>
    <row r="1158" spans="2:6" ht="18" x14ac:dyDescent="0.35">
      <c r="B1158" s="421"/>
      <c r="C1158" s="422"/>
      <c r="D1158" s="422"/>
      <c r="E1158" s="422"/>
      <c r="F1158" s="423"/>
    </row>
    <row r="1159" spans="2:6" ht="18" x14ac:dyDescent="0.35">
      <c r="B1159" s="421"/>
      <c r="C1159" s="422"/>
      <c r="D1159" s="422"/>
      <c r="E1159" s="422"/>
      <c r="F1159" s="423"/>
    </row>
    <row r="1160" spans="2:6" ht="18" x14ac:dyDescent="0.35">
      <c r="B1160" s="421"/>
      <c r="C1160" s="422"/>
      <c r="D1160" s="422"/>
      <c r="E1160" s="422"/>
      <c r="F1160" s="423"/>
    </row>
    <row r="1161" spans="2:6" ht="18" x14ac:dyDescent="0.35">
      <c r="B1161" s="421"/>
      <c r="C1161" s="422"/>
      <c r="D1161" s="422"/>
      <c r="E1161" s="422"/>
      <c r="F1161" s="423"/>
    </row>
    <row r="1162" spans="2:6" ht="18" x14ac:dyDescent="0.35">
      <c r="B1162" s="421"/>
      <c r="C1162" s="422"/>
      <c r="D1162" s="422"/>
      <c r="E1162" s="422"/>
      <c r="F1162" s="423"/>
    </row>
    <row r="1163" spans="2:6" ht="18" x14ac:dyDescent="0.35">
      <c r="B1163" s="421"/>
      <c r="C1163" s="422"/>
      <c r="D1163" s="422"/>
      <c r="E1163" s="422"/>
      <c r="F1163" s="423"/>
    </row>
    <row r="1164" spans="2:6" ht="18" x14ac:dyDescent="0.35">
      <c r="B1164" s="421"/>
      <c r="C1164" s="422"/>
      <c r="D1164" s="422"/>
      <c r="E1164" s="422"/>
      <c r="F1164" s="423"/>
    </row>
    <row r="1165" spans="2:6" ht="18" x14ac:dyDescent="0.35">
      <c r="B1165" s="421"/>
      <c r="C1165" s="422"/>
      <c r="D1165" s="422"/>
      <c r="E1165" s="422"/>
      <c r="F1165" s="423"/>
    </row>
    <row r="1166" spans="2:6" ht="18" x14ac:dyDescent="0.35">
      <c r="B1166" s="421"/>
      <c r="C1166" s="422"/>
      <c r="D1166" s="422"/>
      <c r="E1166" s="422"/>
      <c r="F1166" s="423"/>
    </row>
    <row r="1167" spans="2:6" ht="18" x14ac:dyDescent="0.35">
      <c r="B1167" s="421"/>
      <c r="C1167" s="422"/>
      <c r="D1167" s="422"/>
      <c r="E1167" s="422"/>
      <c r="F1167" s="423"/>
    </row>
    <row r="1168" spans="2:6" ht="18" x14ac:dyDescent="0.35">
      <c r="B1168" s="421"/>
      <c r="C1168" s="422"/>
      <c r="D1168" s="422"/>
      <c r="E1168" s="422"/>
      <c r="F1168" s="423"/>
    </row>
    <row r="1169" spans="2:6" ht="18" x14ac:dyDescent="0.35">
      <c r="B1169" s="421"/>
      <c r="C1169" s="422"/>
      <c r="D1169" s="422"/>
      <c r="E1169" s="422"/>
      <c r="F1169" s="423"/>
    </row>
    <row r="1170" spans="2:6" ht="18" x14ac:dyDescent="0.35">
      <c r="B1170" s="421"/>
      <c r="C1170" s="422"/>
      <c r="D1170" s="422"/>
      <c r="E1170" s="422"/>
      <c r="F1170" s="423"/>
    </row>
    <row r="1171" spans="2:6" ht="18" x14ac:dyDescent="0.35">
      <c r="B1171" s="421"/>
      <c r="C1171" s="422"/>
      <c r="D1171" s="422"/>
      <c r="E1171" s="422"/>
      <c r="F1171" s="423"/>
    </row>
    <row r="1172" spans="2:6" ht="18" x14ac:dyDescent="0.35">
      <c r="B1172" s="421"/>
      <c r="C1172" s="422"/>
      <c r="D1172" s="422"/>
      <c r="E1172" s="422"/>
      <c r="F1172" s="423"/>
    </row>
    <row r="1173" spans="2:6" ht="18" x14ac:dyDescent="0.35">
      <c r="B1173" s="421"/>
      <c r="C1173" s="422"/>
      <c r="D1173" s="422"/>
      <c r="E1173" s="422"/>
      <c r="F1173" s="423"/>
    </row>
    <row r="1174" spans="2:6" ht="18" x14ac:dyDescent="0.35">
      <c r="B1174" s="421"/>
      <c r="C1174" s="422"/>
      <c r="D1174" s="422"/>
      <c r="E1174" s="422"/>
      <c r="F1174" s="423"/>
    </row>
    <row r="1175" spans="2:6" ht="18" x14ac:dyDescent="0.35">
      <c r="B1175" s="421"/>
      <c r="C1175" s="422"/>
      <c r="D1175" s="422"/>
      <c r="E1175" s="422"/>
      <c r="F1175" s="423"/>
    </row>
    <row r="1176" spans="2:6" ht="18" x14ac:dyDescent="0.35">
      <c r="B1176" s="421"/>
      <c r="C1176" s="422"/>
      <c r="D1176" s="422"/>
      <c r="E1176" s="422"/>
      <c r="F1176" s="423"/>
    </row>
    <row r="1177" spans="2:6" ht="18" x14ac:dyDescent="0.35">
      <c r="B1177" s="421"/>
      <c r="C1177" s="422"/>
      <c r="D1177" s="422"/>
      <c r="E1177" s="422"/>
      <c r="F1177" s="423"/>
    </row>
    <row r="1178" spans="2:6" ht="18" x14ac:dyDescent="0.35">
      <c r="B1178" s="421"/>
      <c r="C1178" s="422"/>
      <c r="D1178" s="422"/>
      <c r="E1178" s="422"/>
      <c r="F1178" s="423"/>
    </row>
    <row r="1179" spans="2:6" ht="18" x14ac:dyDescent="0.35">
      <c r="B1179" s="421"/>
      <c r="C1179" s="422"/>
      <c r="D1179" s="422"/>
      <c r="E1179" s="422"/>
      <c r="F1179" s="423"/>
    </row>
    <row r="1180" spans="2:6" ht="18" x14ac:dyDescent="0.35">
      <c r="B1180" s="421"/>
      <c r="C1180" s="422"/>
      <c r="D1180" s="422"/>
      <c r="E1180" s="422"/>
      <c r="F1180" s="423"/>
    </row>
    <row r="1181" spans="2:6" ht="18" x14ac:dyDescent="0.35">
      <c r="B1181" s="421"/>
      <c r="C1181" s="422"/>
      <c r="D1181" s="422"/>
      <c r="E1181" s="422"/>
      <c r="F1181" s="423"/>
    </row>
    <row r="1182" spans="2:6" ht="18" x14ac:dyDescent="0.35">
      <c r="B1182" s="421"/>
      <c r="C1182" s="422"/>
      <c r="D1182" s="422"/>
      <c r="E1182" s="422"/>
      <c r="F1182" s="423"/>
    </row>
    <row r="1183" spans="2:6" ht="18" x14ac:dyDescent="0.35">
      <c r="B1183" s="421"/>
      <c r="C1183" s="422"/>
      <c r="D1183" s="422"/>
      <c r="E1183" s="422"/>
      <c r="F1183" s="423"/>
    </row>
    <row r="1184" spans="2:6" ht="18" x14ac:dyDescent="0.35">
      <c r="B1184" s="421"/>
      <c r="C1184" s="422"/>
      <c r="D1184" s="422"/>
      <c r="E1184" s="422"/>
      <c r="F1184" s="423"/>
    </row>
    <row r="1185" spans="2:6" ht="18" x14ac:dyDescent="0.35">
      <c r="B1185" s="421"/>
      <c r="C1185" s="422"/>
      <c r="D1185" s="422"/>
      <c r="E1185" s="422"/>
      <c r="F1185" s="423"/>
    </row>
    <row r="1186" spans="2:6" ht="18" x14ac:dyDescent="0.35">
      <c r="B1186" s="421"/>
      <c r="C1186" s="422"/>
      <c r="D1186" s="422"/>
      <c r="E1186" s="422"/>
      <c r="F1186" s="423"/>
    </row>
    <row r="1187" spans="2:6" ht="18" x14ac:dyDescent="0.35">
      <c r="B1187" s="421"/>
      <c r="C1187" s="422"/>
      <c r="D1187" s="422"/>
      <c r="E1187" s="422"/>
      <c r="F1187" s="423"/>
    </row>
    <row r="1188" spans="2:6" ht="18" x14ac:dyDescent="0.35">
      <c r="B1188" s="421"/>
      <c r="C1188" s="422"/>
      <c r="D1188" s="422"/>
      <c r="E1188" s="422"/>
      <c r="F1188" s="423"/>
    </row>
    <row r="1189" spans="2:6" ht="18" x14ac:dyDescent="0.35">
      <c r="B1189" s="421"/>
      <c r="C1189" s="422"/>
      <c r="D1189" s="422"/>
      <c r="E1189" s="422"/>
      <c r="F1189" s="423"/>
    </row>
    <row r="1190" spans="2:6" ht="18" x14ac:dyDescent="0.35">
      <c r="B1190" s="421"/>
      <c r="C1190" s="422"/>
      <c r="D1190" s="422"/>
      <c r="E1190" s="422"/>
      <c r="F1190" s="423"/>
    </row>
    <row r="1191" spans="2:6" ht="18" x14ac:dyDescent="0.35">
      <c r="B1191" s="421"/>
      <c r="C1191" s="422"/>
      <c r="D1191" s="422"/>
      <c r="E1191" s="422"/>
      <c r="F1191" s="423"/>
    </row>
    <row r="1192" spans="2:6" ht="18" x14ac:dyDescent="0.35">
      <c r="B1192" s="421"/>
      <c r="C1192" s="422"/>
      <c r="D1192" s="422"/>
      <c r="E1192" s="422"/>
      <c r="F1192" s="423"/>
    </row>
    <row r="1193" spans="2:6" ht="18" x14ac:dyDescent="0.35">
      <c r="B1193" s="421"/>
      <c r="C1193" s="422"/>
      <c r="D1193" s="422"/>
      <c r="E1193" s="422"/>
      <c r="F1193" s="423"/>
    </row>
    <row r="1194" spans="2:6" ht="18" x14ac:dyDescent="0.35">
      <c r="B1194" s="421"/>
      <c r="C1194" s="422"/>
      <c r="D1194" s="422"/>
      <c r="E1194" s="422"/>
      <c r="F1194" s="423"/>
    </row>
    <row r="1195" spans="2:6" ht="18" x14ac:dyDescent="0.35">
      <c r="B1195" s="421"/>
      <c r="C1195" s="422"/>
      <c r="D1195" s="422"/>
      <c r="E1195" s="422"/>
      <c r="F1195" s="423"/>
    </row>
    <row r="1196" spans="2:6" ht="18" x14ac:dyDescent="0.35">
      <c r="B1196" s="421"/>
      <c r="C1196" s="422"/>
      <c r="D1196" s="422"/>
      <c r="E1196" s="422"/>
      <c r="F1196" s="423"/>
    </row>
    <row r="1197" spans="2:6" ht="18" x14ac:dyDescent="0.35">
      <c r="B1197" s="421"/>
      <c r="C1197" s="422"/>
      <c r="D1197" s="422"/>
      <c r="E1197" s="422"/>
      <c r="F1197" s="423"/>
    </row>
    <row r="1198" spans="2:6" ht="18" x14ac:dyDescent="0.35">
      <c r="B1198" s="421"/>
      <c r="C1198" s="422"/>
      <c r="D1198" s="422"/>
      <c r="E1198" s="422"/>
      <c r="F1198" s="423"/>
    </row>
    <row r="1199" spans="2:6" ht="18" x14ac:dyDescent="0.35">
      <c r="B1199" s="421"/>
      <c r="C1199" s="422"/>
      <c r="D1199" s="422"/>
      <c r="E1199" s="422"/>
      <c r="F1199" s="423"/>
    </row>
    <row r="1200" spans="2:6" ht="18" x14ac:dyDescent="0.35">
      <c r="B1200" s="421"/>
      <c r="C1200" s="422"/>
      <c r="D1200" s="422"/>
      <c r="E1200" s="422"/>
      <c r="F1200" s="423"/>
    </row>
    <row r="1201" spans="2:6" ht="18" x14ac:dyDescent="0.35">
      <c r="B1201" s="421"/>
      <c r="C1201" s="422"/>
      <c r="D1201" s="422"/>
      <c r="E1201" s="422"/>
      <c r="F1201" s="423"/>
    </row>
    <row r="1202" spans="2:6" ht="18" x14ac:dyDescent="0.35">
      <c r="B1202" s="421"/>
      <c r="C1202" s="422"/>
      <c r="D1202" s="422"/>
      <c r="E1202" s="422"/>
      <c r="F1202" s="423"/>
    </row>
    <row r="1203" spans="2:6" ht="18" x14ac:dyDescent="0.35">
      <c r="B1203" s="421"/>
      <c r="C1203" s="422"/>
      <c r="D1203" s="422"/>
      <c r="E1203" s="422"/>
      <c r="F1203" s="423"/>
    </row>
    <row r="1204" spans="2:6" ht="18" x14ac:dyDescent="0.35">
      <c r="B1204" s="421"/>
      <c r="C1204" s="422"/>
      <c r="D1204" s="422"/>
      <c r="E1204" s="422"/>
      <c r="F1204" s="423"/>
    </row>
    <row r="1205" spans="2:6" ht="18" x14ac:dyDescent="0.35">
      <c r="B1205" s="421"/>
      <c r="C1205" s="422"/>
      <c r="D1205" s="422"/>
      <c r="E1205" s="422"/>
      <c r="F1205" s="423"/>
    </row>
    <row r="1206" spans="2:6" ht="18" x14ac:dyDescent="0.35">
      <c r="B1206" s="421"/>
      <c r="C1206" s="422"/>
      <c r="D1206" s="422"/>
      <c r="E1206" s="422"/>
      <c r="F1206" s="423"/>
    </row>
    <row r="1207" spans="2:6" ht="18" x14ac:dyDescent="0.35">
      <c r="B1207" s="421"/>
      <c r="C1207" s="422"/>
      <c r="D1207" s="422"/>
      <c r="E1207" s="422"/>
      <c r="F1207" s="423"/>
    </row>
    <row r="1208" spans="2:6" ht="18" x14ac:dyDescent="0.35">
      <c r="B1208" s="421"/>
      <c r="C1208" s="422"/>
      <c r="D1208" s="422"/>
      <c r="E1208" s="422"/>
      <c r="F1208" s="423"/>
    </row>
    <row r="1209" spans="2:6" ht="18" x14ac:dyDescent="0.35">
      <c r="B1209" s="421"/>
      <c r="C1209" s="422"/>
      <c r="D1209" s="422"/>
      <c r="E1209" s="422"/>
      <c r="F1209" s="423"/>
    </row>
    <row r="1210" spans="2:6" ht="18" x14ac:dyDescent="0.35">
      <c r="B1210" s="421"/>
      <c r="C1210" s="422"/>
      <c r="D1210" s="422"/>
      <c r="E1210" s="422"/>
      <c r="F1210" s="423"/>
    </row>
    <row r="1211" spans="2:6" ht="18" x14ac:dyDescent="0.35">
      <c r="B1211" s="421"/>
      <c r="C1211" s="422"/>
      <c r="D1211" s="422"/>
      <c r="E1211" s="422"/>
      <c r="F1211" s="423"/>
    </row>
    <row r="1212" spans="2:6" ht="18" x14ac:dyDescent="0.35">
      <c r="B1212" s="421"/>
      <c r="C1212" s="422"/>
      <c r="D1212" s="422"/>
      <c r="E1212" s="422"/>
      <c r="F1212" s="423"/>
    </row>
    <row r="1213" spans="2:6" ht="18" x14ac:dyDescent="0.35">
      <c r="B1213" s="421"/>
      <c r="C1213" s="422"/>
      <c r="D1213" s="422"/>
      <c r="E1213" s="422"/>
      <c r="F1213" s="423"/>
    </row>
    <row r="1214" spans="2:6" ht="18" x14ac:dyDescent="0.35">
      <c r="B1214" s="421"/>
      <c r="C1214" s="422"/>
      <c r="D1214" s="422"/>
      <c r="E1214" s="422"/>
      <c r="F1214" s="423"/>
    </row>
    <row r="1215" spans="2:6" ht="18" x14ac:dyDescent="0.35">
      <c r="B1215" s="421"/>
      <c r="C1215" s="422"/>
      <c r="D1215" s="422"/>
      <c r="E1215" s="422"/>
      <c r="F1215" s="423"/>
    </row>
    <row r="1216" spans="2:6" ht="18" x14ac:dyDescent="0.35">
      <c r="B1216" s="421"/>
      <c r="C1216" s="422"/>
      <c r="D1216" s="422"/>
      <c r="E1216" s="422"/>
      <c r="F1216" s="423"/>
    </row>
    <row r="1217" spans="2:6" ht="18" x14ac:dyDescent="0.35">
      <c r="B1217" s="421"/>
      <c r="C1217" s="422"/>
      <c r="D1217" s="422"/>
      <c r="E1217" s="422"/>
      <c r="F1217" s="423"/>
    </row>
    <row r="1218" spans="2:6" ht="18" x14ac:dyDescent="0.35">
      <c r="B1218" s="421"/>
      <c r="C1218" s="422"/>
      <c r="D1218" s="422"/>
      <c r="E1218" s="422"/>
      <c r="F1218" s="423"/>
    </row>
    <row r="1219" spans="2:6" ht="18" x14ac:dyDescent="0.35">
      <c r="B1219" s="421"/>
      <c r="C1219" s="422"/>
      <c r="D1219" s="422"/>
      <c r="E1219" s="422"/>
      <c r="F1219" s="423"/>
    </row>
    <row r="1220" spans="2:6" ht="18" x14ac:dyDescent="0.35">
      <c r="B1220" s="421"/>
      <c r="C1220" s="422"/>
      <c r="D1220" s="422"/>
      <c r="E1220" s="422"/>
      <c r="F1220" s="423"/>
    </row>
    <row r="1221" spans="2:6" ht="18" x14ac:dyDescent="0.35">
      <c r="B1221" s="421"/>
      <c r="C1221" s="422"/>
      <c r="D1221" s="422"/>
      <c r="E1221" s="422"/>
      <c r="F1221" s="423"/>
    </row>
    <row r="1222" spans="2:6" ht="18" x14ac:dyDescent="0.35">
      <c r="B1222" s="421"/>
      <c r="C1222" s="422"/>
      <c r="D1222" s="422"/>
      <c r="E1222" s="422"/>
      <c r="F1222" s="423"/>
    </row>
    <row r="1223" spans="2:6" ht="18" x14ac:dyDescent="0.35">
      <c r="B1223" s="421"/>
      <c r="C1223" s="422"/>
      <c r="D1223" s="422"/>
      <c r="E1223" s="422"/>
      <c r="F1223" s="423"/>
    </row>
    <row r="1224" spans="2:6" ht="18" x14ac:dyDescent="0.35">
      <c r="B1224" s="421"/>
      <c r="C1224" s="422"/>
      <c r="D1224" s="422"/>
      <c r="E1224" s="422"/>
      <c r="F1224" s="423"/>
    </row>
    <row r="1225" spans="2:6" ht="18" x14ac:dyDescent="0.35">
      <c r="B1225" s="421"/>
      <c r="C1225" s="422"/>
      <c r="D1225" s="422"/>
      <c r="E1225" s="422"/>
      <c r="F1225" s="423"/>
    </row>
    <row r="1226" spans="2:6" ht="18" x14ac:dyDescent="0.35">
      <c r="B1226" s="421"/>
      <c r="C1226" s="422"/>
      <c r="D1226" s="422"/>
      <c r="E1226" s="422"/>
      <c r="F1226" s="423"/>
    </row>
    <row r="1227" spans="2:6" ht="18" x14ac:dyDescent="0.35">
      <c r="B1227" s="421"/>
      <c r="C1227" s="422"/>
      <c r="D1227" s="422"/>
      <c r="E1227" s="422"/>
      <c r="F1227" s="423"/>
    </row>
    <row r="1228" spans="2:6" ht="18" x14ac:dyDescent="0.35">
      <c r="B1228" s="421"/>
      <c r="C1228" s="422"/>
      <c r="D1228" s="422"/>
      <c r="E1228" s="422"/>
      <c r="F1228" s="423"/>
    </row>
    <row r="1229" spans="2:6" ht="18" x14ac:dyDescent="0.35">
      <c r="B1229" s="421"/>
      <c r="C1229" s="422"/>
      <c r="D1229" s="422"/>
      <c r="E1229" s="422"/>
      <c r="F1229" s="423"/>
    </row>
    <row r="1230" spans="2:6" ht="18" x14ac:dyDescent="0.35">
      <c r="B1230" s="421"/>
      <c r="C1230" s="422"/>
      <c r="D1230" s="422"/>
      <c r="E1230" s="422"/>
      <c r="F1230" s="423"/>
    </row>
    <row r="1231" spans="2:6" ht="18" x14ac:dyDescent="0.35">
      <c r="B1231" s="421"/>
      <c r="C1231" s="422"/>
      <c r="D1231" s="422"/>
      <c r="E1231" s="422"/>
      <c r="F1231" s="423"/>
    </row>
    <row r="1232" spans="2:6" ht="18" x14ac:dyDescent="0.35">
      <c r="B1232" s="421"/>
      <c r="C1232" s="422"/>
      <c r="D1232" s="422"/>
      <c r="E1232" s="422"/>
      <c r="F1232" s="423"/>
    </row>
    <row r="1233" spans="2:6" ht="18" x14ac:dyDescent="0.35">
      <c r="B1233" s="421"/>
      <c r="C1233" s="422"/>
      <c r="D1233" s="422"/>
      <c r="E1233" s="422"/>
      <c r="F1233" s="423"/>
    </row>
    <row r="1234" spans="2:6" ht="18" x14ac:dyDescent="0.35">
      <c r="B1234" s="421"/>
      <c r="C1234" s="422"/>
      <c r="D1234" s="422"/>
      <c r="E1234" s="422"/>
      <c r="F1234" s="423"/>
    </row>
    <row r="1235" spans="2:6" ht="18" x14ac:dyDescent="0.35">
      <c r="B1235" s="421"/>
      <c r="C1235" s="422"/>
      <c r="D1235" s="422"/>
      <c r="E1235" s="422"/>
      <c r="F1235" s="423"/>
    </row>
    <row r="1236" spans="2:6" ht="18" x14ac:dyDescent="0.35">
      <c r="B1236" s="421"/>
      <c r="C1236" s="422"/>
      <c r="D1236" s="422"/>
      <c r="E1236" s="422"/>
      <c r="F1236" s="423"/>
    </row>
    <row r="1237" spans="2:6" ht="18" x14ac:dyDescent="0.35">
      <c r="B1237" s="421"/>
      <c r="C1237" s="422"/>
      <c r="D1237" s="422"/>
      <c r="E1237" s="422"/>
      <c r="F1237" s="423"/>
    </row>
    <row r="1238" spans="2:6" ht="18" x14ac:dyDescent="0.35">
      <c r="B1238" s="421"/>
      <c r="C1238" s="422"/>
      <c r="D1238" s="422"/>
      <c r="E1238" s="422"/>
      <c r="F1238" s="423"/>
    </row>
    <row r="1239" spans="2:6" ht="18" x14ac:dyDescent="0.35">
      <c r="B1239" s="421"/>
      <c r="C1239" s="422"/>
      <c r="D1239" s="422"/>
      <c r="E1239" s="422"/>
      <c r="F1239" s="423"/>
    </row>
    <row r="1240" spans="2:6" ht="18" x14ac:dyDescent="0.35">
      <c r="B1240" s="421"/>
      <c r="C1240" s="422"/>
      <c r="D1240" s="422"/>
      <c r="E1240" s="422"/>
      <c r="F1240" s="423"/>
    </row>
    <row r="1241" spans="2:6" ht="18" x14ac:dyDescent="0.35">
      <c r="B1241" s="421"/>
      <c r="C1241" s="422"/>
      <c r="D1241" s="422"/>
      <c r="E1241" s="422"/>
      <c r="F1241" s="423"/>
    </row>
    <row r="1242" spans="2:6" ht="18" x14ac:dyDescent="0.35">
      <c r="B1242" s="421"/>
      <c r="C1242" s="422"/>
      <c r="D1242" s="422"/>
      <c r="E1242" s="422"/>
      <c r="F1242" s="423"/>
    </row>
    <row r="1243" spans="2:6" ht="18" x14ac:dyDescent="0.35">
      <c r="B1243" s="421"/>
      <c r="C1243" s="422"/>
      <c r="D1243" s="422"/>
      <c r="E1243" s="422"/>
      <c r="F1243" s="423"/>
    </row>
    <row r="1244" spans="2:6" ht="18" x14ac:dyDescent="0.35">
      <c r="B1244" s="421"/>
      <c r="C1244" s="422"/>
      <c r="D1244" s="422"/>
      <c r="E1244" s="422"/>
      <c r="F1244" s="423"/>
    </row>
    <row r="1245" spans="2:6" ht="18" x14ac:dyDescent="0.35">
      <c r="B1245" s="421"/>
      <c r="C1245" s="422"/>
      <c r="D1245" s="422"/>
      <c r="E1245" s="422"/>
      <c r="F1245" s="423"/>
    </row>
    <row r="1246" spans="2:6" ht="18" x14ac:dyDescent="0.35">
      <c r="B1246" s="421"/>
      <c r="C1246" s="422"/>
      <c r="D1246" s="422"/>
      <c r="E1246" s="422"/>
      <c r="F1246" s="423"/>
    </row>
    <row r="1247" spans="2:6" ht="18" x14ac:dyDescent="0.35">
      <c r="B1247" s="421"/>
      <c r="C1247" s="422"/>
      <c r="D1247" s="422"/>
      <c r="E1247" s="422"/>
      <c r="F1247" s="423"/>
    </row>
    <row r="1248" spans="2:6" ht="18" x14ac:dyDescent="0.35">
      <c r="B1248" s="421"/>
      <c r="C1248" s="422"/>
      <c r="D1248" s="422"/>
      <c r="E1248" s="422"/>
      <c r="F1248" s="423"/>
    </row>
    <row r="1249" spans="2:6" ht="18" x14ac:dyDescent="0.35">
      <c r="B1249" s="421"/>
      <c r="C1249" s="422"/>
      <c r="D1249" s="422"/>
      <c r="E1249" s="422"/>
      <c r="F1249" s="423"/>
    </row>
    <row r="1250" spans="2:6" ht="18" x14ac:dyDescent="0.35">
      <c r="B1250" s="421"/>
      <c r="C1250" s="422"/>
      <c r="D1250" s="422"/>
      <c r="E1250" s="422"/>
      <c r="F1250" s="423"/>
    </row>
    <row r="1251" spans="2:6" ht="18" x14ac:dyDescent="0.35">
      <c r="B1251" s="421"/>
      <c r="C1251" s="422"/>
      <c r="D1251" s="422"/>
      <c r="E1251" s="422"/>
      <c r="F1251" s="423"/>
    </row>
    <row r="1252" spans="2:6" ht="18" x14ac:dyDescent="0.35">
      <c r="B1252" s="421"/>
      <c r="C1252" s="422"/>
      <c r="D1252" s="422"/>
      <c r="E1252" s="422"/>
      <c r="F1252" s="423"/>
    </row>
    <row r="1253" spans="2:6" ht="18" x14ac:dyDescent="0.35">
      <c r="B1253" s="421"/>
      <c r="C1253" s="422"/>
      <c r="D1253" s="422"/>
      <c r="E1253" s="422"/>
      <c r="F1253" s="423"/>
    </row>
    <row r="1254" spans="2:6" ht="18" x14ac:dyDescent="0.35">
      <c r="B1254" s="421"/>
      <c r="C1254" s="422"/>
      <c r="D1254" s="422"/>
      <c r="E1254" s="422"/>
      <c r="F1254" s="423"/>
    </row>
    <row r="1255" spans="2:6" ht="18" x14ac:dyDescent="0.35">
      <c r="B1255" s="421"/>
      <c r="C1255" s="422"/>
      <c r="D1255" s="422"/>
      <c r="E1255" s="422"/>
      <c r="F1255" s="423"/>
    </row>
    <row r="1256" spans="2:6" ht="18" x14ac:dyDescent="0.35">
      <c r="B1256" s="421"/>
      <c r="C1256" s="422"/>
      <c r="D1256" s="422"/>
      <c r="E1256" s="422"/>
      <c r="F1256" s="423"/>
    </row>
    <row r="1257" spans="2:6" ht="18" x14ac:dyDescent="0.35">
      <c r="B1257" s="421"/>
      <c r="C1257" s="422"/>
      <c r="D1257" s="422"/>
      <c r="E1257" s="422"/>
      <c r="F1257" s="423"/>
    </row>
    <row r="1258" spans="2:6" ht="18" x14ac:dyDescent="0.35">
      <c r="B1258" s="421"/>
      <c r="C1258" s="422"/>
      <c r="D1258" s="422"/>
      <c r="E1258" s="422"/>
      <c r="F1258" s="423"/>
    </row>
    <row r="1259" spans="2:6" ht="18" x14ac:dyDescent="0.35">
      <c r="B1259" s="421"/>
      <c r="C1259" s="422"/>
      <c r="D1259" s="422"/>
      <c r="E1259" s="422"/>
      <c r="F1259" s="423"/>
    </row>
    <row r="1260" spans="2:6" ht="18" x14ac:dyDescent="0.35">
      <c r="B1260" s="421"/>
      <c r="C1260" s="422"/>
      <c r="D1260" s="422"/>
      <c r="E1260" s="422"/>
      <c r="F1260" s="423"/>
    </row>
    <row r="1261" spans="2:6" ht="18" x14ac:dyDescent="0.35">
      <c r="B1261" s="421"/>
      <c r="C1261" s="422"/>
      <c r="D1261" s="422"/>
      <c r="E1261" s="422"/>
      <c r="F1261" s="423"/>
    </row>
    <row r="1262" spans="2:6" ht="18" x14ac:dyDescent="0.35">
      <c r="B1262" s="421"/>
      <c r="C1262" s="422"/>
      <c r="D1262" s="422"/>
      <c r="E1262" s="422"/>
      <c r="F1262" s="423"/>
    </row>
    <row r="1263" spans="2:6" ht="18" x14ac:dyDescent="0.35">
      <c r="B1263" s="421"/>
      <c r="C1263" s="422"/>
      <c r="D1263" s="422"/>
      <c r="E1263" s="422"/>
      <c r="F1263" s="423"/>
    </row>
    <row r="1264" spans="2:6" ht="18" x14ac:dyDescent="0.35">
      <c r="B1264" s="421"/>
      <c r="C1264" s="422"/>
      <c r="D1264" s="422"/>
      <c r="E1264" s="422"/>
      <c r="F1264" s="423"/>
    </row>
    <row r="1265" spans="2:6" ht="18" x14ac:dyDescent="0.35">
      <c r="B1265" s="421"/>
      <c r="C1265" s="422"/>
      <c r="D1265" s="422"/>
      <c r="E1265" s="422"/>
      <c r="F1265" s="423"/>
    </row>
    <row r="1266" spans="2:6" ht="18" x14ac:dyDescent="0.35">
      <c r="B1266" s="421"/>
      <c r="C1266" s="422"/>
      <c r="D1266" s="422"/>
      <c r="E1266" s="422"/>
      <c r="F1266" s="423"/>
    </row>
    <row r="1267" spans="2:6" ht="18" x14ac:dyDescent="0.35">
      <c r="B1267" s="421"/>
      <c r="C1267" s="422"/>
      <c r="D1267" s="422"/>
      <c r="E1267" s="422"/>
      <c r="F1267" s="423"/>
    </row>
    <row r="1268" spans="2:6" ht="18" x14ac:dyDescent="0.35">
      <c r="B1268" s="421"/>
      <c r="C1268" s="422"/>
      <c r="D1268" s="422"/>
      <c r="E1268" s="422"/>
      <c r="F1268" s="423"/>
    </row>
    <row r="1269" spans="2:6" ht="18" x14ac:dyDescent="0.35">
      <c r="B1269" s="421"/>
      <c r="C1269" s="422"/>
      <c r="D1269" s="422"/>
      <c r="E1269" s="422"/>
      <c r="F1269" s="423"/>
    </row>
    <row r="1270" spans="2:6" ht="18" x14ac:dyDescent="0.35">
      <c r="B1270" s="421"/>
      <c r="C1270" s="422"/>
      <c r="D1270" s="422"/>
      <c r="E1270" s="422"/>
      <c r="F1270" s="423"/>
    </row>
    <row r="1271" spans="2:6" ht="18" x14ac:dyDescent="0.35">
      <c r="B1271" s="421"/>
      <c r="C1271" s="422"/>
      <c r="D1271" s="422"/>
      <c r="E1271" s="422"/>
      <c r="F1271" s="423"/>
    </row>
    <row r="1272" spans="2:6" ht="18" x14ac:dyDescent="0.35">
      <c r="B1272" s="421"/>
      <c r="C1272" s="422"/>
      <c r="D1272" s="422"/>
      <c r="E1272" s="422"/>
      <c r="F1272" s="423"/>
    </row>
    <row r="1273" spans="2:6" ht="18" x14ac:dyDescent="0.35">
      <c r="B1273" s="421"/>
      <c r="C1273" s="422"/>
      <c r="D1273" s="422"/>
      <c r="E1273" s="422"/>
      <c r="F1273" s="423"/>
    </row>
    <row r="1274" spans="2:6" ht="18" x14ac:dyDescent="0.35">
      <c r="B1274" s="421"/>
      <c r="C1274" s="422"/>
      <c r="D1274" s="422"/>
      <c r="E1274" s="422"/>
      <c r="F1274" s="423"/>
    </row>
    <row r="1275" spans="2:6" ht="18" x14ac:dyDescent="0.35">
      <c r="B1275" s="421"/>
      <c r="C1275" s="422"/>
      <c r="D1275" s="422"/>
      <c r="E1275" s="422"/>
      <c r="F1275" s="423"/>
    </row>
    <row r="1276" spans="2:6" ht="18" x14ac:dyDescent="0.35">
      <c r="B1276" s="421"/>
      <c r="C1276" s="422"/>
      <c r="D1276" s="422"/>
      <c r="E1276" s="422"/>
      <c r="F1276" s="423"/>
    </row>
    <row r="1277" spans="2:6" ht="18" x14ac:dyDescent="0.35">
      <c r="B1277" s="421"/>
      <c r="C1277" s="422"/>
      <c r="D1277" s="422"/>
      <c r="E1277" s="422"/>
      <c r="F1277" s="423"/>
    </row>
    <row r="1278" spans="2:6" ht="18" x14ac:dyDescent="0.35">
      <c r="B1278" s="421"/>
      <c r="C1278" s="422"/>
      <c r="D1278" s="422"/>
      <c r="E1278" s="422"/>
      <c r="F1278" s="423"/>
    </row>
    <row r="1279" spans="2:6" ht="18" x14ac:dyDescent="0.35">
      <c r="B1279" s="421"/>
      <c r="C1279" s="422"/>
      <c r="D1279" s="422"/>
      <c r="E1279" s="422"/>
      <c r="F1279" s="423"/>
    </row>
    <row r="1280" spans="2:6" ht="18" x14ac:dyDescent="0.35">
      <c r="B1280" s="421"/>
      <c r="C1280" s="422"/>
      <c r="D1280" s="422"/>
      <c r="E1280" s="422"/>
      <c r="F1280" s="423"/>
    </row>
    <row r="1281" spans="2:6" ht="18" x14ac:dyDescent="0.35">
      <c r="B1281" s="421"/>
      <c r="C1281" s="422"/>
      <c r="D1281" s="422"/>
      <c r="E1281" s="422"/>
      <c r="F1281" s="423"/>
    </row>
    <row r="1282" spans="2:6" ht="18" x14ac:dyDescent="0.35">
      <c r="B1282" s="421"/>
      <c r="C1282" s="422"/>
      <c r="D1282" s="422"/>
      <c r="E1282" s="422"/>
      <c r="F1282" s="423"/>
    </row>
    <row r="1283" spans="2:6" ht="18" x14ac:dyDescent="0.35">
      <c r="B1283" s="421"/>
      <c r="C1283" s="422"/>
      <c r="D1283" s="422"/>
      <c r="E1283" s="422"/>
      <c r="F1283" s="423"/>
    </row>
    <row r="1284" spans="2:6" ht="18" x14ac:dyDescent="0.35">
      <c r="B1284" s="421"/>
      <c r="C1284" s="422"/>
      <c r="D1284" s="422"/>
      <c r="E1284" s="422"/>
      <c r="F1284" s="423"/>
    </row>
    <row r="1285" spans="2:6" ht="18" x14ac:dyDescent="0.35">
      <c r="B1285" s="421"/>
      <c r="C1285" s="422"/>
      <c r="D1285" s="422"/>
      <c r="E1285" s="422"/>
      <c r="F1285" s="423"/>
    </row>
    <row r="1286" spans="2:6" ht="18" x14ac:dyDescent="0.35">
      <c r="B1286" s="421"/>
      <c r="C1286" s="422"/>
      <c r="D1286" s="422"/>
      <c r="E1286" s="422"/>
      <c r="F1286" s="423"/>
    </row>
    <row r="1287" spans="2:6" ht="18" x14ac:dyDescent="0.35">
      <c r="B1287" s="421"/>
      <c r="C1287" s="422"/>
      <c r="D1287" s="422"/>
      <c r="E1287" s="422"/>
      <c r="F1287" s="423"/>
    </row>
    <row r="1288" spans="2:6" ht="18" x14ac:dyDescent="0.35">
      <c r="B1288" s="421"/>
      <c r="C1288" s="422"/>
      <c r="D1288" s="422"/>
      <c r="E1288" s="422"/>
      <c r="F1288" s="423"/>
    </row>
    <row r="1289" spans="2:6" ht="18" x14ac:dyDescent="0.35">
      <c r="B1289" s="421"/>
      <c r="C1289" s="422"/>
      <c r="D1289" s="422"/>
      <c r="E1289" s="422"/>
      <c r="F1289" s="423"/>
    </row>
    <row r="1290" spans="2:6" ht="18" x14ac:dyDescent="0.35">
      <c r="B1290" s="421"/>
      <c r="C1290" s="422"/>
      <c r="D1290" s="422"/>
      <c r="E1290" s="422"/>
      <c r="F1290" s="423"/>
    </row>
    <row r="1291" spans="2:6" ht="18" x14ac:dyDescent="0.35">
      <c r="B1291" s="421"/>
      <c r="C1291" s="422"/>
      <c r="D1291" s="422"/>
      <c r="E1291" s="422"/>
      <c r="F1291" s="423"/>
    </row>
    <row r="1292" spans="2:6" ht="18" x14ac:dyDescent="0.35">
      <c r="B1292" s="421"/>
      <c r="C1292" s="422"/>
      <c r="D1292" s="422"/>
      <c r="E1292" s="422"/>
      <c r="F1292" s="423"/>
    </row>
    <row r="1293" spans="2:6" ht="18" x14ac:dyDescent="0.35">
      <c r="B1293" s="421"/>
      <c r="C1293" s="422"/>
      <c r="D1293" s="422"/>
      <c r="E1293" s="422"/>
      <c r="F1293" s="423"/>
    </row>
    <row r="1294" spans="2:6" ht="18" x14ac:dyDescent="0.35">
      <c r="B1294" s="421"/>
      <c r="C1294" s="422"/>
      <c r="D1294" s="422"/>
      <c r="E1294" s="422"/>
      <c r="F1294" s="423"/>
    </row>
    <row r="1295" spans="2:6" ht="18" x14ac:dyDescent="0.35">
      <c r="B1295" s="421"/>
      <c r="C1295" s="422"/>
      <c r="D1295" s="422"/>
      <c r="E1295" s="422"/>
      <c r="F1295" s="423"/>
    </row>
    <row r="1296" spans="2:6" ht="18" x14ac:dyDescent="0.35">
      <c r="B1296" s="421"/>
      <c r="C1296" s="422"/>
      <c r="D1296" s="422"/>
      <c r="E1296" s="422"/>
      <c r="F1296" s="423"/>
    </row>
    <row r="1297" spans="2:6" ht="18" x14ac:dyDescent="0.35">
      <c r="B1297" s="421"/>
      <c r="C1297" s="422"/>
      <c r="D1297" s="422"/>
      <c r="E1297" s="422"/>
      <c r="F1297" s="423"/>
    </row>
    <row r="1298" spans="2:6" ht="18" x14ac:dyDescent="0.35">
      <c r="B1298" s="421"/>
      <c r="C1298" s="422"/>
      <c r="D1298" s="422"/>
      <c r="E1298" s="422"/>
      <c r="F1298" s="423"/>
    </row>
    <row r="1299" spans="2:6" ht="18" x14ac:dyDescent="0.35">
      <c r="B1299" s="421"/>
      <c r="C1299" s="422"/>
      <c r="D1299" s="422"/>
      <c r="E1299" s="422"/>
      <c r="F1299" s="423"/>
    </row>
    <row r="1300" spans="2:6" ht="18" x14ac:dyDescent="0.35">
      <c r="B1300" s="421"/>
      <c r="C1300" s="422"/>
      <c r="D1300" s="422"/>
      <c r="E1300" s="422"/>
      <c r="F1300" s="423"/>
    </row>
    <row r="1301" spans="2:6" ht="18" x14ac:dyDescent="0.35">
      <c r="B1301" s="421"/>
      <c r="C1301" s="422"/>
      <c r="D1301" s="422"/>
      <c r="E1301" s="422"/>
      <c r="F1301" s="423"/>
    </row>
    <row r="1302" spans="2:6" ht="18" x14ac:dyDescent="0.35">
      <c r="B1302" s="421"/>
      <c r="C1302" s="422"/>
      <c r="D1302" s="422"/>
      <c r="E1302" s="422"/>
      <c r="F1302" s="423"/>
    </row>
    <row r="1303" spans="2:6" ht="18" x14ac:dyDescent="0.35">
      <c r="B1303" s="421"/>
      <c r="C1303" s="422"/>
      <c r="D1303" s="422"/>
      <c r="E1303" s="422"/>
      <c r="F1303" s="423"/>
    </row>
    <row r="1304" spans="2:6" ht="18" x14ac:dyDescent="0.35">
      <c r="B1304" s="421"/>
      <c r="C1304" s="422"/>
      <c r="D1304" s="422"/>
      <c r="E1304" s="422"/>
      <c r="F1304" s="423"/>
    </row>
    <row r="1305" spans="2:6" ht="18" x14ac:dyDescent="0.35">
      <c r="B1305" s="421"/>
      <c r="C1305" s="422"/>
      <c r="D1305" s="422"/>
      <c r="E1305" s="422"/>
      <c r="F1305" s="423"/>
    </row>
    <row r="1306" spans="2:6" ht="18" x14ac:dyDescent="0.35">
      <c r="B1306" s="421"/>
      <c r="C1306" s="422"/>
      <c r="D1306" s="422"/>
      <c r="E1306" s="422"/>
      <c r="F1306" s="423"/>
    </row>
    <row r="1307" spans="2:6" ht="18" x14ac:dyDescent="0.35">
      <c r="B1307" s="421"/>
      <c r="C1307" s="422"/>
      <c r="D1307" s="422"/>
      <c r="E1307" s="422"/>
      <c r="F1307" s="423"/>
    </row>
    <row r="1308" spans="2:6" ht="18" x14ac:dyDescent="0.35">
      <c r="B1308" s="421"/>
      <c r="C1308" s="422"/>
      <c r="D1308" s="422"/>
      <c r="E1308" s="422"/>
      <c r="F1308" s="423"/>
    </row>
    <row r="1309" spans="2:6" ht="18" x14ac:dyDescent="0.35">
      <c r="B1309" s="421"/>
      <c r="C1309" s="422"/>
      <c r="D1309" s="422"/>
      <c r="E1309" s="422"/>
      <c r="F1309" s="423"/>
    </row>
    <row r="1310" spans="2:6" ht="18" x14ac:dyDescent="0.35">
      <c r="B1310" s="421"/>
      <c r="C1310" s="422"/>
      <c r="D1310" s="422"/>
      <c r="E1310" s="422"/>
      <c r="F1310" s="423"/>
    </row>
    <row r="1311" spans="2:6" ht="18" x14ac:dyDescent="0.35">
      <c r="B1311" s="421"/>
      <c r="C1311" s="422"/>
      <c r="D1311" s="422"/>
      <c r="E1311" s="422"/>
      <c r="F1311" s="423"/>
    </row>
    <row r="1312" spans="2:6" ht="18" x14ac:dyDescent="0.35">
      <c r="B1312" s="421"/>
      <c r="C1312" s="422"/>
      <c r="D1312" s="422"/>
      <c r="E1312" s="422"/>
      <c r="F1312" s="423"/>
    </row>
    <row r="1313" spans="2:6" ht="18" x14ac:dyDescent="0.35">
      <c r="B1313" s="421"/>
      <c r="C1313" s="422"/>
      <c r="D1313" s="422"/>
      <c r="E1313" s="422"/>
      <c r="F1313" s="423"/>
    </row>
    <row r="1314" spans="2:6" ht="18" x14ac:dyDescent="0.35">
      <c r="B1314" s="421"/>
      <c r="C1314" s="422"/>
      <c r="D1314" s="422"/>
      <c r="E1314" s="422"/>
      <c r="F1314" s="423"/>
    </row>
    <row r="1315" spans="2:6" ht="18" x14ac:dyDescent="0.35">
      <c r="B1315" s="421"/>
      <c r="C1315" s="422"/>
      <c r="D1315" s="422"/>
      <c r="E1315" s="422"/>
      <c r="F1315" s="423"/>
    </row>
    <row r="1316" spans="2:6" ht="18" x14ac:dyDescent="0.35">
      <c r="B1316" s="421"/>
      <c r="C1316" s="422"/>
      <c r="D1316" s="422"/>
      <c r="E1316" s="422"/>
      <c r="F1316" s="423"/>
    </row>
    <row r="1317" spans="2:6" ht="18" x14ac:dyDescent="0.35">
      <c r="B1317" s="421"/>
      <c r="C1317" s="422"/>
      <c r="D1317" s="422"/>
      <c r="E1317" s="422"/>
      <c r="F1317" s="423"/>
    </row>
    <row r="1318" spans="2:6" ht="18" x14ac:dyDescent="0.35">
      <c r="B1318" s="421"/>
      <c r="C1318" s="422"/>
      <c r="D1318" s="422"/>
      <c r="E1318" s="422"/>
      <c r="F1318" s="423"/>
    </row>
    <row r="1319" spans="2:6" ht="18" x14ac:dyDescent="0.35">
      <c r="B1319" s="421"/>
      <c r="C1319" s="422"/>
      <c r="D1319" s="422"/>
      <c r="E1319" s="422"/>
      <c r="F1319" s="423"/>
    </row>
    <row r="1320" spans="2:6" ht="18" x14ac:dyDescent="0.35">
      <c r="B1320" s="421"/>
      <c r="C1320" s="422"/>
      <c r="D1320" s="422"/>
      <c r="E1320" s="422"/>
      <c r="F1320" s="423"/>
    </row>
    <row r="1321" spans="2:6" ht="18" x14ac:dyDescent="0.35">
      <c r="B1321" s="421"/>
      <c r="C1321" s="422"/>
      <c r="D1321" s="422"/>
      <c r="E1321" s="422"/>
      <c r="F1321" s="423"/>
    </row>
    <row r="1322" spans="2:6" ht="18" x14ac:dyDescent="0.35">
      <c r="B1322" s="421"/>
      <c r="C1322" s="422"/>
      <c r="D1322" s="422"/>
      <c r="E1322" s="422"/>
      <c r="F1322" s="423"/>
    </row>
    <row r="1323" spans="2:6" ht="18" x14ac:dyDescent="0.35">
      <c r="B1323" s="421"/>
      <c r="C1323" s="422"/>
      <c r="D1323" s="422"/>
      <c r="E1323" s="422"/>
      <c r="F1323" s="423"/>
    </row>
    <row r="1324" spans="2:6" ht="18" x14ac:dyDescent="0.35">
      <c r="B1324" s="421"/>
      <c r="C1324" s="422"/>
      <c r="D1324" s="422"/>
      <c r="E1324" s="422"/>
      <c r="F1324" s="423"/>
    </row>
    <row r="1325" spans="2:6" ht="18" x14ac:dyDescent="0.35">
      <c r="B1325" s="421"/>
      <c r="C1325" s="422"/>
      <c r="D1325" s="422"/>
      <c r="E1325" s="422"/>
      <c r="F1325" s="423"/>
    </row>
    <row r="1326" spans="2:6" ht="18" x14ac:dyDescent="0.35">
      <c r="B1326" s="421"/>
      <c r="C1326" s="422"/>
      <c r="D1326" s="422"/>
      <c r="E1326" s="422"/>
      <c r="F1326" s="423"/>
    </row>
    <row r="1327" spans="2:6" ht="18" x14ac:dyDescent="0.35">
      <c r="B1327" s="421"/>
      <c r="C1327" s="422"/>
      <c r="D1327" s="422"/>
      <c r="E1327" s="422"/>
      <c r="F1327" s="423"/>
    </row>
    <row r="1328" spans="2:6" ht="18" x14ac:dyDescent="0.35">
      <c r="B1328" s="421"/>
      <c r="C1328" s="422"/>
      <c r="D1328" s="422"/>
      <c r="E1328" s="422"/>
      <c r="F1328" s="423"/>
    </row>
    <row r="1329" spans="2:6" ht="18" x14ac:dyDescent="0.35">
      <c r="B1329" s="421"/>
      <c r="C1329" s="422"/>
      <c r="D1329" s="422"/>
      <c r="E1329" s="422"/>
      <c r="F1329" s="423"/>
    </row>
    <row r="1330" spans="2:6" ht="18" x14ac:dyDescent="0.35">
      <c r="B1330" s="421"/>
      <c r="C1330" s="422"/>
      <c r="D1330" s="422"/>
      <c r="E1330" s="422"/>
      <c r="F1330" s="423"/>
    </row>
    <row r="1331" spans="2:6" ht="18" x14ac:dyDescent="0.35">
      <c r="B1331" s="421"/>
      <c r="C1331" s="422"/>
      <c r="D1331" s="422"/>
      <c r="E1331" s="422"/>
      <c r="F1331" s="423"/>
    </row>
    <row r="1332" spans="2:6" ht="18" x14ac:dyDescent="0.35">
      <c r="B1332" s="421"/>
      <c r="C1332" s="422"/>
      <c r="D1332" s="422"/>
      <c r="E1332" s="422"/>
      <c r="F1332" s="423"/>
    </row>
    <row r="1333" spans="2:6" ht="18" x14ac:dyDescent="0.35">
      <c r="B1333" s="421"/>
      <c r="C1333" s="422"/>
      <c r="D1333" s="422"/>
      <c r="E1333" s="422"/>
      <c r="F1333" s="423"/>
    </row>
    <row r="1334" spans="2:6" ht="18" x14ac:dyDescent="0.35">
      <c r="B1334" s="421"/>
      <c r="C1334" s="422"/>
      <c r="D1334" s="422"/>
      <c r="E1334" s="422"/>
      <c r="F1334" s="423"/>
    </row>
    <row r="1335" spans="2:6" ht="18" x14ac:dyDescent="0.35">
      <c r="B1335" s="421"/>
      <c r="C1335" s="422"/>
      <c r="D1335" s="422"/>
      <c r="E1335" s="422"/>
      <c r="F1335" s="423"/>
    </row>
    <row r="1336" spans="2:6" ht="18" x14ac:dyDescent="0.35">
      <c r="B1336" s="421"/>
      <c r="C1336" s="422"/>
      <c r="D1336" s="422"/>
      <c r="E1336" s="422"/>
      <c r="F1336" s="423"/>
    </row>
    <row r="1337" spans="2:6" ht="18" x14ac:dyDescent="0.35">
      <c r="B1337" s="421"/>
      <c r="C1337" s="422"/>
      <c r="D1337" s="422"/>
      <c r="E1337" s="422"/>
      <c r="F1337" s="423"/>
    </row>
    <row r="1338" spans="2:6" ht="18" x14ac:dyDescent="0.35">
      <c r="B1338" s="421"/>
      <c r="C1338" s="422"/>
      <c r="D1338" s="422"/>
      <c r="E1338" s="422"/>
      <c r="F1338" s="423"/>
    </row>
    <row r="1339" spans="2:6" ht="18" x14ac:dyDescent="0.35">
      <c r="B1339" s="421"/>
      <c r="C1339" s="422"/>
      <c r="D1339" s="422"/>
      <c r="E1339" s="422"/>
      <c r="F1339" s="423"/>
    </row>
    <row r="1340" spans="2:6" ht="18" x14ac:dyDescent="0.35">
      <c r="B1340" s="421"/>
      <c r="C1340" s="422"/>
      <c r="D1340" s="422"/>
      <c r="E1340" s="422"/>
      <c r="F1340" s="423"/>
    </row>
    <row r="1341" spans="2:6" ht="18" x14ac:dyDescent="0.35">
      <c r="B1341" s="421"/>
      <c r="C1341" s="422"/>
      <c r="D1341" s="422"/>
      <c r="E1341" s="422"/>
      <c r="F1341" s="423"/>
    </row>
    <row r="1342" spans="2:6" ht="18" x14ac:dyDescent="0.35">
      <c r="B1342" s="421"/>
      <c r="C1342" s="422"/>
      <c r="D1342" s="422"/>
      <c r="E1342" s="422"/>
      <c r="F1342" s="423"/>
    </row>
    <row r="1343" spans="2:6" ht="18" x14ac:dyDescent="0.35">
      <c r="B1343" s="421"/>
      <c r="C1343" s="422"/>
      <c r="D1343" s="422"/>
      <c r="E1343" s="422"/>
      <c r="F1343" s="423"/>
    </row>
    <row r="1344" spans="2:6" ht="18" x14ac:dyDescent="0.35">
      <c r="B1344" s="421"/>
      <c r="C1344" s="422"/>
      <c r="D1344" s="422"/>
      <c r="E1344" s="422"/>
      <c r="F1344" s="423"/>
    </row>
    <row r="1345" spans="2:6" ht="18" x14ac:dyDescent="0.35">
      <c r="B1345" s="421"/>
      <c r="C1345" s="422"/>
      <c r="D1345" s="422"/>
      <c r="E1345" s="422"/>
      <c r="F1345" s="423"/>
    </row>
    <row r="1346" spans="2:6" ht="18" x14ac:dyDescent="0.35">
      <c r="B1346" s="421"/>
      <c r="C1346" s="422"/>
      <c r="D1346" s="422"/>
      <c r="E1346" s="422"/>
      <c r="F1346" s="423"/>
    </row>
    <row r="1347" spans="2:6" ht="18" x14ac:dyDescent="0.35">
      <c r="B1347" s="421"/>
      <c r="C1347" s="422"/>
      <c r="D1347" s="422"/>
      <c r="E1347" s="422"/>
      <c r="F1347" s="423"/>
    </row>
    <row r="1348" spans="2:6" ht="18" x14ac:dyDescent="0.35">
      <c r="B1348" s="421"/>
      <c r="C1348" s="422"/>
      <c r="D1348" s="422"/>
      <c r="E1348" s="422"/>
      <c r="F1348" s="423"/>
    </row>
    <row r="1349" spans="2:6" ht="18" x14ac:dyDescent="0.35">
      <c r="B1349" s="421"/>
      <c r="C1349" s="422"/>
      <c r="D1349" s="422"/>
      <c r="E1349" s="422"/>
      <c r="F1349" s="423"/>
    </row>
    <row r="1350" spans="2:6" ht="18" x14ac:dyDescent="0.35">
      <c r="B1350" s="421"/>
      <c r="C1350" s="422"/>
      <c r="D1350" s="422"/>
      <c r="E1350" s="422"/>
      <c r="F1350" s="423"/>
    </row>
    <row r="1351" spans="2:6" ht="18" x14ac:dyDescent="0.35">
      <c r="B1351" s="421"/>
      <c r="C1351" s="422"/>
      <c r="D1351" s="422"/>
      <c r="E1351" s="422"/>
      <c r="F1351" s="423"/>
    </row>
    <row r="1352" spans="2:6" ht="18" x14ac:dyDescent="0.35">
      <c r="B1352" s="421"/>
      <c r="C1352" s="422"/>
      <c r="D1352" s="422"/>
      <c r="E1352" s="422"/>
      <c r="F1352" s="423"/>
    </row>
    <row r="1353" spans="2:6" ht="18" x14ac:dyDescent="0.35">
      <c r="B1353" s="421"/>
      <c r="C1353" s="422"/>
      <c r="D1353" s="422"/>
      <c r="E1353" s="422"/>
      <c r="F1353" s="423"/>
    </row>
    <row r="1354" spans="2:6" ht="18" x14ac:dyDescent="0.35">
      <c r="B1354" s="421"/>
      <c r="C1354" s="422"/>
      <c r="D1354" s="422"/>
      <c r="E1354" s="422"/>
      <c r="F1354" s="423"/>
    </row>
    <row r="1355" spans="2:6" ht="18" x14ac:dyDescent="0.35">
      <c r="B1355" s="421"/>
      <c r="C1355" s="422"/>
      <c r="D1355" s="422"/>
      <c r="E1355" s="422"/>
      <c r="F1355" s="423"/>
    </row>
    <row r="1356" spans="2:6" ht="18" x14ac:dyDescent="0.35">
      <c r="B1356" s="421"/>
      <c r="C1356" s="422"/>
      <c r="D1356" s="422"/>
      <c r="E1356" s="422"/>
      <c r="F1356" s="423"/>
    </row>
    <row r="1357" spans="2:6" ht="18" x14ac:dyDescent="0.35">
      <c r="B1357" s="421"/>
      <c r="C1357" s="422"/>
      <c r="D1357" s="422"/>
      <c r="E1357" s="422"/>
      <c r="F1357" s="423"/>
    </row>
    <row r="1358" spans="2:6" ht="18" x14ac:dyDescent="0.35">
      <c r="B1358" s="421"/>
      <c r="C1358" s="422"/>
      <c r="D1358" s="422"/>
      <c r="E1358" s="422"/>
      <c r="F1358" s="423"/>
    </row>
    <row r="1359" spans="2:6" ht="18" x14ac:dyDescent="0.35">
      <c r="B1359" s="421"/>
      <c r="C1359" s="422"/>
      <c r="D1359" s="422"/>
      <c r="E1359" s="422"/>
      <c r="F1359" s="423"/>
    </row>
    <row r="1360" spans="2:6" ht="18" x14ac:dyDescent="0.35">
      <c r="B1360" s="421"/>
      <c r="C1360" s="422"/>
      <c r="D1360" s="422"/>
      <c r="E1360" s="422"/>
      <c r="F1360" s="423"/>
    </row>
    <row r="1361" spans="2:6" ht="18" x14ac:dyDescent="0.35">
      <c r="B1361" s="421"/>
      <c r="C1361" s="422"/>
      <c r="D1361" s="422"/>
      <c r="E1361" s="422"/>
      <c r="F1361" s="423"/>
    </row>
    <row r="1362" spans="2:6" ht="18" x14ac:dyDescent="0.35">
      <c r="B1362" s="421"/>
      <c r="C1362" s="422"/>
      <c r="D1362" s="422"/>
      <c r="E1362" s="422"/>
      <c r="F1362" s="423"/>
    </row>
    <row r="1363" spans="2:6" ht="18" x14ac:dyDescent="0.35">
      <c r="B1363" s="421"/>
      <c r="C1363" s="422"/>
      <c r="D1363" s="422"/>
      <c r="E1363" s="422"/>
      <c r="F1363" s="423"/>
    </row>
    <row r="1364" spans="2:6" ht="18" x14ac:dyDescent="0.35">
      <c r="B1364" s="421"/>
      <c r="C1364" s="422"/>
      <c r="D1364" s="422"/>
      <c r="E1364" s="422"/>
      <c r="F1364" s="423"/>
    </row>
    <row r="1365" spans="2:6" ht="18" x14ac:dyDescent="0.35">
      <c r="B1365" s="421"/>
      <c r="C1365" s="422"/>
      <c r="D1365" s="422"/>
      <c r="E1365" s="422"/>
      <c r="F1365" s="423"/>
    </row>
    <row r="1366" spans="2:6" ht="18" x14ac:dyDescent="0.35">
      <c r="B1366" s="421"/>
      <c r="C1366" s="422"/>
      <c r="D1366" s="422"/>
      <c r="E1366" s="422"/>
      <c r="F1366" s="423"/>
    </row>
    <row r="1367" spans="2:6" ht="18" x14ac:dyDescent="0.35">
      <c r="B1367" s="421"/>
      <c r="C1367" s="422"/>
      <c r="D1367" s="422"/>
      <c r="E1367" s="422"/>
      <c r="F1367" s="423"/>
    </row>
    <row r="1368" spans="2:6" ht="18" x14ac:dyDescent="0.35">
      <c r="B1368" s="421"/>
      <c r="C1368" s="422"/>
      <c r="D1368" s="422"/>
      <c r="E1368" s="422"/>
      <c r="F1368" s="423"/>
    </row>
    <row r="1369" spans="2:6" ht="18" x14ac:dyDescent="0.35">
      <c r="B1369" s="421"/>
      <c r="C1369" s="422"/>
      <c r="D1369" s="422"/>
      <c r="E1369" s="422"/>
      <c r="F1369" s="423"/>
    </row>
    <row r="1370" spans="2:6" ht="18" x14ac:dyDescent="0.35">
      <c r="B1370" s="421"/>
      <c r="C1370" s="422"/>
      <c r="D1370" s="422"/>
      <c r="E1370" s="422"/>
      <c r="F1370" s="423"/>
    </row>
    <row r="1371" spans="2:6" ht="18" x14ac:dyDescent="0.35">
      <c r="B1371" s="421"/>
      <c r="C1371" s="422"/>
      <c r="D1371" s="422"/>
      <c r="E1371" s="422"/>
      <c r="F1371" s="423"/>
    </row>
    <row r="1372" spans="2:6" ht="18" x14ac:dyDescent="0.35">
      <c r="B1372" s="421"/>
      <c r="C1372" s="422"/>
      <c r="D1372" s="422"/>
      <c r="E1372" s="422"/>
      <c r="F1372" s="423"/>
    </row>
    <row r="1373" spans="2:6" ht="18" x14ac:dyDescent="0.35">
      <c r="B1373" s="421"/>
      <c r="C1373" s="422"/>
      <c r="D1373" s="422"/>
      <c r="E1373" s="422"/>
      <c r="F1373" s="423"/>
    </row>
    <row r="1374" spans="2:6" ht="18" x14ac:dyDescent="0.35">
      <c r="B1374" s="421"/>
      <c r="C1374" s="422"/>
      <c r="D1374" s="422"/>
      <c r="E1374" s="422"/>
      <c r="F1374" s="423"/>
    </row>
    <row r="1375" spans="2:6" ht="18" x14ac:dyDescent="0.35">
      <c r="B1375" s="421"/>
      <c r="C1375" s="422"/>
      <c r="D1375" s="422"/>
      <c r="E1375" s="422"/>
      <c r="F1375" s="423"/>
    </row>
    <row r="1376" spans="2:6" ht="18" x14ac:dyDescent="0.35">
      <c r="B1376" s="421"/>
      <c r="C1376" s="422"/>
      <c r="D1376" s="422"/>
      <c r="E1376" s="422"/>
      <c r="F1376" s="423"/>
    </row>
    <row r="1377" spans="2:6" ht="18" x14ac:dyDescent="0.35">
      <c r="B1377" s="421"/>
      <c r="C1377" s="422"/>
      <c r="D1377" s="422"/>
      <c r="E1377" s="422"/>
      <c r="F1377" s="423"/>
    </row>
    <row r="1378" spans="2:6" ht="18" x14ac:dyDescent="0.35">
      <c r="B1378" s="421"/>
      <c r="C1378" s="422"/>
      <c r="D1378" s="422"/>
      <c r="E1378" s="422"/>
      <c r="F1378" s="423"/>
    </row>
    <row r="1379" spans="2:6" ht="18" x14ac:dyDescent="0.35">
      <c r="B1379" s="421"/>
      <c r="C1379" s="422"/>
      <c r="D1379" s="422"/>
      <c r="E1379" s="422"/>
      <c r="F1379" s="423"/>
    </row>
    <row r="1380" spans="2:6" ht="18" x14ac:dyDescent="0.35">
      <c r="B1380" s="421"/>
      <c r="C1380" s="422"/>
      <c r="D1380" s="422"/>
      <c r="E1380" s="422"/>
      <c r="F1380" s="423"/>
    </row>
    <row r="1381" spans="2:6" ht="18" x14ac:dyDescent="0.35">
      <c r="B1381" s="421"/>
      <c r="C1381" s="422"/>
      <c r="D1381" s="422"/>
      <c r="E1381" s="422"/>
      <c r="F1381" s="423"/>
    </row>
    <row r="1382" spans="2:6" ht="18" x14ac:dyDescent="0.35">
      <c r="B1382" s="421"/>
      <c r="C1382" s="422"/>
      <c r="D1382" s="422"/>
      <c r="E1382" s="422"/>
      <c r="F1382" s="423"/>
    </row>
    <row r="1383" spans="2:6" ht="18" x14ac:dyDescent="0.35">
      <c r="B1383" s="421"/>
      <c r="C1383" s="422"/>
      <c r="D1383" s="422"/>
      <c r="E1383" s="422"/>
      <c r="F1383" s="423"/>
    </row>
    <row r="1384" spans="2:6" ht="18" x14ac:dyDescent="0.35">
      <c r="B1384" s="421"/>
      <c r="C1384" s="422"/>
      <c r="D1384" s="422"/>
      <c r="E1384" s="422"/>
      <c r="F1384" s="423"/>
    </row>
    <row r="1385" spans="2:6" ht="18" x14ac:dyDescent="0.35">
      <c r="B1385" s="421"/>
      <c r="C1385" s="422"/>
      <c r="D1385" s="422"/>
      <c r="E1385" s="422"/>
      <c r="F1385" s="423"/>
    </row>
    <row r="1386" spans="2:6" ht="18" x14ac:dyDescent="0.35">
      <c r="B1386" s="421"/>
      <c r="C1386" s="422"/>
      <c r="D1386" s="422"/>
      <c r="E1386" s="422"/>
      <c r="F1386" s="423"/>
    </row>
    <row r="1387" spans="2:6" ht="18" x14ac:dyDescent="0.35">
      <c r="B1387" s="421"/>
      <c r="C1387" s="422"/>
      <c r="D1387" s="422"/>
      <c r="E1387" s="422"/>
      <c r="F1387" s="423"/>
    </row>
    <row r="1388" spans="2:6" ht="18" x14ac:dyDescent="0.35">
      <c r="B1388" s="421"/>
      <c r="C1388" s="422"/>
      <c r="D1388" s="422"/>
      <c r="E1388" s="422"/>
      <c r="F1388" s="423"/>
    </row>
    <row r="1389" spans="2:6" ht="18" x14ac:dyDescent="0.35">
      <c r="B1389" s="421"/>
      <c r="C1389" s="422"/>
      <c r="D1389" s="422"/>
      <c r="E1389" s="422"/>
      <c r="F1389" s="423"/>
    </row>
    <row r="1390" spans="2:6" ht="18" x14ac:dyDescent="0.35">
      <c r="B1390" s="421"/>
      <c r="C1390" s="422"/>
      <c r="D1390" s="422"/>
      <c r="E1390" s="422"/>
      <c r="F1390" s="423"/>
    </row>
    <row r="1391" spans="2:6" ht="18" x14ac:dyDescent="0.35">
      <c r="B1391" s="421"/>
      <c r="C1391" s="422"/>
      <c r="D1391" s="422"/>
      <c r="E1391" s="422"/>
      <c r="F1391" s="423"/>
    </row>
    <row r="1392" spans="2:6" ht="18" x14ac:dyDescent="0.35">
      <c r="B1392" s="421"/>
      <c r="C1392" s="422"/>
      <c r="D1392" s="422"/>
      <c r="E1392" s="422"/>
      <c r="F1392" s="423"/>
    </row>
    <row r="1393" spans="2:6" ht="18" x14ac:dyDescent="0.35">
      <c r="B1393" s="421"/>
      <c r="C1393" s="422"/>
      <c r="D1393" s="422"/>
      <c r="E1393" s="422"/>
      <c r="F1393" s="423"/>
    </row>
    <row r="1394" spans="2:6" ht="18" x14ac:dyDescent="0.35">
      <c r="B1394" s="421"/>
      <c r="C1394" s="422"/>
      <c r="D1394" s="422"/>
      <c r="E1394" s="422"/>
      <c r="F1394" s="423"/>
    </row>
    <row r="1395" spans="2:6" ht="18" x14ac:dyDescent="0.35">
      <c r="B1395" s="421"/>
      <c r="C1395" s="422"/>
      <c r="D1395" s="422"/>
      <c r="E1395" s="422"/>
      <c r="F1395" s="423"/>
    </row>
    <row r="1396" spans="2:6" ht="18" x14ac:dyDescent="0.35">
      <c r="B1396" s="421"/>
      <c r="C1396" s="422"/>
      <c r="D1396" s="422"/>
      <c r="E1396" s="422"/>
      <c r="F1396" s="423"/>
    </row>
    <row r="1397" spans="2:6" ht="18" x14ac:dyDescent="0.35">
      <c r="B1397" s="421"/>
      <c r="C1397" s="422"/>
      <c r="D1397" s="422"/>
      <c r="E1397" s="422"/>
      <c r="F1397" s="423"/>
    </row>
    <row r="1398" spans="2:6" ht="18" x14ac:dyDescent="0.35">
      <c r="B1398" s="421"/>
      <c r="C1398" s="422"/>
      <c r="D1398" s="422"/>
      <c r="E1398" s="422"/>
      <c r="F1398" s="423"/>
    </row>
    <row r="1399" spans="2:6" ht="18" x14ac:dyDescent="0.35">
      <c r="B1399" s="421"/>
      <c r="C1399" s="422"/>
      <c r="D1399" s="422"/>
      <c r="E1399" s="422"/>
      <c r="F1399" s="423"/>
    </row>
    <row r="1400" spans="2:6" ht="18" x14ac:dyDescent="0.35">
      <c r="B1400" s="421"/>
      <c r="C1400" s="422"/>
      <c r="D1400" s="422"/>
      <c r="E1400" s="422"/>
      <c r="F1400" s="423"/>
    </row>
    <row r="1401" spans="2:6" ht="18" x14ac:dyDescent="0.35">
      <c r="B1401" s="421"/>
      <c r="C1401" s="422"/>
      <c r="D1401" s="422"/>
      <c r="E1401" s="422"/>
      <c r="F1401" s="423"/>
    </row>
    <row r="1402" spans="2:6" ht="18" x14ac:dyDescent="0.35">
      <c r="B1402" s="421"/>
      <c r="C1402" s="422"/>
      <c r="D1402" s="422"/>
      <c r="E1402" s="422"/>
      <c r="F1402" s="423"/>
    </row>
    <row r="1403" spans="2:6" ht="18" x14ac:dyDescent="0.35">
      <c r="B1403" s="421"/>
      <c r="C1403" s="422"/>
      <c r="D1403" s="422"/>
      <c r="E1403" s="422"/>
      <c r="F1403" s="423"/>
    </row>
    <row r="1404" spans="2:6" ht="18" x14ac:dyDescent="0.35">
      <c r="B1404" s="421"/>
      <c r="C1404" s="422"/>
      <c r="D1404" s="422"/>
      <c r="E1404" s="422"/>
      <c r="F1404" s="423"/>
    </row>
    <row r="1405" spans="2:6" ht="18" x14ac:dyDescent="0.35">
      <c r="B1405" s="421"/>
      <c r="C1405" s="422"/>
      <c r="D1405" s="422"/>
      <c r="E1405" s="422"/>
      <c r="F1405" s="423"/>
    </row>
    <row r="1406" spans="2:6" ht="18" x14ac:dyDescent="0.35">
      <c r="B1406" s="421"/>
      <c r="C1406" s="422"/>
      <c r="D1406" s="422"/>
      <c r="E1406" s="422"/>
      <c r="F1406" s="423"/>
    </row>
    <row r="1407" spans="2:6" ht="18" x14ac:dyDescent="0.35">
      <c r="B1407" s="421"/>
      <c r="C1407" s="422"/>
      <c r="D1407" s="422"/>
      <c r="E1407" s="422"/>
      <c r="F1407" s="423"/>
    </row>
    <row r="1408" spans="2:6" ht="18" x14ac:dyDescent="0.35">
      <c r="B1408" s="421"/>
      <c r="C1408" s="422"/>
      <c r="D1408" s="422"/>
      <c r="E1408" s="422"/>
      <c r="F1408" s="423"/>
    </row>
    <row r="1409" spans="2:6" ht="18" x14ac:dyDescent="0.35">
      <c r="B1409" s="421"/>
      <c r="C1409" s="422"/>
      <c r="D1409" s="422"/>
      <c r="E1409" s="422"/>
      <c r="F1409" s="423"/>
    </row>
    <row r="1410" spans="2:6" ht="18" x14ac:dyDescent="0.35">
      <c r="B1410" s="421"/>
      <c r="C1410" s="422"/>
      <c r="D1410" s="422"/>
      <c r="E1410" s="422"/>
      <c r="F1410" s="423"/>
    </row>
    <row r="1411" spans="2:6" ht="18" x14ac:dyDescent="0.35">
      <c r="B1411" s="421"/>
      <c r="C1411" s="422"/>
      <c r="D1411" s="422"/>
      <c r="E1411" s="422"/>
      <c r="F1411" s="423"/>
    </row>
    <row r="1412" spans="2:6" ht="18" x14ac:dyDescent="0.35">
      <c r="B1412" s="421"/>
      <c r="C1412" s="422"/>
      <c r="D1412" s="422"/>
      <c r="E1412" s="422"/>
      <c r="F1412" s="423"/>
    </row>
    <row r="1413" spans="2:6" ht="18" x14ac:dyDescent="0.35">
      <c r="B1413" s="421"/>
      <c r="C1413" s="422"/>
      <c r="D1413" s="422"/>
      <c r="E1413" s="422"/>
      <c r="F1413" s="423"/>
    </row>
    <row r="1414" spans="2:6" ht="18" x14ac:dyDescent="0.35">
      <c r="B1414" s="421"/>
      <c r="C1414" s="422"/>
      <c r="D1414" s="422"/>
      <c r="E1414" s="422"/>
      <c r="F1414" s="423"/>
    </row>
    <row r="1415" spans="2:6" ht="18" x14ac:dyDescent="0.35">
      <c r="B1415" s="421"/>
      <c r="C1415" s="422"/>
      <c r="D1415" s="422"/>
      <c r="E1415" s="422"/>
      <c r="F1415" s="423"/>
    </row>
    <row r="1416" spans="2:6" ht="18" x14ac:dyDescent="0.35">
      <c r="B1416" s="421"/>
      <c r="C1416" s="422"/>
      <c r="D1416" s="422"/>
      <c r="E1416" s="422"/>
      <c r="F1416" s="423"/>
    </row>
    <row r="1417" spans="2:6" ht="18" x14ac:dyDescent="0.35">
      <c r="B1417" s="421"/>
      <c r="C1417" s="422"/>
      <c r="D1417" s="422"/>
      <c r="E1417" s="422"/>
      <c r="F1417" s="423"/>
    </row>
    <row r="1418" spans="2:6" ht="18" x14ac:dyDescent="0.35">
      <c r="B1418" s="421"/>
      <c r="C1418" s="422"/>
      <c r="D1418" s="422"/>
      <c r="E1418" s="422"/>
      <c r="F1418" s="423"/>
    </row>
    <row r="1419" spans="2:6" ht="18" x14ac:dyDescent="0.35">
      <c r="B1419" s="421"/>
      <c r="C1419" s="422"/>
      <c r="D1419" s="422"/>
      <c r="E1419" s="422"/>
      <c r="F1419" s="423"/>
    </row>
    <row r="1420" spans="2:6" ht="18" x14ac:dyDescent="0.35">
      <c r="B1420" s="421"/>
      <c r="C1420" s="422"/>
      <c r="D1420" s="422"/>
      <c r="E1420" s="422"/>
      <c r="F1420" s="423"/>
    </row>
    <row r="1421" spans="2:6" ht="18" x14ac:dyDescent="0.35">
      <c r="B1421" s="421"/>
      <c r="C1421" s="422"/>
      <c r="D1421" s="422"/>
      <c r="E1421" s="422"/>
      <c r="F1421" s="423"/>
    </row>
    <row r="1422" spans="2:6" ht="18" x14ac:dyDescent="0.35">
      <c r="B1422" s="421"/>
      <c r="C1422" s="422"/>
      <c r="D1422" s="422"/>
      <c r="E1422" s="422"/>
      <c r="F1422" s="423"/>
    </row>
    <row r="1423" spans="2:6" ht="18" x14ac:dyDescent="0.35">
      <c r="B1423" s="421"/>
      <c r="C1423" s="422"/>
      <c r="D1423" s="422"/>
      <c r="E1423" s="422"/>
      <c r="F1423" s="423"/>
    </row>
    <row r="1424" spans="2:6" ht="18" x14ac:dyDescent="0.35">
      <c r="B1424" s="421"/>
      <c r="C1424" s="422"/>
      <c r="D1424" s="422"/>
      <c r="E1424" s="422"/>
      <c r="F1424" s="423"/>
    </row>
    <row r="1425" spans="2:6" ht="18" x14ac:dyDescent="0.35">
      <c r="B1425" s="421"/>
      <c r="C1425" s="422"/>
      <c r="D1425" s="422"/>
      <c r="E1425" s="422"/>
      <c r="F1425" s="423"/>
    </row>
    <row r="1426" spans="2:6" ht="18" x14ac:dyDescent="0.35">
      <c r="B1426" s="421"/>
      <c r="C1426" s="422"/>
      <c r="D1426" s="422"/>
      <c r="E1426" s="422"/>
      <c r="F1426" s="423"/>
    </row>
    <row r="1427" spans="2:6" ht="18" x14ac:dyDescent="0.35">
      <c r="B1427" s="421"/>
      <c r="C1427" s="422"/>
      <c r="D1427" s="422"/>
      <c r="E1427" s="422"/>
      <c r="F1427" s="423"/>
    </row>
    <row r="1428" spans="2:6" ht="18" x14ac:dyDescent="0.35">
      <c r="B1428" s="421"/>
      <c r="C1428" s="422"/>
      <c r="D1428" s="422"/>
      <c r="E1428" s="422"/>
      <c r="F1428" s="423"/>
    </row>
    <row r="1429" spans="2:6" ht="18" x14ac:dyDescent="0.35">
      <c r="B1429" s="421"/>
      <c r="C1429" s="422"/>
      <c r="D1429" s="422"/>
      <c r="E1429" s="422"/>
      <c r="F1429" s="423"/>
    </row>
    <row r="1430" spans="2:6" ht="18" x14ac:dyDescent="0.35">
      <c r="B1430" s="421"/>
      <c r="C1430" s="422"/>
      <c r="D1430" s="422"/>
      <c r="E1430" s="422"/>
      <c r="F1430" s="423"/>
    </row>
    <row r="1431" spans="2:6" ht="18" x14ac:dyDescent="0.35">
      <c r="B1431" s="421"/>
      <c r="C1431" s="422"/>
      <c r="D1431" s="422"/>
      <c r="E1431" s="422"/>
      <c r="F1431" s="423"/>
    </row>
    <row r="1432" spans="2:6" ht="18" x14ac:dyDescent="0.35">
      <c r="B1432" s="421"/>
      <c r="C1432" s="422"/>
      <c r="D1432" s="422"/>
      <c r="E1432" s="422"/>
      <c r="F1432" s="423"/>
    </row>
    <row r="1433" spans="2:6" ht="18" x14ac:dyDescent="0.35">
      <c r="B1433" s="421"/>
      <c r="C1433" s="422"/>
      <c r="D1433" s="422"/>
      <c r="E1433" s="422"/>
      <c r="F1433" s="423"/>
    </row>
    <row r="1434" spans="2:6" ht="18" x14ac:dyDescent="0.35">
      <c r="B1434" s="421"/>
      <c r="C1434" s="422"/>
      <c r="D1434" s="422"/>
      <c r="E1434" s="422"/>
      <c r="F1434" s="423"/>
    </row>
    <row r="1435" spans="2:6" ht="18" x14ac:dyDescent="0.35">
      <c r="B1435" s="421"/>
      <c r="C1435" s="422"/>
      <c r="D1435" s="422"/>
      <c r="E1435" s="422"/>
      <c r="F1435" s="423"/>
    </row>
    <row r="1436" spans="2:6" ht="18" x14ac:dyDescent="0.35">
      <c r="B1436" s="421"/>
      <c r="C1436" s="422"/>
      <c r="D1436" s="422"/>
      <c r="E1436" s="422"/>
      <c r="F1436" s="423"/>
    </row>
    <row r="1437" spans="2:6" ht="18" x14ac:dyDescent="0.35">
      <c r="B1437" s="421"/>
      <c r="C1437" s="422"/>
      <c r="D1437" s="422"/>
      <c r="E1437" s="422"/>
      <c r="F1437" s="423"/>
    </row>
    <row r="1438" spans="2:6" ht="18" x14ac:dyDescent="0.35">
      <c r="B1438" s="421"/>
      <c r="C1438" s="422"/>
      <c r="D1438" s="422"/>
      <c r="E1438" s="422"/>
      <c r="F1438" s="423"/>
    </row>
    <row r="1439" spans="2:6" ht="18" x14ac:dyDescent="0.35">
      <c r="B1439" s="421"/>
      <c r="C1439" s="422"/>
      <c r="D1439" s="422"/>
      <c r="E1439" s="422"/>
      <c r="F1439" s="423"/>
    </row>
    <row r="1440" spans="2:6" ht="18" x14ac:dyDescent="0.35">
      <c r="B1440" s="421"/>
      <c r="C1440" s="422"/>
      <c r="D1440" s="422"/>
      <c r="E1440" s="422"/>
      <c r="F1440" s="423"/>
    </row>
    <row r="1441" spans="2:6" ht="18" x14ac:dyDescent="0.35">
      <c r="B1441" s="421"/>
      <c r="C1441" s="422"/>
      <c r="D1441" s="422"/>
      <c r="E1441" s="422"/>
      <c r="F1441" s="423"/>
    </row>
    <row r="1442" spans="2:6" ht="18" x14ac:dyDescent="0.35">
      <c r="B1442" s="421"/>
      <c r="C1442" s="422"/>
      <c r="D1442" s="422"/>
      <c r="E1442" s="422"/>
      <c r="F1442" s="423"/>
    </row>
    <row r="1443" spans="2:6" ht="18" x14ac:dyDescent="0.35">
      <c r="B1443" s="421"/>
      <c r="C1443" s="422"/>
      <c r="D1443" s="422"/>
      <c r="E1443" s="422"/>
      <c r="F1443" s="423"/>
    </row>
    <row r="1444" spans="2:6" ht="18" x14ac:dyDescent="0.35">
      <c r="B1444" s="421"/>
      <c r="C1444" s="422"/>
      <c r="D1444" s="422"/>
      <c r="E1444" s="422"/>
      <c r="F1444" s="423"/>
    </row>
    <row r="1445" spans="2:6" ht="18" x14ac:dyDescent="0.35">
      <c r="B1445" s="421"/>
      <c r="C1445" s="422"/>
      <c r="D1445" s="422"/>
      <c r="E1445" s="422"/>
      <c r="F1445" s="423"/>
    </row>
    <row r="1446" spans="2:6" ht="18" x14ac:dyDescent="0.35">
      <c r="B1446" s="421"/>
      <c r="C1446" s="422"/>
      <c r="D1446" s="422"/>
      <c r="E1446" s="422"/>
      <c r="F1446" s="423"/>
    </row>
    <row r="1447" spans="2:6" ht="18" x14ac:dyDescent="0.35">
      <c r="B1447" s="421"/>
      <c r="C1447" s="422"/>
      <c r="D1447" s="422"/>
      <c r="E1447" s="422"/>
      <c r="F1447" s="423"/>
    </row>
    <row r="1448" spans="2:6" ht="18" x14ac:dyDescent="0.35">
      <c r="B1448" s="421"/>
      <c r="C1448" s="422"/>
      <c r="D1448" s="422"/>
      <c r="E1448" s="422"/>
      <c r="F1448" s="423"/>
    </row>
    <row r="1449" spans="2:6" ht="18" x14ac:dyDescent="0.35">
      <c r="B1449" s="421"/>
      <c r="C1449" s="422"/>
      <c r="D1449" s="422"/>
      <c r="E1449" s="422"/>
      <c r="F1449" s="423"/>
    </row>
    <row r="1450" spans="2:6" ht="18" x14ac:dyDescent="0.35">
      <c r="B1450" s="421"/>
      <c r="C1450" s="422"/>
      <c r="D1450" s="422"/>
      <c r="E1450" s="422"/>
      <c r="F1450" s="423"/>
    </row>
    <row r="1451" spans="2:6" ht="18" x14ac:dyDescent="0.35">
      <c r="B1451" s="421"/>
      <c r="C1451" s="422"/>
      <c r="D1451" s="422"/>
      <c r="E1451" s="422"/>
      <c r="F1451" s="423"/>
    </row>
    <row r="1452" spans="2:6" ht="18" x14ac:dyDescent="0.35">
      <c r="B1452" s="421"/>
      <c r="C1452" s="422"/>
      <c r="D1452" s="422"/>
      <c r="E1452" s="422"/>
      <c r="F1452" s="423"/>
    </row>
    <row r="1453" spans="2:6" ht="18" x14ac:dyDescent="0.35">
      <c r="B1453" s="421"/>
      <c r="C1453" s="422"/>
      <c r="D1453" s="422"/>
      <c r="E1453" s="422"/>
      <c r="F1453" s="423"/>
    </row>
    <row r="1454" spans="2:6" ht="18" x14ac:dyDescent="0.35">
      <c r="B1454" s="421"/>
      <c r="C1454" s="422"/>
      <c r="D1454" s="422"/>
      <c r="E1454" s="422"/>
      <c r="F1454" s="423"/>
    </row>
    <row r="1455" spans="2:6" ht="18" x14ac:dyDescent="0.35">
      <c r="B1455" s="421"/>
      <c r="C1455" s="422"/>
      <c r="D1455" s="422"/>
      <c r="E1455" s="422"/>
      <c r="F1455" s="423"/>
    </row>
    <row r="1456" spans="2:6" ht="18" x14ac:dyDescent="0.35">
      <c r="B1456" s="421"/>
      <c r="C1456" s="422"/>
      <c r="D1456" s="422"/>
      <c r="E1456" s="422"/>
      <c r="F1456" s="423"/>
    </row>
    <row r="1457" spans="2:6" ht="18" x14ac:dyDescent="0.35">
      <c r="B1457" s="421"/>
      <c r="C1457" s="422"/>
      <c r="D1457" s="422"/>
      <c r="E1457" s="422"/>
      <c r="F1457" s="423"/>
    </row>
    <row r="1458" spans="2:6" ht="18" x14ac:dyDescent="0.35">
      <c r="B1458" s="421"/>
      <c r="C1458" s="422"/>
      <c r="D1458" s="422"/>
      <c r="E1458" s="422"/>
      <c r="F1458" s="423"/>
    </row>
    <row r="1459" spans="2:6" ht="18" x14ac:dyDescent="0.35">
      <c r="B1459" s="421"/>
      <c r="C1459" s="422"/>
      <c r="D1459" s="422"/>
      <c r="E1459" s="422"/>
      <c r="F1459" s="423"/>
    </row>
    <row r="1460" spans="2:6" ht="18" x14ac:dyDescent="0.35">
      <c r="B1460" s="421"/>
      <c r="C1460" s="422"/>
      <c r="D1460" s="422"/>
      <c r="E1460" s="422"/>
      <c r="F1460" s="423"/>
    </row>
    <row r="1461" spans="2:6" ht="18" x14ac:dyDescent="0.35">
      <c r="B1461" s="421"/>
      <c r="C1461" s="422"/>
      <c r="D1461" s="422"/>
      <c r="E1461" s="422"/>
      <c r="F1461" s="423"/>
    </row>
    <row r="1462" spans="2:6" ht="18" x14ac:dyDescent="0.35">
      <c r="B1462" s="421"/>
      <c r="C1462" s="422"/>
      <c r="D1462" s="422"/>
      <c r="E1462" s="422"/>
      <c r="F1462" s="423"/>
    </row>
    <row r="1463" spans="2:6" ht="18" x14ac:dyDescent="0.35">
      <c r="B1463" s="421"/>
      <c r="C1463" s="422"/>
      <c r="D1463" s="422"/>
      <c r="E1463" s="422"/>
      <c r="F1463" s="423"/>
    </row>
    <row r="1464" spans="2:6" ht="18" x14ac:dyDescent="0.35">
      <c r="B1464" s="421"/>
      <c r="C1464" s="422"/>
      <c r="D1464" s="422"/>
      <c r="E1464" s="422"/>
      <c r="F1464" s="423"/>
    </row>
    <row r="1465" spans="2:6" ht="18" x14ac:dyDescent="0.35">
      <c r="B1465" s="421"/>
      <c r="C1465" s="422"/>
      <c r="D1465" s="422"/>
      <c r="E1465" s="422"/>
      <c r="F1465" s="423"/>
    </row>
    <row r="1466" spans="2:6" ht="18" x14ac:dyDescent="0.35">
      <c r="B1466" s="421"/>
      <c r="C1466" s="422"/>
      <c r="D1466" s="422"/>
      <c r="E1466" s="422"/>
      <c r="F1466" s="423"/>
    </row>
    <row r="1467" spans="2:6" ht="18" x14ac:dyDescent="0.35">
      <c r="B1467" s="421"/>
      <c r="C1467" s="422"/>
      <c r="D1467" s="422"/>
      <c r="E1467" s="422"/>
      <c r="F1467" s="423"/>
    </row>
    <row r="1468" spans="2:6" ht="18" x14ac:dyDescent="0.35">
      <c r="B1468" s="421"/>
      <c r="C1468" s="422"/>
      <c r="D1468" s="422"/>
      <c r="E1468" s="422"/>
      <c r="F1468" s="423"/>
    </row>
    <row r="1469" spans="2:6" ht="18" x14ac:dyDescent="0.35">
      <c r="B1469" s="421"/>
      <c r="C1469" s="422"/>
      <c r="D1469" s="422"/>
      <c r="E1469" s="422"/>
      <c r="F1469" s="423"/>
    </row>
    <row r="1470" spans="2:6" ht="18" x14ac:dyDescent="0.35">
      <c r="B1470" s="421"/>
      <c r="C1470" s="422"/>
      <c r="D1470" s="422"/>
      <c r="E1470" s="422"/>
      <c r="F1470" s="423"/>
    </row>
    <row r="1471" spans="2:6" ht="18" x14ac:dyDescent="0.35">
      <c r="B1471" s="421"/>
      <c r="C1471" s="422"/>
      <c r="D1471" s="422"/>
      <c r="E1471" s="422"/>
      <c r="F1471" s="423"/>
    </row>
    <row r="1472" spans="2:6" ht="18" x14ac:dyDescent="0.35">
      <c r="B1472" s="421"/>
      <c r="C1472" s="422"/>
      <c r="D1472" s="422"/>
      <c r="E1472" s="422"/>
      <c r="F1472" s="423"/>
    </row>
    <row r="1473" spans="2:6" ht="18" x14ac:dyDescent="0.35">
      <c r="B1473" s="421"/>
      <c r="C1473" s="422"/>
      <c r="D1473" s="422"/>
      <c r="E1473" s="422"/>
      <c r="F1473" s="423"/>
    </row>
    <row r="1474" spans="2:6" ht="18" x14ac:dyDescent="0.35">
      <c r="B1474" s="421"/>
      <c r="C1474" s="422"/>
      <c r="D1474" s="422"/>
      <c r="E1474" s="422"/>
      <c r="F1474" s="423"/>
    </row>
    <row r="1475" spans="2:6" ht="18" x14ac:dyDescent="0.35">
      <c r="B1475" s="421"/>
      <c r="C1475" s="422"/>
      <c r="D1475" s="422"/>
      <c r="E1475" s="422"/>
      <c r="F1475" s="423"/>
    </row>
    <row r="1476" spans="2:6" ht="18" x14ac:dyDescent="0.35">
      <c r="B1476" s="421"/>
      <c r="C1476" s="422"/>
      <c r="D1476" s="422"/>
      <c r="E1476" s="422"/>
      <c r="F1476" s="423"/>
    </row>
    <row r="1477" spans="2:6" ht="18" x14ac:dyDescent="0.35">
      <c r="B1477" s="421"/>
      <c r="C1477" s="422"/>
      <c r="D1477" s="422"/>
      <c r="E1477" s="422"/>
      <c r="F1477" s="423"/>
    </row>
    <row r="1478" spans="2:6" ht="18" x14ac:dyDescent="0.35">
      <c r="B1478" s="421"/>
      <c r="C1478" s="422"/>
      <c r="D1478" s="422"/>
      <c r="E1478" s="422"/>
      <c r="F1478" s="423"/>
    </row>
    <row r="1479" spans="2:6" ht="18" x14ac:dyDescent="0.35">
      <c r="B1479" s="421"/>
      <c r="C1479" s="422"/>
      <c r="D1479" s="422"/>
      <c r="E1479" s="422"/>
      <c r="F1479" s="423"/>
    </row>
    <row r="1480" spans="2:6" ht="18" x14ac:dyDescent="0.35">
      <c r="B1480" s="421"/>
      <c r="C1480" s="422"/>
      <c r="D1480" s="422"/>
      <c r="E1480" s="422"/>
      <c r="F1480" s="423"/>
    </row>
    <row r="1481" spans="2:6" ht="18" x14ac:dyDescent="0.35">
      <c r="B1481" s="421"/>
      <c r="C1481" s="422"/>
      <c r="D1481" s="422"/>
      <c r="E1481" s="422"/>
      <c r="F1481" s="423"/>
    </row>
    <row r="1482" spans="2:6" ht="18" x14ac:dyDescent="0.35">
      <c r="B1482" s="421"/>
      <c r="C1482" s="422"/>
      <c r="D1482" s="422"/>
      <c r="E1482" s="422"/>
      <c r="F1482" s="423"/>
    </row>
    <row r="1483" spans="2:6" ht="18" x14ac:dyDescent="0.35">
      <c r="B1483" s="421"/>
      <c r="C1483" s="422"/>
      <c r="D1483" s="422"/>
      <c r="E1483" s="422"/>
      <c r="F1483" s="423"/>
    </row>
    <row r="1484" spans="2:6" ht="18" x14ac:dyDescent="0.35">
      <c r="B1484" s="421"/>
      <c r="C1484" s="422"/>
      <c r="D1484" s="422"/>
      <c r="E1484" s="422"/>
      <c r="F1484" s="423"/>
    </row>
    <row r="1485" spans="2:6" ht="18" x14ac:dyDescent="0.35">
      <c r="B1485" s="421"/>
      <c r="C1485" s="422"/>
      <c r="D1485" s="422"/>
      <c r="E1485" s="422"/>
      <c r="F1485" s="423"/>
    </row>
    <row r="1486" spans="2:6" ht="18" x14ac:dyDescent="0.35">
      <c r="B1486" s="421"/>
      <c r="C1486" s="422"/>
      <c r="D1486" s="422"/>
      <c r="E1486" s="422"/>
      <c r="F1486" s="423"/>
    </row>
    <row r="1487" spans="2:6" ht="18" x14ac:dyDescent="0.35">
      <c r="B1487" s="421"/>
      <c r="C1487" s="422"/>
      <c r="D1487" s="422"/>
      <c r="E1487" s="422"/>
      <c r="F1487" s="423"/>
    </row>
    <row r="1488" spans="2:6" ht="18" x14ac:dyDescent="0.35">
      <c r="B1488" s="421"/>
      <c r="C1488" s="422"/>
      <c r="D1488" s="422"/>
      <c r="E1488" s="422"/>
      <c r="F1488" s="423"/>
    </row>
    <row r="1489" spans="2:6" ht="18" x14ac:dyDescent="0.35">
      <c r="B1489" s="421"/>
      <c r="C1489" s="422"/>
      <c r="D1489" s="422"/>
      <c r="E1489" s="422"/>
      <c r="F1489" s="423"/>
    </row>
    <row r="1490" spans="2:6" ht="18" x14ac:dyDescent="0.35">
      <c r="B1490" s="421"/>
      <c r="C1490" s="422"/>
      <c r="D1490" s="422"/>
      <c r="E1490" s="422"/>
      <c r="F1490" s="423"/>
    </row>
    <row r="1491" spans="2:6" ht="18" x14ac:dyDescent="0.35">
      <c r="B1491" s="421"/>
      <c r="C1491" s="422"/>
      <c r="D1491" s="422"/>
      <c r="E1491" s="422"/>
      <c r="F1491" s="423"/>
    </row>
    <row r="1492" spans="2:6" ht="18" x14ac:dyDescent="0.35">
      <c r="B1492" s="421"/>
      <c r="C1492" s="422"/>
      <c r="D1492" s="422"/>
      <c r="E1492" s="422"/>
      <c r="F1492" s="423"/>
    </row>
    <row r="1493" spans="2:6" ht="18" x14ac:dyDescent="0.35">
      <c r="B1493" s="421"/>
      <c r="C1493" s="422"/>
      <c r="D1493" s="422"/>
      <c r="E1493" s="422"/>
      <c r="F1493" s="423"/>
    </row>
    <row r="1494" spans="2:6" ht="18" x14ac:dyDescent="0.35">
      <c r="B1494" s="421"/>
      <c r="C1494" s="422"/>
      <c r="D1494" s="422"/>
      <c r="E1494" s="422"/>
      <c r="F1494" s="423"/>
    </row>
    <row r="1495" spans="2:6" ht="18" x14ac:dyDescent="0.35">
      <c r="B1495" s="421"/>
      <c r="C1495" s="422"/>
      <c r="D1495" s="422"/>
      <c r="E1495" s="422"/>
      <c r="F1495" s="423"/>
    </row>
    <row r="1496" spans="2:6" ht="18" x14ac:dyDescent="0.35">
      <c r="B1496" s="421"/>
      <c r="C1496" s="422"/>
      <c r="D1496" s="422"/>
      <c r="E1496" s="422"/>
      <c r="F1496" s="423"/>
    </row>
    <row r="1497" spans="2:6" ht="18" x14ac:dyDescent="0.35">
      <c r="B1497" s="421"/>
      <c r="C1497" s="422"/>
      <c r="D1497" s="422"/>
      <c r="E1497" s="422"/>
      <c r="F1497" s="423"/>
    </row>
    <row r="1498" spans="2:6" ht="18" x14ac:dyDescent="0.35">
      <c r="B1498" s="421"/>
      <c r="C1498" s="422"/>
      <c r="D1498" s="422"/>
      <c r="E1498" s="422"/>
      <c r="F1498" s="423"/>
    </row>
    <row r="1499" spans="2:6" ht="18" x14ac:dyDescent="0.35">
      <c r="B1499" s="421"/>
      <c r="C1499" s="422"/>
      <c r="D1499" s="422"/>
      <c r="E1499" s="422"/>
      <c r="F1499" s="423"/>
    </row>
    <row r="1500" spans="2:6" ht="18" x14ac:dyDescent="0.35">
      <c r="B1500" s="421"/>
      <c r="C1500" s="422"/>
      <c r="D1500" s="422"/>
      <c r="E1500" s="422"/>
      <c r="F1500" s="423"/>
    </row>
    <row r="1501" spans="2:6" ht="18" x14ac:dyDescent="0.35">
      <c r="B1501" s="421"/>
      <c r="C1501" s="422"/>
      <c r="D1501" s="422"/>
      <c r="E1501" s="422"/>
      <c r="F1501" s="423"/>
    </row>
    <row r="1502" spans="2:6" ht="18" x14ac:dyDescent="0.35">
      <c r="B1502" s="421"/>
      <c r="C1502" s="422"/>
      <c r="D1502" s="422"/>
      <c r="E1502" s="422"/>
      <c r="F1502" s="423"/>
    </row>
    <row r="1503" spans="2:6" ht="18" x14ac:dyDescent="0.35">
      <c r="B1503" s="421"/>
      <c r="C1503" s="422"/>
      <c r="D1503" s="422"/>
      <c r="E1503" s="422"/>
      <c r="F1503" s="423"/>
    </row>
    <row r="1504" spans="2:6" ht="18" x14ac:dyDescent="0.35">
      <c r="B1504" s="421"/>
      <c r="C1504" s="422"/>
      <c r="D1504" s="422"/>
      <c r="E1504" s="422"/>
      <c r="F1504" s="423"/>
    </row>
    <row r="1505" spans="2:6" ht="18" x14ac:dyDescent="0.35">
      <c r="B1505" s="421"/>
      <c r="C1505" s="422"/>
      <c r="D1505" s="422"/>
      <c r="E1505" s="422"/>
      <c r="F1505" s="423"/>
    </row>
    <row r="1506" spans="2:6" ht="18" x14ac:dyDescent="0.35">
      <c r="B1506" s="421"/>
      <c r="C1506" s="422"/>
      <c r="D1506" s="422"/>
      <c r="E1506" s="422"/>
      <c r="F1506" s="423"/>
    </row>
    <row r="1507" spans="2:6" ht="18" x14ac:dyDescent="0.35">
      <c r="B1507" s="421"/>
      <c r="C1507" s="422"/>
      <c r="D1507" s="422"/>
      <c r="E1507" s="422"/>
      <c r="F1507" s="423"/>
    </row>
    <row r="1508" spans="2:6" ht="18" x14ac:dyDescent="0.35">
      <c r="B1508" s="421"/>
      <c r="C1508" s="422"/>
      <c r="D1508" s="422"/>
      <c r="E1508" s="422"/>
      <c r="F1508" s="423"/>
    </row>
    <row r="1509" spans="2:6" ht="18" x14ac:dyDescent="0.35">
      <c r="B1509" s="421"/>
      <c r="C1509" s="422"/>
      <c r="D1509" s="422"/>
      <c r="E1509" s="422"/>
      <c r="F1509" s="423"/>
    </row>
    <row r="1510" spans="2:6" ht="18" x14ac:dyDescent="0.35">
      <c r="B1510" s="421"/>
      <c r="C1510" s="422"/>
      <c r="D1510" s="422"/>
      <c r="E1510" s="422"/>
      <c r="F1510" s="423"/>
    </row>
    <row r="1511" spans="2:6" ht="18" x14ac:dyDescent="0.35">
      <c r="B1511" s="421"/>
      <c r="C1511" s="422"/>
      <c r="D1511" s="422"/>
      <c r="E1511" s="422"/>
      <c r="F1511" s="423"/>
    </row>
    <row r="1512" spans="2:6" ht="18" x14ac:dyDescent="0.35">
      <c r="B1512" s="421"/>
      <c r="C1512" s="422"/>
      <c r="D1512" s="422"/>
      <c r="E1512" s="422"/>
      <c r="F1512" s="423"/>
    </row>
    <row r="1513" spans="2:6" ht="18" x14ac:dyDescent="0.35">
      <c r="B1513" s="421"/>
      <c r="C1513" s="422"/>
      <c r="D1513" s="422"/>
      <c r="E1513" s="422"/>
      <c r="F1513" s="423"/>
    </row>
    <row r="1514" spans="2:6" ht="18" x14ac:dyDescent="0.35">
      <c r="B1514" s="421"/>
      <c r="C1514" s="422"/>
      <c r="D1514" s="422"/>
      <c r="E1514" s="422"/>
      <c r="F1514" s="423"/>
    </row>
    <row r="1515" spans="2:6" ht="18" x14ac:dyDescent="0.35">
      <c r="B1515" s="421"/>
      <c r="C1515" s="422"/>
      <c r="D1515" s="422"/>
      <c r="E1515" s="422"/>
      <c r="F1515" s="423"/>
    </row>
    <row r="1516" spans="2:6" ht="18" x14ac:dyDescent="0.35">
      <c r="B1516" s="421"/>
      <c r="C1516" s="422"/>
      <c r="D1516" s="422"/>
      <c r="E1516" s="422"/>
      <c r="F1516" s="423"/>
    </row>
    <row r="1517" spans="2:6" ht="18" x14ac:dyDescent="0.35">
      <c r="B1517" s="421"/>
      <c r="C1517" s="422"/>
      <c r="D1517" s="422"/>
      <c r="E1517" s="422"/>
      <c r="F1517" s="423"/>
    </row>
    <row r="1518" spans="2:6" ht="18" x14ac:dyDescent="0.35">
      <c r="B1518" s="421"/>
      <c r="C1518" s="422"/>
      <c r="D1518" s="422"/>
      <c r="E1518" s="422"/>
      <c r="F1518" s="423"/>
    </row>
    <row r="1519" spans="2:6" ht="18" x14ac:dyDescent="0.35">
      <c r="B1519" s="421"/>
      <c r="C1519" s="422"/>
      <c r="D1519" s="422"/>
      <c r="E1519" s="422"/>
      <c r="F1519" s="423"/>
    </row>
    <row r="1520" spans="2:6" ht="18" x14ac:dyDescent="0.35">
      <c r="B1520" s="421"/>
      <c r="C1520" s="422"/>
      <c r="D1520" s="422"/>
      <c r="E1520" s="422"/>
      <c r="F1520" s="423"/>
    </row>
    <row r="1521" spans="2:6" ht="18" x14ac:dyDescent="0.35">
      <c r="B1521" s="421"/>
      <c r="C1521" s="422"/>
      <c r="D1521" s="422"/>
      <c r="E1521" s="422"/>
      <c r="F1521" s="423"/>
    </row>
    <row r="1522" spans="2:6" ht="18" x14ac:dyDescent="0.35">
      <c r="B1522" s="421"/>
      <c r="C1522" s="422"/>
      <c r="D1522" s="422"/>
      <c r="E1522" s="422"/>
      <c r="F1522" s="423"/>
    </row>
    <row r="1523" spans="2:6" ht="18" x14ac:dyDescent="0.35">
      <c r="B1523" s="421"/>
      <c r="C1523" s="422"/>
      <c r="D1523" s="422"/>
      <c r="E1523" s="422"/>
      <c r="F1523" s="423"/>
    </row>
    <row r="1524" spans="2:6" ht="18" x14ac:dyDescent="0.35">
      <c r="B1524" s="421"/>
      <c r="C1524" s="422"/>
      <c r="D1524" s="422"/>
      <c r="E1524" s="422"/>
      <c r="F1524" s="423"/>
    </row>
    <row r="1525" spans="2:6" ht="18" x14ac:dyDescent="0.35">
      <c r="B1525" s="421"/>
      <c r="C1525" s="422"/>
      <c r="D1525" s="422"/>
      <c r="E1525" s="422"/>
      <c r="F1525" s="423"/>
    </row>
    <row r="1526" spans="2:6" ht="18" x14ac:dyDescent="0.35">
      <c r="B1526" s="421"/>
      <c r="C1526" s="422"/>
      <c r="D1526" s="422"/>
      <c r="E1526" s="422"/>
      <c r="F1526" s="423"/>
    </row>
    <row r="1527" spans="2:6" ht="18" x14ac:dyDescent="0.35">
      <c r="B1527" s="421"/>
      <c r="C1527" s="422"/>
      <c r="D1527" s="422"/>
      <c r="E1527" s="422"/>
      <c r="F1527" s="423"/>
    </row>
    <row r="1528" spans="2:6" ht="18" x14ac:dyDescent="0.35">
      <c r="B1528" s="421"/>
      <c r="C1528" s="422"/>
      <c r="D1528" s="422"/>
      <c r="E1528" s="422"/>
      <c r="F1528" s="423"/>
    </row>
    <row r="1529" spans="2:6" ht="18" x14ac:dyDescent="0.35">
      <c r="B1529" s="421"/>
      <c r="C1529" s="422"/>
      <c r="D1529" s="422"/>
      <c r="E1529" s="422"/>
      <c r="F1529" s="423"/>
    </row>
    <row r="1530" spans="2:6" ht="18" x14ac:dyDescent="0.35">
      <c r="B1530" s="421"/>
      <c r="C1530" s="422"/>
      <c r="D1530" s="422"/>
      <c r="E1530" s="422"/>
      <c r="F1530" s="423"/>
    </row>
    <row r="1531" spans="2:6" ht="18" x14ac:dyDescent="0.35">
      <c r="B1531" s="421"/>
      <c r="C1531" s="422"/>
      <c r="D1531" s="422"/>
      <c r="E1531" s="422"/>
      <c r="F1531" s="423"/>
    </row>
    <row r="1532" spans="2:6" ht="18" x14ac:dyDescent="0.35">
      <c r="B1532" s="421"/>
      <c r="C1532" s="422"/>
      <c r="D1532" s="422"/>
      <c r="E1532" s="422"/>
      <c r="F1532" s="423"/>
    </row>
    <row r="1533" spans="2:6" ht="18" x14ac:dyDescent="0.35">
      <c r="B1533" s="421"/>
      <c r="C1533" s="422"/>
      <c r="D1533" s="422"/>
      <c r="E1533" s="422"/>
      <c r="F1533" s="423"/>
    </row>
    <row r="1534" spans="2:6" ht="18" x14ac:dyDescent="0.35">
      <c r="B1534" s="421"/>
      <c r="C1534" s="422"/>
      <c r="D1534" s="422"/>
      <c r="E1534" s="422"/>
      <c r="F1534" s="423"/>
    </row>
    <row r="1535" spans="2:6" ht="18" x14ac:dyDescent="0.35">
      <c r="B1535" s="421"/>
      <c r="C1535" s="422"/>
      <c r="D1535" s="422"/>
      <c r="E1535" s="422"/>
      <c r="F1535" s="423"/>
    </row>
    <row r="1536" spans="2:6" ht="18" x14ac:dyDescent="0.35">
      <c r="B1536" s="421"/>
      <c r="C1536" s="422"/>
      <c r="D1536" s="422"/>
      <c r="E1536" s="422"/>
      <c r="F1536" s="423"/>
    </row>
    <row r="1537" spans="2:6" ht="18" x14ac:dyDescent="0.35">
      <c r="B1537" s="421"/>
      <c r="C1537" s="422"/>
      <c r="D1537" s="422"/>
      <c r="E1537" s="422"/>
      <c r="F1537" s="423"/>
    </row>
    <row r="1538" spans="2:6" ht="18" x14ac:dyDescent="0.35">
      <c r="B1538" s="421"/>
      <c r="C1538" s="422"/>
      <c r="D1538" s="422"/>
      <c r="E1538" s="422"/>
      <c r="F1538" s="423"/>
    </row>
    <row r="1539" spans="2:6" ht="18" x14ac:dyDescent="0.35">
      <c r="B1539" s="421"/>
      <c r="C1539" s="422"/>
      <c r="D1539" s="422"/>
      <c r="E1539" s="422"/>
      <c r="F1539" s="423"/>
    </row>
    <row r="1540" spans="2:6" ht="18" x14ac:dyDescent="0.35">
      <c r="B1540" s="421"/>
      <c r="C1540" s="422"/>
      <c r="D1540" s="422"/>
      <c r="E1540" s="422"/>
      <c r="F1540" s="423"/>
    </row>
    <row r="1541" spans="2:6" ht="18" x14ac:dyDescent="0.35">
      <c r="B1541" s="421"/>
      <c r="C1541" s="422"/>
      <c r="D1541" s="422"/>
      <c r="E1541" s="422"/>
      <c r="F1541" s="423"/>
    </row>
    <row r="1542" spans="2:6" ht="18" x14ac:dyDescent="0.35">
      <c r="B1542" s="421"/>
      <c r="C1542" s="422"/>
      <c r="D1542" s="422"/>
      <c r="E1542" s="422"/>
      <c r="F1542" s="423"/>
    </row>
    <row r="1543" spans="2:6" ht="18" x14ac:dyDescent="0.35">
      <c r="B1543" s="421"/>
      <c r="C1543" s="422"/>
      <c r="D1543" s="422"/>
      <c r="E1543" s="422"/>
      <c r="F1543" s="423"/>
    </row>
    <row r="1544" spans="2:6" ht="18" x14ac:dyDescent="0.35">
      <c r="B1544" s="421"/>
      <c r="C1544" s="422"/>
      <c r="D1544" s="422"/>
      <c r="E1544" s="422"/>
      <c r="F1544" s="423"/>
    </row>
    <row r="1545" spans="2:6" ht="18" x14ac:dyDescent="0.35">
      <c r="B1545" s="421"/>
      <c r="C1545" s="422"/>
      <c r="D1545" s="422"/>
      <c r="E1545" s="422"/>
      <c r="F1545" s="423"/>
    </row>
    <row r="1546" spans="2:6" ht="18" x14ac:dyDescent="0.35">
      <c r="B1546" s="421"/>
      <c r="C1546" s="422"/>
      <c r="D1546" s="422"/>
      <c r="E1546" s="422"/>
      <c r="F1546" s="423"/>
    </row>
    <row r="1547" spans="2:6" ht="18" x14ac:dyDescent="0.35">
      <c r="B1547" s="421"/>
      <c r="C1547" s="422"/>
      <c r="D1547" s="422"/>
      <c r="E1547" s="422"/>
      <c r="F1547" s="423"/>
    </row>
    <row r="1548" spans="2:6" ht="18" x14ac:dyDescent="0.35">
      <c r="B1548" s="421"/>
      <c r="C1548" s="422"/>
      <c r="D1548" s="422"/>
      <c r="E1548" s="422"/>
      <c r="F1548" s="423"/>
    </row>
    <row r="1549" spans="2:6" ht="18" x14ac:dyDescent="0.35">
      <c r="B1549" s="421"/>
      <c r="C1549" s="422"/>
      <c r="D1549" s="422"/>
      <c r="E1549" s="422"/>
      <c r="F1549" s="423"/>
    </row>
    <row r="1550" spans="2:6" ht="18" x14ac:dyDescent="0.35">
      <c r="B1550" s="421"/>
      <c r="C1550" s="422"/>
      <c r="D1550" s="422"/>
      <c r="E1550" s="422"/>
      <c r="F1550" s="423"/>
    </row>
    <row r="1551" spans="2:6" ht="18" x14ac:dyDescent="0.35">
      <c r="B1551" s="421"/>
      <c r="C1551" s="422"/>
      <c r="D1551" s="422"/>
      <c r="E1551" s="422"/>
      <c r="F1551" s="423"/>
    </row>
    <row r="1552" spans="2:6" ht="18" x14ac:dyDescent="0.35">
      <c r="B1552" s="421"/>
      <c r="C1552" s="422"/>
      <c r="D1552" s="422"/>
      <c r="E1552" s="422"/>
      <c r="F1552" s="423"/>
    </row>
    <row r="1553" spans="2:6" ht="18" x14ac:dyDescent="0.35">
      <c r="B1553" s="421"/>
      <c r="C1553" s="422"/>
      <c r="D1553" s="422"/>
      <c r="E1553" s="422"/>
      <c r="F1553" s="423"/>
    </row>
    <row r="1554" spans="2:6" ht="18" x14ac:dyDescent="0.35">
      <c r="B1554" s="421"/>
      <c r="C1554" s="422"/>
      <c r="D1554" s="422"/>
      <c r="E1554" s="422"/>
      <c r="F1554" s="423"/>
    </row>
    <row r="1555" spans="2:6" ht="18" x14ac:dyDescent="0.35">
      <c r="B1555" s="421"/>
      <c r="C1555" s="422"/>
      <c r="D1555" s="422"/>
      <c r="E1555" s="422"/>
      <c r="F1555" s="423"/>
    </row>
    <row r="1556" spans="2:6" ht="18" x14ac:dyDescent="0.35">
      <c r="B1556" s="421"/>
      <c r="C1556" s="422"/>
      <c r="D1556" s="422"/>
      <c r="E1556" s="422"/>
      <c r="F1556" s="423"/>
    </row>
    <row r="1557" spans="2:6" ht="18" x14ac:dyDescent="0.35">
      <c r="B1557" s="421"/>
      <c r="C1557" s="422"/>
      <c r="D1557" s="422"/>
      <c r="E1557" s="422"/>
      <c r="F1557" s="423"/>
    </row>
    <row r="1558" spans="2:6" ht="18" x14ac:dyDescent="0.35">
      <c r="B1558" s="421"/>
      <c r="C1558" s="422"/>
      <c r="D1558" s="422"/>
      <c r="E1558" s="422"/>
      <c r="F1558" s="423"/>
    </row>
    <row r="1559" spans="2:6" ht="18" x14ac:dyDescent="0.35">
      <c r="B1559" s="421"/>
      <c r="C1559" s="422"/>
      <c r="D1559" s="422"/>
      <c r="E1559" s="422"/>
      <c r="F1559" s="423"/>
    </row>
    <row r="1560" spans="2:6" ht="18" x14ac:dyDescent="0.35">
      <c r="B1560" s="421"/>
      <c r="C1560" s="422"/>
      <c r="D1560" s="422"/>
      <c r="E1560" s="422"/>
      <c r="F1560" s="423"/>
    </row>
    <row r="1561" spans="2:6" ht="18" x14ac:dyDescent="0.35">
      <c r="B1561" s="421"/>
      <c r="C1561" s="422"/>
      <c r="D1561" s="422"/>
      <c r="E1561" s="422"/>
      <c r="F1561" s="423"/>
    </row>
    <row r="1562" spans="2:6" ht="18" x14ac:dyDescent="0.35">
      <c r="B1562" s="421"/>
      <c r="C1562" s="422"/>
      <c r="D1562" s="422"/>
      <c r="E1562" s="422"/>
      <c r="F1562" s="423"/>
    </row>
    <row r="1563" spans="2:6" ht="18" x14ac:dyDescent="0.35">
      <c r="B1563" s="421"/>
      <c r="C1563" s="422"/>
      <c r="D1563" s="422"/>
      <c r="E1563" s="422"/>
      <c r="F1563" s="423"/>
    </row>
    <row r="1564" spans="2:6" ht="18" x14ac:dyDescent="0.35">
      <c r="B1564" s="421"/>
      <c r="C1564" s="422"/>
      <c r="D1564" s="422"/>
      <c r="E1564" s="422"/>
      <c r="F1564" s="423"/>
    </row>
    <row r="1565" spans="2:6" ht="18" x14ac:dyDescent="0.35">
      <c r="B1565" s="421"/>
      <c r="C1565" s="422"/>
      <c r="D1565" s="422"/>
      <c r="E1565" s="422"/>
      <c r="F1565" s="423"/>
    </row>
    <row r="1566" spans="2:6" ht="18" x14ac:dyDescent="0.35">
      <c r="B1566" s="421"/>
      <c r="C1566" s="422"/>
      <c r="D1566" s="422"/>
      <c r="E1566" s="422"/>
      <c r="F1566" s="423"/>
    </row>
    <row r="1567" spans="2:6" ht="18" x14ac:dyDescent="0.35">
      <c r="B1567" s="421"/>
      <c r="C1567" s="422"/>
      <c r="D1567" s="422"/>
      <c r="E1567" s="422"/>
      <c r="F1567" s="423"/>
    </row>
    <row r="1568" spans="2:6" ht="18" x14ac:dyDescent="0.35">
      <c r="B1568" s="421"/>
      <c r="C1568" s="422"/>
      <c r="D1568" s="422"/>
      <c r="E1568" s="422"/>
      <c r="F1568" s="423"/>
    </row>
    <row r="1569" spans="2:6" ht="18" x14ac:dyDescent="0.35">
      <c r="B1569" s="421"/>
      <c r="C1569" s="422"/>
      <c r="D1569" s="422"/>
      <c r="E1569" s="422"/>
      <c r="F1569" s="423"/>
    </row>
    <row r="1570" spans="2:6" ht="18" x14ac:dyDescent="0.35">
      <c r="B1570" s="421"/>
      <c r="C1570" s="422"/>
      <c r="D1570" s="422"/>
      <c r="E1570" s="422"/>
      <c r="F1570" s="423"/>
    </row>
    <row r="1571" spans="2:6" ht="18" x14ac:dyDescent="0.35">
      <c r="B1571" s="421"/>
      <c r="C1571" s="422"/>
      <c r="D1571" s="422"/>
      <c r="E1571" s="422"/>
      <c r="F1571" s="423"/>
    </row>
    <row r="1572" spans="2:6" ht="18" x14ac:dyDescent="0.35">
      <c r="B1572" s="421"/>
      <c r="C1572" s="422"/>
      <c r="D1572" s="422"/>
      <c r="E1572" s="422"/>
      <c r="F1572" s="423"/>
    </row>
    <row r="1573" spans="2:6" ht="18" x14ac:dyDescent="0.35">
      <c r="B1573" s="421"/>
      <c r="C1573" s="422"/>
      <c r="D1573" s="422"/>
      <c r="E1573" s="422"/>
      <c r="F1573" s="423"/>
    </row>
    <row r="1574" spans="2:6" ht="18" x14ac:dyDescent="0.35">
      <c r="B1574" s="421"/>
      <c r="C1574" s="422"/>
      <c r="D1574" s="422"/>
      <c r="E1574" s="422"/>
      <c r="F1574" s="423"/>
    </row>
    <row r="1575" spans="2:6" ht="18" x14ac:dyDescent="0.35">
      <c r="B1575" s="421"/>
      <c r="C1575" s="422"/>
      <c r="D1575" s="422"/>
      <c r="E1575" s="422"/>
      <c r="F1575" s="423"/>
    </row>
    <row r="1576" spans="2:6" ht="18" x14ac:dyDescent="0.35">
      <c r="B1576" s="421"/>
      <c r="C1576" s="422"/>
      <c r="D1576" s="422"/>
      <c r="E1576" s="422"/>
      <c r="F1576" s="423"/>
    </row>
    <row r="1577" spans="2:6" ht="18" x14ac:dyDescent="0.35">
      <c r="B1577" s="421"/>
      <c r="C1577" s="422"/>
      <c r="D1577" s="422"/>
      <c r="E1577" s="422"/>
      <c r="F1577" s="423"/>
    </row>
    <row r="1578" spans="2:6" ht="18" x14ac:dyDescent="0.35">
      <c r="B1578" s="421"/>
      <c r="C1578" s="422"/>
      <c r="D1578" s="422"/>
      <c r="E1578" s="422"/>
      <c r="F1578" s="423"/>
    </row>
    <row r="1579" spans="2:6" ht="18" x14ac:dyDescent="0.35">
      <c r="B1579" s="421"/>
      <c r="C1579" s="422"/>
      <c r="D1579" s="422"/>
      <c r="E1579" s="422"/>
      <c r="F1579" s="423"/>
    </row>
    <row r="1580" spans="2:6" ht="18" x14ac:dyDescent="0.35">
      <c r="B1580" s="421"/>
      <c r="C1580" s="422"/>
      <c r="D1580" s="422"/>
      <c r="E1580" s="422"/>
      <c r="F1580" s="423"/>
    </row>
    <row r="1581" spans="2:6" ht="18" x14ac:dyDescent="0.35">
      <c r="B1581" s="421"/>
      <c r="C1581" s="422"/>
      <c r="D1581" s="422"/>
      <c r="E1581" s="422"/>
      <c r="F1581" s="423"/>
    </row>
    <row r="1582" spans="2:6" ht="18" x14ac:dyDescent="0.35">
      <c r="B1582" s="421"/>
      <c r="C1582" s="422"/>
      <c r="D1582" s="422"/>
      <c r="E1582" s="422"/>
      <c r="F1582" s="423"/>
    </row>
    <row r="1583" spans="2:6" ht="18" x14ac:dyDescent="0.35">
      <c r="B1583" s="421"/>
      <c r="C1583" s="422"/>
      <c r="D1583" s="422"/>
      <c r="E1583" s="422"/>
      <c r="F1583" s="423"/>
    </row>
    <row r="1584" spans="2:6" ht="18" x14ac:dyDescent="0.35">
      <c r="B1584" s="421"/>
      <c r="C1584" s="422"/>
      <c r="D1584" s="422"/>
      <c r="E1584" s="422"/>
      <c r="F1584" s="423"/>
    </row>
    <row r="1585" spans="2:6" ht="18" x14ac:dyDescent="0.35">
      <c r="B1585" s="421"/>
      <c r="C1585" s="422"/>
      <c r="D1585" s="422"/>
      <c r="E1585" s="422"/>
      <c r="F1585" s="423"/>
    </row>
    <row r="1586" spans="2:6" ht="18" x14ac:dyDescent="0.35">
      <c r="B1586" s="421"/>
      <c r="C1586" s="422"/>
      <c r="D1586" s="422"/>
      <c r="E1586" s="422"/>
      <c r="F1586" s="423"/>
    </row>
    <row r="1587" spans="2:6" ht="18" x14ac:dyDescent="0.35">
      <c r="B1587" s="421"/>
      <c r="C1587" s="422"/>
      <c r="D1587" s="422"/>
      <c r="E1587" s="422"/>
      <c r="F1587" s="423"/>
    </row>
    <row r="1588" spans="2:6" ht="18" x14ac:dyDescent="0.35">
      <c r="B1588" s="421"/>
      <c r="C1588" s="422"/>
      <c r="D1588" s="422"/>
      <c r="E1588" s="422"/>
      <c r="F1588" s="423"/>
    </row>
    <row r="1589" spans="2:6" ht="18" x14ac:dyDescent="0.35">
      <c r="B1589" s="421"/>
      <c r="C1589" s="422"/>
      <c r="D1589" s="422"/>
      <c r="E1589" s="422"/>
      <c r="F1589" s="423"/>
    </row>
    <row r="1590" spans="2:6" ht="18" x14ac:dyDescent="0.35">
      <c r="B1590" s="421"/>
      <c r="C1590" s="422"/>
      <c r="D1590" s="422"/>
      <c r="E1590" s="422"/>
      <c r="F1590" s="423"/>
    </row>
    <row r="1591" spans="2:6" ht="18" x14ac:dyDescent="0.35">
      <c r="B1591" s="421"/>
      <c r="C1591" s="422"/>
      <c r="D1591" s="422"/>
      <c r="E1591" s="422"/>
      <c r="F1591" s="423"/>
    </row>
    <row r="1592" spans="2:6" ht="18" x14ac:dyDescent="0.35">
      <c r="B1592" s="421"/>
      <c r="C1592" s="422"/>
      <c r="D1592" s="422"/>
      <c r="E1592" s="422"/>
      <c r="F1592" s="423"/>
    </row>
    <row r="1593" spans="2:6" ht="18" x14ac:dyDescent="0.35">
      <c r="B1593" s="421"/>
      <c r="C1593" s="422"/>
      <c r="D1593" s="422"/>
      <c r="E1593" s="422"/>
      <c r="F1593" s="423"/>
    </row>
    <row r="1594" spans="2:6" ht="18" x14ac:dyDescent="0.35">
      <c r="B1594" s="421"/>
      <c r="C1594" s="422"/>
      <c r="D1594" s="422"/>
      <c r="E1594" s="422"/>
      <c r="F1594" s="423"/>
    </row>
    <row r="1595" spans="2:6" ht="18" x14ac:dyDescent="0.35">
      <c r="B1595" s="421"/>
      <c r="C1595" s="422"/>
      <c r="D1595" s="422"/>
      <c r="E1595" s="422"/>
      <c r="F1595" s="423"/>
    </row>
    <row r="1596" spans="2:6" ht="18" x14ac:dyDescent="0.35">
      <c r="B1596" s="421"/>
      <c r="C1596" s="422"/>
      <c r="D1596" s="422"/>
      <c r="E1596" s="422"/>
      <c r="F1596" s="423"/>
    </row>
    <row r="1597" spans="2:6" ht="18" x14ac:dyDescent="0.35">
      <c r="B1597" s="421"/>
      <c r="C1597" s="422"/>
      <c r="D1597" s="422"/>
      <c r="E1597" s="422"/>
      <c r="F1597" s="423"/>
    </row>
    <row r="1598" spans="2:6" ht="18" x14ac:dyDescent="0.35">
      <c r="B1598" s="421"/>
      <c r="C1598" s="422"/>
      <c r="D1598" s="422"/>
      <c r="E1598" s="422"/>
      <c r="F1598" s="423"/>
    </row>
    <row r="1599" spans="2:6" ht="18" x14ac:dyDescent="0.35">
      <c r="B1599" s="421"/>
      <c r="C1599" s="422"/>
      <c r="D1599" s="422"/>
      <c r="E1599" s="422"/>
      <c r="F1599" s="423"/>
    </row>
    <row r="1600" spans="2:6" ht="18" x14ac:dyDescent="0.35">
      <c r="B1600" s="421"/>
      <c r="C1600" s="422"/>
      <c r="D1600" s="422"/>
      <c r="E1600" s="422"/>
      <c r="F1600" s="423"/>
    </row>
    <row r="1601" spans="2:6" ht="18" x14ac:dyDescent="0.35">
      <c r="B1601" s="421"/>
      <c r="C1601" s="422"/>
      <c r="D1601" s="422"/>
      <c r="E1601" s="422"/>
      <c r="F1601" s="423"/>
    </row>
    <row r="1602" spans="2:6" ht="18" x14ac:dyDescent="0.35">
      <c r="B1602" s="421"/>
      <c r="C1602" s="422"/>
      <c r="D1602" s="422"/>
      <c r="E1602" s="422"/>
      <c r="F1602" s="423"/>
    </row>
    <row r="1603" spans="2:6" ht="18" x14ac:dyDescent="0.35">
      <c r="B1603" s="421"/>
      <c r="C1603" s="422"/>
      <c r="D1603" s="422"/>
      <c r="E1603" s="422"/>
      <c r="F1603" s="423"/>
    </row>
    <row r="1604" spans="2:6" ht="18" x14ac:dyDescent="0.35">
      <c r="B1604" s="421"/>
      <c r="C1604" s="422"/>
      <c r="D1604" s="422"/>
      <c r="E1604" s="422"/>
      <c r="F1604" s="423"/>
    </row>
    <row r="1605" spans="2:6" ht="18" x14ac:dyDescent="0.35">
      <c r="B1605" s="421"/>
      <c r="C1605" s="422"/>
      <c r="D1605" s="422"/>
      <c r="E1605" s="422"/>
      <c r="F1605" s="423"/>
    </row>
    <row r="1606" spans="2:6" ht="18" x14ac:dyDescent="0.35">
      <c r="B1606" s="421"/>
      <c r="C1606" s="422"/>
      <c r="D1606" s="422"/>
      <c r="E1606" s="422"/>
      <c r="F1606" s="423"/>
    </row>
    <row r="1607" spans="2:6" ht="18" x14ac:dyDescent="0.35">
      <c r="B1607" s="421"/>
      <c r="C1607" s="422"/>
      <c r="D1607" s="422"/>
      <c r="E1607" s="422"/>
      <c r="F1607" s="423"/>
    </row>
    <row r="1608" spans="2:6" ht="18" x14ac:dyDescent="0.35">
      <c r="B1608" s="421"/>
      <c r="C1608" s="422"/>
      <c r="D1608" s="422"/>
      <c r="E1608" s="422"/>
      <c r="F1608" s="423"/>
    </row>
    <row r="1609" spans="2:6" ht="18" x14ac:dyDescent="0.35">
      <c r="B1609" s="421"/>
      <c r="C1609" s="422"/>
      <c r="D1609" s="422"/>
      <c r="E1609" s="422"/>
      <c r="F1609" s="423"/>
    </row>
    <row r="1610" spans="2:6" ht="18" x14ac:dyDescent="0.35">
      <c r="B1610" s="421"/>
      <c r="C1610" s="422"/>
      <c r="D1610" s="422"/>
      <c r="E1610" s="422"/>
      <c r="F1610" s="423"/>
    </row>
    <row r="1611" spans="2:6" ht="18" x14ac:dyDescent="0.35">
      <c r="B1611" s="421"/>
      <c r="C1611" s="422"/>
      <c r="D1611" s="422"/>
      <c r="E1611" s="422"/>
      <c r="F1611" s="423"/>
    </row>
    <row r="1612" spans="2:6" ht="18" x14ac:dyDescent="0.35">
      <c r="B1612" s="421"/>
      <c r="C1612" s="422"/>
      <c r="D1612" s="422"/>
      <c r="E1612" s="422"/>
      <c r="F1612" s="423"/>
    </row>
    <row r="1613" spans="2:6" ht="18" x14ac:dyDescent="0.35">
      <c r="B1613" s="421"/>
      <c r="C1613" s="422"/>
      <c r="D1613" s="422"/>
      <c r="E1613" s="422"/>
      <c r="F1613" s="423"/>
    </row>
    <row r="1614" spans="2:6" ht="18" x14ac:dyDescent="0.35">
      <c r="B1614" s="421"/>
      <c r="C1614" s="422"/>
      <c r="D1614" s="422"/>
      <c r="E1614" s="422"/>
      <c r="F1614" s="423"/>
    </row>
    <row r="1615" spans="2:6" ht="18" x14ac:dyDescent="0.35">
      <c r="B1615" s="421"/>
      <c r="C1615" s="422"/>
      <c r="D1615" s="422"/>
      <c r="E1615" s="422"/>
      <c r="F1615" s="423"/>
    </row>
    <row r="1616" spans="2:6" ht="18" x14ac:dyDescent="0.35">
      <c r="B1616" s="421"/>
      <c r="C1616" s="422"/>
      <c r="D1616" s="422"/>
      <c r="E1616" s="422"/>
      <c r="F1616" s="423"/>
    </row>
    <row r="1617" spans="2:6" ht="18" x14ac:dyDescent="0.35">
      <c r="B1617" s="421"/>
      <c r="C1617" s="422"/>
      <c r="D1617" s="422"/>
      <c r="E1617" s="422"/>
      <c r="F1617" s="423"/>
    </row>
    <row r="1618" spans="2:6" ht="18" x14ac:dyDescent="0.35">
      <c r="B1618" s="421"/>
      <c r="C1618" s="422"/>
      <c r="D1618" s="422"/>
      <c r="E1618" s="422"/>
      <c r="F1618" s="423"/>
    </row>
    <row r="1619" spans="2:6" ht="18" x14ac:dyDescent="0.35">
      <c r="B1619" s="421"/>
      <c r="C1619" s="422"/>
      <c r="D1619" s="422"/>
      <c r="E1619" s="422"/>
      <c r="F1619" s="423"/>
    </row>
    <row r="1620" spans="2:6" ht="18" x14ac:dyDescent="0.35">
      <c r="B1620" s="421"/>
      <c r="C1620" s="422"/>
      <c r="D1620" s="422"/>
      <c r="E1620" s="422"/>
      <c r="F1620" s="423"/>
    </row>
    <row r="1621" spans="2:6" ht="18" x14ac:dyDescent="0.35">
      <c r="B1621" s="421"/>
      <c r="C1621" s="422"/>
      <c r="D1621" s="422"/>
      <c r="E1621" s="422"/>
      <c r="F1621" s="423"/>
    </row>
    <row r="1622" spans="2:6" ht="18" x14ac:dyDescent="0.35">
      <c r="B1622" s="421"/>
      <c r="C1622" s="422"/>
      <c r="D1622" s="422"/>
      <c r="E1622" s="422"/>
      <c r="F1622" s="423"/>
    </row>
    <row r="1623" spans="2:6" ht="18" x14ac:dyDescent="0.35">
      <c r="B1623" s="421"/>
      <c r="C1623" s="422"/>
      <c r="D1623" s="422"/>
      <c r="E1623" s="422"/>
      <c r="F1623" s="423"/>
    </row>
    <row r="1624" spans="2:6" ht="18" x14ac:dyDescent="0.35">
      <c r="B1624" s="421"/>
      <c r="C1624" s="422"/>
      <c r="D1624" s="422"/>
      <c r="E1624" s="422"/>
      <c r="F1624" s="423"/>
    </row>
    <row r="1625" spans="2:6" ht="18" x14ac:dyDescent="0.35">
      <c r="B1625" s="421"/>
      <c r="C1625" s="422"/>
      <c r="D1625" s="422"/>
      <c r="E1625" s="422"/>
      <c r="F1625" s="423"/>
    </row>
    <row r="1626" spans="2:6" ht="18" x14ac:dyDescent="0.35">
      <c r="B1626" s="421"/>
      <c r="C1626" s="422"/>
      <c r="D1626" s="422"/>
      <c r="E1626" s="422"/>
      <c r="F1626" s="423"/>
    </row>
    <row r="1627" spans="2:6" ht="18" x14ac:dyDescent="0.35">
      <c r="B1627" s="421"/>
      <c r="C1627" s="422"/>
      <c r="D1627" s="422"/>
      <c r="E1627" s="422"/>
      <c r="F1627" s="423"/>
    </row>
    <row r="1628" spans="2:6" ht="18" x14ac:dyDescent="0.35">
      <c r="B1628" s="421"/>
      <c r="C1628" s="422"/>
      <c r="D1628" s="422"/>
      <c r="E1628" s="422"/>
      <c r="F1628" s="423"/>
    </row>
    <row r="1629" spans="2:6" ht="18" x14ac:dyDescent="0.35">
      <c r="B1629" s="421"/>
      <c r="C1629" s="422"/>
      <c r="D1629" s="422"/>
      <c r="E1629" s="422"/>
      <c r="F1629" s="423"/>
    </row>
    <row r="1630" spans="2:6" ht="18" x14ac:dyDescent="0.35">
      <c r="B1630" s="421"/>
      <c r="C1630" s="422"/>
      <c r="D1630" s="422"/>
      <c r="E1630" s="422"/>
      <c r="F1630" s="423"/>
    </row>
    <row r="1631" spans="2:6" ht="18" x14ac:dyDescent="0.35">
      <c r="B1631" s="421"/>
      <c r="C1631" s="422"/>
      <c r="D1631" s="422"/>
      <c r="E1631" s="422"/>
      <c r="F1631" s="423"/>
    </row>
    <row r="1632" spans="2:6" ht="18" x14ac:dyDescent="0.35">
      <c r="B1632" s="421"/>
      <c r="C1632" s="422"/>
      <c r="D1632" s="422"/>
      <c r="E1632" s="422"/>
      <c r="F1632" s="423"/>
    </row>
    <row r="1633" spans="2:6" ht="18" x14ac:dyDescent="0.35">
      <c r="B1633" s="421"/>
      <c r="C1633" s="422"/>
      <c r="D1633" s="422"/>
      <c r="E1633" s="422"/>
      <c r="F1633" s="423"/>
    </row>
    <row r="1634" spans="2:6" ht="18" x14ac:dyDescent="0.35">
      <c r="B1634" s="421"/>
      <c r="C1634" s="422"/>
      <c r="D1634" s="422"/>
      <c r="E1634" s="422"/>
      <c r="F1634" s="423"/>
    </row>
    <row r="1635" spans="2:6" ht="18" x14ac:dyDescent="0.35">
      <c r="B1635" s="421"/>
      <c r="C1635" s="422"/>
      <c r="D1635" s="422"/>
      <c r="E1635" s="422"/>
      <c r="F1635" s="423"/>
    </row>
    <row r="1636" spans="2:6" ht="18" x14ac:dyDescent="0.35">
      <c r="B1636" s="421"/>
      <c r="C1636" s="422"/>
      <c r="D1636" s="422"/>
      <c r="E1636" s="422"/>
      <c r="F1636" s="423"/>
    </row>
    <row r="1637" spans="2:6" ht="18" x14ac:dyDescent="0.35">
      <c r="B1637" s="421"/>
      <c r="C1637" s="422"/>
      <c r="D1637" s="422"/>
      <c r="E1637" s="422"/>
      <c r="F1637" s="423"/>
    </row>
    <row r="1638" spans="2:6" ht="18" x14ac:dyDescent="0.35">
      <c r="B1638" s="421"/>
      <c r="C1638" s="422"/>
      <c r="D1638" s="422"/>
      <c r="E1638" s="422"/>
      <c r="F1638" s="423"/>
    </row>
    <row r="1639" spans="2:6" ht="18" x14ac:dyDescent="0.35">
      <c r="B1639" s="421"/>
      <c r="C1639" s="422"/>
      <c r="D1639" s="422"/>
      <c r="E1639" s="422"/>
      <c r="F1639" s="423"/>
    </row>
    <row r="1640" spans="2:6" ht="18" x14ac:dyDescent="0.35">
      <c r="B1640" s="421"/>
      <c r="C1640" s="422"/>
      <c r="D1640" s="422"/>
      <c r="E1640" s="422"/>
      <c r="F1640" s="423"/>
    </row>
    <row r="1641" spans="2:6" ht="18" x14ac:dyDescent="0.35">
      <c r="B1641" s="421"/>
      <c r="C1641" s="422"/>
      <c r="D1641" s="422"/>
      <c r="E1641" s="422"/>
      <c r="F1641" s="423"/>
    </row>
    <row r="1642" spans="2:6" ht="18" x14ac:dyDescent="0.35">
      <c r="B1642" s="421"/>
      <c r="C1642" s="422"/>
      <c r="D1642" s="422"/>
      <c r="E1642" s="422"/>
      <c r="F1642" s="423"/>
    </row>
    <row r="1643" spans="2:6" ht="18" x14ac:dyDescent="0.35">
      <c r="B1643" s="421"/>
      <c r="C1643" s="422"/>
      <c r="D1643" s="422"/>
      <c r="E1643" s="422"/>
      <c r="F1643" s="423"/>
    </row>
    <row r="1644" spans="2:6" ht="18" x14ac:dyDescent="0.35">
      <c r="B1644" s="421"/>
      <c r="C1644" s="422"/>
      <c r="D1644" s="422"/>
      <c r="E1644" s="422"/>
      <c r="F1644" s="423"/>
    </row>
    <row r="1645" spans="2:6" ht="18" x14ac:dyDescent="0.35">
      <c r="B1645" s="421"/>
      <c r="C1645" s="422"/>
      <c r="D1645" s="422"/>
      <c r="E1645" s="422"/>
      <c r="F1645" s="423"/>
    </row>
    <row r="1646" spans="2:6" ht="18" x14ac:dyDescent="0.35">
      <c r="B1646" s="421"/>
      <c r="C1646" s="422"/>
      <c r="D1646" s="422"/>
      <c r="E1646" s="422"/>
      <c r="F1646" s="423"/>
    </row>
    <row r="1647" spans="2:6" ht="18" x14ac:dyDescent="0.35">
      <c r="B1647" s="421"/>
      <c r="C1647" s="422"/>
      <c r="D1647" s="422"/>
      <c r="E1647" s="422"/>
      <c r="F1647" s="423"/>
    </row>
    <row r="1648" spans="2:6" ht="18" x14ac:dyDescent="0.35">
      <c r="B1648" s="421"/>
      <c r="C1648" s="422"/>
      <c r="D1648" s="422"/>
      <c r="E1648" s="422"/>
      <c r="F1648" s="423"/>
    </row>
    <row r="1649" spans="2:6" ht="18" x14ac:dyDescent="0.35">
      <c r="B1649" s="421"/>
      <c r="C1649" s="422"/>
      <c r="D1649" s="422"/>
      <c r="E1649" s="422"/>
      <c r="F1649" s="423"/>
    </row>
    <row r="1650" spans="2:6" ht="18" x14ac:dyDescent="0.35">
      <c r="B1650" s="421"/>
      <c r="C1650" s="422"/>
      <c r="D1650" s="422"/>
      <c r="E1650" s="422"/>
      <c r="F1650" s="423"/>
    </row>
    <row r="1651" spans="2:6" ht="18" x14ac:dyDescent="0.35">
      <c r="B1651" s="421"/>
      <c r="C1651" s="422"/>
      <c r="D1651" s="422"/>
      <c r="E1651" s="422"/>
      <c r="F1651" s="423"/>
    </row>
    <row r="1652" spans="2:6" ht="18" x14ac:dyDescent="0.35">
      <c r="B1652" s="421"/>
      <c r="C1652" s="422"/>
      <c r="D1652" s="422"/>
      <c r="E1652" s="422"/>
      <c r="F1652" s="423"/>
    </row>
    <row r="1653" spans="2:6" ht="18" x14ac:dyDescent="0.35">
      <c r="B1653" s="421"/>
      <c r="C1653" s="422"/>
      <c r="D1653" s="422"/>
      <c r="E1653" s="422"/>
      <c r="F1653" s="423"/>
    </row>
    <row r="1654" spans="2:6" ht="18" x14ac:dyDescent="0.35">
      <c r="B1654" s="421"/>
      <c r="C1654" s="422"/>
      <c r="D1654" s="422"/>
      <c r="E1654" s="422"/>
      <c r="F1654" s="423"/>
    </row>
    <row r="1655" spans="2:6" ht="18" x14ac:dyDescent="0.35">
      <c r="B1655" s="421"/>
      <c r="C1655" s="422"/>
      <c r="D1655" s="422"/>
      <c r="E1655" s="422"/>
      <c r="F1655" s="423"/>
    </row>
    <row r="1656" spans="2:6" ht="18" x14ac:dyDescent="0.35">
      <c r="B1656" s="421"/>
      <c r="C1656" s="422"/>
      <c r="D1656" s="422"/>
      <c r="E1656" s="422"/>
      <c r="F1656" s="423"/>
    </row>
    <row r="1657" spans="2:6" ht="18" x14ac:dyDescent="0.35">
      <c r="B1657" s="421"/>
      <c r="C1657" s="422"/>
      <c r="D1657" s="422"/>
      <c r="E1657" s="422"/>
      <c r="F1657" s="423"/>
    </row>
    <row r="1658" spans="2:6" ht="18" x14ac:dyDescent="0.35">
      <c r="B1658" s="421"/>
      <c r="C1658" s="422"/>
      <c r="D1658" s="422"/>
      <c r="E1658" s="422"/>
      <c r="F1658" s="423"/>
    </row>
    <row r="1659" spans="2:6" ht="18" x14ac:dyDescent="0.35">
      <c r="B1659" s="421"/>
      <c r="C1659" s="422"/>
      <c r="D1659" s="422"/>
      <c r="E1659" s="422"/>
      <c r="F1659" s="423"/>
    </row>
    <row r="1660" spans="2:6" ht="18" x14ac:dyDescent="0.35">
      <c r="B1660" s="421"/>
      <c r="C1660" s="422"/>
      <c r="D1660" s="422"/>
      <c r="E1660" s="422"/>
      <c r="F1660" s="423"/>
    </row>
    <row r="1661" spans="2:6" ht="18" x14ac:dyDescent="0.35">
      <c r="B1661" s="421"/>
      <c r="C1661" s="422"/>
      <c r="D1661" s="422"/>
      <c r="E1661" s="422"/>
      <c r="F1661" s="423"/>
    </row>
    <row r="1662" spans="2:6" ht="18" x14ac:dyDescent="0.35">
      <c r="B1662" s="421"/>
      <c r="C1662" s="422"/>
      <c r="D1662" s="422"/>
      <c r="E1662" s="422"/>
      <c r="F1662" s="423"/>
    </row>
    <row r="1663" spans="2:6" ht="18" x14ac:dyDescent="0.35">
      <c r="B1663" s="421"/>
      <c r="C1663" s="422"/>
      <c r="D1663" s="422"/>
      <c r="E1663" s="422"/>
      <c r="F1663" s="423"/>
    </row>
    <row r="1664" spans="2:6" ht="18" x14ac:dyDescent="0.35">
      <c r="B1664" s="421"/>
      <c r="C1664" s="422"/>
      <c r="D1664" s="422"/>
      <c r="E1664" s="422"/>
      <c r="F1664" s="423"/>
    </row>
    <row r="1665" spans="2:6" ht="18" x14ac:dyDescent="0.35">
      <c r="B1665" s="421"/>
      <c r="C1665" s="422"/>
      <c r="D1665" s="422"/>
      <c r="E1665" s="422"/>
      <c r="F1665" s="423"/>
    </row>
    <row r="1666" spans="2:6" ht="18" x14ac:dyDescent="0.35">
      <c r="B1666" s="421"/>
      <c r="C1666" s="422"/>
      <c r="D1666" s="422"/>
      <c r="E1666" s="422"/>
      <c r="F1666" s="423"/>
    </row>
    <row r="1667" spans="2:6" ht="18" x14ac:dyDescent="0.35">
      <c r="B1667" s="421"/>
      <c r="C1667" s="422"/>
      <c r="D1667" s="422"/>
      <c r="E1667" s="422"/>
      <c r="F1667" s="423"/>
    </row>
    <row r="1668" spans="2:6" ht="18" x14ac:dyDescent="0.35">
      <c r="B1668" s="421"/>
      <c r="C1668" s="422"/>
      <c r="D1668" s="422"/>
      <c r="E1668" s="422"/>
      <c r="F1668" s="423"/>
    </row>
    <row r="1669" spans="2:6" ht="18" x14ac:dyDescent="0.35">
      <c r="B1669" s="421"/>
      <c r="C1669" s="422"/>
      <c r="D1669" s="422"/>
      <c r="E1669" s="422"/>
      <c r="F1669" s="423"/>
    </row>
    <row r="1670" spans="2:6" ht="18" x14ac:dyDescent="0.35">
      <c r="B1670" s="421"/>
      <c r="C1670" s="422"/>
      <c r="D1670" s="422"/>
      <c r="E1670" s="422"/>
      <c r="F1670" s="423"/>
    </row>
    <row r="1671" spans="2:6" ht="18" x14ac:dyDescent="0.35">
      <c r="B1671" s="421"/>
      <c r="C1671" s="422"/>
      <c r="D1671" s="422"/>
      <c r="E1671" s="422"/>
      <c r="F1671" s="423"/>
    </row>
    <row r="1672" spans="2:6" ht="18" x14ac:dyDescent="0.35">
      <c r="B1672" s="421"/>
      <c r="C1672" s="422"/>
      <c r="D1672" s="422"/>
      <c r="E1672" s="422"/>
      <c r="F1672" s="423"/>
    </row>
    <row r="1673" spans="2:6" ht="18" x14ac:dyDescent="0.35">
      <c r="B1673" s="421"/>
      <c r="C1673" s="422"/>
      <c r="D1673" s="422"/>
      <c r="E1673" s="422"/>
      <c r="F1673" s="423"/>
    </row>
    <row r="1674" spans="2:6" ht="18" x14ac:dyDescent="0.35">
      <c r="B1674" s="421"/>
      <c r="C1674" s="422"/>
      <c r="D1674" s="422"/>
      <c r="E1674" s="422"/>
      <c r="F1674" s="423"/>
    </row>
    <row r="1675" spans="2:6" ht="18" x14ac:dyDescent="0.35">
      <c r="B1675" s="421"/>
      <c r="C1675" s="422"/>
      <c r="D1675" s="422"/>
      <c r="E1675" s="422"/>
      <c r="F1675" s="423"/>
    </row>
    <row r="1676" spans="2:6" ht="18" x14ac:dyDescent="0.35">
      <c r="B1676" s="421"/>
      <c r="C1676" s="422"/>
      <c r="D1676" s="422"/>
      <c r="E1676" s="422"/>
      <c r="F1676" s="423"/>
    </row>
    <row r="1677" spans="2:6" ht="18" x14ac:dyDescent="0.35">
      <c r="B1677" s="421"/>
      <c r="C1677" s="422"/>
      <c r="D1677" s="422"/>
      <c r="E1677" s="422"/>
      <c r="F1677" s="423"/>
    </row>
    <row r="1678" spans="2:6" ht="18" x14ac:dyDescent="0.35">
      <c r="B1678" s="421"/>
      <c r="C1678" s="422"/>
      <c r="D1678" s="422"/>
      <c r="E1678" s="422"/>
      <c r="F1678" s="423"/>
    </row>
    <row r="1679" spans="2:6" ht="18" x14ac:dyDescent="0.35">
      <c r="B1679" s="421"/>
      <c r="C1679" s="422"/>
      <c r="D1679" s="422"/>
      <c r="E1679" s="422"/>
      <c r="F1679" s="423"/>
    </row>
    <row r="1680" spans="2:6" ht="18" x14ac:dyDescent="0.35">
      <c r="B1680" s="421"/>
      <c r="C1680" s="422"/>
      <c r="D1680" s="422"/>
      <c r="E1680" s="422"/>
      <c r="F1680" s="423"/>
    </row>
    <row r="1681" spans="2:6" ht="18" x14ac:dyDescent="0.35">
      <c r="B1681" s="421"/>
      <c r="C1681" s="422"/>
      <c r="D1681" s="422"/>
      <c r="E1681" s="422"/>
      <c r="F1681" s="423"/>
    </row>
    <row r="1682" spans="2:6" ht="18" x14ac:dyDescent="0.35">
      <c r="B1682" s="421"/>
      <c r="C1682" s="422"/>
      <c r="D1682" s="422"/>
      <c r="E1682" s="422"/>
      <c r="F1682" s="423"/>
    </row>
    <row r="1683" spans="2:6" ht="18" x14ac:dyDescent="0.35">
      <c r="B1683" s="421"/>
      <c r="C1683" s="422"/>
      <c r="D1683" s="422"/>
      <c r="E1683" s="422"/>
      <c r="F1683" s="423"/>
    </row>
    <row r="1684" spans="2:6" ht="18" x14ac:dyDescent="0.35">
      <c r="B1684" s="421"/>
      <c r="C1684" s="422"/>
      <c r="D1684" s="422"/>
      <c r="E1684" s="422"/>
      <c r="F1684" s="423"/>
    </row>
    <row r="1685" spans="2:6" ht="18" x14ac:dyDescent="0.35">
      <c r="B1685" s="421"/>
      <c r="C1685" s="422"/>
      <c r="D1685" s="422"/>
      <c r="E1685" s="422"/>
      <c r="F1685" s="423"/>
    </row>
    <row r="1686" spans="2:6" ht="18" x14ac:dyDescent="0.35">
      <c r="B1686" s="421"/>
      <c r="C1686" s="422"/>
      <c r="D1686" s="422"/>
      <c r="E1686" s="422"/>
      <c r="F1686" s="423"/>
    </row>
    <row r="1687" spans="2:6" ht="18" x14ac:dyDescent="0.35">
      <c r="B1687" s="421"/>
      <c r="C1687" s="422"/>
      <c r="D1687" s="422"/>
      <c r="E1687" s="422"/>
      <c r="F1687" s="423"/>
    </row>
    <row r="1688" spans="2:6" ht="18" x14ac:dyDescent="0.35">
      <c r="B1688" s="421"/>
      <c r="C1688" s="422"/>
      <c r="D1688" s="422"/>
      <c r="E1688" s="422"/>
      <c r="F1688" s="423"/>
    </row>
    <row r="1689" spans="2:6" ht="18" x14ac:dyDescent="0.35">
      <c r="B1689" s="421"/>
      <c r="C1689" s="422"/>
      <c r="D1689" s="422"/>
      <c r="E1689" s="422"/>
      <c r="F1689" s="423"/>
    </row>
    <row r="1690" spans="2:6" ht="18" x14ac:dyDescent="0.35">
      <c r="B1690" s="421"/>
      <c r="C1690" s="422"/>
      <c r="D1690" s="422"/>
      <c r="E1690" s="422"/>
      <c r="F1690" s="423"/>
    </row>
    <row r="1691" spans="2:6" ht="18" x14ac:dyDescent="0.35">
      <c r="B1691" s="421"/>
      <c r="C1691" s="422"/>
      <c r="D1691" s="422"/>
      <c r="E1691" s="422"/>
      <c r="F1691" s="423"/>
    </row>
    <row r="1692" spans="2:6" ht="18" x14ac:dyDescent="0.35">
      <c r="B1692" s="421"/>
      <c r="C1692" s="422"/>
      <c r="D1692" s="422"/>
      <c r="E1692" s="422"/>
      <c r="F1692" s="423"/>
    </row>
    <row r="1693" spans="2:6" ht="18" x14ac:dyDescent="0.35">
      <c r="B1693" s="421"/>
      <c r="C1693" s="422"/>
      <c r="D1693" s="422"/>
      <c r="E1693" s="422"/>
      <c r="F1693" s="423"/>
    </row>
    <row r="1694" spans="2:6" ht="18" x14ac:dyDescent="0.35">
      <c r="B1694" s="421"/>
      <c r="C1694" s="422"/>
      <c r="D1694" s="422"/>
      <c r="E1694" s="422"/>
      <c r="F1694" s="423"/>
    </row>
    <row r="1695" spans="2:6" ht="18" x14ac:dyDescent="0.35">
      <c r="B1695" s="421"/>
      <c r="C1695" s="422"/>
      <c r="D1695" s="422"/>
      <c r="E1695" s="422"/>
      <c r="F1695" s="423"/>
    </row>
    <row r="1696" spans="2:6" ht="18" x14ac:dyDescent="0.35">
      <c r="B1696" s="421"/>
      <c r="C1696" s="422"/>
      <c r="D1696" s="422"/>
      <c r="E1696" s="422"/>
      <c r="F1696" s="423"/>
    </row>
    <row r="1697" spans="2:6" ht="18" x14ac:dyDescent="0.35">
      <c r="B1697" s="421"/>
      <c r="C1697" s="422"/>
      <c r="D1697" s="422"/>
      <c r="E1697" s="422"/>
      <c r="F1697" s="423"/>
    </row>
    <row r="1698" spans="2:6" ht="18" x14ac:dyDescent="0.35">
      <c r="B1698" s="421"/>
      <c r="C1698" s="422"/>
      <c r="D1698" s="422"/>
      <c r="E1698" s="422"/>
      <c r="F1698" s="423"/>
    </row>
    <row r="1699" spans="2:6" ht="18" x14ac:dyDescent="0.35">
      <c r="B1699" s="421"/>
      <c r="C1699" s="422"/>
      <c r="D1699" s="422"/>
      <c r="E1699" s="422"/>
      <c r="F1699" s="423"/>
    </row>
    <row r="1700" spans="2:6" ht="18" x14ac:dyDescent="0.35">
      <c r="B1700" s="421"/>
      <c r="C1700" s="422"/>
      <c r="D1700" s="422"/>
      <c r="E1700" s="422"/>
      <c r="F1700" s="423"/>
    </row>
    <row r="1701" spans="2:6" ht="18" x14ac:dyDescent="0.35">
      <c r="B1701" s="421"/>
      <c r="C1701" s="422"/>
      <c r="D1701" s="422"/>
      <c r="E1701" s="422"/>
      <c r="F1701" s="423"/>
    </row>
    <row r="1702" spans="2:6" ht="18" x14ac:dyDescent="0.35">
      <c r="B1702" s="421"/>
      <c r="C1702" s="422"/>
      <c r="D1702" s="422"/>
      <c r="E1702" s="422"/>
      <c r="F1702" s="423"/>
    </row>
    <row r="1703" spans="2:6" ht="18" x14ac:dyDescent="0.35">
      <c r="B1703" s="421"/>
      <c r="C1703" s="422"/>
      <c r="D1703" s="422"/>
      <c r="E1703" s="422"/>
      <c r="F1703" s="423"/>
    </row>
    <row r="1704" spans="2:6" ht="18" x14ac:dyDescent="0.35">
      <c r="B1704" s="421"/>
      <c r="C1704" s="422"/>
      <c r="D1704" s="422"/>
      <c r="E1704" s="422"/>
      <c r="F1704" s="423"/>
    </row>
    <row r="1705" spans="2:6" ht="18" x14ac:dyDescent="0.35">
      <c r="B1705" s="421"/>
      <c r="C1705" s="422"/>
      <c r="D1705" s="422"/>
      <c r="E1705" s="422"/>
      <c r="F1705" s="423"/>
    </row>
    <row r="1706" spans="2:6" ht="18" x14ac:dyDescent="0.35">
      <c r="B1706" s="421"/>
      <c r="C1706" s="422"/>
      <c r="D1706" s="422"/>
      <c r="E1706" s="422"/>
      <c r="F1706" s="423"/>
    </row>
    <row r="1707" spans="2:6" ht="18" x14ac:dyDescent="0.35">
      <c r="B1707" s="421"/>
      <c r="C1707" s="422"/>
      <c r="D1707" s="422"/>
      <c r="E1707" s="422"/>
      <c r="F1707" s="423"/>
    </row>
    <row r="1708" spans="2:6" ht="18" x14ac:dyDescent="0.35">
      <c r="B1708" s="421"/>
      <c r="C1708" s="422"/>
      <c r="D1708" s="422"/>
      <c r="E1708" s="422"/>
      <c r="F1708" s="423"/>
    </row>
    <row r="1709" spans="2:6" ht="18" x14ac:dyDescent="0.35">
      <c r="B1709" s="421"/>
      <c r="C1709" s="422"/>
      <c r="D1709" s="422"/>
      <c r="E1709" s="422"/>
      <c r="F1709" s="423"/>
    </row>
    <row r="1710" spans="2:6" ht="18" x14ac:dyDescent="0.35">
      <c r="B1710" s="421"/>
      <c r="C1710" s="422"/>
      <c r="D1710" s="422"/>
      <c r="E1710" s="422"/>
      <c r="F1710" s="423"/>
    </row>
    <row r="1711" spans="2:6" ht="18" x14ac:dyDescent="0.35">
      <c r="B1711" s="421"/>
      <c r="C1711" s="422"/>
      <c r="D1711" s="422"/>
      <c r="E1711" s="422"/>
      <c r="F1711" s="423"/>
    </row>
    <row r="1712" spans="2:6" ht="18" x14ac:dyDescent="0.35">
      <c r="B1712" s="421"/>
      <c r="C1712" s="422"/>
      <c r="D1712" s="422"/>
      <c r="E1712" s="422"/>
      <c r="F1712" s="423"/>
    </row>
    <row r="1713" spans="2:6" ht="18" x14ac:dyDescent="0.35">
      <c r="B1713" s="421"/>
      <c r="C1713" s="422"/>
      <c r="D1713" s="422"/>
      <c r="E1713" s="422"/>
      <c r="F1713" s="423"/>
    </row>
    <row r="1714" spans="2:6" ht="18" x14ac:dyDescent="0.35">
      <c r="B1714" s="421"/>
      <c r="C1714" s="422"/>
      <c r="D1714" s="422"/>
      <c r="E1714" s="422"/>
      <c r="F1714" s="423"/>
    </row>
    <row r="1715" spans="2:6" ht="18" x14ac:dyDescent="0.35">
      <c r="B1715" s="421"/>
      <c r="C1715" s="422"/>
      <c r="D1715" s="422"/>
      <c r="E1715" s="422"/>
      <c r="F1715" s="423"/>
    </row>
    <row r="1716" spans="2:6" ht="18" x14ac:dyDescent="0.35">
      <c r="B1716" s="421"/>
      <c r="C1716" s="422"/>
      <c r="D1716" s="422"/>
      <c r="E1716" s="422"/>
      <c r="F1716" s="423"/>
    </row>
    <row r="1717" spans="2:6" ht="18" x14ac:dyDescent="0.35">
      <c r="B1717" s="421"/>
      <c r="C1717" s="422"/>
      <c r="D1717" s="422"/>
      <c r="E1717" s="422"/>
      <c r="F1717" s="423"/>
    </row>
    <row r="1718" spans="2:6" ht="18" x14ac:dyDescent="0.35">
      <c r="B1718" s="421"/>
      <c r="C1718" s="422"/>
      <c r="D1718" s="422"/>
      <c r="E1718" s="422"/>
      <c r="F1718" s="423"/>
    </row>
    <row r="1719" spans="2:6" ht="18" x14ac:dyDescent="0.35">
      <c r="B1719" s="421"/>
      <c r="C1719" s="422"/>
      <c r="D1719" s="422"/>
      <c r="E1719" s="422"/>
      <c r="F1719" s="423"/>
    </row>
    <row r="1720" spans="2:6" ht="18" x14ac:dyDescent="0.35">
      <c r="B1720" s="421"/>
      <c r="C1720" s="422"/>
      <c r="D1720" s="422"/>
      <c r="E1720" s="422"/>
      <c r="F1720" s="423"/>
    </row>
    <row r="1721" spans="2:6" ht="18" x14ac:dyDescent="0.35">
      <c r="B1721" s="421"/>
      <c r="C1721" s="422"/>
      <c r="D1721" s="422"/>
      <c r="E1721" s="422"/>
      <c r="F1721" s="423"/>
    </row>
    <row r="1722" spans="2:6" ht="18" x14ac:dyDescent="0.35">
      <c r="B1722" s="421"/>
      <c r="C1722" s="422"/>
      <c r="D1722" s="422"/>
      <c r="E1722" s="422"/>
      <c r="F1722" s="423"/>
    </row>
    <row r="1723" spans="2:6" ht="18" x14ac:dyDescent="0.35">
      <c r="B1723" s="421"/>
      <c r="C1723" s="422"/>
      <c r="D1723" s="422"/>
      <c r="E1723" s="422"/>
      <c r="F1723" s="423"/>
    </row>
    <row r="1724" spans="2:6" ht="18" x14ac:dyDescent="0.35">
      <c r="B1724" s="421"/>
      <c r="C1724" s="422"/>
      <c r="D1724" s="422"/>
      <c r="E1724" s="422"/>
      <c r="F1724" s="423"/>
    </row>
    <row r="1725" spans="2:6" ht="18" x14ac:dyDescent="0.35">
      <c r="B1725" s="421"/>
      <c r="C1725" s="422"/>
      <c r="D1725" s="422"/>
      <c r="E1725" s="422"/>
      <c r="F1725" s="423"/>
    </row>
    <row r="1726" spans="2:6" ht="18" x14ac:dyDescent="0.35">
      <c r="B1726" s="421"/>
      <c r="C1726" s="422"/>
      <c r="D1726" s="422"/>
      <c r="E1726" s="422"/>
      <c r="F1726" s="423"/>
    </row>
    <row r="1727" spans="2:6" ht="18" x14ac:dyDescent="0.35">
      <c r="B1727" s="421"/>
      <c r="C1727" s="422"/>
      <c r="D1727" s="422"/>
      <c r="E1727" s="422"/>
      <c r="F1727" s="423"/>
    </row>
    <row r="1728" spans="2:6" ht="18" x14ac:dyDescent="0.35">
      <c r="B1728" s="421"/>
      <c r="C1728" s="422"/>
      <c r="D1728" s="422"/>
      <c r="E1728" s="422"/>
      <c r="F1728" s="423"/>
    </row>
    <row r="1729" spans="2:6" ht="18" x14ac:dyDescent="0.35">
      <c r="B1729" s="421"/>
      <c r="C1729" s="422"/>
      <c r="D1729" s="422"/>
      <c r="E1729" s="422"/>
      <c r="F1729" s="423"/>
    </row>
    <row r="1730" spans="2:6" ht="18" x14ac:dyDescent="0.35">
      <c r="B1730" s="421"/>
      <c r="C1730" s="422"/>
      <c r="D1730" s="422"/>
      <c r="E1730" s="422"/>
      <c r="F1730" s="423"/>
    </row>
    <row r="1731" spans="2:6" ht="18" x14ac:dyDescent="0.35">
      <c r="B1731" s="421"/>
      <c r="C1731" s="422"/>
      <c r="D1731" s="422"/>
      <c r="E1731" s="422"/>
      <c r="F1731" s="423"/>
    </row>
    <row r="1732" spans="2:6" ht="18" x14ac:dyDescent="0.35">
      <c r="B1732" s="421"/>
      <c r="C1732" s="422"/>
      <c r="D1732" s="422"/>
      <c r="E1732" s="422"/>
      <c r="F1732" s="423"/>
    </row>
    <row r="1733" spans="2:6" ht="18" x14ac:dyDescent="0.35">
      <c r="B1733" s="421"/>
      <c r="C1733" s="422"/>
      <c r="D1733" s="422"/>
      <c r="E1733" s="422"/>
      <c r="F1733" s="423"/>
    </row>
    <row r="1734" spans="2:6" ht="18" x14ac:dyDescent="0.35">
      <c r="B1734" s="421"/>
      <c r="C1734" s="422"/>
      <c r="D1734" s="422"/>
      <c r="E1734" s="422"/>
      <c r="F1734" s="423"/>
    </row>
    <row r="1735" spans="2:6" ht="18" x14ac:dyDescent="0.35">
      <c r="B1735" s="421"/>
      <c r="C1735" s="422"/>
      <c r="D1735" s="422"/>
      <c r="E1735" s="422"/>
      <c r="F1735" s="423"/>
    </row>
    <row r="1736" spans="2:6" ht="18" x14ac:dyDescent="0.35">
      <c r="B1736" s="421"/>
      <c r="C1736" s="422"/>
      <c r="D1736" s="422"/>
      <c r="E1736" s="422"/>
      <c r="F1736" s="423"/>
    </row>
    <row r="1737" spans="2:6" ht="18" x14ac:dyDescent="0.35">
      <c r="B1737" s="421"/>
      <c r="C1737" s="422"/>
      <c r="D1737" s="422"/>
      <c r="E1737" s="422"/>
      <c r="F1737" s="423"/>
    </row>
    <row r="1738" spans="2:6" ht="18" x14ac:dyDescent="0.35">
      <c r="B1738" s="421"/>
      <c r="C1738" s="422"/>
      <c r="D1738" s="422"/>
      <c r="E1738" s="422"/>
      <c r="F1738" s="423"/>
    </row>
    <row r="1739" spans="2:6" ht="18" x14ac:dyDescent="0.35">
      <c r="B1739" s="421"/>
      <c r="C1739" s="422"/>
      <c r="D1739" s="422"/>
      <c r="E1739" s="422"/>
      <c r="F1739" s="423"/>
    </row>
    <row r="1740" spans="2:6" ht="18" x14ac:dyDescent="0.35">
      <c r="B1740" s="421"/>
      <c r="C1740" s="422"/>
      <c r="D1740" s="422"/>
      <c r="E1740" s="422"/>
      <c r="F1740" s="423"/>
    </row>
    <row r="1741" spans="2:6" ht="18" x14ac:dyDescent="0.35">
      <c r="B1741" s="421"/>
      <c r="C1741" s="422"/>
      <c r="D1741" s="422"/>
      <c r="E1741" s="422"/>
      <c r="F1741" s="423"/>
    </row>
    <row r="1742" spans="2:6" ht="18" x14ac:dyDescent="0.35">
      <c r="B1742" s="421"/>
      <c r="C1742" s="422"/>
      <c r="D1742" s="422"/>
      <c r="E1742" s="422"/>
      <c r="F1742" s="423"/>
    </row>
    <row r="1743" spans="2:6" ht="18" x14ac:dyDescent="0.35">
      <c r="B1743" s="421"/>
      <c r="C1743" s="422"/>
      <c r="D1743" s="422"/>
      <c r="E1743" s="422"/>
      <c r="F1743" s="423"/>
    </row>
    <row r="1744" spans="2:6" ht="18" x14ac:dyDescent="0.35">
      <c r="B1744" s="421"/>
      <c r="C1744" s="422"/>
      <c r="D1744" s="422"/>
      <c r="E1744" s="422"/>
      <c r="F1744" s="423"/>
    </row>
    <row r="1745" spans="2:6" ht="18" x14ac:dyDescent="0.35">
      <c r="B1745" s="421"/>
      <c r="C1745" s="422"/>
      <c r="D1745" s="422"/>
      <c r="E1745" s="422"/>
      <c r="F1745" s="423"/>
    </row>
    <row r="1746" spans="2:6" ht="18" x14ac:dyDescent="0.35">
      <c r="B1746" s="421"/>
      <c r="C1746" s="422"/>
      <c r="D1746" s="422"/>
      <c r="E1746" s="422"/>
      <c r="F1746" s="423"/>
    </row>
    <row r="1747" spans="2:6" ht="18" x14ac:dyDescent="0.35">
      <c r="B1747" s="421"/>
      <c r="C1747" s="422"/>
      <c r="D1747" s="422"/>
      <c r="E1747" s="422"/>
      <c r="F1747" s="423"/>
    </row>
    <row r="1748" spans="2:6" ht="18" x14ac:dyDescent="0.35">
      <c r="B1748" s="421"/>
      <c r="C1748" s="422"/>
      <c r="D1748" s="422"/>
      <c r="E1748" s="422"/>
      <c r="F1748" s="423"/>
    </row>
    <row r="1749" spans="2:6" ht="18" x14ac:dyDescent="0.35">
      <c r="B1749" s="421"/>
      <c r="C1749" s="422"/>
      <c r="D1749" s="422"/>
      <c r="E1749" s="422"/>
      <c r="F1749" s="423"/>
    </row>
    <row r="1750" spans="2:6" ht="18" x14ac:dyDescent="0.35">
      <c r="B1750" s="421"/>
      <c r="C1750" s="422"/>
      <c r="D1750" s="422"/>
      <c r="E1750" s="422"/>
      <c r="F1750" s="423"/>
    </row>
    <row r="1751" spans="2:6" ht="18" x14ac:dyDescent="0.35">
      <c r="B1751" s="421"/>
      <c r="C1751" s="422"/>
      <c r="D1751" s="422"/>
      <c r="E1751" s="422"/>
      <c r="F1751" s="423"/>
    </row>
    <row r="1752" spans="2:6" ht="18" x14ac:dyDescent="0.35">
      <c r="B1752" s="421"/>
      <c r="C1752" s="422"/>
      <c r="D1752" s="422"/>
      <c r="E1752" s="422"/>
      <c r="F1752" s="423"/>
    </row>
    <row r="1753" spans="2:6" ht="18" x14ac:dyDescent="0.35">
      <c r="B1753" s="421"/>
      <c r="C1753" s="422"/>
      <c r="D1753" s="422"/>
      <c r="E1753" s="422"/>
      <c r="F1753" s="423"/>
    </row>
    <row r="1754" spans="2:6" ht="18" x14ac:dyDescent="0.35">
      <c r="B1754" s="421"/>
      <c r="C1754" s="422"/>
      <c r="D1754" s="422"/>
      <c r="E1754" s="422"/>
      <c r="F1754" s="423"/>
    </row>
    <row r="1755" spans="2:6" ht="18" x14ac:dyDescent="0.35">
      <c r="B1755" s="421"/>
      <c r="C1755" s="422"/>
      <c r="D1755" s="422"/>
      <c r="E1755" s="422"/>
      <c r="F1755" s="423"/>
    </row>
    <row r="1756" spans="2:6" ht="18" x14ac:dyDescent="0.35">
      <c r="B1756" s="421"/>
      <c r="C1756" s="422"/>
      <c r="D1756" s="422"/>
      <c r="E1756" s="422"/>
      <c r="F1756" s="423"/>
    </row>
    <row r="1757" spans="2:6" ht="18" x14ac:dyDescent="0.35">
      <c r="B1757" s="421"/>
      <c r="C1757" s="422"/>
      <c r="D1757" s="422"/>
      <c r="E1757" s="422"/>
      <c r="F1757" s="423"/>
    </row>
    <row r="1758" spans="2:6" ht="18" x14ac:dyDescent="0.35">
      <c r="B1758" s="421"/>
      <c r="C1758" s="422"/>
      <c r="D1758" s="422"/>
      <c r="E1758" s="422"/>
      <c r="F1758" s="423"/>
    </row>
    <row r="1759" spans="2:6" ht="18" x14ac:dyDescent="0.35">
      <c r="B1759" s="421"/>
      <c r="C1759" s="422"/>
      <c r="D1759" s="422"/>
      <c r="E1759" s="422"/>
      <c r="F1759" s="423"/>
    </row>
    <row r="1760" spans="2:6" ht="18" x14ac:dyDescent="0.35">
      <c r="B1760" s="421"/>
      <c r="C1760" s="422"/>
      <c r="D1760" s="422"/>
      <c r="E1760" s="422"/>
      <c r="F1760" s="423"/>
    </row>
    <row r="1761" spans="2:6" ht="18" x14ac:dyDescent="0.35">
      <c r="B1761" s="421"/>
      <c r="C1761" s="422"/>
      <c r="D1761" s="422"/>
      <c r="E1761" s="422"/>
      <c r="F1761" s="423"/>
    </row>
    <row r="1762" spans="2:6" ht="18" x14ac:dyDescent="0.35">
      <c r="B1762" s="421"/>
      <c r="C1762" s="422"/>
      <c r="D1762" s="422"/>
      <c r="E1762" s="422"/>
      <c r="F1762" s="423"/>
    </row>
    <row r="1763" spans="2:6" ht="18" x14ac:dyDescent="0.35">
      <c r="B1763" s="421"/>
      <c r="C1763" s="422"/>
      <c r="D1763" s="422"/>
      <c r="E1763" s="422"/>
      <c r="F1763" s="423"/>
    </row>
    <row r="1764" spans="2:6" ht="18" x14ac:dyDescent="0.35">
      <c r="B1764" s="421"/>
      <c r="C1764" s="422"/>
      <c r="D1764" s="422"/>
      <c r="E1764" s="422"/>
      <c r="F1764" s="423"/>
    </row>
    <row r="1765" spans="2:6" ht="18" x14ac:dyDescent="0.35">
      <c r="B1765" s="421"/>
      <c r="C1765" s="422"/>
      <c r="D1765" s="422"/>
      <c r="E1765" s="422"/>
      <c r="F1765" s="423"/>
    </row>
    <row r="1766" spans="2:6" ht="18" x14ac:dyDescent="0.35">
      <c r="B1766" s="421"/>
      <c r="C1766" s="422"/>
      <c r="D1766" s="422"/>
      <c r="E1766" s="422"/>
      <c r="F1766" s="423"/>
    </row>
    <row r="1767" spans="2:6" ht="18" x14ac:dyDescent="0.35">
      <c r="B1767" s="421"/>
      <c r="C1767" s="422"/>
      <c r="D1767" s="422"/>
      <c r="E1767" s="422"/>
      <c r="F1767" s="423"/>
    </row>
    <row r="1768" spans="2:6" ht="18" x14ac:dyDescent="0.35">
      <c r="B1768" s="421"/>
      <c r="C1768" s="422"/>
      <c r="D1768" s="422"/>
      <c r="E1768" s="422"/>
      <c r="F1768" s="423"/>
    </row>
    <row r="1769" spans="2:6" ht="18" x14ac:dyDescent="0.35">
      <c r="B1769" s="421"/>
      <c r="C1769" s="422"/>
      <c r="D1769" s="422"/>
      <c r="E1769" s="422"/>
      <c r="F1769" s="423"/>
    </row>
    <row r="1770" spans="2:6" ht="18" x14ac:dyDescent="0.35">
      <c r="B1770" s="421"/>
      <c r="C1770" s="422"/>
      <c r="D1770" s="422"/>
      <c r="E1770" s="422"/>
      <c r="F1770" s="423"/>
    </row>
    <row r="1771" spans="2:6" ht="18" x14ac:dyDescent="0.35">
      <c r="B1771" s="421"/>
      <c r="C1771" s="422"/>
      <c r="D1771" s="422"/>
      <c r="E1771" s="422"/>
      <c r="F1771" s="423"/>
    </row>
    <row r="1772" spans="2:6" ht="18" x14ac:dyDescent="0.35">
      <c r="B1772" s="421"/>
      <c r="C1772" s="422"/>
      <c r="D1772" s="422"/>
      <c r="E1772" s="422"/>
      <c r="F1772" s="423"/>
    </row>
    <row r="1773" spans="2:6" ht="18" x14ac:dyDescent="0.35">
      <c r="B1773" s="421"/>
      <c r="C1773" s="422"/>
      <c r="D1773" s="422"/>
      <c r="E1773" s="422"/>
      <c r="F1773" s="423"/>
    </row>
    <row r="1774" spans="2:6" ht="18" x14ac:dyDescent="0.35">
      <c r="B1774" s="421"/>
      <c r="C1774" s="422"/>
      <c r="D1774" s="422"/>
      <c r="E1774" s="422"/>
      <c r="F1774" s="423"/>
    </row>
    <row r="1775" spans="2:6" ht="18" x14ac:dyDescent="0.35">
      <c r="B1775" s="421"/>
      <c r="C1775" s="422"/>
      <c r="D1775" s="422"/>
      <c r="E1775" s="422"/>
      <c r="F1775" s="423"/>
    </row>
    <row r="1776" spans="2:6" ht="18" x14ac:dyDescent="0.35">
      <c r="B1776" s="421"/>
      <c r="C1776" s="422"/>
      <c r="D1776" s="422"/>
      <c r="E1776" s="422"/>
      <c r="F1776" s="423"/>
    </row>
    <row r="1777" spans="2:6" ht="18" x14ac:dyDescent="0.35">
      <c r="B1777" s="421"/>
      <c r="C1777" s="422"/>
      <c r="D1777" s="422"/>
      <c r="E1777" s="422"/>
      <c r="F1777" s="423"/>
    </row>
    <row r="1778" spans="2:6" ht="18" x14ac:dyDescent="0.35">
      <c r="B1778" s="421"/>
      <c r="C1778" s="422"/>
      <c r="D1778" s="422"/>
      <c r="E1778" s="422"/>
      <c r="F1778" s="423"/>
    </row>
    <row r="1779" spans="2:6" ht="18" x14ac:dyDescent="0.35">
      <c r="B1779" s="421"/>
      <c r="C1779" s="422"/>
      <c r="D1779" s="422"/>
      <c r="E1779" s="422"/>
      <c r="F1779" s="423"/>
    </row>
    <row r="1780" spans="2:6" ht="18" x14ac:dyDescent="0.35">
      <c r="B1780" s="421"/>
      <c r="C1780" s="422"/>
      <c r="D1780" s="422"/>
      <c r="E1780" s="422"/>
      <c r="F1780" s="423"/>
    </row>
    <row r="1781" spans="2:6" ht="18" x14ac:dyDescent="0.35">
      <c r="B1781" s="421"/>
      <c r="C1781" s="422"/>
      <c r="D1781" s="422"/>
      <c r="E1781" s="422"/>
      <c r="F1781" s="423"/>
    </row>
    <row r="1782" spans="2:6" ht="18" x14ac:dyDescent="0.35">
      <c r="B1782" s="421"/>
      <c r="C1782" s="422"/>
      <c r="D1782" s="422"/>
      <c r="E1782" s="422"/>
      <c r="F1782" s="423"/>
    </row>
    <row r="1783" spans="2:6" ht="18" x14ac:dyDescent="0.35">
      <c r="B1783" s="421"/>
      <c r="C1783" s="422"/>
      <c r="D1783" s="422"/>
      <c r="E1783" s="422"/>
      <c r="F1783" s="423"/>
    </row>
    <row r="1784" spans="2:6" ht="18" x14ac:dyDescent="0.35">
      <c r="B1784" s="421"/>
      <c r="C1784" s="422"/>
      <c r="D1784" s="422"/>
      <c r="E1784" s="422"/>
      <c r="F1784" s="423"/>
    </row>
    <row r="1785" spans="2:6" ht="18" x14ac:dyDescent="0.35">
      <c r="B1785" s="421"/>
      <c r="C1785" s="422"/>
      <c r="D1785" s="422"/>
      <c r="E1785" s="422"/>
      <c r="F1785" s="423"/>
    </row>
    <row r="1786" spans="2:6" ht="18" x14ac:dyDescent="0.35">
      <c r="B1786" s="421"/>
      <c r="C1786" s="422"/>
      <c r="D1786" s="422"/>
      <c r="E1786" s="422"/>
      <c r="F1786" s="423"/>
    </row>
    <row r="1787" spans="2:6" ht="18" x14ac:dyDescent="0.35">
      <c r="B1787" s="421"/>
      <c r="C1787" s="422"/>
      <c r="D1787" s="422"/>
      <c r="E1787" s="422"/>
      <c r="F1787" s="423"/>
    </row>
    <row r="1788" spans="2:6" ht="18" x14ac:dyDescent="0.35">
      <c r="B1788" s="421"/>
      <c r="C1788" s="422"/>
      <c r="D1788" s="422"/>
      <c r="E1788" s="422"/>
      <c r="F1788" s="423"/>
    </row>
    <row r="1789" spans="2:6" ht="18" x14ac:dyDescent="0.35">
      <c r="B1789" s="421"/>
      <c r="C1789" s="422"/>
      <c r="D1789" s="422"/>
      <c r="E1789" s="422"/>
      <c r="F1789" s="423"/>
    </row>
    <row r="1790" spans="2:6" ht="18" x14ac:dyDescent="0.35">
      <c r="B1790" s="421"/>
      <c r="C1790" s="422"/>
      <c r="D1790" s="422"/>
      <c r="E1790" s="422"/>
      <c r="F1790" s="423"/>
    </row>
    <row r="1791" spans="2:6" ht="18" x14ac:dyDescent="0.35">
      <c r="B1791" s="421"/>
      <c r="C1791" s="422"/>
      <c r="D1791" s="422"/>
      <c r="E1791" s="422"/>
      <c r="F1791" s="423"/>
    </row>
    <row r="1792" spans="2:6" ht="18" x14ac:dyDescent="0.35">
      <c r="B1792" s="421"/>
      <c r="C1792" s="422"/>
      <c r="D1792" s="422"/>
      <c r="E1792" s="422"/>
      <c r="F1792" s="423"/>
    </row>
    <row r="1793" spans="2:6" ht="18" x14ac:dyDescent="0.35">
      <c r="B1793" s="421"/>
      <c r="C1793" s="422"/>
      <c r="D1793" s="422"/>
      <c r="E1793" s="422"/>
      <c r="F1793" s="423"/>
    </row>
    <row r="1794" spans="2:6" ht="18" x14ac:dyDescent="0.35">
      <c r="B1794" s="421"/>
      <c r="C1794" s="422"/>
      <c r="D1794" s="422"/>
      <c r="E1794" s="422"/>
      <c r="F1794" s="423"/>
    </row>
    <row r="1795" spans="2:6" ht="18" x14ac:dyDescent="0.35">
      <c r="B1795" s="421"/>
      <c r="C1795" s="422"/>
      <c r="D1795" s="422"/>
      <c r="E1795" s="422"/>
      <c r="F1795" s="423"/>
    </row>
    <row r="1796" spans="2:6" ht="18" x14ac:dyDescent="0.35">
      <c r="B1796" s="421"/>
      <c r="C1796" s="422"/>
      <c r="D1796" s="422"/>
      <c r="E1796" s="422"/>
      <c r="F1796" s="423"/>
    </row>
    <row r="1797" spans="2:6" ht="18" x14ac:dyDescent="0.35">
      <c r="B1797" s="421"/>
      <c r="C1797" s="422"/>
      <c r="D1797" s="422"/>
      <c r="E1797" s="422"/>
      <c r="F1797" s="423"/>
    </row>
    <row r="1798" spans="2:6" ht="18" x14ac:dyDescent="0.35">
      <c r="B1798" s="421"/>
      <c r="C1798" s="422"/>
      <c r="D1798" s="422"/>
      <c r="E1798" s="422"/>
      <c r="F1798" s="423"/>
    </row>
    <row r="1799" spans="2:6" ht="18" x14ac:dyDescent="0.35">
      <c r="B1799" s="421"/>
      <c r="C1799" s="422"/>
      <c r="D1799" s="422"/>
      <c r="E1799" s="422"/>
      <c r="F1799" s="423"/>
    </row>
    <row r="1800" spans="2:6" ht="18" x14ac:dyDescent="0.35">
      <c r="B1800" s="421"/>
      <c r="C1800" s="422"/>
      <c r="D1800" s="422"/>
      <c r="E1800" s="422"/>
      <c r="F1800" s="423"/>
    </row>
    <row r="1801" spans="2:6" ht="18" x14ac:dyDescent="0.35">
      <c r="B1801" s="421"/>
      <c r="C1801" s="422"/>
      <c r="D1801" s="422"/>
      <c r="E1801" s="422"/>
      <c r="F1801" s="423"/>
    </row>
    <row r="1802" spans="2:6" ht="18" x14ac:dyDescent="0.35">
      <c r="B1802" s="421"/>
      <c r="C1802" s="422"/>
      <c r="D1802" s="422"/>
      <c r="E1802" s="422"/>
      <c r="F1802" s="423"/>
    </row>
    <row r="1803" spans="2:6" ht="18" x14ac:dyDescent="0.35">
      <c r="B1803" s="421"/>
      <c r="C1803" s="422"/>
      <c r="D1803" s="422"/>
      <c r="E1803" s="422"/>
      <c r="F1803" s="423"/>
    </row>
    <row r="1804" spans="2:6" ht="18" x14ac:dyDescent="0.35">
      <c r="B1804" s="421"/>
      <c r="C1804" s="422"/>
      <c r="D1804" s="422"/>
      <c r="E1804" s="422"/>
      <c r="F1804" s="423"/>
    </row>
    <row r="1805" spans="2:6" ht="18" x14ac:dyDescent="0.35">
      <c r="B1805" s="421"/>
      <c r="C1805" s="422"/>
      <c r="D1805" s="422"/>
      <c r="E1805" s="422"/>
      <c r="F1805" s="423"/>
    </row>
    <row r="1806" spans="2:6" ht="18" x14ac:dyDescent="0.35">
      <c r="B1806" s="421"/>
      <c r="C1806" s="422"/>
      <c r="D1806" s="422"/>
      <c r="E1806" s="422"/>
      <c r="F1806" s="423"/>
    </row>
    <row r="1807" spans="2:6" ht="18" x14ac:dyDescent="0.35">
      <c r="B1807" s="421"/>
      <c r="C1807" s="422"/>
      <c r="D1807" s="422"/>
      <c r="E1807" s="422"/>
      <c r="F1807" s="423"/>
    </row>
    <row r="1808" spans="2:6" ht="18" x14ac:dyDescent="0.35">
      <c r="B1808" s="421"/>
      <c r="C1808" s="422"/>
      <c r="D1808" s="422"/>
      <c r="E1808" s="422"/>
      <c r="F1808" s="423"/>
    </row>
    <row r="1809" spans="2:6" ht="18" x14ac:dyDescent="0.35">
      <c r="B1809" s="421"/>
      <c r="C1809" s="422"/>
      <c r="D1809" s="422"/>
      <c r="E1809" s="422"/>
      <c r="F1809" s="423"/>
    </row>
    <row r="1810" spans="2:6" ht="18" x14ac:dyDescent="0.35">
      <c r="B1810" s="421"/>
      <c r="C1810" s="422"/>
      <c r="D1810" s="422"/>
      <c r="E1810" s="422"/>
      <c r="F1810" s="423"/>
    </row>
    <row r="1811" spans="2:6" ht="18" x14ac:dyDescent="0.35">
      <c r="B1811" s="421"/>
      <c r="C1811" s="422"/>
      <c r="D1811" s="422"/>
      <c r="E1811" s="422"/>
      <c r="F1811" s="423"/>
    </row>
    <row r="1812" spans="2:6" ht="18" x14ac:dyDescent="0.35">
      <c r="B1812" s="421"/>
      <c r="C1812" s="422"/>
      <c r="D1812" s="422"/>
      <c r="E1812" s="422"/>
      <c r="F1812" s="423"/>
    </row>
    <row r="1813" spans="2:6" ht="18" x14ac:dyDescent="0.35">
      <c r="B1813" s="421"/>
      <c r="C1813" s="422"/>
      <c r="D1813" s="422"/>
      <c r="E1813" s="422"/>
      <c r="F1813" s="423"/>
    </row>
    <row r="1814" spans="2:6" ht="18" x14ac:dyDescent="0.35">
      <c r="B1814" s="421"/>
      <c r="C1814" s="422"/>
      <c r="D1814" s="422"/>
      <c r="E1814" s="422"/>
      <c r="F1814" s="423"/>
    </row>
    <row r="1815" spans="2:6" ht="18" x14ac:dyDescent="0.35">
      <c r="B1815" s="421"/>
      <c r="C1815" s="422"/>
      <c r="D1815" s="422"/>
      <c r="E1815" s="422"/>
      <c r="F1815" s="423"/>
    </row>
    <row r="1816" spans="2:6" ht="18" x14ac:dyDescent="0.35">
      <c r="B1816" s="421"/>
      <c r="C1816" s="422"/>
      <c r="D1816" s="422"/>
      <c r="E1816" s="422"/>
      <c r="F1816" s="423"/>
    </row>
    <row r="1817" spans="2:6" ht="18" x14ac:dyDescent="0.35">
      <c r="B1817" s="421"/>
      <c r="C1817" s="422"/>
      <c r="D1817" s="422"/>
      <c r="E1817" s="422"/>
      <c r="F1817" s="423"/>
    </row>
    <row r="1818" spans="2:6" ht="18" x14ac:dyDescent="0.35">
      <c r="B1818" s="421"/>
      <c r="C1818" s="422"/>
      <c r="D1818" s="422"/>
      <c r="E1818" s="422"/>
      <c r="F1818" s="423"/>
    </row>
    <row r="1819" spans="2:6" ht="18" x14ac:dyDescent="0.35">
      <c r="B1819" s="421"/>
      <c r="C1819" s="422"/>
      <c r="D1819" s="422"/>
      <c r="E1819" s="422"/>
      <c r="F1819" s="423"/>
    </row>
    <row r="1820" spans="2:6" ht="18" x14ac:dyDescent="0.35">
      <c r="B1820" s="421"/>
      <c r="C1820" s="422"/>
      <c r="D1820" s="422"/>
      <c r="E1820" s="422"/>
      <c r="F1820" s="423"/>
    </row>
    <row r="1821" spans="2:6" ht="18" x14ac:dyDescent="0.35">
      <c r="B1821" s="421"/>
      <c r="C1821" s="422"/>
      <c r="D1821" s="422"/>
      <c r="E1821" s="422"/>
      <c r="F1821" s="423"/>
    </row>
    <row r="1822" spans="2:6" ht="18" x14ac:dyDescent="0.35">
      <c r="B1822" s="421"/>
      <c r="C1822" s="422"/>
      <c r="D1822" s="422"/>
      <c r="E1822" s="422"/>
      <c r="F1822" s="423"/>
    </row>
    <row r="1823" spans="2:6" ht="18" x14ac:dyDescent="0.35">
      <c r="B1823" s="421"/>
      <c r="C1823" s="422"/>
      <c r="D1823" s="422"/>
      <c r="E1823" s="422"/>
      <c r="F1823" s="423"/>
    </row>
    <row r="1824" spans="2:6" ht="18" x14ac:dyDescent="0.35">
      <c r="B1824" s="421"/>
      <c r="C1824" s="422"/>
      <c r="D1824" s="422"/>
      <c r="E1824" s="422"/>
      <c r="F1824" s="423"/>
    </row>
    <row r="1825" spans="2:6" ht="18" x14ac:dyDescent="0.35">
      <c r="B1825" s="421"/>
      <c r="C1825" s="422"/>
      <c r="D1825" s="422"/>
      <c r="E1825" s="422"/>
      <c r="F1825" s="423"/>
    </row>
    <row r="1826" spans="2:6" ht="18" x14ac:dyDescent="0.35">
      <c r="B1826" s="421"/>
      <c r="C1826" s="422"/>
      <c r="D1826" s="422"/>
      <c r="E1826" s="422"/>
      <c r="F1826" s="423"/>
    </row>
    <row r="1827" spans="2:6" ht="18" x14ac:dyDescent="0.35">
      <c r="B1827" s="421"/>
      <c r="C1827" s="422"/>
      <c r="D1827" s="422"/>
      <c r="E1827" s="422"/>
      <c r="F1827" s="423"/>
    </row>
    <row r="1828" spans="2:6" ht="18" x14ac:dyDescent="0.35">
      <c r="B1828" s="421"/>
      <c r="C1828" s="422"/>
      <c r="D1828" s="422"/>
      <c r="E1828" s="422"/>
      <c r="F1828" s="423"/>
    </row>
    <row r="1829" spans="2:6" ht="18" x14ac:dyDescent="0.35">
      <c r="B1829" s="421"/>
      <c r="C1829" s="422"/>
      <c r="D1829" s="422"/>
      <c r="E1829" s="422"/>
      <c r="F1829" s="423"/>
    </row>
    <row r="1830" spans="2:6" ht="18" x14ac:dyDescent="0.35">
      <c r="B1830" s="421"/>
      <c r="C1830" s="422"/>
      <c r="D1830" s="422"/>
      <c r="E1830" s="422"/>
      <c r="F1830" s="423"/>
    </row>
    <row r="1831" spans="2:6" ht="18" x14ac:dyDescent="0.35">
      <c r="B1831" s="421"/>
      <c r="C1831" s="422"/>
      <c r="D1831" s="422"/>
      <c r="E1831" s="422"/>
      <c r="F1831" s="423"/>
    </row>
    <row r="1832" spans="2:6" ht="18" x14ac:dyDescent="0.35">
      <c r="B1832" s="421"/>
      <c r="C1832" s="422"/>
      <c r="D1832" s="422"/>
      <c r="E1832" s="422"/>
      <c r="F1832" s="423"/>
    </row>
    <row r="1833" spans="2:6" ht="18" x14ac:dyDescent="0.35">
      <c r="B1833" s="421"/>
      <c r="C1833" s="422"/>
      <c r="D1833" s="422"/>
      <c r="E1833" s="422"/>
      <c r="F1833" s="423"/>
    </row>
    <row r="1834" spans="2:6" ht="18" x14ac:dyDescent="0.35">
      <c r="B1834" s="421"/>
      <c r="C1834" s="422"/>
      <c r="D1834" s="422"/>
      <c r="E1834" s="422"/>
      <c r="F1834" s="423"/>
    </row>
    <row r="1835" spans="2:6" ht="18" x14ac:dyDescent="0.35">
      <c r="B1835" s="421"/>
      <c r="C1835" s="422"/>
      <c r="D1835" s="422"/>
      <c r="E1835" s="422"/>
      <c r="F1835" s="423"/>
    </row>
    <row r="1836" spans="2:6" ht="18" x14ac:dyDescent="0.35">
      <c r="B1836" s="421"/>
      <c r="C1836" s="422"/>
      <c r="D1836" s="422"/>
      <c r="E1836" s="422"/>
      <c r="F1836" s="423"/>
    </row>
    <row r="1837" spans="2:6" ht="18" x14ac:dyDescent="0.35">
      <c r="B1837" s="421"/>
      <c r="C1837" s="422"/>
      <c r="D1837" s="422"/>
      <c r="E1837" s="422"/>
      <c r="F1837" s="423"/>
    </row>
    <row r="1838" spans="2:6" ht="18" x14ac:dyDescent="0.35">
      <c r="B1838" s="421"/>
      <c r="C1838" s="422"/>
      <c r="D1838" s="422"/>
      <c r="E1838" s="422"/>
      <c r="F1838" s="423"/>
    </row>
    <row r="1839" spans="2:6" ht="18" x14ac:dyDescent="0.35">
      <c r="B1839" s="421"/>
      <c r="C1839" s="422"/>
      <c r="D1839" s="422"/>
      <c r="E1839" s="422"/>
      <c r="F1839" s="423"/>
    </row>
    <row r="1840" spans="2:6" ht="18" x14ac:dyDescent="0.35">
      <c r="B1840" s="421"/>
      <c r="C1840" s="422"/>
      <c r="D1840" s="422"/>
      <c r="E1840" s="422"/>
      <c r="F1840" s="423"/>
    </row>
    <row r="1841" spans="2:6" ht="18" x14ac:dyDescent="0.35">
      <c r="B1841" s="421"/>
      <c r="C1841" s="422"/>
      <c r="D1841" s="422"/>
      <c r="E1841" s="422"/>
      <c r="F1841" s="423"/>
    </row>
    <row r="1842" spans="2:6" ht="18" x14ac:dyDescent="0.35">
      <c r="B1842" s="421"/>
      <c r="C1842" s="422"/>
      <c r="D1842" s="422"/>
      <c r="E1842" s="422"/>
      <c r="F1842" s="423"/>
    </row>
    <row r="1843" spans="2:6" ht="18" x14ac:dyDescent="0.35">
      <c r="B1843" s="421"/>
      <c r="C1843" s="422"/>
      <c r="D1843" s="422"/>
      <c r="E1843" s="422"/>
      <c r="F1843" s="423"/>
    </row>
    <row r="1844" spans="2:6" ht="18" x14ac:dyDescent="0.35">
      <c r="B1844" s="421"/>
      <c r="C1844" s="422"/>
      <c r="D1844" s="422"/>
      <c r="E1844" s="422"/>
      <c r="F1844" s="423"/>
    </row>
    <row r="1845" spans="2:6" ht="18" x14ac:dyDescent="0.35">
      <c r="B1845" s="421"/>
      <c r="C1845" s="422"/>
      <c r="D1845" s="422"/>
      <c r="E1845" s="422"/>
      <c r="F1845" s="423"/>
    </row>
    <row r="1846" spans="2:6" ht="18" x14ac:dyDescent="0.35">
      <c r="B1846" s="421"/>
      <c r="C1846" s="422"/>
      <c r="D1846" s="422"/>
      <c r="E1846" s="422"/>
      <c r="F1846" s="423"/>
    </row>
    <row r="1847" spans="2:6" ht="18" x14ac:dyDescent="0.35">
      <c r="B1847" s="421"/>
      <c r="C1847" s="422"/>
      <c r="D1847" s="422"/>
      <c r="E1847" s="422"/>
      <c r="F1847" s="423"/>
    </row>
    <row r="1848" spans="2:6" ht="18" x14ac:dyDescent="0.35">
      <c r="B1848" s="421"/>
      <c r="C1848" s="422"/>
      <c r="D1848" s="422"/>
      <c r="E1848" s="422"/>
      <c r="F1848" s="423"/>
    </row>
    <row r="1849" spans="2:6" ht="18" x14ac:dyDescent="0.35">
      <c r="B1849" s="421"/>
      <c r="C1849" s="422"/>
      <c r="D1849" s="422"/>
      <c r="E1849" s="422"/>
      <c r="F1849" s="423"/>
    </row>
    <row r="1850" spans="2:6" ht="18" x14ac:dyDescent="0.35">
      <c r="B1850" s="421"/>
      <c r="C1850" s="422"/>
      <c r="D1850" s="422"/>
      <c r="E1850" s="422"/>
      <c r="F1850" s="423"/>
    </row>
    <row r="1851" spans="2:6" ht="18" x14ac:dyDescent="0.35">
      <c r="B1851" s="421"/>
      <c r="C1851" s="422"/>
      <c r="D1851" s="422"/>
      <c r="E1851" s="422"/>
      <c r="F1851" s="423"/>
    </row>
    <row r="1852" spans="2:6" ht="18" x14ac:dyDescent="0.35">
      <c r="B1852" s="421"/>
      <c r="C1852" s="422"/>
      <c r="D1852" s="422"/>
      <c r="E1852" s="422"/>
      <c r="F1852" s="423"/>
    </row>
    <row r="1853" spans="2:6" ht="18" x14ac:dyDescent="0.35">
      <c r="B1853" s="421"/>
      <c r="C1853" s="422"/>
      <c r="D1853" s="422"/>
      <c r="E1853" s="422"/>
      <c r="F1853" s="423"/>
    </row>
    <row r="1854" spans="2:6" ht="18" x14ac:dyDescent="0.35">
      <c r="B1854" s="421"/>
      <c r="C1854" s="422"/>
      <c r="D1854" s="422"/>
      <c r="E1854" s="422"/>
      <c r="F1854" s="423"/>
    </row>
    <row r="1855" spans="2:6" ht="18" x14ac:dyDescent="0.35">
      <c r="B1855" s="421"/>
      <c r="C1855" s="422"/>
      <c r="D1855" s="422"/>
      <c r="E1855" s="422"/>
      <c r="F1855" s="423"/>
    </row>
    <row r="1856" spans="2:6" ht="18" x14ac:dyDescent="0.35">
      <c r="B1856" s="421"/>
      <c r="C1856" s="422"/>
      <c r="D1856" s="422"/>
      <c r="E1856" s="422"/>
      <c r="F1856" s="423"/>
    </row>
    <row r="1857" spans="2:6" ht="18" x14ac:dyDescent="0.35">
      <c r="B1857" s="421"/>
      <c r="C1857" s="422"/>
      <c r="D1857" s="422"/>
      <c r="E1857" s="422"/>
      <c r="F1857" s="423"/>
    </row>
    <row r="1858" spans="2:6" ht="18" x14ac:dyDescent="0.35">
      <c r="B1858" s="421"/>
      <c r="C1858" s="422"/>
      <c r="D1858" s="422"/>
      <c r="E1858" s="422"/>
      <c r="F1858" s="423"/>
    </row>
    <row r="1859" spans="2:6" ht="18" x14ac:dyDescent="0.35">
      <c r="B1859" s="421"/>
      <c r="C1859" s="422"/>
      <c r="D1859" s="422"/>
      <c r="E1859" s="422"/>
      <c r="F1859" s="423"/>
    </row>
    <row r="1860" spans="2:6" ht="18" x14ac:dyDescent="0.35">
      <c r="B1860" s="421"/>
      <c r="C1860" s="422"/>
      <c r="D1860" s="422"/>
      <c r="E1860" s="422"/>
      <c r="F1860" s="423"/>
    </row>
    <row r="1861" spans="2:6" ht="18" x14ac:dyDescent="0.35">
      <c r="B1861" s="421"/>
      <c r="C1861" s="422"/>
      <c r="D1861" s="422"/>
      <c r="E1861" s="422"/>
      <c r="F1861" s="423"/>
    </row>
    <row r="1862" spans="2:6" ht="18" x14ac:dyDescent="0.35">
      <c r="B1862" s="421"/>
      <c r="C1862" s="422"/>
      <c r="D1862" s="422"/>
      <c r="E1862" s="422"/>
      <c r="F1862" s="423"/>
    </row>
    <row r="1863" spans="2:6" ht="18" x14ac:dyDescent="0.35">
      <c r="B1863" s="421"/>
      <c r="C1863" s="422"/>
      <c r="D1863" s="422"/>
      <c r="E1863" s="422"/>
      <c r="F1863" s="423"/>
    </row>
    <row r="1864" spans="2:6" ht="18" x14ac:dyDescent="0.35">
      <c r="B1864" s="421"/>
      <c r="C1864" s="422"/>
      <c r="D1864" s="422"/>
      <c r="E1864" s="422"/>
      <c r="F1864" s="423"/>
    </row>
    <row r="1865" spans="2:6" ht="18" x14ac:dyDescent="0.35">
      <c r="B1865" s="421"/>
      <c r="C1865" s="422"/>
      <c r="D1865" s="422"/>
      <c r="E1865" s="422"/>
      <c r="F1865" s="423"/>
    </row>
    <row r="1866" spans="2:6" ht="18" x14ac:dyDescent="0.35">
      <c r="B1866" s="421"/>
      <c r="C1866" s="422"/>
      <c r="D1866" s="422"/>
      <c r="E1866" s="422"/>
      <c r="F1866" s="423"/>
    </row>
    <row r="1867" spans="2:6" ht="18" x14ac:dyDescent="0.35">
      <c r="B1867" s="421"/>
      <c r="C1867" s="422"/>
      <c r="D1867" s="422"/>
      <c r="E1867" s="422"/>
      <c r="F1867" s="423"/>
    </row>
    <row r="1868" spans="2:6" ht="18" x14ac:dyDescent="0.35">
      <c r="B1868" s="421"/>
      <c r="C1868" s="422"/>
      <c r="D1868" s="422"/>
      <c r="E1868" s="422"/>
      <c r="F1868" s="423"/>
    </row>
    <row r="1869" spans="2:6" ht="18" x14ac:dyDescent="0.35">
      <c r="B1869" s="421"/>
      <c r="C1869" s="422"/>
      <c r="D1869" s="422"/>
      <c r="E1869" s="422"/>
      <c r="F1869" s="423"/>
    </row>
    <row r="1870" spans="2:6" ht="18" x14ac:dyDescent="0.35">
      <c r="B1870" s="421"/>
      <c r="C1870" s="422"/>
      <c r="D1870" s="422"/>
      <c r="E1870" s="422"/>
      <c r="F1870" s="423"/>
    </row>
    <row r="1871" spans="2:6" ht="18" x14ac:dyDescent="0.35">
      <c r="B1871" s="421"/>
      <c r="C1871" s="422"/>
      <c r="D1871" s="422"/>
      <c r="E1871" s="422"/>
      <c r="F1871" s="423"/>
    </row>
    <row r="1872" spans="2:6" ht="18" x14ac:dyDescent="0.35">
      <c r="B1872" s="421"/>
      <c r="C1872" s="422"/>
      <c r="D1872" s="422"/>
      <c r="E1872" s="422"/>
      <c r="F1872" s="423"/>
    </row>
    <row r="1873" spans="2:6" ht="18" x14ac:dyDescent="0.35">
      <c r="B1873" s="421"/>
      <c r="C1873" s="422"/>
      <c r="D1873" s="422"/>
      <c r="E1873" s="422"/>
      <c r="F1873" s="423"/>
    </row>
    <row r="1874" spans="2:6" ht="18" x14ac:dyDescent="0.35">
      <c r="B1874" s="421"/>
      <c r="C1874" s="422"/>
      <c r="D1874" s="422"/>
      <c r="E1874" s="422"/>
      <c r="F1874" s="423"/>
    </row>
    <row r="1875" spans="2:6" ht="18" x14ac:dyDescent="0.35">
      <c r="B1875" s="421"/>
      <c r="C1875" s="422"/>
      <c r="D1875" s="422"/>
      <c r="E1875" s="422"/>
      <c r="F1875" s="423"/>
    </row>
    <row r="1876" spans="2:6" ht="18" x14ac:dyDescent="0.35">
      <c r="B1876" s="421"/>
      <c r="C1876" s="422"/>
      <c r="D1876" s="422"/>
      <c r="E1876" s="422"/>
      <c r="F1876" s="423"/>
    </row>
    <row r="1877" spans="2:6" ht="18" x14ac:dyDescent="0.35">
      <c r="B1877" s="421"/>
      <c r="C1877" s="422"/>
      <c r="D1877" s="422"/>
      <c r="E1877" s="422"/>
      <c r="F1877" s="423"/>
    </row>
    <row r="1878" spans="2:6" ht="18" x14ac:dyDescent="0.35">
      <c r="B1878" s="421"/>
      <c r="C1878" s="422"/>
      <c r="D1878" s="422"/>
      <c r="E1878" s="422"/>
      <c r="F1878" s="423"/>
    </row>
    <row r="1879" spans="2:6" ht="18" x14ac:dyDescent="0.35">
      <c r="B1879" s="421"/>
      <c r="C1879" s="422"/>
      <c r="D1879" s="422"/>
      <c r="E1879" s="422"/>
      <c r="F1879" s="423"/>
    </row>
    <row r="1880" spans="2:6" ht="18" x14ac:dyDescent="0.35">
      <c r="B1880" s="421"/>
      <c r="C1880" s="422"/>
      <c r="D1880" s="422"/>
      <c r="E1880" s="422"/>
      <c r="F1880" s="423"/>
    </row>
    <row r="1881" spans="2:6" ht="18" x14ac:dyDescent="0.35">
      <c r="B1881" s="421"/>
      <c r="C1881" s="422"/>
      <c r="D1881" s="422"/>
      <c r="E1881" s="422"/>
      <c r="F1881" s="423"/>
    </row>
    <row r="1882" spans="2:6" ht="18" x14ac:dyDescent="0.35">
      <c r="B1882" s="421"/>
      <c r="C1882" s="422"/>
      <c r="D1882" s="422"/>
      <c r="E1882" s="422"/>
      <c r="F1882" s="423"/>
    </row>
    <row r="1883" spans="2:6" ht="18" x14ac:dyDescent="0.35">
      <c r="B1883" s="421"/>
      <c r="C1883" s="422"/>
      <c r="D1883" s="422"/>
      <c r="E1883" s="422"/>
      <c r="F1883" s="423"/>
    </row>
    <row r="1884" spans="2:6" ht="18" x14ac:dyDescent="0.35">
      <c r="B1884" s="421"/>
      <c r="C1884" s="422"/>
      <c r="D1884" s="422"/>
      <c r="E1884" s="422"/>
      <c r="F1884" s="423"/>
    </row>
    <row r="1885" spans="2:6" ht="18" x14ac:dyDescent="0.35">
      <c r="B1885" s="421"/>
      <c r="C1885" s="422"/>
      <c r="D1885" s="422"/>
      <c r="E1885" s="422"/>
      <c r="F1885" s="423"/>
    </row>
    <row r="1886" spans="2:6" ht="18" x14ac:dyDescent="0.35">
      <c r="B1886" s="421"/>
      <c r="C1886" s="422"/>
      <c r="D1886" s="422"/>
      <c r="E1886" s="422"/>
      <c r="F1886" s="423"/>
    </row>
    <row r="1887" spans="2:6" ht="18" x14ac:dyDescent="0.35">
      <c r="B1887" s="421"/>
      <c r="C1887" s="422"/>
      <c r="D1887" s="422"/>
      <c r="E1887" s="422"/>
      <c r="F1887" s="423"/>
    </row>
    <row r="1888" spans="2:6" ht="18" x14ac:dyDescent="0.35">
      <c r="B1888" s="421"/>
      <c r="C1888" s="422"/>
      <c r="D1888" s="422"/>
      <c r="E1888" s="422"/>
      <c r="F1888" s="423"/>
    </row>
    <row r="1889" spans="2:6" ht="18" x14ac:dyDescent="0.35">
      <c r="B1889" s="421"/>
      <c r="C1889" s="422"/>
      <c r="D1889" s="422"/>
      <c r="E1889" s="422"/>
      <c r="F1889" s="423"/>
    </row>
    <row r="1890" spans="2:6" ht="18" x14ac:dyDescent="0.35">
      <c r="B1890" s="421"/>
      <c r="C1890" s="422"/>
      <c r="D1890" s="422"/>
      <c r="E1890" s="422"/>
      <c r="F1890" s="423"/>
    </row>
    <row r="1891" spans="2:6" ht="18" x14ac:dyDescent="0.35">
      <c r="B1891" s="421"/>
      <c r="C1891" s="422"/>
      <c r="D1891" s="422"/>
      <c r="E1891" s="422"/>
      <c r="F1891" s="423"/>
    </row>
    <row r="1892" spans="2:6" ht="18" x14ac:dyDescent="0.35">
      <c r="B1892" s="421"/>
      <c r="C1892" s="422"/>
      <c r="D1892" s="422"/>
      <c r="E1892" s="422"/>
      <c r="F1892" s="423"/>
    </row>
    <row r="1893" spans="2:6" ht="18" x14ac:dyDescent="0.35">
      <c r="B1893" s="421"/>
      <c r="C1893" s="422"/>
      <c r="D1893" s="422"/>
      <c r="E1893" s="422"/>
      <c r="F1893" s="423"/>
    </row>
    <row r="1894" spans="2:6" ht="18" x14ac:dyDescent="0.35">
      <c r="B1894" s="421"/>
      <c r="C1894" s="422"/>
      <c r="D1894" s="422"/>
      <c r="E1894" s="422"/>
      <c r="F1894" s="423"/>
    </row>
    <row r="1895" spans="2:6" ht="18" x14ac:dyDescent="0.35">
      <c r="B1895" s="421"/>
      <c r="C1895" s="422"/>
      <c r="D1895" s="422"/>
      <c r="E1895" s="422"/>
      <c r="F1895" s="423"/>
    </row>
    <row r="1896" spans="2:6" ht="18" x14ac:dyDescent="0.35">
      <c r="B1896" s="421"/>
      <c r="C1896" s="422"/>
      <c r="D1896" s="422"/>
      <c r="E1896" s="422"/>
      <c r="F1896" s="423"/>
    </row>
    <row r="1897" spans="2:6" ht="18" x14ac:dyDescent="0.35">
      <c r="B1897" s="421"/>
      <c r="C1897" s="422"/>
      <c r="D1897" s="422"/>
      <c r="E1897" s="422"/>
      <c r="F1897" s="423"/>
    </row>
    <row r="1898" spans="2:6" ht="18" x14ac:dyDescent="0.35">
      <c r="B1898" s="421"/>
      <c r="C1898" s="422"/>
      <c r="D1898" s="422"/>
      <c r="E1898" s="422"/>
      <c r="F1898" s="423"/>
    </row>
    <row r="1899" spans="2:6" ht="18" x14ac:dyDescent="0.35">
      <c r="B1899" s="421"/>
      <c r="C1899" s="422"/>
      <c r="D1899" s="422"/>
      <c r="E1899" s="422"/>
      <c r="F1899" s="423"/>
    </row>
    <row r="1900" spans="2:6" ht="18" x14ac:dyDescent="0.35">
      <c r="B1900" s="421"/>
      <c r="C1900" s="422"/>
      <c r="D1900" s="422"/>
      <c r="E1900" s="422"/>
      <c r="F1900" s="423"/>
    </row>
    <row r="1901" spans="2:6" ht="18" x14ac:dyDescent="0.35">
      <c r="B1901" s="421"/>
      <c r="C1901" s="422"/>
      <c r="D1901" s="422"/>
      <c r="E1901" s="422"/>
      <c r="F1901" s="423"/>
    </row>
    <row r="1902" spans="2:6" ht="18" x14ac:dyDescent="0.35">
      <c r="B1902" s="421"/>
      <c r="C1902" s="422"/>
      <c r="D1902" s="422"/>
      <c r="E1902" s="422"/>
      <c r="F1902" s="423"/>
    </row>
    <row r="1903" spans="2:6" ht="18" x14ac:dyDescent="0.35">
      <c r="B1903" s="421"/>
      <c r="C1903" s="422"/>
      <c r="D1903" s="422"/>
      <c r="E1903" s="422"/>
      <c r="F1903" s="423"/>
    </row>
    <row r="1904" spans="2:6" ht="18" x14ac:dyDescent="0.35">
      <c r="B1904" s="421"/>
      <c r="C1904" s="422"/>
      <c r="D1904" s="422"/>
      <c r="E1904" s="422"/>
      <c r="F1904" s="423"/>
    </row>
    <row r="1905" spans="2:6" ht="18" x14ac:dyDescent="0.35">
      <c r="B1905" s="421"/>
      <c r="C1905" s="422"/>
      <c r="D1905" s="422"/>
      <c r="E1905" s="422"/>
      <c r="F1905" s="423"/>
    </row>
    <row r="1906" spans="2:6" ht="18" x14ac:dyDescent="0.35">
      <c r="B1906" s="421"/>
      <c r="C1906" s="422"/>
      <c r="D1906" s="422"/>
      <c r="E1906" s="422"/>
      <c r="F1906" s="423"/>
    </row>
    <row r="1907" spans="2:6" ht="18" x14ac:dyDescent="0.35">
      <c r="B1907" s="421"/>
      <c r="C1907" s="422"/>
      <c r="D1907" s="422"/>
      <c r="E1907" s="422"/>
      <c r="F1907" s="423"/>
    </row>
    <row r="1908" spans="2:6" ht="18" x14ac:dyDescent="0.35">
      <c r="B1908" s="421"/>
      <c r="C1908" s="422"/>
      <c r="D1908" s="422"/>
      <c r="E1908" s="422"/>
      <c r="F1908" s="423"/>
    </row>
    <row r="1909" spans="2:6" ht="18" x14ac:dyDescent="0.35">
      <c r="B1909" s="421"/>
      <c r="C1909" s="422"/>
      <c r="D1909" s="422"/>
      <c r="E1909" s="422"/>
      <c r="F1909" s="423"/>
    </row>
    <row r="1910" spans="2:6" ht="18" x14ac:dyDescent="0.35">
      <c r="B1910" s="421"/>
      <c r="C1910" s="422"/>
      <c r="D1910" s="422"/>
      <c r="E1910" s="422"/>
      <c r="F1910" s="423"/>
    </row>
    <row r="1911" spans="2:6" ht="18" x14ac:dyDescent="0.35">
      <c r="B1911" s="421"/>
      <c r="C1911" s="422"/>
      <c r="D1911" s="422"/>
      <c r="E1911" s="422"/>
      <c r="F1911" s="423"/>
    </row>
    <row r="1912" spans="2:6" ht="18" x14ac:dyDescent="0.35">
      <c r="B1912" s="421"/>
      <c r="C1912" s="422"/>
      <c r="D1912" s="422"/>
      <c r="E1912" s="422"/>
      <c r="F1912" s="423"/>
    </row>
    <row r="1913" spans="2:6" ht="18" x14ac:dyDescent="0.35">
      <c r="B1913" s="421"/>
      <c r="C1913" s="422"/>
      <c r="D1913" s="422"/>
      <c r="E1913" s="422"/>
      <c r="F1913" s="423"/>
    </row>
    <row r="1914" spans="2:6" ht="18" x14ac:dyDescent="0.35">
      <c r="B1914" s="421"/>
      <c r="C1914" s="422"/>
      <c r="D1914" s="422"/>
      <c r="E1914" s="422"/>
      <c r="F1914" s="423"/>
    </row>
    <row r="1915" spans="2:6" ht="18" x14ac:dyDescent="0.35">
      <c r="B1915" s="421"/>
      <c r="C1915" s="422"/>
      <c r="D1915" s="422"/>
      <c r="E1915" s="422"/>
      <c r="F1915" s="423"/>
    </row>
    <row r="1916" spans="2:6" ht="18" x14ac:dyDescent="0.35">
      <c r="B1916" s="421"/>
      <c r="C1916" s="422"/>
      <c r="D1916" s="422"/>
      <c r="E1916" s="422"/>
      <c r="F1916" s="423"/>
    </row>
    <row r="1917" spans="2:6" ht="18" x14ac:dyDescent="0.35">
      <c r="B1917" s="421"/>
      <c r="C1917" s="422"/>
      <c r="D1917" s="422"/>
      <c r="E1917" s="422"/>
      <c r="F1917" s="423"/>
    </row>
    <row r="1918" spans="2:6" ht="18" x14ac:dyDescent="0.35">
      <c r="B1918" s="421"/>
      <c r="C1918" s="422"/>
      <c r="D1918" s="422"/>
      <c r="E1918" s="422"/>
      <c r="F1918" s="423"/>
    </row>
    <row r="1919" spans="2:6" ht="18" x14ac:dyDescent="0.35">
      <c r="B1919" s="421"/>
      <c r="C1919" s="422"/>
      <c r="D1919" s="422"/>
      <c r="E1919" s="422"/>
      <c r="F1919" s="423"/>
    </row>
    <row r="1920" spans="2:6" ht="18" x14ac:dyDescent="0.35">
      <c r="B1920" s="421"/>
      <c r="C1920" s="422"/>
      <c r="D1920" s="422"/>
      <c r="E1920" s="422"/>
      <c r="F1920" s="423"/>
    </row>
    <row r="1921" spans="2:6" ht="18" x14ac:dyDescent="0.35">
      <c r="B1921" s="421"/>
      <c r="C1921" s="422"/>
      <c r="D1921" s="422"/>
      <c r="E1921" s="422"/>
      <c r="F1921" s="423"/>
    </row>
    <row r="1922" spans="2:6" ht="18" x14ac:dyDescent="0.35">
      <c r="B1922" s="421"/>
      <c r="C1922" s="422"/>
      <c r="D1922" s="422"/>
      <c r="E1922" s="422"/>
      <c r="F1922" s="423"/>
    </row>
    <row r="1923" spans="2:6" ht="18" x14ac:dyDescent="0.35">
      <c r="B1923" s="421"/>
      <c r="C1923" s="422"/>
      <c r="D1923" s="422"/>
      <c r="E1923" s="422"/>
      <c r="F1923" s="423"/>
    </row>
    <row r="1924" spans="2:6" ht="18" x14ac:dyDescent="0.35">
      <c r="B1924" s="421"/>
      <c r="C1924" s="422"/>
      <c r="D1924" s="422"/>
      <c r="E1924" s="422"/>
      <c r="F1924" s="423"/>
    </row>
    <row r="1925" spans="2:6" ht="18" x14ac:dyDescent="0.35">
      <c r="B1925" s="421"/>
      <c r="C1925" s="422"/>
      <c r="D1925" s="422"/>
      <c r="E1925" s="422"/>
      <c r="F1925" s="423"/>
    </row>
    <row r="1926" spans="2:6" ht="18" x14ac:dyDescent="0.35">
      <c r="B1926" s="421"/>
      <c r="C1926" s="422"/>
      <c r="D1926" s="422"/>
      <c r="E1926" s="422"/>
      <c r="F1926" s="423"/>
    </row>
    <row r="1927" spans="2:6" ht="18" x14ac:dyDescent="0.35">
      <c r="B1927" s="421"/>
      <c r="C1927" s="422"/>
      <c r="D1927" s="422"/>
      <c r="E1927" s="422"/>
      <c r="F1927" s="423"/>
    </row>
    <row r="1928" spans="2:6" ht="18" x14ac:dyDescent="0.35">
      <c r="B1928" s="421"/>
      <c r="C1928" s="422"/>
      <c r="D1928" s="422"/>
      <c r="E1928" s="422"/>
      <c r="F1928" s="423"/>
    </row>
    <row r="1929" spans="2:6" ht="18" x14ac:dyDescent="0.35">
      <c r="B1929" s="421"/>
      <c r="C1929" s="422"/>
      <c r="D1929" s="422"/>
      <c r="E1929" s="422"/>
      <c r="F1929" s="423"/>
    </row>
    <row r="1930" spans="2:6" ht="18" x14ac:dyDescent="0.35">
      <c r="B1930" s="421"/>
      <c r="C1930" s="422"/>
      <c r="D1930" s="422"/>
      <c r="E1930" s="422"/>
      <c r="F1930" s="423"/>
    </row>
    <row r="1931" spans="2:6" ht="18" x14ac:dyDescent="0.35">
      <c r="B1931" s="421"/>
      <c r="C1931" s="422"/>
      <c r="D1931" s="422"/>
      <c r="E1931" s="422"/>
      <c r="F1931" s="423"/>
    </row>
    <row r="1932" spans="2:6" ht="18" x14ac:dyDescent="0.35">
      <c r="B1932" s="421"/>
      <c r="C1932" s="422"/>
      <c r="D1932" s="422"/>
      <c r="E1932" s="422"/>
      <c r="F1932" s="423"/>
    </row>
    <row r="1933" spans="2:6" ht="18" x14ac:dyDescent="0.35">
      <c r="B1933" s="421"/>
      <c r="C1933" s="422"/>
      <c r="D1933" s="422"/>
      <c r="E1933" s="422"/>
      <c r="F1933" s="423"/>
    </row>
    <row r="1934" spans="2:6" ht="18" x14ac:dyDescent="0.35">
      <c r="B1934" s="421"/>
      <c r="C1934" s="422"/>
      <c r="D1934" s="422"/>
      <c r="E1934" s="422"/>
      <c r="F1934" s="423"/>
    </row>
    <row r="1935" spans="2:6" ht="18" x14ac:dyDescent="0.35">
      <c r="B1935" s="421"/>
      <c r="C1935" s="422"/>
      <c r="D1935" s="422"/>
      <c r="E1935" s="422"/>
      <c r="F1935" s="423"/>
    </row>
    <row r="1936" spans="2:6" ht="18" x14ac:dyDescent="0.35">
      <c r="B1936" s="421"/>
      <c r="C1936" s="422"/>
      <c r="D1936" s="422"/>
      <c r="E1936" s="422"/>
      <c r="F1936" s="423"/>
    </row>
    <row r="1937" spans="2:6" ht="18" x14ac:dyDescent="0.35">
      <c r="B1937" s="421"/>
      <c r="C1937" s="422"/>
      <c r="D1937" s="422"/>
      <c r="E1937" s="422"/>
      <c r="F1937" s="423"/>
    </row>
    <row r="1938" spans="2:6" ht="18" x14ac:dyDescent="0.35">
      <c r="B1938" s="421"/>
      <c r="C1938" s="422"/>
      <c r="D1938" s="422"/>
      <c r="E1938" s="422"/>
      <c r="F1938" s="423"/>
    </row>
    <row r="1939" spans="2:6" ht="18" x14ac:dyDescent="0.35">
      <c r="B1939" s="421"/>
      <c r="C1939" s="422"/>
      <c r="D1939" s="422"/>
      <c r="E1939" s="422"/>
      <c r="F1939" s="423"/>
    </row>
    <row r="1940" spans="2:6" ht="18" x14ac:dyDescent="0.35">
      <c r="B1940" s="421"/>
      <c r="C1940" s="422"/>
      <c r="D1940" s="422"/>
      <c r="E1940" s="422"/>
      <c r="F1940" s="423"/>
    </row>
    <row r="1941" spans="2:6" ht="18" x14ac:dyDescent="0.35">
      <c r="B1941" s="421"/>
      <c r="C1941" s="422"/>
      <c r="D1941" s="422"/>
      <c r="E1941" s="422"/>
      <c r="F1941" s="423"/>
    </row>
    <row r="1942" spans="2:6" ht="18" x14ac:dyDescent="0.35">
      <c r="B1942" s="421"/>
      <c r="C1942" s="422"/>
      <c r="D1942" s="422"/>
      <c r="E1942" s="422"/>
      <c r="F1942" s="423"/>
    </row>
    <row r="1943" spans="2:6" ht="18" x14ac:dyDescent="0.35">
      <c r="B1943" s="421"/>
      <c r="C1943" s="422"/>
      <c r="D1943" s="422"/>
      <c r="E1943" s="422"/>
      <c r="F1943" s="423"/>
    </row>
    <row r="1944" spans="2:6" ht="18" x14ac:dyDescent="0.35">
      <c r="B1944" s="421"/>
      <c r="C1944" s="422"/>
      <c r="D1944" s="422"/>
      <c r="E1944" s="422"/>
      <c r="F1944" s="423"/>
    </row>
    <row r="1945" spans="2:6" ht="18" x14ac:dyDescent="0.35">
      <c r="B1945" s="421"/>
      <c r="C1945" s="422"/>
      <c r="D1945" s="422"/>
      <c r="E1945" s="422"/>
      <c r="F1945" s="423"/>
    </row>
    <row r="1946" spans="2:6" ht="18" x14ac:dyDescent="0.35">
      <c r="B1946" s="421"/>
      <c r="C1946" s="422"/>
      <c r="D1946" s="422"/>
      <c r="E1946" s="422"/>
      <c r="F1946" s="423"/>
    </row>
    <row r="1947" spans="2:6" ht="18" x14ac:dyDescent="0.35">
      <c r="B1947" s="421"/>
      <c r="C1947" s="422"/>
      <c r="D1947" s="422"/>
      <c r="E1947" s="422"/>
      <c r="F1947" s="423"/>
    </row>
    <row r="1948" spans="2:6" ht="18" x14ac:dyDescent="0.35">
      <c r="B1948" s="421"/>
      <c r="C1948" s="422"/>
      <c r="D1948" s="422"/>
      <c r="E1948" s="422"/>
      <c r="F1948" s="423"/>
    </row>
    <row r="1949" spans="2:6" ht="18" x14ac:dyDescent="0.35">
      <c r="B1949" s="421"/>
      <c r="C1949" s="422"/>
      <c r="D1949" s="422"/>
      <c r="E1949" s="422"/>
      <c r="F1949" s="423"/>
    </row>
    <row r="1950" spans="2:6" ht="18" x14ac:dyDescent="0.35">
      <c r="B1950" s="421"/>
      <c r="C1950" s="422"/>
      <c r="D1950" s="422"/>
      <c r="E1950" s="422"/>
      <c r="F1950" s="423"/>
    </row>
    <row r="1951" spans="2:6" ht="18" x14ac:dyDescent="0.35">
      <c r="B1951" s="421"/>
      <c r="C1951" s="422"/>
      <c r="D1951" s="422"/>
      <c r="E1951" s="422"/>
      <c r="F1951" s="423"/>
    </row>
    <row r="1952" spans="2:6" ht="18" x14ac:dyDescent="0.35">
      <c r="B1952" s="421"/>
      <c r="C1952" s="422"/>
      <c r="D1952" s="422"/>
      <c r="E1952" s="422"/>
      <c r="F1952" s="423"/>
    </row>
    <row r="1953" spans="2:6" ht="18" x14ac:dyDescent="0.35">
      <c r="B1953" s="421"/>
      <c r="C1953" s="422"/>
      <c r="D1953" s="422"/>
      <c r="E1953" s="422"/>
      <c r="F1953" s="423"/>
    </row>
    <row r="1954" spans="2:6" ht="18" x14ac:dyDescent="0.35">
      <c r="B1954" s="421"/>
      <c r="C1954" s="422"/>
      <c r="D1954" s="422"/>
      <c r="E1954" s="422"/>
      <c r="F1954" s="423"/>
    </row>
    <row r="1955" spans="2:6" ht="18" x14ac:dyDescent="0.35">
      <c r="B1955" s="421"/>
      <c r="C1955" s="422"/>
      <c r="D1955" s="422"/>
      <c r="E1955" s="422"/>
      <c r="F1955" s="423"/>
    </row>
    <row r="1956" spans="2:6" ht="18" x14ac:dyDescent="0.35">
      <c r="B1956" s="421"/>
      <c r="C1956" s="422"/>
      <c r="D1956" s="422"/>
      <c r="E1956" s="422"/>
      <c r="F1956" s="423"/>
    </row>
    <row r="1957" spans="2:6" ht="18" x14ac:dyDescent="0.35">
      <c r="B1957" s="421"/>
      <c r="C1957" s="422"/>
      <c r="D1957" s="422"/>
      <c r="E1957" s="422"/>
      <c r="F1957" s="423"/>
    </row>
    <row r="1958" spans="2:6" ht="18" x14ac:dyDescent="0.35">
      <c r="B1958" s="421"/>
      <c r="C1958" s="422"/>
      <c r="D1958" s="422"/>
      <c r="E1958" s="422"/>
      <c r="F1958" s="423"/>
    </row>
    <row r="1959" spans="2:6" ht="18" x14ac:dyDescent="0.35">
      <c r="B1959" s="421"/>
      <c r="C1959" s="422"/>
      <c r="D1959" s="422"/>
      <c r="E1959" s="422"/>
      <c r="F1959" s="423"/>
    </row>
    <row r="1960" spans="2:6" ht="18" x14ac:dyDescent="0.35">
      <c r="B1960" s="421"/>
      <c r="C1960" s="422"/>
      <c r="D1960" s="422"/>
      <c r="E1960" s="422"/>
      <c r="F1960" s="423"/>
    </row>
    <row r="1961" spans="2:6" ht="18" x14ac:dyDescent="0.35">
      <c r="B1961" s="421"/>
      <c r="C1961" s="422"/>
      <c r="D1961" s="422"/>
      <c r="E1961" s="422"/>
      <c r="F1961" s="423"/>
    </row>
    <row r="1962" spans="2:6" ht="18" x14ac:dyDescent="0.35">
      <c r="B1962" s="421"/>
      <c r="C1962" s="422"/>
      <c r="D1962" s="422"/>
      <c r="E1962" s="422"/>
      <c r="F1962" s="423"/>
    </row>
    <row r="1963" spans="2:6" ht="18" x14ac:dyDescent="0.35">
      <c r="B1963" s="421"/>
      <c r="C1963" s="422"/>
      <c r="D1963" s="422"/>
      <c r="E1963" s="422"/>
      <c r="F1963" s="423"/>
    </row>
    <row r="1964" spans="2:6" ht="18" x14ac:dyDescent="0.35">
      <c r="B1964" s="421"/>
      <c r="C1964" s="422"/>
      <c r="D1964" s="422"/>
      <c r="E1964" s="422"/>
      <c r="F1964" s="423"/>
    </row>
    <row r="1965" spans="2:6" ht="18" x14ac:dyDescent="0.35">
      <c r="B1965" s="421"/>
      <c r="C1965" s="422"/>
      <c r="D1965" s="422"/>
      <c r="E1965" s="422"/>
      <c r="F1965" s="423"/>
    </row>
    <row r="1966" spans="2:6" ht="18" x14ac:dyDescent="0.35">
      <c r="B1966" s="421"/>
      <c r="C1966" s="422"/>
      <c r="D1966" s="422"/>
      <c r="E1966" s="422"/>
      <c r="F1966" s="423"/>
    </row>
    <row r="1967" spans="2:6" ht="18" x14ac:dyDescent="0.35">
      <c r="B1967" s="421"/>
      <c r="C1967" s="422"/>
      <c r="D1967" s="422"/>
      <c r="E1967" s="422"/>
      <c r="F1967" s="423"/>
    </row>
    <row r="1968" spans="2:6" ht="18" x14ac:dyDescent="0.35">
      <c r="B1968" s="421"/>
      <c r="C1968" s="422"/>
      <c r="D1968" s="422"/>
      <c r="E1968" s="422"/>
      <c r="F1968" s="423"/>
    </row>
    <row r="1969" spans="2:6" ht="18" x14ac:dyDescent="0.35">
      <c r="B1969" s="421"/>
      <c r="C1969" s="422"/>
      <c r="D1969" s="422"/>
      <c r="E1969" s="422"/>
      <c r="F1969" s="423"/>
    </row>
    <row r="1970" spans="2:6" ht="18" x14ac:dyDescent="0.35">
      <c r="B1970" s="421"/>
      <c r="C1970" s="422"/>
      <c r="D1970" s="422"/>
      <c r="E1970" s="422"/>
      <c r="F1970" s="423"/>
    </row>
    <row r="1971" spans="2:6" ht="18" x14ac:dyDescent="0.35">
      <c r="B1971" s="421"/>
      <c r="C1971" s="422"/>
      <c r="D1971" s="422"/>
      <c r="E1971" s="422"/>
      <c r="F1971" s="423"/>
    </row>
    <row r="1972" spans="2:6" ht="18" x14ac:dyDescent="0.35">
      <c r="B1972" s="421"/>
      <c r="C1972" s="422"/>
      <c r="D1972" s="422"/>
      <c r="E1972" s="422"/>
      <c r="F1972" s="423"/>
    </row>
    <row r="1973" spans="2:6" ht="18" x14ac:dyDescent="0.35">
      <c r="B1973" s="421"/>
      <c r="C1973" s="422"/>
      <c r="D1973" s="422"/>
      <c r="E1973" s="422"/>
      <c r="F1973" s="423"/>
    </row>
    <row r="1974" spans="2:6" ht="18" x14ac:dyDescent="0.35">
      <c r="B1974" s="421"/>
      <c r="C1974" s="422"/>
      <c r="D1974" s="422"/>
      <c r="E1974" s="422"/>
      <c r="F1974" s="423"/>
    </row>
    <row r="1975" spans="2:6" ht="18" x14ac:dyDescent="0.35">
      <c r="B1975" s="421"/>
      <c r="C1975" s="422"/>
      <c r="D1975" s="422"/>
      <c r="E1975" s="422"/>
      <c r="F1975" s="423"/>
    </row>
    <row r="1976" spans="2:6" ht="18" x14ac:dyDescent="0.35">
      <c r="B1976" s="421"/>
      <c r="C1976" s="422"/>
      <c r="D1976" s="422"/>
      <c r="E1976" s="422"/>
      <c r="F1976" s="423"/>
    </row>
    <row r="1977" spans="2:6" ht="18" x14ac:dyDescent="0.35">
      <c r="B1977" s="421"/>
      <c r="C1977" s="422"/>
      <c r="D1977" s="422"/>
      <c r="E1977" s="422"/>
      <c r="F1977" s="423"/>
    </row>
    <row r="1978" spans="2:6" ht="18" x14ac:dyDescent="0.35">
      <c r="B1978" s="421"/>
      <c r="C1978" s="422"/>
      <c r="D1978" s="422"/>
      <c r="E1978" s="422"/>
      <c r="F1978" s="423"/>
    </row>
    <row r="1979" spans="2:6" ht="18" x14ac:dyDescent="0.35">
      <c r="B1979" s="421"/>
      <c r="C1979" s="422"/>
      <c r="D1979" s="422"/>
      <c r="E1979" s="422"/>
      <c r="F1979" s="423"/>
    </row>
    <row r="1980" spans="2:6" ht="18" x14ac:dyDescent="0.35">
      <c r="B1980" s="421"/>
      <c r="C1980" s="422"/>
      <c r="D1980" s="422"/>
      <c r="E1980" s="422"/>
      <c r="F1980" s="423"/>
    </row>
    <row r="1981" spans="2:6" ht="18" x14ac:dyDescent="0.35">
      <c r="B1981" s="421"/>
      <c r="C1981" s="422"/>
      <c r="D1981" s="422"/>
      <c r="E1981" s="422"/>
      <c r="F1981" s="423"/>
    </row>
    <row r="1982" spans="2:6" ht="18" x14ac:dyDescent="0.35">
      <c r="B1982" s="421"/>
      <c r="C1982" s="422"/>
      <c r="D1982" s="422"/>
      <c r="E1982" s="422"/>
      <c r="F1982" s="423"/>
    </row>
    <row r="1983" spans="2:6" ht="18" x14ac:dyDescent="0.35">
      <c r="B1983" s="421"/>
      <c r="C1983" s="422"/>
      <c r="D1983" s="422"/>
      <c r="E1983" s="422"/>
      <c r="F1983" s="423"/>
    </row>
    <row r="1984" spans="2:6" ht="18" x14ac:dyDescent="0.35">
      <c r="B1984" s="421"/>
      <c r="C1984" s="422"/>
      <c r="D1984" s="422"/>
      <c r="E1984" s="422"/>
      <c r="F1984" s="423"/>
    </row>
    <row r="1985" spans="2:6" ht="18" x14ac:dyDescent="0.35">
      <c r="B1985" s="421"/>
      <c r="C1985" s="422"/>
      <c r="D1985" s="422"/>
      <c r="E1985" s="422"/>
      <c r="F1985" s="423"/>
    </row>
    <row r="1986" spans="2:6" ht="18" x14ac:dyDescent="0.35">
      <c r="B1986" s="421"/>
      <c r="C1986" s="422"/>
      <c r="D1986" s="422"/>
      <c r="E1986" s="422"/>
      <c r="F1986" s="423"/>
    </row>
    <row r="1987" spans="2:6" ht="18" x14ac:dyDescent="0.35">
      <c r="B1987" s="421"/>
      <c r="C1987" s="422"/>
      <c r="D1987" s="422"/>
      <c r="E1987" s="422"/>
      <c r="F1987" s="423"/>
    </row>
    <row r="1988" spans="2:6" ht="18" x14ac:dyDescent="0.35">
      <c r="B1988" s="421"/>
      <c r="C1988" s="422"/>
      <c r="D1988" s="422"/>
      <c r="E1988" s="422"/>
      <c r="F1988" s="423"/>
    </row>
    <row r="1989" spans="2:6" ht="18" x14ac:dyDescent="0.35">
      <c r="B1989" s="421"/>
      <c r="C1989" s="422"/>
      <c r="D1989" s="422"/>
      <c r="E1989" s="422"/>
      <c r="F1989" s="423"/>
    </row>
    <row r="1990" spans="2:6" ht="18" x14ac:dyDescent="0.35">
      <c r="B1990" s="421"/>
      <c r="C1990" s="422"/>
      <c r="D1990" s="422"/>
      <c r="E1990" s="422"/>
      <c r="F1990" s="423"/>
    </row>
    <row r="1991" spans="2:6" ht="18" x14ac:dyDescent="0.35">
      <c r="B1991" s="421"/>
      <c r="C1991" s="422"/>
      <c r="D1991" s="422"/>
      <c r="E1991" s="422"/>
      <c r="F1991" s="423"/>
    </row>
    <row r="1992" spans="2:6" ht="18" x14ac:dyDescent="0.35">
      <c r="B1992" s="421"/>
      <c r="C1992" s="422"/>
      <c r="D1992" s="422"/>
      <c r="E1992" s="422"/>
      <c r="F1992" s="423"/>
    </row>
    <row r="1993" spans="2:6" ht="18" x14ac:dyDescent="0.35">
      <c r="B1993" s="421"/>
      <c r="C1993" s="422"/>
      <c r="D1993" s="422"/>
      <c r="E1993" s="422"/>
      <c r="F1993" s="423"/>
    </row>
    <row r="1994" spans="2:6" ht="18" x14ac:dyDescent="0.35">
      <c r="B1994" s="421"/>
      <c r="C1994" s="422"/>
      <c r="D1994" s="422"/>
      <c r="E1994" s="422"/>
      <c r="F1994" s="423"/>
    </row>
    <row r="1995" spans="2:6" ht="18" x14ac:dyDescent="0.35">
      <c r="B1995" s="421"/>
      <c r="C1995" s="422"/>
      <c r="D1995" s="422"/>
      <c r="E1995" s="422"/>
      <c r="F1995" s="423"/>
    </row>
    <row r="1996" spans="2:6" ht="18" x14ac:dyDescent="0.35">
      <c r="B1996" s="421"/>
      <c r="C1996" s="422"/>
      <c r="D1996" s="422"/>
      <c r="E1996" s="422"/>
      <c r="F1996" s="423"/>
    </row>
    <row r="1997" spans="2:6" ht="18" x14ac:dyDescent="0.35">
      <c r="B1997" s="421"/>
      <c r="C1997" s="422"/>
      <c r="D1997" s="422"/>
      <c r="E1997" s="422"/>
      <c r="F1997" s="423"/>
    </row>
    <row r="1998" spans="2:6" ht="18" x14ac:dyDescent="0.35">
      <c r="B1998" s="421"/>
      <c r="C1998" s="422"/>
      <c r="D1998" s="422"/>
      <c r="E1998" s="422"/>
      <c r="F1998" s="423"/>
    </row>
    <row r="1999" spans="2:6" ht="18" x14ac:dyDescent="0.35">
      <c r="B1999" s="421"/>
      <c r="C1999" s="422"/>
      <c r="D1999" s="422"/>
      <c r="E1999" s="422"/>
      <c r="F1999" s="423"/>
    </row>
    <row r="2000" spans="2:6" ht="18" x14ac:dyDescent="0.35">
      <c r="B2000" s="424"/>
      <c r="C2000" s="425"/>
      <c r="D2000" s="425"/>
      <c r="E2000" s="425"/>
      <c r="F2000" s="426"/>
    </row>
  </sheetData>
  <mergeCells count="1">
    <mergeCell ref="B1:F1"/>
  </mergeCells>
  <dataValidations count="3">
    <dataValidation type="list" allowBlank="1" showInputMessage="1" showErrorMessage="1" sqref="B4:B22 B24:B400" xr:uid="{00000000-0002-0000-0200-000000000000}">
      <formula1>Year</formula1>
    </dataValidation>
    <dataValidation type="list" allowBlank="1" showInputMessage="1" showErrorMessage="1" sqref="D24:E400 D4:E22" xr:uid="{00000000-0002-0000-0200-000001000000}">
      <formula1>P_LSub_Group</formula1>
    </dataValidation>
    <dataValidation type="list" allowBlank="1" showInputMessage="1" showErrorMessage="1" sqref="C4:C22 C24:C400" xr:uid="{00000000-0002-0000-0200-000002000000}">
      <formula1>P_LGroup</formula1>
    </dataValidation>
  </dataValidations>
  <pageMargins left="0.7" right="0.7" top="0.75" bottom="0.75" header="0.3" footer="0.3"/>
  <pictur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249977111117893"/>
  </sheetPr>
  <dimension ref="B1:F2000"/>
  <sheetViews>
    <sheetView showGridLines="0" showRowColHeaders="0" workbookViewId="0">
      <pane ySplit="3" topLeftCell="A4" activePane="bottomLeft" state="frozen"/>
      <selection pane="bottomLeft"/>
    </sheetView>
  </sheetViews>
  <sheetFormatPr defaultRowHeight="15.75" outlineLevelCol="1" x14ac:dyDescent="0.25"/>
  <cols>
    <col min="1" max="1" width="9.140625" style="1"/>
    <col min="2" max="2" width="19.7109375" style="1" customWidth="1" outlineLevel="1"/>
    <col min="3" max="3" width="23.5703125" style="1" customWidth="1" outlineLevel="1"/>
    <col min="4" max="5" width="55.85546875" style="1" customWidth="1" outlineLevel="1"/>
    <col min="6" max="6" width="16.28515625" style="1" customWidth="1" outlineLevel="1"/>
    <col min="7" max="16384" width="9.140625" style="1"/>
  </cols>
  <sheetData>
    <row r="1" spans="2:6" ht="36.75" customHeight="1" x14ac:dyDescent="0.25">
      <c r="B1" s="527" t="s">
        <v>551</v>
      </c>
      <c r="C1" s="528"/>
      <c r="D1" s="528"/>
      <c r="E1" s="528"/>
      <c r="F1" s="528"/>
    </row>
    <row r="3" spans="2:6" ht="18" x14ac:dyDescent="0.25">
      <c r="B3" s="10" t="s">
        <v>22</v>
      </c>
      <c r="C3" s="11" t="s">
        <v>9</v>
      </c>
      <c r="D3" s="11" t="s">
        <v>2</v>
      </c>
      <c r="E3" s="11" t="s">
        <v>1</v>
      </c>
      <c r="F3" s="11" t="s">
        <v>10</v>
      </c>
    </row>
    <row r="4" spans="2:6" ht="18" x14ac:dyDescent="0.35">
      <c r="B4" s="12">
        <v>2021</v>
      </c>
      <c r="C4" s="17" t="s">
        <v>23</v>
      </c>
      <c r="D4" s="17" t="s">
        <v>26</v>
      </c>
      <c r="E4" s="17" t="s">
        <v>26</v>
      </c>
      <c r="F4" s="13">
        <f>'P&amp;L COA'!I35</f>
        <v>8341041.1232255697</v>
      </c>
    </row>
    <row r="5" spans="2:6" ht="18" x14ac:dyDescent="0.35">
      <c r="B5" s="12">
        <v>2021</v>
      </c>
      <c r="C5" s="17" t="s">
        <v>23</v>
      </c>
      <c r="D5" s="17" t="s">
        <v>26</v>
      </c>
      <c r="E5" s="17" t="s">
        <v>171</v>
      </c>
      <c r="F5" s="13">
        <f>'P&amp;L COA'!I25</f>
        <v>409278.51677448238</v>
      </c>
    </row>
    <row r="6" spans="2:6" ht="18" x14ac:dyDescent="0.35">
      <c r="B6" s="12">
        <v>2021</v>
      </c>
      <c r="C6" s="17" t="s">
        <v>23</v>
      </c>
      <c r="D6" s="17" t="s">
        <v>26</v>
      </c>
      <c r="E6" s="17" t="s">
        <v>249</v>
      </c>
      <c r="F6" s="13">
        <f>-'P&amp;L COA'!I34</f>
        <v>-251563</v>
      </c>
    </row>
    <row r="7" spans="2:6" ht="18" x14ac:dyDescent="0.35">
      <c r="B7" s="12">
        <v>2021</v>
      </c>
      <c r="C7" s="17" t="s">
        <v>23</v>
      </c>
      <c r="D7" s="17" t="s">
        <v>27</v>
      </c>
      <c r="E7" s="17" t="s">
        <v>142</v>
      </c>
      <c r="F7" s="13">
        <v>-6706659</v>
      </c>
    </row>
    <row r="8" spans="2:6" ht="18" x14ac:dyDescent="0.35">
      <c r="B8" s="12">
        <v>2021</v>
      </c>
      <c r="C8" s="17" t="s">
        <v>23</v>
      </c>
      <c r="D8" s="17" t="s">
        <v>27</v>
      </c>
      <c r="E8" s="17" t="s">
        <v>140</v>
      </c>
      <c r="F8" s="13">
        <v>-7720742.6699999999</v>
      </c>
    </row>
    <row r="9" spans="2:6" ht="18" x14ac:dyDescent="0.35">
      <c r="B9" s="12">
        <v>2021</v>
      </c>
      <c r="C9" s="17" t="s">
        <v>23</v>
      </c>
      <c r="D9" s="17" t="s">
        <v>27</v>
      </c>
      <c r="E9" s="17" t="s">
        <v>141</v>
      </c>
      <c r="F9" s="13">
        <v>12538411.640000001</v>
      </c>
    </row>
    <row r="10" spans="2:6" ht="18" x14ac:dyDescent="0.35">
      <c r="B10" s="12">
        <v>2021</v>
      </c>
      <c r="C10" s="17" t="s">
        <v>23</v>
      </c>
      <c r="D10" s="17" t="s">
        <v>178</v>
      </c>
      <c r="E10" s="17" t="s">
        <v>178</v>
      </c>
      <c r="F10" s="13">
        <v>-2120100</v>
      </c>
    </row>
    <row r="11" spans="2:6" ht="18" x14ac:dyDescent="0.35">
      <c r="B11" s="12">
        <v>2021</v>
      </c>
      <c r="C11" s="17" t="s">
        <v>23</v>
      </c>
      <c r="D11" s="17" t="s">
        <v>29</v>
      </c>
      <c r="E11" s="17" t="s">
        <v>29</v>
      </c>
      <c r="F11" s="343">
        <f>SUM(F4:F10)</f>
        <v>4489666.6100000534</v>
      </c>
    </row>
    <row r="12" spans="2:6" ht="18" x14ac:dyDescent="0.35">
      <c r="B12" s="12">
        <v>2021</v>
      </c>
      <c r="C12" s="17" t="s">
        <v>24</v>
      </c>
      <c r="D12" s="17" t="s">
        <v>251</v>
      </c>
      <c r="E12" s="17" t="s">
        <v>251</v>
      </c>
      <c r="F12" s="13">
        <v>800000</v>
      </c>
    </row>
    <row r="13" spans="2:6" ht="18" x14ac:dyDescent="0.35">
      <c r="B13" s="12">
        <v>2021</v>
      </c>
      <c r="C13" s="17" t="s">
        <v>24</v>
      </c>
      <c r="D13" s="17" t="s">
        <v>252</v>
      </c>
      <c r="E13" s="17" t="s">
        <v>252</v>
      </c>
      <c r="F13" s="13">
        <v>-1844748.28</v>
      </c>
    </row>
    <row r="14" spans="2:6" ht="18" x14ac:dyDescent="0.35">
      <c r="B14" s="12">
        <v>2021</v>
      </c>
      <c r="C14" s="17" t="s">
        <v>24</v>
      </c>
      <c r="D14" s="17" t="s">
        <v>31</v>
      </c>
      <c r="E14" s="17" t="s">
        <v>31</v>
      </c>
      <c r="F14" s="344">
        <f>SUM(F12:F13)</f>
        <v>-1044748.28</v>
      </c>
    </row>
    <row r="15" spans="2:6" ht="18" x14ac:dyDescent="0.35">
      <c r="B15" s="12">
        <v>2021</v>
      </c>
      <c r="C15" s="17" t="s">
        <v>25</v>
      </c>
      <c r="D15" s="17" t="s">
        <v>253</v>
      </c>
      <c r="E15" s="17" t="s">
        <v>253</v>
      </c>
      <c r="F15" s="13">
        <v>-1000000</v>
      </c>
    </row>
    <row r="16" spans="2:6" ht="18" x14ac:dyDescent="0.35">
      <c r="B16" s="12">
        <v>2021</v>
      </c>
      <c r="C16" s="17" t="s">
        <v>25</v>
      </c>
      <c r="D16" s="17" t="s">
        <v>30</v>
      </c>
      <c r="E16" s="17" t="s">
        <v>30</v>
      </c>
      <c r="F16" s="344">
        <f>F15</f>
        <v>-1000000</v>
      </c>
    </row>
    <row r="17" spans="2:6" ht="18" x14ac:dyDescent="0.35">
      <c r="B17" s="12">
        <v>2021</v>
      </c>
      <c r="C17" s="17" t="s">
        <v>32</v>
      </c>
      <c r="D17" s="17" t="s">
        <v>32</v>
      </c>
      <c r="E17" s="17" t="s">
        <v>32</v>
      </c>
      <c r="F17" s="13">
        <f>SUM(F11+F14+F16)</f>
        <v>2444918.3300000532</v>
      </c>
    </row>
    <row r="18" spans="2:6" ht="18" x14ac:dyDescent="0.35">
      <c r="B18" s="12">
        <v>2021</v>
      </c>
      <c r="C18" s="17" t="s">
        <v>33</v>
      </c>
      <c r="D18" s="17" t="s">
        <v>33</v>
      </c>
      <c r="E18" s="17" t="s">
        <v>33</v>
      </c>
      <c r="F18" s="13">
        <v>-202689.86489523016</v>
      </c>
    </row>
    <row r="19" spans="2:6" ht="18" x14ac:dyDescent="0.35">
      <c r="B19" s="12">
        <v>2021</v>
      </c>
      <c r="C19" s="17" t="s">
        <v>34</v>
      </c>
      <c r="D19" s="17" t="s">
        <v>34</v>
      </c>
      <c r="E19" s="17" t="s">
        <v>34</v>
      </c>
      <c r="F19" s="14">
        <f>SUM(F17:F18)</f>
        <v>2242228.465104823</v>
      </c>
    </row>
    <row r="20" spans="2:6" ht="18" x14ac:dyDescent="0.35">
      <c r="B20" s="12">
        <v>2020</v>
      </c>
      <c r="C20" s="17" t="s">
        <v>23</v>
      </c>
      <c r="D20" s="17" t="s">
        <v>26</v>
      </c>
      <c r="E20" s="17" t="s">
        <v>26</v>
      </c>
      <c r="F20" s="13">
        <v>6071289.5797777502</v>
      </c>
    </row>
    <row r="21" spans="2:6" ht="18" x14ac:dyDescent="0.35">
      <c r="B21" s="12">
        <v>2020</v>
      </c>
      <c r="C21" s="17" t="s">
        <v>23</v>
      </c>
      <c r="D21" s="17" t="s">
        <v>26</v>
      </c>
      <c r="E21" s="17" t="s">
        <v>171</v>
      </c>
      <c r="F21" s="13">
        <v>223810.430222266</v>
      </c>
    </row>
    <row r="22" spans="2:6" ht="18" x14ac:dyDescent="0.35">
      <c r="B22" s="12">
        <v>2020</v>
      </c>
      <c r="C22" s="17" t="s">
        <v>23</v>
      </c>
      <c r="D22" s="17" t="s">
        <v>27</v>
      </c>
      <c r="E22" s="17" t="s">
        <v>142</v>
      </c>
      <c r="F22" s="13">
        <v>1007245</v>
      </c>
    </row>
    <row r="23" spans="2:6" ht="18" x14ac:dyDescent="0.35">
      <c r="B23" s="12">
        <v>2020</v>
      </c>
      <c r="C23" s="17" t="s">
        <v>23</v>
      </c>
      <c r="D23" s="17" t="s">
        <v>27</v>
      </c>
      <c r="E23" s="17" t="s">
        <v>140</v>
      </c>
      <c r="F23" s="13">
        <v>13927484.049999999</v>
      </c>
    </row>
    <row r="24" spans="2:6" ht="18" x14ac:dyDescent="0.35">
      <c r="B24" s="12">
        <v>2020</v>
      </c>
      <c r="C24" s="17" t="s">
        <v>23</v>
      </c>
      <c r="D24" s="17" t="s">
        <v>27</v>
      </c>
      <c r="E24" s="17" t="s">
        <v>141</v>
      </c>
      <c r="F24" s="13">
        <v>-11794430.57</v>
      </c>
    </row>
    <row r="25" spans="2:6" ht="18" x14ac:dyDescent="0.35">
      <c r="B25" s="12">
        <v>2020</v>
      </c>
      <c r="C25" s="17" t="s">
        <v>23</v>
      </c>
      <c r="D25" s="17" t="s">
        <v>178</v>
      </c>
      <c r="E25" s="17" t="s">
        <v>178</v>
      </c>
      <c r="F25" s="13">
        <v>-2131001</v>
      </c>
    </row>
    <row r="26" spans="2:6" ht="18" x14ac:dyDescent="0.35">
      <c r="B26" s="12">
        <v>2020</v>
      </c>
      <c r="C26" s="17" t="s">
        <v>23</v>
      </c>
      <c r="D26" s="17" t="s">
        <v>29</v>
      </c>
      <c r="E26" s="17" t="s">
        <v>29</v>
      </c>
      <c r="F26" s="343">
        <f>SUM(F20:F25)</f>
        <v>7304397.490000017</v>
      </c>
    </row>
    <row r="27" spans="2:6" ht="18" x14ac:dyDescent="0.35">
      <c r="B27" s="12">
        <v>2020</v>
      </c>
      <c r="C27" s="17" t="s">
        <v>24</v>
      </c>
      <c r="D27" s="17" t="s">
        <v>31</v>
      </c>
      <c r="E27" s="17" t="s">
        <v>31</v>
      </c>
      <c r="F27" s="343">
        <v>0</v>
      </c>
    </row>
    <row r="28" spans="2:6" ht="18" x14ac:dyDescent="0.35">
      <c r="B28" s="12">
        <v>2020</v>
      </c>
      <c r="C28" s="17" t="s">
        <v>25</v>
      </c>
      <c r="D28" s="17" t="s">
        <v>30</v>
      </c>
      <c r="E28" s="17" t="s">
        <v>30</v>
      </c>
      <c r="F28" s="343">
        <v>0</v>
      </c>
    </row>
    <row r="29" spans="2:6" ht="18" x14ac:dyDescent="0.35">
      <c r="B29" s="12">
        <v>2020</v>
      </c>
      <c r="C29" s="17" t="s">
        <v>32</v>
      </c>
      <c r="D29" s="17" t="s">
        <v>32</v>
      </c>
      <c r="E29" s="17" t="s">
        <v>32</v>
      </c>
      <c r="F29" s="13">
        <f>SUM(F26:F28)</f>
        <v>7304397.490000017</v>
      </c>
    </row>
    <row r="30" spans="2:6" ht="18" x14ac:dyDescent="0.35">
      <c r="B30" s="12">
        <v>2020</v>
      </c>
      <c r="C30" s="17" t="s">
        <v>33</v>
      </c>
      <c r="D30" s="17" t="s">
        <v>33</v>
      </c>
      <c r="E30" s="17" t="s">
        <v>33</v>
      </c>
      <c r="F30" s="13">
        <v>-7507087.3548952397</v>
      </c>
    </row>
    <row r="31" spans="2:6" ht="18" x14ac:dyDescent="0.35">
      <c r="B31" s="12">
        <v>2020</v>
      </c>
      <c r="C31" s="17" t="s">
        <v>34</v>
      </c>
      <c r="D31" s="17" t="s">
        <v>34</v>
      </c>
      <c r="E31" s="17" t="s">
        <v>34</v>
      </c>
      <c r="F31" s="343">
        <f>SUM(F29:F30)</f>
        <v>-202689.86489522271</v>
      </c>
    </row>
    <row r="32" spans="2:6" ht="18" x14ac:dyDescent="0.35">
      <c r="B32" s="12"/>
      <c r="C32" s="17"/>
      <c r="D32" s="17"/>
      <c r="E32" s="17"/>
      <c r="F32" s="13"/>
    </row>
    <row r="33" spans="2:6" ht="18" x14ac:dyDescent="0.35">
      <c r="B33" s="12"/>
      <c r="C33" s="17"/>
      <c r="D33" s="17"/>
      <c r="E33" s="17"/>
      <c r="F33" s="13"/>
    </row>
    <row r="34" spans="2:6" ht="18" x14ac:dyDescent="0.35">
      <c r="B34" s="12"/>
      <c r="C34" s="17"/>
      <c r="D34" s="17"/>
      <c r="E34" s="17"/>
      <c r="F34" s="13"/>
    </row>
    <row r="35" spans="2:6" ht="18" x14ac:dyDescent="0.35">
      <c r="B35" s="12"/>
      <c r="C35" s="17"/>
      <c r="D35" s="17"/>
      <c r="E35" s="17"/>
      <c r="F35" s="13"/>
    </row>
    <row r="36" spans="2:6" ht="18" x14ac:dyDescent="0.35">
      <c r="B36" s="12"/>
      <c r="C36" s="17"/>
      <c r="D36" s="17"/>
      <c r="E36" s="17"/>
      <c r="F36" s="13"/>
    </row>
    <row r="37" spans="2:6" ht="18" x14ac:dyDescent="0.35">
      <c r="B37" s="12"/>
      <c r="C37" s="17"/>
      <c r="D37" s="17"/>
      <c r="E37" s="17"/>
      <c r="F37" s="13"/>
    </row>
    <row r="38" spans="2:6" ht="18" x14ac:dyDescent="0.35">
      <c r="B38" s="12"/>
      <c r="C38" s="17"/>
      <c r="D38" s="17"/>
      <c r="E38" s="17"/>
      <c r="F38" s="13"/>
    </row>
    <row r="39" spans="2:6" ht="18" x14ac:dyDescent="0.35">
      <c r="B39" s="12"/>
      <c r="C39" s="17"/>
      <c r="D39" s="17"/>
      <c r="E39" s="17"/>
      <c r="F39" s="13"/>
    </row>
    <row r="40" spans="2:6" ht="18" x14ac:dyDescent="0.35">
      <c r="B40" s="12"/>
      <c r="C40" s="17"/>
      <c r="D40" s="17"/>
      <c r="E40" s="17"/>
      <c r="F40" s="13"/>
    </row>
    <row r="41" spans="2:6" ht="18" x14ac:dyDescent="0.35">
      <c r="B41" s="12"/>
      <c r="C41" s="17"/>
      <c r="D41" s="17"/>
      <c r="E41" s="17"/>
      <c r="F41" s="13"/>
    </row>
    <row r="42" spans="2:6" ht="18" x14ac:dyDescent="0.35">
      <c r="B42" s="12"/>
      <c r="C42" s="17"/>
      <c r="D42" s="17"/>
      <c r="E42" s="17"/>
      <c r="F42" s="13"/>
    </row>
    <row r="43" spans="2:6" ht="18" x14ac:dyDescent="0.35">
      <c r="B43" s="12"/>
      <c r="C43" s="17"/>
      <c r="D43" s="17"/>
      <c r="E43" s="17"/>
      <c r="F43" s="13"/>
    </row>
    <row r="44" spans="2:6" ht="18" x14ac:dyDescent="0.35">
      <c r="B44" s="12"/>
      <c r="C44" s="17"/>
      <c r="D44" s="17"/>
      <c r="E44" s="17"/>
      <c r="F44" s="13"/>
    </row>
    <row r="45" spans="2:6" ht="18" x14ac:dyDescent="0.35">
      <c r="B45" s="12"/>
      <c r="C45" s="17"/>
      <c r="D45" s="17"/>
      <c r="E45" s="17"/>
      <c r="F45" s="13"/>
    </row>
    <row r="46" spans="2:6" ht="18" x14ac:dyDescent="0.35">
      <c r="B46" s="12"/>
      <c r="C46" s="17"/>
      <c r="D46" s="17"/>
      <c r="E46" s="17"/>
      <c r="F46" s="13"/>
    </row>
    <row r="47" spans="2:6" ht="18" x14ac:dyDescent="0.35">
      <c r="B47" s="12"/>
      <c r="C47" s="17"/>
      <c r="D47" s="17"/>
      <c r="E47" s="17"/>
      <c r="F47" s="13"/>
    </row>
    <row r="48" spans="2:6" ht="18" x14ac:dyDescent="0.35">
      <c r="B48" s="12"/>
      <c r="C48" s="17"/>
      <c r="D48" s="17"/>
      <c r="E48" s="17"/>
      <c r="F48" s="13"/>
    </row>
    <row r="49" spans="2:6" ht="18" x14ac:dyDescent="0.35">
      <c r="B49" s="12"/>
      <c r="C49" s="17"/>
      <c r="D49" s="17"/>
      <c r="E49" s="17"/>
      <c r="F49" s="13"/>
    </row>
    <row r="50" spans="2:6" ht="18" x14ac:dyDescent="0.35">
      <c r="B50" s="12"/>
      <c r="C50" s="17"/>
      <c r="D50" s="17"/>
      <c r="E50" s="17"/>
      <c r="F50" s="13"/>
    </row>
    <row r="51" spans="2:6" ht="18" x14ac:dyDescent="0.35">
      <c r="B51" s="12"/>
      <c r="C51" s="17"/>
      <c r="D51" s="17"/>
      <c r="E51" s="17"/>
      <c r="F51" s="13"/>
    </row>
    <row r="52" spans="2:6" ht="18" x14ac:dyDescent="0.35">
      <c r="B52" s="12"/>
      <c r="C52" s="17"/>
      <c r="D52" s="17"/>
      <c r="E52" s="17"/>
      <c r="F52" s="13"/>
    </row>
    <row r="53" spans="2:6" ht="18" x14ac:dyDescent="0.35">
      <c r="B53" s="12"/>
      <c r="C53" s="17"/>
      <c r="D53" s="17"/>
      <c r="E53" s="17"/>
      <c r="F53" s="13"/>
    </row>
    <row r="54" spans="2:6" ht="18" x14ac:dyDescent="0.35">
      <c r="B54" s="12"/>
      <c r="C54" s="17"/>
      <c r="D54" s="17"/>
      <c r="E54" s="17"/>
      <c r="F54" s="13"/>
    </row>
    <row r="55" spans="2:6" ht="18" x14ac:dyDescent="0.35">
      <c r="B55" s="12"/>
      <c r="C55" s="17"/>
      <c r="D55" s="17"/>
      <c r="E55" s="17"/>
      <c r="F55" s="13"/>
    </row>
    <row r="56" spans="2:6" ht="18" x14ac:dyDescent="0.35">
      <c r="B56" s="12"/>
      <c r="C56" s="17"/>
      <c r="D56" s="17"/>
      <c r="E56" s="17"/>
      <c r="F56" s="13"/>
    </row>
    <row r="57" spans="2:6" ht="18" x14ac:dyDescent="0.35">
      <c r="B57" s="12"/>
      <c r="C57" s="17"/>
      <c r="D57" s="17"/>
      <c r="E57" s="17"/>
      <c r="F57" s="13"/>
    </row>
    <row r="58" spans="2:6" ht="18" x14ac:dyDescent="0.35">
      <c r="B58" s="12"/>
      <c r="C58" s="17"/>
      <c r="D58" s="17"/>
      <c r="E58" s="17"/>
      <c r="F58" s="13"/>
    </row>
    <row r="59" spans="2:6" ht="18" x14ac:dyDescent="0.35">
      <c r="B59" s="12"/>
      <c r="C59" s="17"/>
      <c r="D59" s="17"/>
      <c r="E59" s="17"/>
      <c r="F59" s="13"/>
    </row>
    <row r="60" spans="2:6" ht="18" x14ac:dyDescent="0.35">
      <c r="B60" s="12"/>
      <c r="C60" s="17"/>
      <c r="D60" s="17"/>
      <c r="E60" s="17"/>
      <c r="F60" s="13"/>
    </row>
    <row r="61" spans="2:6" ht="18" x14ac:dyDescent="0.35">
      <c r="B61" s="12"/>
      <c r="C61" s="17"/>
      <c r="D61" s="17"/>
      <c r="E61" s="17"/>
      <c r="F61" s="13"/>
    </row>
    <row r="62" spans="2:6" ht="18" x14ac:dyDescent="0.35">
      <c r="B62" s="12"/>
      <c r="C62" s="17"/>
      <c r="D62" s="17"/>
      <c r="E62" s="17"/>
      <c r="F62" s="13"/>
    </row>
    <row r="63" spans="2:6" ht="18" x14ac:dyDescent="0.35">
      <c r="B63" s="12"/>
      <c r="C63" s="17"/>
      <c r="D63" s="17"/>
      <c r="E63" s="17"/>
      <c r="F63" s="13"/>
    </row>
    <row r="64" spans="2:6" ht="18" x14ac:dyDescent="0.35">
      <c r="B64" s="12"/>
      <c r="C64" s="17"/>
      <c r="D64" s="17"/>
      <c r="E64" s="17"/>
      <c r="F64" s="13"/>
    </row>
    <row r="65" spans="2:6" ht="18" x14ac:dyDescent="0.35">
      <c r="B65" s="12"/>
      <c r="C65" s="17"/>
      <c r="D65" s="17"/>
      <c r="E65" s="17"/>
      <c r="F65" s="13"/>
    </row>
    <row r="66" spans="2:6" ht="18" x14ac:dyDescent="0.35">
      <c r="B66" s="12"/>
      <c r="C66" s="17"/>
      <c r="D66" s="17"/>
      <c r="E66" s="17"/>
      <c r="F66" s="13"/>
    </row>
    <row r="67" spans="2:6" ht="18" x14ac:dyDescent="0.35">
      <c r="B67" s="12"/>
      <c r="C67" s="17"/>
      <c r="D67" s="17"/>
      <c r="E67" s="17"/>
      <c r="F67" s="13"/>
    </row>
    <row r="68" spans="2:6" ht="18" x14ac:dyDescent="0.35">
      <c r="B68" s="12"/>
      <c r="C68" s="17"/>
      <c r="D68" s="17"/>
      <c r="E68" s="17"/>
      <c r="F68" s="13"/>
    </row>
    <row r="69" spans="2:6" ht="18" x14ac:dyDescent="0.35">
      <c r="B69" s="12"/>
      <c r="C69" s="17"/>
      <c r="D69" s="17"/>
      <c r="E69" s="17"/>
      <c r="F69" s="13"/>
    </row>
    <row r="70" spans="2:6" ht="18" x14ac:dyDescent="0.35">
      <c r="B70" s="12"/>
      <c r="C70" s="17"/>
      <c r="D70" s="17"/>
      <c r="E70" s="17"/>
      <c r="F70" s="13"/>
    </row>
    <row r="71" spans="2:6" ht="18" x14ac:dyDescent="0.35">
      <c r="B71" s="12"/>
      <c r="C71" s="17"/>
      <c r="D71" s="17"/>
      <c r="E71" s="17"/>
      <c r="F71" s="13"/>
    </row>
    <row r="72" spans="2:6" ht="18" x14ac:dyDescent="0.35">
      <c r="B72" s="12"/>
      <c r="C72" s="17"/>
      <c r="D72" s="17"/>
      <c r="E72" s="17"/>
      <c r="F72" s="13"/>
    </row>
    <row r="73" spans="2:6" ht="18" x14ac:dyDescent="0.35">
      <c r="B73" s="12"/>
      <c r="C73" s="17"/>
      <c r="D73" s="17"/>
      <c r="E73" s="17"/>
      <c r="F73" s="13"/>
    </row>
    <row r="74" spans="2:6" ht="18" x14ac:dyDescent="0.35">
      <c r="B74" s="12"/>
      <c r="C74" s="17"/>
      <c r="D74" s="17"/>
      <c r="E74" s="17"/>
      <c r="F74" s="13"/>
    </row>
    <row r="75" spans="2:6" ht="18" x14ac:dyDescent="0.35">
      <c r="B75" s="12"/>
      <c r="C75" s="17"/>
      <c r="D75" s="17"/>
      <c r="E75" s="17"/>
      <c r="F75" s="13"/>
    </row>
    <row r="76" spans="2:6" ht="18" x14ac:dyDescent="0.35">
      <c r="B76" s="12"/>
      <c r="C76" s="17"/>
      <c r="D76" s="17"/>
      <c r="E76" s="17"/>
      <c r="F76" s="13"/>
    </row>
    <row r="77" spans="2:6" ht="18" x14ac:dyDescent="0.35">
      <c r="B77" s="12"/>
      <c r="C77" s="17"/>
      <c r="D77" s="17"/>
      <c r="E77" s="17"/>
      <c r="F77" s="13"/>
    </row>
    <row r="78" spans="2:6" ht="18" x14ac:dyDescent="0.35">
      <c r="B78" s="12"/>
      <c r="C78" s="17"/>
      <c r="D78" s="17"/>
      <c r="E78" s="17"/>
      <c r="F78" s="13"/>
    </row>
    <row r="79" spans="2:6" ht="18" x14ac:dyDescent="0.35">
      <c r="B79" s="12"/>
      <c r="C79" s="17"/>
      <c r="D79" s="17"/>
      <c r="E79" s="17"/>
      <c r="F79" s="13"/>
    </row>
    <row r="80" spans="2:6" ht="18" x14ac:dyDescent="0.35">
      <c r="B80" s="12"/>
      <c r="C80" s="17"/>
      <c r="D80" s="17"/>
      <c r="E80" s="17"/>
      <c r="F80" s="13"/>
    </row>
    <row r="81" spans="2:6" ht="18" x14ac:dyDescent="0.35">
      <c r="B81" s="12"/>
      <c r="C81" s="17"/>
      <c r="D81" s="17"/>
      <c r="E81" s="17"/>
      <c r="F81" s="13"/>
    </row>
    <row r="82" spans="2:6" ht="18" x14ac:dyDescent="0.35">
      <c r="B82" s="12"/>
      <c r="C82" s="17"/>
      <c r="D82" s="17"/>
      <c r="E82" s="17"/>
      <c r="F82" s="13"/>
    </row>
    <row r="83" spans="2:6" ht="18" x14ac:dyDescent="0.35">
      <c r="B83" s="12"/>
      <c r="C83" s="17"/>
      <c r="D83" s="17"/>
      <c r="E83" s="17"/>
      <c r="F83" s="13"/>
    </row>
    <row r="84" spans="2:6" ht="18" x14ac:dyDescent="0.35">
      <c r="B84" s="12"/>
      <c r="C84" s="17"/>
      <c r="D84" s="17"/>
      <c r="E84" s="17"/>
      <c r="F84" s="13"/>
    </row>
    <row r="85" spans="2:6" ht="18" x14ac:dyDescent="0.35">
      <c r="B85" s="12"/>
      <c r="C85" s="17"/>
      <c r="D85" s="17"/>
      <c r="E85" s="17"/>
      <c r="F85" s="13"/>
    </row>
    <row r="86" spans="2:6" ht="18" x14ac:dyDescent="0.35">
      <c r="B86" s="12"/>
      <c r="C86" s="17"/>
      <c r="D86" s="17"/>
      <c r="E86" s="17"/>
      <c r="F86" s="13"/>
    </row>
    <row r="87" spans="2:6" ht="18" x14ac:dyDescent="0.35">
      <c r="B87" s="12"/>
      <c r="C87" s="17"/>
      <c r="D87" s="17"/>
      <c r="E87" s="17"/>
      <c r="F87" s="13"/>
    </row>
    <row r="88" spans="2:6" ht="18" x14ac:dyDescent="0.35">
      <c r="B88" s="12"/>
      <c r="C88" s="17"/>
      <c r="D88" s="17"/>
      <c r="E88" s="17"/>
      <c r="F88" s="13"/>
    </row>
    <row r="89" spans="2:6" ht="18" x14ac:dyDescent="0.35">
      <c r="B89" s="12"/>
      <c r="C89" s="17"/>
      <c r="D89" s="17"/>
      <c r="E89" s="17"/>
      <c r="F89" s="13"/>
    </row>
    <row r="90" spans="2:6" ht="18" x14ac:dyDescent="0.35">
      <c r="B90" s="12"/>
      <c r="C90" s="17"/>
      <c r="D90" s="17"/>
      <c r="E90" s="17"/>
      <c r="F90" s="13"/>
    </row>
    <row r="91" spans="2:6" ht="18" x14ac:dyDescent="0.35">
      <c r="B91" s="12"/>
      <c r="C91" s="17"/>
      <c r="D91" s="17"/>
      <c r="E91" s="17"/>
      <c r="F91" s="13"/>
    </row>
    <row r="92" spans="2:6" ht="18" x14ac:dyDescent="0.35">
      <c r="B92" s="12"/>
      <c r="C92" s="17"/>
      <c r="D92" s="17"/>
      <c r="E92" s="17"/>
      <c r="F92" s="13"/>
    </row>
    <row r="93" spans="2:6" ht="18" x14ac:dyDescent="0.35">
      <c r="B93" s="12"/>
      <c r="C93" s="17"/>
      <c r="D93" s="17"/>
      <c r="E93" s="17"/>
      <c r="F93" s="13"/>
    </row>
    <row r="94" spans="2:6" ht="18" x14ac:dyDescent="0.35">
      <c r="B94" s="12"/>
      <c r="C94" s="17"/>
      <c r="D94" s="17"/>
      <c r="E94" s="17"/>
      <c r="F94" s="13"/>
    </row>
    <row r="95" spans="2:6" ht="18" x14ac:dyDescent="0.35">
      <c r="B95" s="12"/>
      <c r="C95" s="17"/>
      <c r="D95" s="17"/>
      <c r="E95" s="17"/>
      <c r="F95" s="13"/>
    </row>
    <row r="96" spans="2:6" ht="18" x14ac:dyDescent="0.35">
      <c r="B96" s="12"/>
      <c r="C96" s="17"/>
      <c r="D96" s="17"/>
      <c r="E96" s="17"/>
      <c r="F96" s="13"/>
    </row>
    <row r="97" spans="2:6" ht="18" x14ac:dyDescent="0.35">
      <c r="B97" s="12"/>
      <c r="C97" s="17"/>
      <c r="D97" s="17"/>
      <c r="E97" s="17"/>
      <c r="F97" s="13"/>
    </row>
    <row r="98" spans="2:6" ht="18" x14ac:dyDescent="0.35">
      <c r="B98" s="12"/>
      <c r="C98" s="17"/>
      <c r="D98" s="17"/>
      <c r="E98" s="17"/>
      <c r="F98" s="13"/>
    </row>
    <row r="99" spans="2:6" ht="18" x14ac:dyDescent="0.35">
      <c r="B99" s="12"/>
      <c r="C99" s="17"/>
      <c r="D99" s="17"/>
      <c r="E99" s="17"/>
      <c r="F99" s="13"/>
    </row>
    <row r="100" spans="2:6" ht="18" x14ac:dyDescent="0.35">
      <c r="B100" s="12"/>
      <c r="C100" s="17"/>
      <c r="D100" s="17"/>
      <c r="E100" s="17"/>
      <c r="F100" s="13"/>
    </row>
    <row r="101" spans="2:6" ht="18" x14ac:dyDescent="0.35">
      <c r="B101" s="12"/>
      <c r="C101" s="17"/>
      <c r="D101" s="17"/>
      <c r="E101" s="17"/>
      <c r="F101" s="13"/>
    </row>
    <row r="102" spans="2:6" ht="18" x14ac:dyDescent="0.35">
      <c r="B102" s="12"/>
      <c r="C102" s="17"/>
      <c r="D102" s="17"/>
      <c r="E102" s="17"/>
      <c r="F102" s="13"/>
    </row>
    <row r="103" spans="2:6" ht="18" x14ac:dyDescent="0.35">
      <c r="B103" s="12"/>
      <c r="C103" s="17"/>
      <c r="D103" s="17"/>
      <c r="E103" s="17"/>
      <c r="F103" s="13"/>
    </row>
    <row r="104" spans="2:6" ht="18" x14ac:dyDescent="0.35">
      <c r="B104" s="12"/>
      <c r="C104" s="17"/>
      <c r="D104" s="17"/>
      <c r="E104" s="17"/>
      <c r="F104" s="13"/>
    </row>
    <row r="105" spans="2:6" ht="18" x14ac:dyDescent="0.35">
      <c r="B105" s="12"/>
      <c r="C105" s="17"/>
      <c r="D105" s="17"/>
      <c r="E105" s="17"/>
      <c r="F105" s="13"/>
    </row>
    <row r="106" spans="2:6" ht="18" x14ac:dyDescent="0.35">
      <c r="B106" s="12"/>
      <c r="C106" s="17"/>
      <c r="D106" s="17"/>
      <c r="E106" s="17"/>
      <c r="F106" s="13"/>
    </row>
    <row r="107" spans="2:6" ht="18" x14ac:dyDescent="0.35">
      <c r="B107" s="12"/>
      <c r="C107" s="17"/>
      <c r="D107" s="17"/>
      <c r="E107" s="17"/>
      <c r="F107" s="13"/>
    </row>
    <row r="108" spans="2:6" ht="18" x14ac:dyDescent="0.35">
      <c r="B108" s="12"/>
      <c r="C108" s="17"/>
      <c r="D108" s="17"/>
      <c r="E108" s="17"/>
      <c r="F108" s="13"/>
    </row>
    <row r="109" spans="2:6" ht="18" x14ac:dyDescent="0.35">
      <c r="B109" s="12"/>
      <c r="C109" s="17"/>
      <c r="D109" s="17"/>
      <c r="E109" s="17"/>
      <c r="F109" s="13"/>
    </row>
    <row r="110" spans="2:6" ht="18" x14ac:dyDescent="0.35">
      <c r="B110" s="12"/>
      <c r="C110" s="17"/>
      <c r="D110" s="17"/>
      <c r="E110" s="17"/>
      <c r="F110" s="13"/>
    </row>
    <row r="111" spans="2:6" ht="18" x14ac:dyDescent="0.35">
      <c r="B111" s="12"/>
      <c r="C111" s="17"/>
      <c r="D111" s="17"/>
      <c r="E111" s="17"/>
      <c r="F111" s="13"/>
    </row>
    <row r="112" spans="2:6" ht="18" x14ac:dyDescent="0.35">
      <c r="B112" s="12"/>
      <c r="C112" s="17"/>
      <c r="D112" s="17"/>
      <c r="E112" s="17"/>
      <c r="F112" s="13"/>
    </row>
    <row r="113" spans="2:6" ht="18" x14ac:dyDescent="0.35">
      <c r="B113" s="12"/>
      <c r="C113" s="17"/>
      <c r="D113" s="17"/>
      <c r="E113" s="17"/>
      <c r="F113" s="13"/>
    </row>
    <row r="114" spans="2:6" ht="18" x14ac:dyDescent="0.35">
      <c r="B114" s="12"/>
      <c r="C114" s="17"/>
      <c r="D114" s="17"/>
      <c r="E114" s="17"/>
      <c r="F114" s="13"/>
    </row>
    <row r="115" spans="2:6" ht="18" x14ac:dyDescent="0.35">
      <c r="B115" s="12"/>
      <c r="C115" s="17"/>
      <c r="D115" s="17"/>
      <c r="E115" s="17"/>
      <c r="F115" s="13"/>
    </row>
    <row r="116" spans="2:6" ht="18" x14ac:dyDescent="0.35">
      <c r="B116" s="12"/>
      <c r="C116" s="17"/>
      <c r="D116" s="17"/>
      <c r="E116" s="17"/>
      <c r="F116" s="13"/>
    </row>
    <row r="117" spans="2:6" ht="18" x14ac:dyDescent="0.35">
      <c r="B117" s="12"/>
      <c r="C117" s="17"/>
      <c r="D117" s="17"/>
      <c r="E117" s="17"/>
      <c r="F117" s="13"/>
    </row>
    <row r="118" spans="2:6" ht="18" x14ac:dyDescent="0.35">
      <c r="B118" s="12"/>
      <c r="C118" s="17"/>
      <c r="D118" s="17"/>
      <c r="E118" s="17"/>
      <c r="F118" s="13"/>
    </row>
    <row r="119" spans="2:6" ht="18" x14ac:dyDescent="0.35">
      <c r="B119" s="12"/>
      <c r="C119" s="17"/>
      <c r="D119" s="17"/>
      <c r="E119" s="17"/>
      <c r="F119" s="13"/>
    </row>
    <row r="120" spans="2:6" ht="18" x14ac:dyDescent="0.35">
      <c r="B120" s="12"/>
      <c r="C120" s="17"/>
      <c r="D120" s="17"/>
      <c r="E120" s="17"/>
      <c r="F120" s="13"/>
    </row>
    <row r="121" spans="2:6" ht="18" x14ac:dyDescent="0.35">
      <c r="B121" s="12"/>
      <c r="C121" s="17"/>
      <c r="D121" s="17"/>
      <c r="E121" s="17"/>
      <c r="F121" s="13"/>
    </row>
    <row r="122" spans="2:6" ht="18" x14ac:dyDescent="0.35">
      <c r="B122" s="12"/>
      <c r="C122" s="17"/>
      <c r="D122" s="17"/>
      <c r="E122" s="17"/>
      <c r="F122" s="13"/>
    </row>
    <row r="123" spans="2:6" ht="18" x14ac:dyDescent="0.35">
      <c r="B123" s="12"/>
      <c r="C123" s="17"/>
      <c r="D123" s="17"/>
      <c r="E123" s="17"/>
      <c r="F123" s="13"/>
    </row>
    <row r="124" spans="2:6" ht="18" x14ac:dyDescent="0.35">
      <c r="B124" s="12"/>
      <c r="C124" s="17"/>
      <c r="D124" s="17"/>
      <c r="E124" s="17"/>
      <c r="F124" s="13"/>
    </row>
    <row r="125" spans="2:6" ht="18" x14ac:dyDescent="0.35">
      <c r="B125" s="12"/>
      <c r="C125" s="17"/>
      <c r="D125" s="17"/>
      <c r="E125" s="17"/>
      <c r="F125" s="13"/>
    </row>
    <row r="126" spans="2:6" ht="18" x14ac:dyDescent="0.35">
      <c r="B126" s="12"/>
      <c r="C126" s="17"/>
      <c r="D126" s="17"/>
      <c r="E126" s="17"/>
      <c r="F126" s="13"/>
    </row>
    <row r="127" spans="2:6" ht="18" x14ac:dyDescent="0.35">
      <c r="B127" s="12"/>
      <c r="C127" s="17"/>
      <c r="D127" s="17"/>
      <c r="E127" s="17"/>
      <c r="F127" s="13"/>
    </row>
    <row r="128" spans="2:6" ht="18" x14ac:dyDescent="0.35">
      <c r="B128" s="12"/>
      <c r="C128" s="17"/>
      <c r="D128" s="17"/>
      <c r="E128" s="17"/>
      <c r="F128" s="13"/>
    </row>
    <row r="129" spans="2:6" ht="18" x14ac:dyDescent="0.35">
      <c r="B129" s="12"/>
      <c r="C129" s="17"/>
      <c r="D129" s="17"/>
      <c r="E129" s="17"/>
      <c r="F129" s="13"/>
    </row>
    <row r="130" spans="2:6" ht="18" x14ac:dyDescent="0.35">
      <c r="B130" s="12"/>
      <c r="C130" s="17"/>
      <c r="D130" s="17"/>
      <c r="E130" s="17"/>
      <c r="F130" s="13"/>
    </row>
    <row r="131" spans="2:6" ht="18" x14ac:dyDescent="0.35">
      <c r="B131" s="12"/>
      <c r="C131" s="17"/>
      <c r="D131" s="17"/>
      <c r="E131" s="17"/>
      <c r="F131" s="13"/>
    </row>
    <row r="132" spans="2:6" ht="18" x14ac:dyDescent="0.35">
      <c r="B132" s="12"/>
      <c r="C132" s="17"/>
      <c r="D132" s="17"/>
      <c r="E132" s="17"/>
      <c r="F132" s="13"/>
    </row>
    <row r="133" spans="2:6" ht="18" x14ac:dyDescent="0.35">
      <c r="B133" s="12"/>
      <c r="C133" s="17"/>
      <c r="D133" s="17"/>
      <c r="E133" s="17"/>
      <c r="F133" s="13"/>
    </row>
    <row r="134" spans="2:6" ht="18" x14ac:dyDescent="0.35">
      <c r="B134" s="12"/>
      <c r="C134" s="17"/>
      <c r="D134" s="17"/>
      <c r="E134" s="17"/>
      <c r="F134" s="13"/>
    </row>
    <row r="135" spans="2:6" ht="18" x14ac:dyDescent="0.35">
      <c r="B135" s="12"/>
      <c r="C135" s="17"/>
      <c r="D135" s="17"/>
      <c r="E135" s="17"/>
      <c r="F135" s="13"/>
    </row>
    <row r="136" spans="2:6" ht="18" x14ac:dyDescent="0.35">
      <c r="B136" s="12"/>
      <c r="C136" s="17"/>
      <c r="D136" s="17"/>
      <c r="E136" s="17"/>
      <c r="F136" s="13"/>
    </row>
    <row r="137" spans="2:6" ht="18" x14ac:dyDescent="0.35">
      <c r="B137" s="12"/>
      <c r="C137" s="17"/>
      <c r="D137" s="17"/>
      <c r="E137" s="17"/>
      <c r="F137" s="13"/>
    </row>
    <row r="138" spans="2:6" ht="18" x14ac:dyDescent="0.35">
      <c r="B138" s="12"/>
      <c r="C138" s="17"/>
      <c r="D138" s="17"/>
      <c r="E138" s="17"/>
      <c r="F138" s="13"/>
    </row>
    <row r="139" spans="2:6" ht="18" x14ac:dyDescent="0.35">
      <c r="B139" s="12"/>
      <c r="C139" s="17"/>
      <c r="D139" s="17"/>
      <c r="E139" s="17"/>
      <c r="F139" s="13"/>
    </row>
    <row r="140" spans="2:6" ht="18" x14ac:dyDescent="0.35">
      <c r="B140" s="12"/>
      <c r="C140" s="17"/>
      <c r="D140" s="17"/>
      <c r="E140" s="17"/>
      <c r="F140" s="13"/>
    </row>
    <row r="141" spans="2:6" ht="18" x14ac:dyDescent="0.35">
      <c r="B141" s="12"/>
      <c r="C141" s="17"/>
      <c r="D141" s="17"/>
      <c r="E141" s="17"/>
      <c r="F141" s="13"/>
    </row>
    <row r="142" spans="2:6" ht="18" x14ac:dyDescent="0.35">
      <c r="B142" s="12"/>
      <c r="C142" s="17"/>
      <c r="D142" s="17"/>
      <c r="E142" s="17"/>
      <c r="F142" s="13"/>
    </row>
    <row r="143" spans="2:6" ht="18" x14ac:dyDescent="0.35">
      <c r="B143" s="12"/>
      <c r="C143" s="17"/>
      <c r="D143" s="17"/>
      <c r="E143" s="17"/>
      <c r="F143" s="13"/>
    </row>
    <row r="144" spans="2:6" ht="18" x14ac:dyDescent="0.35">
      <c r="B144" s="12"/>
      <c r="C144" s="17"/>
      <c r="D144" s="17"/>
      <c r="E144" s="17"/>
      <c r="F144" s="13"/>
    </row>
    <row r="145" spans="2:6" ht="18" x14ac:dyDescent="0.35">
      <c r="B145" s="12"/>
      <c r="C145" s="17"/>
      <c r="D145" s="17"/>
      <c r="E145" s="17"/>
      <c r="F145" s="13"/>
    </row>
    <row r="146" spans="2:6" ht="18" x14ac:dyDescent="0.35">
      <c r="B146" s="12"/>
      <c r="C146" s="17"/>
      <c r="D146" s="17"/>
      <c r="E146" s="17"/>
      <c r="F146" s="13"/>
    </row>
    <row r="147" spans="2:6" ht="18" x14ac:dyDescent="0.35">
      <c r="B147" s="12"/>
      <c r="C147" s="17"/>
      <c r="D147" s="17"/>
      <c r="E147" s="17"/>
      <c r="F147" s="13"/>
    </row>
    <row r="148" spans="2:6" ht="18" x14ac:dyDescent="0.35">
      <c r="B148" s="12"/>
      <c r="C148" s="17"/>
      <c r="D148" s="17"/>
      <c r="E148" s="17"/>
      <c r="F148" s="13"/>
    </row>
    <row r="149" spans="2:6" ht="18" x14ac:dyDescent="0.35">
      <c r="B149" s="12"/>
      <c r="C149" s="17"/>
      <c r="D149" s="17"/>
      <c r="E149" s="17"/>
      <c r="F149" s="13"/>
    </row>
    <row r="150" spans="2:6" ht="18" x14ac:dyDescent="0.35">
      <c r="B150" s="12"/>
      <c r="C150" s="17"/>
      <c r="D150" s="17"/>
      <c r="E150" s="17"/>
      <c r="F150" s="13"/>
    </row>
    <row r="151" spans="2:6" ht="18" x14ac:dyDescent="0.35">
      <c r="B151" s="12"/>
      <c r="C151" s="17"/>
      <c r="D151" s="17"/>
      <c r="E151" s="17"/>
      <c r="F151" s="13"/>
    </row>
    <row r="152" spans="2:6" ht="18" x14ac:dyDescent="0.35">
      <c r="B152" s="12"/>
      <c r="C152" s="17"/>
      <c r="D152" s="17"/>
      <c r="E152" s="17"/>
      <c r="F152" s="13"/>
    </row>
    <row r="153" spans="2:6" ht="18" x14ac:dyDescent="0.35">
      <c r="B153" s="12"/>
      <c r="C153" s="17"/>
      <c r="D153" s="17"/>
      <c r="E153" s="17"/>
      <c r="F153" s="13"/>
    </row>
    <row r="154" spans="2:6" ht="18" x14ac:dyDescent="0.35">
      <c r="B154" s="12"/>
      <c r="C154" s="17"/>
      <c r="D154" s="17"/>
      <c r="E154" s="17"/>
      <c r="F154" s="13"/>
    </row>
    <row r="155" spans="2:6" ht="18" x14ac:dyDescent="0.35">
      <c r="B155" s="12"/>
      <c r="C155" s="17"/>
      <c r="D155" s="17"/>
      <c r="E155" s="17"/>
      <c r="F155" s="13"/>
    </row>
    <row r="156" spans="2:6" ht="18" x14ac:dyDescent="0.35">
      <c r="B156" s="12"/>
      <c r="C156" s="17"/>
      <c r="D156" s="17"/>
      <c r="E156" s="17"/>
      <c r="F156" s="13"/>
    </row>
    <row r="157" spans="2:6" ht="18" x14ac:dyDescent="0.35">
      <c r="B157" s="12"/>
      <c r="C157" s="17"/>
      <c r="D157" s="17"/>
      <c r="E157" s="17"/>
      <c r="F157" s="13"/>
    </row>
    <row r="158" spans="2:6" ht="18" x14ac:dyDescent="0.35">
      <c r="B158" s="12"/>
      <c r="C158" s="17"/>
      <c r="D158" s="17"/>
      <c r="E158" s="17"/>
      <c r="F158" s="13"/>
    </row>
    <row r="159" spans="2:6" ht="18" x14ac:dyDescent="0.35">
      <c r="B159" s="12"/>
      <c r="C159" s="17"/>
      <c r="D159" s="17"/>
      <c r="E159" s="17"/>
      <c r="F159" s="13"/>
    </row>
    <row r="160" spans="2:6" ht="18" x14ac:dyDescent="0.35">
      <c r="B160" s="12"/>
      <c r="C160" s="17"/>
      <c r="D160" s="17"/>
      <c r="E160" s="17"/>
      <c r="F160" s="13"/>
    </row>
    <row r="161" spans="2:6" ht="18" x14ac:dyDescent="0.35">
      <c r="B161" s="12"/>
      <c r="C161" s="17"/>
      <c r="D161" s="17"/>
      <c r="E161" s="17"/>
      <c r="F161" s="13"/>
    </row>
    <row r="162" spans="2:6" ht="18" x14ac:dyDescent="0.35">
      <c r="B162" s="12"/>
      <c r="C162" s="17"/>
      <c r="D162" s="17"/>
      <c r="E162" s="17"/>
      <c r="F162" s="13"/>
    </row>
    <row r="163" spans="2:6" ht="18" x14ac:dyDescent="0.35">
      <c r="B163" s="12"/>
      <c r="C163" s="17"/>
      <c r="D163" s="17"/>
      <c r="E163" s="17"/>
      <c r="F163" s="13"/>
    </row>
    <row r="164" spans="2:6" ht="18" x14ac:dyDescent="0.35">
      <c r="B164" s="12"/>
      <c r="C164" s="17"/>
      <c r="D164" s="17"/>
      <c r="E164" s="17"/>
      <c r="F164" s="13"/>
    </row>
    <row r="165" spans="2:6" ht="18" x14ac:dyDescent="0.35">
      <c r="B165" s="12"/>
      <c r="C165" s="17"/>
      <c r="D165" s="17"/>
      <c r="E165" s="17"/>
      <c r="F165" s="13"/>
    </row>
    <row r="166" spans="2:6" ht="18" x14ac:dyDescent="0.35">
      <c r="B166" s="12"/>
      <c r="C166" s="17"/>
      <c r="D166" s="17"/>
      <c r="E166" s="17"/>
      <c r="F166" s="13"/>
    </row>
    <row r="167" spans="2:6" ht="18" x14ac:dyDescent="0.35">
      <c r="B167" s="12"/>
      <c r="C167" s="17"/>
      <c r="D167" s="17"/>
      <c r="E167" s="17"/>
      <c r="F167" s="13"/>
    </row>
    <row r="168" spans="2:6" ht="18" x14ac:dyDescent="0.35">
      <c r="B168" s="12"/>
      <c r="C168" s="17"/>
      <c r="D168" s="17"/>
      <c r="E168" s="17"/>
      <c r="F168" s="13"/>
    </row>
    <row r="169" spans="2:6" ht="18" x14ac:dyDescent="0.35">
      <c r="B169" s="12"/>
      <c r="C169" s="17"/>
      <c r="D169" s="17"/>
      <c r="E169" s="17"/>
      <c r="F169" s="13"/>
    </row>
    <row r="170" spans="2:6" ht="18" x14ac:dyDescent="0.35">
      <c r="B170" s="12"/>
      <c r="C170" s="17"/>
      <c r="D170" s="17"/>
      <c r="E170" s="17"/>
      <c r="F170" s="13"/>
    </row>
    <row r="171" spans="2:6" ht="18" x14ac:dyDescent="0.35">
      <c r="B171" s="12"/>
      <c r="C171" s="17"/>
      <c r="D171" s="17"/>
      <c r="E171" s="17"/>
      <c r="F171" s="13"/>
    </row>
    <row r="172" spans="2:6" ht="18" x14ac:dyDescent="0.35">
      <c r="B172" s="12"/>
      <c r="C172" s="17"/>
      <c r="D172" s="17"/>
      <c r="E172" s="17"/>
      <c r="F172" s="13"/>
    </row>
    <row r="173" spans="2:6" ht="18" x14ac:dyDescent="0.35">
      <c r="B173" s="12"/>
      <c r="C173" s="17"/>
      <c r="D173" s="17"/>
      <c r="E173" s="17"/>
      <c r="F173" s="13"/>
    </row>
    <row r="174" spans="2:6" ht="18" x14ac:dyDescent="0.35">
      <c r="B174" s="12"/>
      <c r="C174" s="17"/>
      <c r="D174" s="17"/>
      <c r="E174" s="17"/>
      <c r="F174" s="13"/>
    </row>
    <row r="175" spans="2:6" ht="18" x14ac:dyDescent="0.35">
      <c r="B175" s="12"/>
      <c r="C175" s="17"/>
      <c r="D175" s="17"/>
      <c r="E175" s="17"/>
      <c r="F175" s="13"/>
    </row>
    <row r="176" spans="2:6" ht="18" x14ac:dyDescent="0.35">
      <c r="B176" s="12"/>
      <c r="C176" s="17"/>
      <c r="D176" s="17"/>
      <c r="E176" s="17"/>
      <c r="F176" s="13"/>
    </row>
    <row r="177" spans="2:6" ht="18" x14ac:dyDescent="0.35">
      <c r="B177" s="12"/>
      <c r="C177" s="17"/>
      <c r="D177" s="17"/>
      <c r="E177" s="17"/>
      <c r="F177" s="13"/>
    </row>
    <row r="178" spans="2:6" ht="18" x14ac:dyDescent="0.35">
      <c r="B178" s="12"/>
      <c r="C178" s="17"/>
      <c r="D178" s="17"/>
      <c r="E178" s="17"/>
      <c r="F178" s="13"/>
    </row>
    <row r="179" spans="2:6" ht="18" x14ac:dyDescent="0.35">
      <c r="B179" s="12"/>
      <c r="C179" s="17"/>
      <c r="D179" s="17"/>
      <c r="E179" s="17"/>
      <c r="F179" s="13"/>
    </row>
    <row r="180" spans="2:6" ht="18" x14ac:dyDescent="0.35">
      <c r="B180" s="12"/>
      <c r="C180" s="17"/>
      <c r="D180" s="17"/>
      <c r="E180" s="17"/>
      <c r="F180" s="13"/>
    </row>
    <row r="181" spans="2:6" ht="18" x14ac:dyDescent="0.35">
      <c r="B181" s="12"/>
      <c r="C181" s="17"/>
      <c r="D181" s="17"/>
      <c r="E181" s="17"/>
      <c r="F181" s="13"/>
    </row>
    <row r="182" spans="2:6" ht="18" x14ac:dyDescent="0.35">
      <c r="B182" s="12"/>
      <c r="C182" s="17"/>
      <c r="D182" s="17"/>
      <c r="E182" s="17"/>
      <c r="F182" s="13"/>
    </row>
    <row r="183" spans="2:6" ht="18" x14ac:dyDescent="0.35">
      <c r="B183" s="12"/>
      <c r="C183" s="17"/>
      <c r="D183" s="17"/>
      <c r="E183" s="17"/>
      <c r="F183" s="13"/>
    </row>
    <row r="184" spans="2:6" ht="18" x14ac:dyDescent="0.35">
      <c r="B184" s="12"/>
      <c r="C184" s="17"/>
      <c r="D184" s="17"/>
      <c r="E184" s="17"/>
      <c r="F184" s="13"/>
    </row>
    <row r="185" spans="2:6" ht="18" x14ac:dyDescent="0.35">
      <c r="B185" s="12"/>
      <c r="C185" s="17"/>
      <c r="D185" s="17"/>
      <c r="E185" s="17"/>
      <c r="F185" s="13"/>
    </row>
    <row r="186" spans="2:6" ht="18" x14ac:dyDescent="0.35">
      <c r="B186" s="12"/>
      <c r="C186" s="17"/>
      <c r="D186" s="17"/>
      <c r="E186" s="17"/>
      <c r="F186" s="13"/>
    </row>
    <row r="187" spans="2:6" ht="18" x14ac:dyDescent="0.35">
      <c r="B187" s="12"/>
      <c r="C187" s="17"/>
      <c r="D187" s="17"/>
      <c r="E187" s="17"/>
      <c r="F187" s="13"/>
    </row>
    <row r="188" spans="2:6" ht="18" x14ac:dyDescent="0.35">
      <c r="B188" s="12"/>
      <c r="C188" s="17"/>
      <c r="D188" s="17"/>
      <c r="E188" s="17"/>
      <c r="F188" s="13"/>
    </row>
    <row r="189" spans="2:6" ht="18" x14ac:dyDescent="0.35">
      <c r="B189" s="12"/>
      <c r="C189" s="17"/>
      <c r="D189" s="17"/>
      <c r="E189" s="17"/>
      <c r="F189" s="13"/>
    </row>
    <row r="190" spans="2:6" ht="18" x14ac:dyDescent="0.35">
      <c r="B190" s="12"/>
      <c r="C190" s="17"/>
      <c r="D190" s="17"/>
      <c r="E190" s="17"/>
      <c r="F190" s="13"/>
    </row>
    <row r="191" spans="2:6" ht="18" x14ac:dyDescent="0.35">
      <c r="B191" s="12"/>
      <c r="C191" s="17"/>
      <c r="D191" s="17"/>
      <c r="E191" s="17"/>
      <c r="F191" s="13"/>
    </row>
    <row r="192" spans="2:6" ht="18" x14ac:dyDescent="0.35">
      <c r="B192" s="12"/>
      <c r="C192" s="17"/>
      <c r="D192" s="17"/>
      <c r="E192" s="17"/>
      <c r="F192" s="13"/>
    </row>
    <row r="193" spans="2:6" ht="18" x14ac:dyDescent="0.35">
      <c r="B193" s="12"/>
      <c r="C193" s="17"/>
      <c r="D193" s="17"/>
      <c r="E193" s="17"/>
      <c r="F193" s="13"/>
    </row>
    <row r="194" spans="2:6" ht="18" x14ac:dyDescent="0.35">
      <c r="B194" s="12"/>
      <c r="C194" s="17"/>
      <c r="D194" s="17"/>
      <c r="E194" s="17"/>
      <c r="F194" s="13"/>
    </row>
    <row r="195" spans="2:6" ht="18" x14ac:dyDescent="0.35">
      <c r="B195" s="12"/>
      <c r="C195" s="17"/>
      <c r="D195" s="17"/>
      <c r="E195" s="17"/>
      <c r="F195" s="13"/>
    </row>
    <row r="196" spans="2:6" ht="18" x14ac:dyDescent="0.35">
      <c r="B196" s="12"/>
      <c r="C196" s="17"/>
      <c r="D196" s="17"/>
      <c r="E196" s="17"/>
      <c r="F196" s="13"/>
    </row>
    <row r="197" spans="2:6" ht="18" x14ac:dyDescent="0.35">
      <c r="B197" s="12"/>
      <c r="C197" s="17"/>
      <c r="D197" s="17"/>
      <c r="E197" s="17"/>
      <c r="F197" s="13"/>
    </row>
    <row r="198" spans="2:6" ht="18" x14ac:dyDescent="0.35">
      <c r="B198" s="12"/>
      <c r="C198" s="17"/>
      <c r="D198" s="17"/>
      <c r="E198" s="17"/>
      <c r="F198" s="13"/>
    </row>
    <row r="199" spans="2:6" ht="18" x14ac:dyDescent="0.35">
      <c r="B199" s="12"/>
      <c r="C199" s="17"/>
      <c r="D199" s="17"/>
      <c r="E199" s="17"/>
      <c r="F199" s="13"/>
    </row>
    <row r="200" spans="2:6" ht="18" x14ac:dyDescent="0.35">
      <c r="B200" s="12"/>
      <c r="C200" s="17"/>
      <c r="D200" s="17"/>
      <c r="E200" s="17"/>
      <c r="F200" s="13"/>
    </row>
    <row r="201" spans="2:6" ht="18" x14ac:dyDescent="0.35">
      <c r="B201" s="12"/>
      <c r="C201" s="17"/>
      <c r="D201" s="17"/>
      <c r="E201" s="17"/>
      <c r="F201" s="13"/>
    </row>
    <row r="202" spans="2:6" ht="18" x14ac:dyDescent="0.35">
      <c r="B202" s="12"/>
      <c r="C202" s="17"/>
      <c r="D202" s="17"/>
      <c r="E202" s="17"/>
      <c r="F202" s="13"/>
    </row>
    <row r="203" spans="2:6" ht="18" x14ac:dyDescent="0.35">
      <c r="B203" s="12"/>
      <c r="C203" s="17"/>
      <c r="D203" s="17"/>
      <c r="E203" s="17"/>
      <c r="F203" s="13"/>
    </row>
    <row r="204" spans="2:6" ht="18" x14ac:dyDescent="0.35">
      <c r="B204" s="12"/>
      <c r="C204" s="17"/>
      <c r="D204" s="17"/>
      <c r="E204" s="17"/>
      <c r="F204" s="13"/>
    </row>
    <row r="205" spans="2:6" ht="18" x14ac:dyDescent="0.35">
      <c r="B205" s="12"/>
      <c r="C205" s="17"/>
      <c r="D205" s="17"/>
      <c r="E205" s="17"/>
      <c r="F205" s="13"/>
    </row>
    <row r="206" spans="2:6" ht="18" x14ac:dyDescent="0.35">
      <c r="B206" s="12"/>
      <c r="C206" s="17"/>
      <c r="D206" s="17"/>
      <c r="E206" s="17"/>
      <c r="F206" s="13"/>
    </row>
    <row r="207" spans="2:6" ht="18" x14ac:dyDescent="0.35">
      <c r="B207" s="12"/>
      <c r="C207" s="17"/>
      <c r="D207" s="17"/>
      <c r="E207" s="17"/>
      <c r="F207" s="13"/>
    </row>
    <row r="208" spans="2:6" ht="18" x14ac:dyDescent="0.35">
      <c r="B208" s="12"/>
      <c r="C208" s="17"/>
      <c r="D208" s="17"/>
      <c r="E208" s="17"/>
      <c r="F208" s="13"/>
    </row>
    <row r="209" spans="2:6" ht="18" x14ac:dyDescent="0.35">
      <c r="B209" s="12"/>
      <c r="C209" s="17"/>
      <c r="D209" s="17"/>
      <c r="E209" s="17"/>
      <c r="F209" s="13"/>
    </row>
    <row r="210" spans="2:6" ht="18" x14ac:dyDescent="0.35">
      <c r="B210" s="12"/>
      <c r="C210" s="17"/>
      <c r="D210" s="17"/>
      <c r="E210" s="17"/>
      <c r="F210" s="13"/>
    </row>
    <row r="211" spans="2:6" ht="18" x14ac:dyDescent="0.35">
      <c r="B211" s="12"/>
      <c r="C211" s="17"/>
      <c r="D211" s="17"/>
      <c r="E211" s="17"/>
      <c r="F211" s="13"/>
    </row>
    <row r="212" spans="2:6" ht="18" x14ac:dyDescent="0.35">
      <c r="B212" s="12"/>
      <c r="C212" s="17"/>
      <c r="D212" s="17"/>
      <c r="E212" s="17"/>
      <c r="F212" s="13"/>
    </row>
    <row r="213" spans="2:6" ht="18" x14ac:dyDescent="0.35">
      <c r="B213" s="12"/>
      <c r="C213" s="17"/>
      <c r="D213" s="17"/>
      <c r="E213" s="17"/>
      <c r="F213" s="13"/>
    </row>
    <row r="214" spans="2:6" ht="18" x14ac:dyDescent="0.35">
      <c r="B214" s="12"/>
      <c r="C214" s="17"/>
      <c r="D214" s="17"/>
      <c r="E214" s="17"/>
      <c r="F214" s="13"/>
    </row>
    <row r="215" spans="2:6" ht="18" x14ac:dyDescent="0.35">
      <c r="B215" s="12"/>
      <c r="C215" s="17"/>
      <c r="D215" s="17"/>
      <c r="E215" s="17"/>
      <c r="F215" s="13"/>
    </row>
    <row r="216" spans="2:6" ht="18" x14ac:dyDescent="0.35">
      <c r="B216" s="12"/>
      <c r="C216" s="17"/>
      <c r="D216" s="17"/>
      <c r="E216" s="17"/>
      <c r="F216" s="13"/>
    </row>
    <row r="217" spans="2:6" ht="18" x14ac:dyDescent="0.35">
      <c r="B217" s="12"/>
      <c r="C217" s="17"/>
      <c r="D217" s="17"/>
      <c r="E217" s="17"/>
      <c r="F217" s="13"/>
    </row>
    <row r="218" spans="2:6" ht="18" x14ac:dyDescent="0.35">
      <c r="B218" s="12"/>
      <c r="C218" s="17"/>
      <c r="D218" s="17"/>
      <c r="E218" s="17"/>
      <c r="F218" s="13"/>
    </row>
    <row r="219" spans="2:6" ht="18" x14ac:dyDescent="0.35">
      <c r="B219" s="12"/>
      <c r="C219" s="17"/>
      <c r="D219" s="17"/>
      <c r="E219" s="17"/>
      <c r="F219" s="13"/>
    </row>
    <row r="220" spans="2:6" ht="18" x14ac:dyDescent="0.35">
      <c r="B220" s="12"/>
      <c r="C220" s="17"/>
      <c r="D220" s="17"/>
      <c r="E220" s="17"/>
      <c r="F220" s="13"/>
    </row>
    <row r="221" spans="2:6" ht="18" x14ac:dyDescent="0.35">
      <c r="B221" s="12"/>
      <c r="C221" s="17"/>
      <c r="D221" s="17"/>
      <c r="E221" s="17"/>
      <c r="F221" s="13"/>
    </row>
    <row r="222" spans="2:6" ht="18" x14ac:dyDescent="0.35">
      <c r="B222" s="12"/>
      <c r="C222" s="17"/>
      <c r="D222" s="17"/>
      <c r="E222" s="17"/>
      <c r="F222" s="13"/>
    </row>
    <row r="223" spans="2:6" ht="18" x14ac:dyDescent="0.35">
      <c r="B223" s="12"/>
      <c r="C223" s="17"/>
      <c r="D223" s="17"/>
      <c r="E223" s="17"/>
      <c r="F223" s="13"/>
    </row>
    <row r="224" spans="2:6" ht="18" x14ac:dyDescent="0.35">
      <c r="B224" s="12"/>
      <c r="C224" s="17"/>
      <c r="D224" s="17"/>
      <c r="E224" s="17"/>
      <c r="F224" s="13"/>
    </row>
    <row r="225" spans="2:6" ht="18" x14ac:dyDescent="0.35">
      <c r="B225" s="12"/>
      <c r="C225" s="17"/>
      <c r="D225" s="17"/>
      <c r="E225" s="17"/>
      <c r="F225" s="13"/>
    </row>
    <row r="226" spans="2:6" ht="18" x14ac:dyDescent="0.35">
      <c r="B226" s="12"/>
      <c r="C226" s="17"/>
      <c r="D226" s="17"/>
      <c r="E226" s="17"/>
      <c r="F226" s="13"/>
    </row>
    <row r="227" spans="2:6" ht="18" x14ac:dyDescent="0.35">
      <c r="B227" s="12"/>
      <c r="C227" s="17"/>
      <c r="D227" s="17"/>
      <c r="E227" s="17"/>
      <c r="F227" s="13"/>
    </row>
    <row r="228" spans="2:6" ht="18" x14ac:dyDescent="0.35">
      <c r="B228" s="12"/>
      <c r="C228" s="17"/>
      <c r="D228" s="17"/>
      <c r="E228" s="17"/>
      <c r="F228" s="13"/>
    </row>
    <row r="229" spans="2:6" ht="18" x14ac:dyDescent="0.35">
      <c r="B229" s="12"/>
      <c r="C229" s="17"/>
      <c r="D229" s="17"/>
      <c r="E229" s="17"/>
      <c r="F229" s="13"/>
    </row>
    <row r="230" spans="2:6" ht="18" x14ac:dyDescent="0.35">
      <c r="B230" s="12"/>
      <c r="C230" s="17"/>
      <c r="D230" s="17"/>
      <c r="E230" s="17"/>
      <c r="F230" s="13"/>
    </row>
    <row r="231" spans="2:6" ht="18" x14ac:dyDescent="0.35">
      <c r="B231" s="12"/>
      <c r="C231" s="17"/>
      <c r="D231" s="17"/>
      <c r="E231" s="17"/>
      <c r="F231" s="13"/>
    </row>
    <row r="232" spans="2:6" ht="18" x14ac:dyDescent="0.35">
      <c r="B232" s="12"/>
      <c r="C232" s="17"/>
      <c r="D232" s="17"/>
      <c r="E232" s="17"/>
      <c r="F232" s="13"/>
    </row>
    <row r="233" spans="2:6" ht="18" x14ac:dyDescent="0.35">
      <c r="B233" s="12"/>
      <c r="C233" s="17"/>
      <c r="D233" s="17"/>
      <c r="E233" s="17"/>
      <c r="F233" s="13"/>
    </row>
    <row r="234" spans="2:6" ht="18" x14ac:dyDescent="0.35">
      <c r="B234" s="12"/>
      <c r="C234" s="17"/>
      <c r="D234" s="17"/>
      <c r="E234" s="17"/>
      <c r="F234" s="13"/>
    </row>
    <row r="235" spans="2:6" ht="18" x14ac:dyDescent="0.35">
      <c r="B235" s="12"/>
      <c r="C235" s="17"/>
      <c r="D235" s="17"/>
      <c r="E235" s="17"/>
      <c r="F235" s="13"/>
    </row>
    <row r="236" spans="2:6" ht="18" x14ac:dyDescent="0.35">
      <c r="B236" s="12"/>
      <c r="C236" s="17"/>
      <c r="D236" s="17"/>
      <c r="E236" s="17"/>
      <c r="F236" s="13"/>
    </row>
    <row r="237" spans="2:6" ht="18" x14ac:dyDescent="0.35">
      <c r="B237" s="12"/>
      <c r="C237" s="17"/>
      <c r="D237" s="17"/>
      <c r="E237" s="17"/>
      <c r="F237" s="13"/>
    </row>
    <row r="238" spans="2:6" ht="18" x14ac:dyDescent="0.35">
      <c r="B238" s="12"/>
      <c r="C238" s="17"/>
      <c r="D238" s="17"/>
      <c r="E238" s="17"/>
      <c r="F238" s="13"/>
    </row>
    <row r="239" spans="2:6" ht="18" x14ac:dyDescent="0.35">
      <c r="B239" s="12"/>
      <c r="C239" s="17"/>
      <c r="D239" s="17"/>
      <c r="E239" s="17"/>
      <c r="F239" s="13"/>
    </row>
    <row r="240" spans="2:6" ht="18" x14ac:dyDescent="0.35">
      <c r="B240" s="12"/>
      <c r="C240" s="17"/>
      <c r="D240" s="17"/>
      <c r="E240" s="17"/>
      <c r="F240" s="13"/>
    </row>
    <row r="241" spans="2:6" ht="18" x14ac:dyDescent="0.35">
      <c r="B241" s="12"/>
      <c r="C241" s="17"/>
      <c r="D241" s="17"/>
      <c r="E241" s="17"/>
      <c r="F241" s="13"/>
    </row>
    <row r="242" spans="2:6" ht="18" x14ac:dyDescent="0.35">
      <c r="B242" s="12"/>
      <c r="C242" s="17"/>
      <c r="D242" s="17"/>
      <c r="E242" s="17"/>
      <c r="F242" s="13"/>
    </row>
    <row r="243" spans="2:6" ht="18" x14ac:dyDescent="0.35">
      <c r="B243" s="12"/>
      <c r="C243" s="17"/>
      <c r="D243" s="17"/>
      <c r="E243" s="17"/>
      <c r="F243" s="13"/>
    </row>
    <row r="244" spans="2:6" ht="18" x14ac:dyDescent="0.35">
      <c r="B244" s="12"/>
      <c r="C244" s="17"/>
      <c r="D244" s="17"/>
      <c r="E244" s="17"/>
      <c r="F244" s="13"/>
    </row>
    <row r="245" spans="2:6" ht="18" x14ac:dyDescent="0.35">
      <c r="B245" s="12"/>
      <c r="C245" s="17"/>
      <c r="D245" s="17"/>
      <c r="E245" s="17"/>
      <c r="F245" s="13"/>
    </row>
    <row r="246" spans="2:6" ht="18" x14ac:dyDescent="0.35">
      <c r="B246" s="12"/>
      <c r="C246" s="17"/>
      <c r="D246" s="17"/>
      <c r="E246" s="17"/>
      <c r="F246" s="13"/>
    </row>
    <row r="247" spans="2:6" ht="18" x14ac:dyDescent="0.35">
      <c r="B247" s="12"/>
      <c r="C247" s="17"/>
      <c r="D247" s="17"/>
      <c r="E247" s="17"/>
      <c r="F247" s="13"/>
    </row>
    <row r="248" spans="2:6" ht="18" x14ac:dyDescent="0.35">
      <c r="B248" s="12"/>
      <c r="C248" s="17"/>
      <c r="D248" s="17"/>
      <c r="E248" s="17"/>
      <c r="F248" s="13"/>
    </row>
    <row r="249" spans="2:6" ht="18" x14ac:dyDescent="0.35">
      <c r="B249" s="12"/>
      <c r="C249" s="17"/>
      <c r="D249" s="17"/>
      <c r="E249" s="17"/>
      <c r="F249" s="13"/>
    </row>
    <row r="250" spans="2:6" ht="18" x14ac:dyDescent="0.35">
      <c r="B250" s="12"/>
      <c r="C250" s="17"/>
      <c r="D250" s="17"/>
      <c r="E250" s="17"/>
      <c r="F250" s="13"/>
    </row>
    <row r="251" spans="2:6" ht="18" x14ac:dyDescent="0.35">
      <c r="B251" s="12"/>
      <c r="C251" s="17"/>
      <c r="D251" s="17"/>
      <c r="E251" s="17"/>
      <c r="F251" s="13"/>
    </row>
    <row r="252" spans="2:6" ht="18" x14ac:dyDescent="0.35">
      <c r="B252" s="12"/>
      <c r="C252" s="17"/>
      <c r="D252" s="17"/>
      <c r="E252" s="17"/>
      <c r="F252" s="13"/>
    </row>
    <row r="253" spans="2:6" ht="18" x14ac:dyDescent="0.35">
      <c r="B253" s="12"/>
      <c r="C253" s="17"/>
      <c r="D253" s="17"/>
      <c r="E253" s="17"/>
      <c r="F253" s="13"/>
    </row>
    <row r="254" spans="2:6" ht="18" x14ac:dyDescent="0.35">
      <c r="B254" s="12"/>
      <c r="C254" s="17"/>
      <c r="D254" s="17"/>
      <c r="E254" s="17"/>
      <c r="F254" s="13"/>
    </row>
    <row r="255" spans="2:6" ht="18" x14ac:dyDescent="0.35">
      <c r="B255" s="12"/>
      <c r="C255" s="17"/>
      <c r="D255" s="17"/>
      <c r="E255" s="17"/>
      <c r="F255" s="13"/>
    </row>
    <row r="256" spans="2:6" ht="18" x14ac:dyDescent="0.35">
      <c r="B256" s="12"/>
      <c r="C256" s="17"/>
      <c r="D256" s="17"/>
      <c r="E256" s="17"/>
      <c r="F256" s="13"/>
    </row>
    <row r="257" spans="2:6" ht="18" x14ac:dyDescent="0.35">
      <c r="B257" s="12"/>
      <c r="C257" s="17"/>
      <c r="D257" s="17"/>
      <c r="E257" s="17"/>
      <c r="F257" s="13"/>
    </row>
    <row r="258" spans="2:6" ht="18" x14ac:dyDescent="0.35">
      <c r="B258" s="12"/>
      <c r="C258" s="17"/>
      <c r="D258" s="17"/>
      <c r="E258" s="17"/>
      <c r="F258" s="13"/>
    </row>
    <row r="259" spans="2:6" ht="18" x14ac:dyDescent="0.35">
      <c r="B259" s="12"/>
      <c r="C259" s="17"/>
      <c r="D259" s="17"/>
      <c r="E259" s="17"/>
      <c r="F259" s="13"/>
    </row>
    <row r="260" spans="2:6" ht="18" x14ac:dyDescent="0.35">
      <c r="B260" s="12"/>
      <c r="C260" s="17"/>
      <c r="D260" s="17"/>
      <c r="E260" s="17"/>
      <c r="F260" s="13"/>
    </row>
    <row r="261" spans="2:6" ht="18" x14ac:dyDescent="0.35">
      <c r="B261" s="12"/>
      <c r="C261" s="17"/>
      <c r="D261" s="17"/>
      <c r="E261" s="17"/>
      <c r="F261" s="13"/>
    </row>
    <row r="262" spans="2:6" ht="18" x14ac:dyDescent="0.35">
      <c r="B262" s="12"/>
      <c r="C262" s="17"/>
      <c r="D262" s="17"/>
      <c r="E262" s="17"/>
      <c r="F262" s="13"/>
    </row>
    <row r="263" spans="2:6" ht="18" x14ac:dyDescent="0.35">
      <c r="B263" s="12"/>
      <c r="C263" s="17"/>
      <c r="D263" s="17"/>
      <c r="E263" s="17"/>
      <c r="F263" s="13"/>
    </row>
    <row r="264" spans="2:6" ht="18" x14ac:dyDescent="0.35">
      <c r="B264" s="12"/>
      <c r="C264" s="17"/>
      <c r="D264" s="17"/>
      <c r="E264" s="17"/>
      <c r="F264" s="13"/>
    </row>
    <row r="265" spans="2:6" ht="18" x14ac:dyDescent="0.35">
      <c r="B265" s="12"/>
      <c r="C265" s="17"/>
      <c r="D265" s="17"/>
      <c r="E265" s="17"/>
      <c r="F265" s="13"/>
    </row>
    <row r="266" spans="2:6" ht="18" x14ac:dyDescent="0.35">
      <c r="B266" s="12"/>
      <c r="C266" s="17"/>
      <c r="D266" s="17"/>
      <c r="E266" s="17"/>
      <c r="F266" s="13"/>
    </row>
    <row r="267" spans="2:6" ht="18" x14ac:dyDescent="0.35">
      <c r="B267" s="12"/>
      <c r="C267" s="17"/>
      <c r="D267" s="17"/>
      <c r="E267" s="17"/>
      <c r="F267" s="13"/>
    </row>
    <row r="268" spans="2:6" ht="18" x14ac:dyDescent="0.35">
      <c r="B268" s="12"/>
      <c r="C268" s="17"/>
      <c r="D268" s="17"/>
      <c r="E268" s="17"/>
      <c r="F268" s="13"/>
    </row>
    <row r="269" spans="2:6" ht="18" x14ac:dyDescent="0.35">
      <c r="B269" s="12"/>
      <c r="C269" s="17"/>
      <c r="D269" s="17"/>
      <c r="E269" s="17"/>
      <c r="F269" s="13"/>
    </row>
    <row r="270" spans="2:6" ht="18" x14ac:dyDescent="0.35">
      <c r="B270" s="12"/>
      <c r="C270" s="17"/>
      <c r="D270" s="17"/>
      <c r="E270" s="17"/>
      <c r="F270" s="13"/>
    </row>
    <row r="271" spans="2:6" ht="18" x14ac:dyDescent="0.35">
      <c r="B271" s="12"/>
      <c r="C271" s="17"/>
      <c r="D271" s="17"/>
      <c r="E271" s="17"/>
      <c r="F271" s="13"/>
    </row>
    <row r="272" spans="2:6" ht="18" x14ac:dyDescent="0.35">
      <c r="B272" s="12"/>
      <c r="C272" s="17"/>
      <c r="D272" s="17"/>
      <c r="E272" s="17"/>
      <c r="F272" s="13"/>
    </row>
    <row r="273" spans="2:6" ht="18" x14ac:dyDescent="0.35">
      <c r="B273" s="12"/>
      <c r="C273" s="17"/>
      <c r="D273" s="17"/>
      <c r="E273" s="17"/>
      <c r="F273" s="13"/>
    </row>
    <row r="274" spans="2:6" ht="18" x14ac:dyDescent="0.35">
      <c r="B274" s="12"/>
      <c r="C274" s="17"/>
      <c r="D274" s="17"/>
      <c r="E274" s="17"/>
      <c r="F274" s="13"/>
    </row>
    <row r="275" spans="2:6" ht="18" x14ac:dyDescent="0.35">
      <c r="B275" s="12"/>
      <c r="C275" s="17"/>
      <c r="D275" s="17"/>
      <c r="E275" s="17"/>
      <c r="F275" s="13"/>
    </row>
    <row r="276" spans="2:6" ht="18" x14ac:dyDescent="0.35">
      <c r="B276" s="12"/>
      <c r="C276" s="17"/>
      <c r="D276" s="17"/>
      <c r="E276" s="17"/>
      <c r="F276" s="13"/>
    </row>
    <row r="277" spans="2:6" ht="18" x14ac:dyDescent="0.35">
      <c r="B277" s="12"/>
      <c r="C277" s="17"/>
      <c r="D277" s="17"/>
      <c r="E277" s="17"/>
      <c r="F277" s="13"/>
    </row>
    <row r="278" spans="2:6" ht="18" x14ac:dyDescent="0.35">
      <c r="B278" s="12"/>
      <c r="C278" s="17"/>
      <c r="D278" s="17"/>
      <c r="E278" s="17"/>
      <c r="F278" s="13"/>
    </row>
    <row r="279" spans="2:6" ht="18" x14ac:dyDescent="0.35">
      <c r="B279" s="12"/>
      <c r="C279" s="17"/>
      <c r="D279" s="17"/>
      <c r="E279" s="17"/>
      <c r="F279" s="13"/>
    </row>
    <row r="280" spans="2:6" ht="18" x14ac:dyDescent="0.35">
      <c r="B280" s="12"/>
      <c r="C280" s="17"/>
      <c r="D280" s="17"/>
      <c r="E280" s="17"/>
      <c r="F280" s="13"/>
    </row>
    <row r="281" spans="2:6" ht="18" x14ac:dyDescent="0.35">
      <c r="B281" s="12"/>
      <c r="C281" s="17"/>
      <c r="D281" s="17"/>
      <c r="E281" s="17"/>
      <c r="F281" s="13"/>
    </row>
    <row r="282" spans="2:6" ht="18" x14ac:dyDescent="0.35">
      <c r="B282" s="12"/>
      <c r="C282" s="17"/>
      <c r="D282" s="17"/>
      <c r="E282" s="17"/>
      <c r="F282" s="13"/>
    </row>
    <row r="283" spans="2:6" ht="18" x14ac:dyDescent="0.35">
      <c r="B283" s="12"/>
      <c r="C283" s="17"/>
      <c r="D283" s="17"/>
      <c r="E283" s="17"/>
      <c r="F283" s="13"/>
    </row>
    <row r="284" spans="2:6" ht="18" x14ac:dyDescent="0.35">
      <c r="B284" s="12"/>
      <c r="C284" s="17"/>
      <c r="D284" s="17"/>
      <c r="E284" s="17"/>
      <c r="F284" s="13"/>
    </row>
    <row r="285" spans="2:6" ht="18" x14ac:dyDescent="0.35">
      <c r="B285" s="12"/>
      <c r="C285" s="17"/>
      <c r="D285" s="17"/>
      <c r="E285" s="17"/>
      <c r="F285" s="13"/>
    </row>
    <row r="286" spans="2:6" ht="18" x14ac:dyDescent="0.35">
      <c r="B286" s="12"/>
      <c r="C286" s="17"/>
      <c r="D286" s="17"/>
      <c r="E286" s="17"/>
      <c r="F286" s="13"/>
    </row>
    <row r="287" spans="2:6" ht="18" x14ac:dyDescent="0.35">
      <c r="B287" s="12"/>
      <c r="C287" s="17"/>
      <c r="D287" s="17"/>
      <c r="E287" s="17"/>
      <c r="F287" s="13"/>
    </row>
    <row r="288" spans="2:6" ht="18" x14ac:dyDescent="0.35">
      <c r="B288" s="12"/>
      <c r="C288" s="17"/>
      <c r="D288" s="17"/>
      <c r="E288" s="17"/>
      <c r="F288" s="13"/>
    </row>
    <row r="289" spans="2:6" ht="18" x14ac:dyDescent="0.35">
      <c r="B289" s="12"/>
      <c r="C289" s="17"/>
      <c r="D289" s="17"/>
      <c r="E289" s="17"/>
      <c r="F289" s="13"/>
    </row>
    <row r="290" spans="2:6" ht="18" x14ac:dyDescent="0.35">
      <c r="B290" s="12"/>
      <c r="C290" s="17"/>
      <c r="D290" s="17"/>
      <c r="E290" s="17"/>
      <c r="F290" s="13"/>
    </row>
    <row r="291" spans="2:6" ht="18" x14ac:dyDescent="0.35">
      <c r="B291" s="12"/>
      <c r="C291" s="17"/>
      <c r="D291" s="17"/>
      <c r="E291" s="17"/>
      <c r="F291" s="13"/>
    </row>
    <row r="292" spans="2:6" ht="18" x14ac:dyDescent="0.35">
      <c r="B292" s="12"/>
      <c r="C292" s="17"/>
      <c r="D292" s="17"/>
      <c r="E292" s="17"/>
      <c r="F292" s="13"/>
    </row>
    <row r="293" spans="2:6" ht="18" x14ac:dyDescent="0.35">
      <c r="B293" s="12"/>
      <c r="C293" s="17"/>
      <c r="D293" s="17"/>
      <c r="E293" s="17"/>
      <c r="F293" s="13"/>
    </row>
    <row r="294" spans="2:6" ht="18" x14ac:dyDescent="0.35">
      <c r="B294" s="12"/>
      <c r="C294" s="17"/>
      <c r="D294" s="17"/>
      <c r="E294" s="17"/>
      <c r="F294" s="13"/>
    </row>
    <row r="295" spans="2:6" ht="18" x14ac:dyDescent="0.35">
      <c r="B295" s="12"/>
      <c r="C295" s="17"/>
      <c r="D295" s="17"/>
      <c r="E295" s="17"/>
      <c r="F295" s="13"/>
    </row>
    <row r="296" spans="2:6" ht="18" x14ac:dyDescent="0.35">
      <c r="B296" s="12"/>
      <c r="C296" s="17"/>
      <c r="D296" s="17"/>
      <c r="E296" s="17"/>
      <c r="F296" s="13"/>
    </row>
    <row r="297" spans="2:6" ht="18" x14ac:dyDescent="0.35">
      <c r="B297" s="12"/>
      <c r="C297" s="17"/>
      <c r="D297" s="17"/>
      <c r="E297" s="17"/>
      <c r="F297" s="13"/>
    </row>
    <row r="298" spans="2:6" ht="18" x14ac:dyDescent="0.35">
      <c r="B298" s="12"/>
      <c r="C298" s="17"/>
      <c r="D298" s="17"/>
      <c r="E298" s="17"/>
      <c r="F298" s="13"/>
    </row>
    <row r="299" spans="2:6" ht="18" x14ac:dyDescent="0.35">
      <c r="B299" s="12"/>
      <c r="C299" s="17"/>
      <c r="D299" s="17"/>
      <c r="E299" s="17"/>
      <c r="F299" s="13"/>
    </row>
    <row r="300" spans="2:6" ht="18" x14ac:dyDescent="0.35">
      <c r="B300" s="12"/>
      <c r="C300" s="17"/>
      <c r="D300" s="17"/>
      <c r="E300" s="17"/>
      <c r="F300" s="13"/>
    </row>
    <row r="301" spans="2:6" ht="18" x14ac:dyDescent="0.35">
      <c r="B301" s="12"/>
      <c r="C301" s="17"/>
      <c r="D301" s="17"/>
      <c r="E301" s="17"/>
      <c r="F301" s="13"/>
    </row>
    <row r="302" spans="2:6" ht="18" x14ac:dyDescent="0.35">
      <c r="B302" s="12"/>
      <c r="C302" s="17"/>
      <c r="D302" s="17"/>
      <c r="E302" s="17"/>
      <c r="F302" s="13"/>
    </row>
    <row r="303" spans="2:6" ht="18" x14ac:dyDescent="0.35">
      <c r="B303" s="12"/>
      <c r="C303" s="17"/>
      <c r="D303" s="17"/>
      <c r="E303" s="17"/>
      <c r="F303" s="13"/>
    </row>
    <row r="304" spans="2:6" ht="18" x14ac:dyDescent="0.35">
      <c r="B304" s="12"/>
      <c r="C304" s="17"/>
      <c r="D304" s="17"/>
      <c r="E304" s="17"/>
      <c r="F304" s="13"/>
    </row>
    <row r="305" spans="2:6" ht="18" x14ac:dyDescent="0.35">
      <c r="B305" s="12"/>
      <c r="C305" s="17"/>
      <c r="D305" s="17"/>
      <c r="E305" s="17"/>
      <c r="F305" s="13"/>
    </row>
    <row r="306" spans="2:6" ht="18" x14ac:dyDescent="0.35">
      <c r="B306" s="12"/>
      <c r="C306" s="17"/>
      <c r="D306" s="17"/>
      <c r="E306" s="17"/>
      <c r="F306" s="13"/>
    </row>
    <row r="307" spans="2:6" ht="18" x14ac:dyDescent="0.35">
      <c r="B307" s="12"/>
      <c r="C307" s="17"/>
      <c r="D307" s="17"/>
      <c r="E307" s="17"/>
      <c r="F307" s="13"/>
    </row>
    <row r="308" spans="2:6" ht="18" x14ac:dyDescent="0.35">
      <c r="B308" s="12"/>
      <c r="C308" s="17"/>
      <c r="D308" s="17"/>
      <c r="E308" s="17"/>
      <c r="F308" s="13"/>
    </row>
    <row r="309" spans="2:6" ht="18" x14ac:dyDescent="0.35">
      <c r="B309" s="12"/>
      <c r="C309" s="17"/>
      <c r="D309" s="17"/>
      <c r="E309" s="17"/>
      <c r="F309" s="13"/>
    </row>
    <row r="310" spans="2:6" ht="18" x14ac:dyDescent="0.35">
      <c r="B310" s="12"/>
      <c r="C310" s="17"/>
      <c r="D310" s="17"/>
      <c r="E310" s="17"/>
      <c r="F310" s="13"/>
    </row>
    <row r="311" spans="2:6" ht="18" x14ac:dyDescent="0.35">
      <c r="B311" s="12"/>
      <c r="C311" s="17"/>
      <c r="D311" s="17"/>
      <c r="E311" s="17"/>
      <c r="F311" s="13"/>
    </row>
    <row r="312" spans="2:6" ht="18" x14ac:dyDescent="0.35">
      <c r="B312" s="12"/>
      <c r="C312" s="17"/>
      <c r="D312" s="17"/>
      <c r="E312" s="17"/>
      <c r="F312" s="13"/>
    </row>
    <row r="313" spans="2:6" ht="18" x14ac:dyDescent="0.35">
      <c r="B313" s="12"/>
      <c r="C313" s="17"/>
      <c r="D313" s="17"/>
      <c r="E313" s="17"/>
      <c r="F313" s="13"/>
    </row>
    <row r="314" spans="2:6" ht="18" x14ac:dyDescent="0.35">
      <c r="B314" s="12"/>
      <c r="C314" s="17"/>
      <c r="D314" s="17"/>
      <c r="E314" s="17"/>
      <c r="F314" s="13"/>
    </row>
    <row r="315" spans="2:6" ht="18" x14ac:dyDescent="0.35">
      <c r="B315" s="12"/>
      <c r="C315" s="17"/>
      <c r="D315" s="17"/>
      <c r="E315" s="17"/>
      <c r="F315" s="13"/>
    </row>
    <row r="316" spans="2:6" ht="18" x14ac:dyDescent="0.35">
      <c r="B316" s="12"/>
      <c r="C316" s="17"/>
      <c r="D316" s="17"/>
      <c r="E316" s="17"/>
      <c r="F316" s="13"/>
    </row>
    <row r="317" spans="2:6" ht="18" x14ac:dyDescent="0.35">
      <c r="B317" s="12"/>
      <c r="C317" s="17"/>
      <c r="D317" s="17"/>
      <c r="E317" s="17"/>
      <c r="F317" s="13"/>
    </row>
    <row r="318" spans="2:6" ht="18" x14ac:dyDescent="0.35">
      <c r="B318" s="12"/>
      <c r="C318" s="17"/>
      <c r="D318" s="17"/>
      <c r="E318" s="17"/>
      <c r="F318" s="13"/>
    </row>
    <row r="319" spans="2:6" ht="18" x14ac:dyDescent="0.35">
      <c r="B319" s="12"/>
      <c r="C319" s="17"/>
      <c r="D319" s="17"/>
      <c r="E319" s="17"/>
      <c r="F319" s="13"/>
    </row>
    <row r="320" spans="2:6" ht="18" x14ac:dyDescent="0.35">
      <c r="B320" s="12"/>
      <c r="C320" s="17"/>
      <c r="D320" s="17"/>
      <c r="E320" s="17"/>
      <c r="F320" s="13"/>
    </row>
    <row r="321" spans="2:6" ht="18" x14ac:dyDescent="0.35">
      <c r="B321" s="12"/>
      <c r="C321" s="17"/>
      <c r="D321" s="17"/>
      <c r="E321" s="17"/>
      <c r="F321" s="13"/>
    </row>
    <row r="322" spans="2:6" ht="18" x14ac:dyDescent="0.35">
      <c r="B322" s="12"/>
      <c r="C322" s="17"/>
      <c r="D322" s="17"/>
      <c r="E322" s="17"/>
      <c r="F322" s="13"/>
    </row>
    <row r="323" spans="2:6" ht="18" x14ac:dyDescent="0.35">
      <c r="B323" s="12"/>
      <c r="C323" s="17"/>
      <c r="D323" s="17"/>
      <c r="E323" s="17"/>
      <c r="F323" s="13"/>
    </row>
    <row r="324" spans="2:6" ht="18" x14ac:dyDescent="0.35">
      <c r="B324" s="12"/>
      <c r="C324" s="17"/>
      <c r="D324" s="17"/>
      <c r="E324" s="17"/>
      <c r="F324" s="13"/>
    </row>
    <row r="325" spans="2:6" ht="18" x14ac:dyDescent="0.35">
      <c r="B325" s="12"/>
      <c r="C325" s="17"/>
      <c r="D325" s="17"/>
      <c r="E325" s="17"/>
      <c r="F325" s="13"/>
    </row>
    <row r="326" spans="2:6" ht="18" x14ac:dyDescent="0.35">
      <c r="B326" s="12"/>
      <c r="C326" s="17"/>
      <c r="D326" s="17"/>
      <c r="E326" s="17"/>
      <c r="F326" s="13"/>
    </row>
    <row r="327" spans="2:6" ht="18" x14ac:dyDescent="0.35">
      <c r="B327" s="12"/>
      <c r="C327" s="17"/>
      <c r="D327" s="17"/>
      <c r="E327" s="17"/>
      <c r="F327" s="13"/>
    </row>
    <row r="328" spans="2:6" ht="18" x14ac:dyDescent="0.35">
      <c r="B328" s="12"/>
      <c r="C328" s="17"/>
      <c r="D328" s="17"/>
      <c r="E328" s="17"/>
      <c r="F328" s="13"/>
    </row>
    <row r="329" spans="2:6" ht="18" x14ac:dyDescent="0.35">
      <c r="B329" s="12"/>
      <c r="C329" s="17"/>
      <c r="D329" s="17"/>
      <c r="E329" s="17"/>
      <c r="F329" s="13"/>
    </row>
    <row r="330" spans="2:6" ht="18" x14ac:dyDescent="0.35">
      <c r="B330" s="12"/>
      <c r="C330" s="17"/>
      <c r="D330" s="17"/>
      <c r="E330" s="17"/>
      <c r="F330" s="13"/>
    </row>
    <row r="331" spans="2:6" ht="18" x14ac:dyDescent="0.35">
      <c r="B331" s="12"/>
      <c r="C331" s="17"/>
      <c r="D331" s="17"/>
      <c r="E331" s="17"/>
      <c r="F331" s="13"/>
    </row>
    <row r="332" spans="2:6" ht="18" x14ac:dyDescent="0.35">
      <c r="B332" s="12"/>
      <c r="C332" s="17"/>
      <c r="D332" s="17"/>
      <c r="E332" s="17"/>
      <c r="F332" s="13"/>
    </row>
    <row r="333" spans="2:6" ht="18" x14ac:dyDescent="0.35">
      <c r="B333" s="12"/>
      <c r="C333" s="17"/>
      <c r="D333" s="17"/>
      <c r="E333" s="17"/>
      <c r="F333" s="13"/>
    </row>
    <row r="334" spans="2:6" ht="18" x14ac:dyDescent="0.35">
      <c r="B334" s="12"/>
      <c r="C334" s="17"/>
      <c r="D334" s="17"/>
      <c r="E334" s="17"/>
      <c r="F334" s="13"/>
    </row>
    <row r="335" spans="2:6" ht="18" x14ac:dyDescent="0.35">
      <c r="B335" s="12"/>
      <c r="C335" s="17"/>
      <c r="D335" s="17"/>
      <c r="E335" s="17"/>
      <c r="F335" s="13"/>
    </row>
    <row r="336" spans="2:6" ht="18" x14ac:dyDescent="0.35">
      <c r="B336" s="12"/>
      <c r="C336" s="17"/>
      <c r="D336" s="17"/>
      <c r="E336" s="17"/>
      <c r="F336" s="13"/>
    </row>
    <row r="337" spans="2:6" ht="18" x14ac:dyDescent="0.35">
      <c r="B337" s="12"/>
      <c r="C337" s="17"/>
      <c r="D337" s="17"/>
      <c r="E337" s="17"/>
      <c r="F337" s="13"/>
    </row>
    <row r="338" spans="2:6" ht="18" x14ac:dyDescent="0.35">
      <c r="B338" s="12"/>
      <c r="C338" s="17"/>
      <c r="D338" s="17"/>
      <c r="E338" s="17"/>
      <c r="F338" s="13"/>
    </row>
    <row r="339" spans="2:6" ht="18" x14ac:dyDescent="0.35">
      <c r="B339" s="12"/>
      <c r="C339" s="17"/>
      <c r="D339" s="17"/>
      <c r="E339" s="17"/>
      <c r="F339" s="13"/>
    </row>
    <row r="340" spans="2:6" ht="18" x14ac:dyDescent="0.35">
      <c r="B340" s="12"/>
      <c r="C340" s="17"/>
      <c r="D340" s="17"/>
      <c r="E340" s="17"/>
      <c r="F340" s="13"/>
    </row>
    <row r="341" spans="2:6" ht="18" x14ac:dyDescent="0.35">
      <c r="B341" s="12"/>
      <c r="C341" s="17"/>
      <c r="D341" s="17"/>
      <c r="E341" s="17"/>
      <c r="F341" s="13"/>
    </row>
    <row r="342" spans="2:6" ht="18" x14ac:dyDescent="0.35">
      <c r="B342" s="12"/>
      <c r="C342" s="17"/>
      <c r="D342" s="17"/>
      <c r="E342" s="17"/>
      <c r="F342" s="13"/>
    </row>
    <row r="343" spans="2:6" ht="18" x14ac:dyDescent="0.35">
      <c r="B343" s="12"/>
      <c r="C343" s="17"/>
      <c r="D343" s="17"/>
      <c r="E343" s="17"/>
      <c r="F343" s="13"/>
    </row>
    <row r="344" spans="2:6" ht="18" x14ac:dyDescent="0.35">
      <c r="B344" s="12"/>
      <c r="C344" s="17"/>
      <c r="D344" s="17"/>
      <c r="E344" s="17"/>
      <c r="F344" s="13"/>
    </row>
    <row r="345" spans="2:6" ht="18" x14ac:dyDescent="0.35">
      <c r="B345" s="12"/>
      <c r="C345" s="17"/>
      <c r="D345" s="17"/>
      <c r="E345" s="17"/>
      <c r="F345" s="13"/>
    </row>
    <row r="346" spans="2:6" ht="18" x14ac:dyDescent="0.35">
      <c r="B346" s="12"/>
      <c r="C346" s="17"/>
      <c r="D346" s="17"/>
      <c r="E346" s="17"/>
      <c r="F346" s="13"/>
    </row>
    <row r="347" spans="2:6" ht="18" x14ac:dyDescent="0.35">
      <c r="B347" s="12"/>
      <c r="C347" s="17"/>
      <c r="D347" s="17"/>
      <c r="E347" s="17"/>
      <c r="F347" s="13"/>
    </row>
    <row r="348" spans="2:6" ht="18" x14ac:dyDescent="0.35">
      <c r="B348" s="12"/>
      <c r="C348" s="17"/>
      <c r="D348" s="17"/>
      <c r="E348" s="17"/>
      <c r="F348" s="13"/>
    </row>
    <row r="349" spans="2:6" ht="18" x14ac:dyDescent="0.35">
      <c r="B349" s="12"/>
      <c r="C349" s="17"/>
      <c r="D349" s="17"/>
      <c r="E349" s="17"/>
      <c r="F349" s="13"/>
    </row>
    <row r="350" spans="2:6" ht="18" x14ac:dyDescent="0.35">
      <c r="B350" s="12"/>
      <c r="C350" s="17"/>
      <c r="D350" s="17"/>
      <c r="E350" s="17"/>
      <c r="F350" s="13"/>
    </row>
    <row r="351" spans="2:6" ht="18" x14ac:dyDescent="0.35">
      <c r="B351" s="12"/>
      <c r="C351" s="17"/>
      <c r="D351" s="17"/>
      <c r="E351" s="17"/>
      <c r="F351" s="13"/>
    </row>
    <row r="352" spans="2:6" ht="18" x14ac:dyDescent="0.35">
      <c r="B352" s="12"/>
      <c r="C352" s="17"/>
      <c r="D352" s="17"/>
      <c r="E352" s="17"/>
      <c r="F352" s="13"/>
    </row>
    <row r="353" spans="2:6" ht="18" x14ac:dyDescent="0.35">
      <c r="B353" s="12"/>
      <c r="C353" s="17"/>
      <c r="D353" s="17"/>
      <c r="E353" s="17"/>
      <c r="F353" s="13"/>
    </row>
    <row r="354" spans="2:6" ht="18" x14ac:dyDescent="0.35">
      <c r="B354" s="12"/>
      <c r="C354" s="17"/>
      <c r="D354" s="17"/>
      <c r="E354" s="17"/>
      <c r="F354" s="13"/>
    </row>
    <row r="355" spans="2:6" ht="18" x14ac:dyDescent="0.35">
      <c r="B355" s="12"/>
      <c r="C355" s="17"/>
      <c r="D355" s="17"/>
      <c r="E355" s="17"/>
      <c r="F355" s="13"/>
    </row>
    <row r="356" spans="2:6" ht="18" x14ac:dyDescent="0.35">
      <c r="B356" s="12"/>
      <c r="C356" s="17"/>
      <c r="D356" s="17"/>
      <c r="E356" s="17"/>
      <c r="F356" s="13"/>
    </row>
    <row r="357" spans="2:6" ht="18" x14ac:dyDescent="0.35">
      <c r="B357" s="12"/>
      <c r="C357" s="17"/>
      <c r="D357" s="17"/>
      <c r="E357" s="17"/>
      <c r="F357" s="13"/>
    </row>
    <row r="358" spans="2:6" ht="18" x14ac:dyDescent="0.35">
      <c r="B358" s="12"/>
      <c r="C358" s="17"/>
      <c r="D358" s="17"/>
      <c r="E358" s="17"/>
      <c r="F358" s="13"/>
    </row>
    <row r="359" spans="2:6" ht="18" x14ac:dyDescent="0.35">
      <c r="B359" s="12"/>
      <c r="C359" s="17"/>
      <c r="D359" s="17"/>
      <c r="E359" s="17"/>
      <c r="F359" s="13"/>
    </row>
    <row r="360" spans="2:6" ht="18" x14ac:dyDescent="0.35">
      <c r="B360" s="12"/>
      <c r="C360" s="17"/>
      <c r="D360" s="17"/>
      <c r="E360" s="17"/>
      <c r="F360" s="13"/>
    </row>
    <row r="361" spans="2:6" ht="18" x14ac:dyDescent="0.35">
      <c r="B361" s="12"/>
      <c r="C361" s="17"/>
      <c r="D361" s="17"/>
      <c r="E361" s="17"/>
      <c r="F361" s="13"/>
    </row>
    <row r="362" spans="2:6" ht="18" x14ac:dyDescent="0.35">
      <c r="B362" s="12"/>
      <c r="C362" s="17"/>
      <c r="D362" s="17"/>
      <c r="E362" s="17"/>
      <c r="F362" s="13"/>
    </row>
    <row r="363" spans="2:6" ht="18" x14ac:dyDescent="0.35">
      <c r="B363" s="12"/>
      <c r="C363" s="17"/>
      <c r="D363" s="17"/>
      <c r="E363" s="17"/>
      <c r="F363" s="13"/>
    </row>
    <row r="364" spans="2:6" ht="18" x14ac:dyDescent="0.35">
      <c r="B364" s="12"/>
      <c r="C364" s="17"/>
      <c r="D364" s="17"/>
      <c r="E364" s="17"/>
      <c r="F364" s="13"/>
    </row>
    <row r="365" spans="2:6" ht="18" x14ac:dyDescent="0.35">
      <c r="B365" s="12"/>
      <c r="C365" s="17"/>
      <c r="D365" s="17"/>
      <c r="E365" s="17"/>
      <c r="F365" s="13"/>
    </row>
    <row r="366" spans="2:6" ht="18" x14ac:dyDescent="0.35">
      <c r="B366" s="12"/>
      <c r="C366" s="17"/>
      <c r="D366" s="17"/>
      <c r="E366" s="17"/>
      <c r="F366" s="13"/>
    </row>
    <row r="367" spans="2:6" ht="18" x14ac:dyDescent="0.35">
      <c r="B367" s="12"/>
      <c r="C367" s="17"/>
      <c r="D367" s="17"/>
      <c r="E367" s="17"/>
      <c r="F367" s="13"/>
    </row>
    <row r="368" spans="2:6" ht="18" x14ac:dyDescent="0.35">
      <c r="B368" s="12"/>
      <c r="C368" s="17"/>
      <c r="D368" s="17"/>
      <c r="E368" s="17"/>
      <c r="F368" s="13"/>
    </row>
    <row r="369" spans="2:6" ht="18" x14ac:dyDescent="0.35">
      <c r="B369" s="12"/>
      <c r="C369" s="17"/>
      <c r="D369" s="17"/>
      <c r="E369" s="17"/>
      <c r="F369" s="13"/>
    </row>
    <row r="370" spans="2:6" ht="18" x14ac:dyDescent="0.35">
      <c r="B370" s="12"/>
      <c r="C370" s="17"/>
      <c r="D370" s="17"/>
      <c r="E370" s="17"/>
      <c r="F370" s="13"/>
    </row>
    <row r="371" spans="2:6" ht="18" x14ac:dyDescent="0.35">
      <c r="B371" s="12"/>
      <c r="C371" s="17"/>
      <c r="D371" s="17"/>
      <c r="E371" s="17"/>
      <c r="F371" s="13"/>
    </row>
    <row r="372" spans="2:6" ht="18" x14ac:dyDescent="0.35">
      <c r="B372" s="12"/>
      <c r="C372" s="17"/>
      <c r="D372" s="17"/>
      <c r="E372" s="17"/>
      <c r="F372" s="13"/>
    </row>
    <row r="373" spans="2:6" ht="18" x14ac:dyDescent="0.35">
      <c r="B373" s="12"/>
      <c r="C373" s="17"/>
      <c r="D373" s="17"/>
      <c r="E373" s="17"/>
      <c r="F373" s="13"/>
    </row>
    <row r="374" spans="2:6" ht="18" x14ac:dyDescent="0.35">
      <c r="B374" s="12"/>
      <c r="C374" s="17"/>
      <c r="D374" s="17"/>
      <c r="E374" s="17"/>
      <c r="F374" s="13"/>
    </row>
    <row r="375" spans="2:6" ht="18" x14ac:dyDescent="0.35">
      <c r="B375" s="12"/>
      <c r="C375" s="17"/>
      <c r="D375" s="17"/>
      <c r="E375" s="17"/>
      <c r="F375" s="13"/>
    </row>
    <row r="376" spans="2:6" ht="18" x14ac:dyDescent="0.35">
      <c r="B376" s="12"/>
      <c r="C376" s="17"/>
      <c r="D376" s="17"/>
      <c r="E376" s="17"/>
      <c r="F376" s="13"/>
    </row>
    <row r="377" spans="2:6" ht="18" x14ac:dyDescent="0.35">
      <c r="B377" s="12"/>
      <c r="C377" s="17"/>
      <c r="D377" s="17"/>
      <c r="E377" s="17"/>
      <c r="F377" s="13"/>
    </row>
    <row r="378" spans="2:6" ht="18" x14ac:dyDescent="0.35">
      <c r="B378" s="12"/>
      <c r="C378" s="17"/>
      <c r="D378" s="17"/>
      <c r="E378" s="17"/>
      <c r="F378" s="13"/>
    </row>
    <row r="379" spans="2:6" ht="18" x14ac:dyDescent="0.35">
      <c r="B379" s="12"/>
      <c r="C379" s="17"/>
      <c r="D379" s="17"/>
      <c r="E379" s="17"/>
      <c r="F379" s="13"/>
    </row>
    <row r="380" spans="2:6" ht="18" x14ac:dyDescent="0.35">
      <c r="B380" s="12"/>
      <c r="C380" s="17"/>
      <c r="D380" s="17"/>
      <c r="E380" s="17"/>
      <c r="F380" s="13"/>
    </row>
    <row r="381" spans="2:6" ht="18" x14ac:dyDescent="0.35">
      <c r="B381" s="12"/>
      <c r="C381" s="17"/>
      <c r="D381" s="17"/>
      <c r="E381" s="17"/>
      <c r="F381" s="13"/>
    </row>
    <row r="382" spans="2:6" ht="18" x14ac:dyDescent="0.35">
      <c r="B382" s="12"/>
      <c r="C382" s="17"/>
      <c r="D382" s="17"/>
      <c r="E382" s="17"/>
      <c r="F382" s="13"/>
    </row>
    <row r="383" spans="2:6" ht="18" x14ac:dyDescent="0.35">
      <c r="B383" s="12"/>
      <c r="C383" s="17"/>
      <c r="D383" s="17"/>
      <c r="E383" s="17"/>
      <c r="F383" s="13"/>
    </row>
    <row r="384" spans="2:6" ht="18" x14ac:dyDescent="0.35">
      <c r="B384" s="12"/>
      <c r="C384" s="17"/>
      <c r="D384" s="17"/>
      <c r="E384" s="17"/>
      <c r="F384" s="13"/>
    </row>
    <row r="385" spans="2:6" ht="18" x14ac:dyDescent="0.35">
      <c r="B385" s="12"/>
      <c r="C385" s="17"/>
      <c r="D385" s="17"/>
      <c r="E385" s="17"/>
      <c r="F385" s="13"/>
    </row>
    <row r="386" spans="2:6" ht="18" x14ac:dyDescent="0.35">
      <c r="B386" s="12"/>
      <c r="C386" s="17"/>
      <c r="D386" s="17"/>
      <c r="E386" s="17"/>
      <c r="F386" s="13"/>
    </row>
    <row r="387" spans="2:6" ht="18" x14ac:dyDescent="0.35">
      <c r="B387" s="12"/>
      <c r="C387" s="17"/>
      <c r="D387" s="17"/>
      <c r="E387" s="17"/>
      <c r="F387" s="13"/>
    </row>
    <row r="388" spans="2:6" ht="18" x14ac:dyDescent="0.35">
      <c r="B388" s="12"/>
      <c r="C388" s="17"/>
      <c r="D388" s="17"/>
      <c r="E388" s="17"/>
      <c r="F388" s="13"/>
    </row>
    <row r="389" spans="2:6" ht="18" x14ac:dyDescent="0.35">
      <c r="B389" s="12"/>
      <c r="C389" s="17"/>
      <c r="D389" s="17"/>
      <c r="E389" s="17"/>
      <c r="F389" s="13"/>
    </row>
    <row r="390" spans="2:6" ht="18" x14ac:dyDescent="0.35">
      <c r="B390" s="12"/>
      <c r="C390" s="17"/>
      <c r="D390" s="17"/>
      <c r="E390" s="17"/>
      <c r="F390" s="13"/>
    </row>
    <row r="391" spans="2:6" ht="18" x14ac:dyDescent="0.35">
      <c r="B391" s="12"/>
      <c r="C391" s="17"/>
      <c r="D391" s="17"/>
      <c r="E391" s="17"/>
      <c r="F391" s="13"/>
    </row>
    <row r="392" spans="2:6" ht="18" x14ac:dyDescent="0.35">
      <c r="B392" s="12"/>
      <c r="C392" s="17"/>
      <c r="D392" s="17"/>
      <c r="E392" s="17"/>
      <c r="F392" s="13"/>
    </row>
    <row r="393" spans="2:6" ht="18" x14ac:dyDescent="0.35">
      <c r="B393" s="12"/>
      <c r="C393" s="17"/>
      <c r="D393" s="17"/>
      <c r="E393" s="17"/>
      <c r="F393" s="13"/>
    </row>
    <row r="394" spans="2:6" ht="18" x14ac:dyDescent="0.35">
      <c r="B394" s="12"/>
      <c r="C394" s="17"/>
      <c r="D394" s="17"/>
      <c r="E394" s="17"/>
      <c r="F394" s="13"/>
    </row>
    <row r="395" spans="2:6" ht="18" x14ac:dyDescent="0.35">
      <c r="B395" s="12"/>
      <c r="C395" s="17"/>
      <c r="D395" s="17"/>
      <c r="E395" s="17"/>
      <c r="F395" s="13"/>
    </row>
    <row r="396" spans="2:6" ht="18" x14ac:dyDescent="0.35">
      <c r="B396" s="12"/>
      <c r="C396" s="17"/>
      <c r="D396" s="17"/>
      <c r="E396" s="17"/>
      <c r="F396" s="13"/>
    </row>
    <row r="397" spans="2:6" ht="18" x14ac:dyDescent="0.35">
      <c r="B397" s="12"/>
      <c r="C397" s="17"/>
      <c r="D397" s="17"/>
      <c r="E397" s="17"/>
      <c r="F397" s="13"/>
    </row>
    <row r="398" spans="2:6" ht="18" x14ac:dyDescent="0.35">
      <c r="B398" s="12"/>
      <c r="C398" s="17"/>
      <c r="D398" s="17"/>
      <c r="E398" s="17"/>
      <c r="F398" s="13"/>
    </row>
    <row r="399" spans="2:6" ht="18" x14ac:dyDescent="0.35">
      <c r="B399" s="12"/>
      <c r="C399" s="17"/>
      <c r="D399" s="17"/>
      <c r="E399" s="17"/>
      <c r="F399" s="13"/>
    </row>
    <row r="400" spans="2:6" ht="18" x14ac:dyDescent="0.35">
      <c r="B400" s="15"/>
      <c r="C400" s="18"/>
      <c r="D400" s="18"/>
      <c r="E400" s="17"/>
      <c r="F400" s="16"/>
    </row>
    <row r="401" spans="2:6" ht="18" x14ac:dyDescent="0.35">
      <c r="B401" s="421"/>
      <c r="C401" s="422"/>
      <c r="D401" s="422"/>
      <c r="E401" s="422"/>
      <c r="F401" s="423"/>
    </row>
    <row r="402" spans="2:6" ht="18" x14ac:dyDescent="0.35">
      <c r="B402" s="421"/>
      <c r="C402" s="422"/>
      <c r="D402" s="422"/>
      <c r="E402" s="422"/>
      <c r="F402" s="423"/>
    </row>
    <row r="403" spans="2:6" ht="18" x14ac:dyDescent="0.35">
      <c r="B403" s="421"/>
      <c r="C403" s="422"/>
      <c r="D403" s="422"/>
      <c r="E403" s="422"/>
      <c r="F403" s="423"/>
    </row>
    <row r="404" spans="2:6" ht="18" x14ac:dyDescent="0.35">
      <c r="B404" s="421"/>
      <c r="C404" s="422"/>
      <c r="D404" s="422"/>
      <c r="E404" s="422"/>
      <c r="F404" s="423"/>
    </row>
    <row r="405" spans="2:6" ht="18" x14ac:dyDescent="0.35">
      <c r="B405" s="421"/>
      <c r="C405" s="422"/>
      <c r="D405" s="422"/>
      <c r="E405" s="422"/>
      <c r="F405" s="423"/>
    </row>
    <row r="406" spans="2:6" ht="18" x14ac:dyDescent="0.35">
      <c r="B406" s="421"/>
      <c r="C406" s="422"/>
      <c r="D406" s="422"/>
      <c r="E406" s="422"/>
      <c r="F406" s="423"/>
    </row>
    <row r="407" spans="2:6" ht="18" x14ac:dyDescent="0.35">
      <c r="B407" s="421"/>
      <c r="C407" s="422"/>
      <c r="D407" s="422"/>
      <c r="E407" s="422"/>
      <c r="F407" s="423"/>
    </row>
    <row r="408" spans="2:6" ht="18" x14ac:dyDescent="0.35">
      <c r="B408" s="421"/>
      <c r="C408" s="422"/>
      <c r="D408" s="422"/>
      <c r="E408" s="422"/>
      <c r="F408" s="423"/>
    </row>
    <row r="409" spans="2:6" ht="18" x14ac:dyDescent="0.35">
      <c r="B409" s="421"/>
      <c r="C409" s="422"/>
      <c r="D409" s="422"/>
      <c r="E409" s="422"/>
      <c r="F409" s="423"/>
    </row>
    <row r="410" spans="2:6" ht="18" x14ac:dyDescent="0.35">
      <c r="B410" s="421"/>
      <c r="C410" s="422"/>
      <c r="D410" s="422"/>
      <c r="E410" s="422"/>
      <c r="F410" s="423"/>
    </row>
    <row r="411" spans="2:6" ht="18" x14ac:dyDescent="0.35">
      <c r="B411" s="421"/>
      <c r="C411" s="422"/>
      <c r="D411" s="422"/>
      <c r="E411" s="422"/>
      <c r="F411" s="423"/>
    </row>
    <row r="412" spans="2:6" ht="18" x14ac:dyDescent="0.35">
      <c r="B412" s="421"/>
      <c r="C412" s="422"/>
      <c r="D412" s="422"/>
      <c r="E412" s="422"/>
      <c r="F412" s="423"/>
    </row>
    <row r="413" spans="2:6" ht="18" x14ac:dyDescent="0.35">
      <c r="B413" s="421"/>
      <c r="C413" s="422"/>
      <c r="D413" s="422"/>
      <c r="E413" s="422"/>
      <c r="F413" s="423"/>
    </row>
    <row r="414" spans="2:6" ht="18" x14ac:dyDescent="0.35">
      <c r="B414" s="421"/>
      <c r="C414" s="422"/>
      <c r="D414" s="422"/>
      <c r="E414" s="422"/>
      <c r="F414" s="423"/>
    </row>
    <row r="415" spans="2:6" ht="18" x14ac:dyDescent="0.35">
      <c r="B415" s="421"/>
      <c r="C415" s="422"/>
      <c r="D415" s="422"/>
      <c r="E415" s="422"/>
      <c r="F415" s="423"/>
    </row>
    <row r="416" spans="2:6" ht="18" x14ac:dyDescent="0.35">
      <c r="B416" s="421"/>
      <c r="C416" s="422"/>
      <c r="D416" s="422"/>
      <c r="E416" s="422"/>
      <c r="F416" s="423"/>
    </row>
    <row r="417" spans="2:6" ht="18" x14ac:dyDescent="0.35">
      <c r="B417" s="421"/>
      <c r="C417" s="422"/>
      <c r="D417" s="422"/>
      <c r="E417" s="422"/>
      <c r="F417" s="423"/>
    </row>
    <row r="418" spans="2:6" ht="18" x14ac:dyDescent="0.35">
      <c r="B418" s="421"/>
      <c r="C418" s="422"/>
      <c r="D418" s="422"/>
      <c r="E418" s="422"/>
      <c r="F418" s="423"/>
    </row>
    <row r="419" spans="2:6" ht="18" x14ac:dyDescent="0.35">
      <c r="B419" s="421"/>
      <c r="C419" s="422"/>
      <c r="D419" s="422"/>
      <c r="E419" s="422"/>
      <c r="F419" s="423"/>
    </row>
    <row r="420" spans="2:6" ht="18" x14ac:dyDescent="0.35">
      <c r="B420" s="421"/>
      <c r="C420" s="422"/>
      <c r="D420" s="422"/>
      <c r="E420" s="422"/>
      <c r="F420" s="423"/>
    </row>
    <row r="421" spans="2:6" ht="18" x14ac:dyDescent="0.35">
      <c r="B421" s="421"/>
      <c r="C421" s="422"/>
      <c r="D421" s="422"/>
      <c r="E421" s="422"/>
      <c r="F421" s="423"/>
    </row>
    <row r="422" spans="2:6" ht="18" x14ac:dyDescent="0.35">
      <c r="B422" s="421"/>
      <c r="C422" s="422"/>
      <c r="D422" s="422"/>
      <c r="E422" s="422"/>
      <c r="F422" s="423"/>
    </row>
    <row r="423" spans="2:6" ht="18" x14ac:dyDescent="0.35">
      <c r="B423" s="421"/>
      <c r="C423" s="422"/>
      <c r="D423" s="422"/>
      <c r="E423" s="422"/>
      <c r="F423" s="423"/>
    </row>
    <row r="424" spans="2:6" ht="18" x14ac:dyDescent="0.35">
      <c r="B424" s="421"/>
      <c r="C424" s="422"/>
      <c r="D424" s="422"/>
      <c r="E424" s="422"/>
      <c r="F424" s="423"/>
    </row>
    <row r="425" spans="2:6" ht="18" x14ac:dyDescent="0.35">
      <c r="B425" s="421"/>
      <c r="C425" s="422"/>
      <c r="D425" s="422"/>
      <c r="E425" s="422"/>
      <c r="F425" s="423"/>
    </row>
    <row r="426" spans="2:6" ht="18" x14ac:dyDescent="0.35">
      <c r="B426" s="421"/>
      <c r="C426" s="422"/>
      <c r="D426" s="422"/>
      <c r="E426" s="422"/>
      <c r="F426" s="423"/>
    </row>
    <row r="427" spans="2:6" ht="18" x14ac:dyDescent="0.35">
      <c r="B427" s="421"/>
      <c r="C427" s="422"/>
      <c r="D427" s="422"/>
      <c r="E427" s="422"/>
      <c r="F427" s="423"/>
    </row>
    <row r="428" spans="2:6" ht="18" x14ac:dyDescent="0.35">
      <c r="B428" s="421"/>
      <c r="C428" s="422"/>
      <c r="D428" s="422"/>
      <c r="E428" s="422"/>
      <c r="F428" s="423"/>
    </row>
    <row r="429" spans="2:6" ht="18" x14ac:dyDescent="0.35">
      <c r="B429" s="421"/>
      <c r="C429" s="422"/>
      <c r="D429" s="422"/>
      <c r="E429" s="422"/>
      <c r="F429" s="423"/>
    </row>
    <row r="430" spans="2:6" ht="18" x14ac:dyDescent="0.35">
      <c r="B430" s="421"/>
      <c r="C430" s="422"/>
      <c r="D430" s="422"/>
      <c r="E430" s="422"/>
      <c r="F430" s="423"/>
    </row>
    <row r="431" spans="2:6" ht="18" x14ac:dyDescent="0.35">
      <c r="B431" s="421"/>
      <c r="C431" s="422"/>
      <c r="D431" s="422"/>
      <c r="E431" s="422"/>
      <c r="F431" s="423"/>
    </row>
    <row r="432" spans="2:6" ht="18" x14ac:dyDescent="0.35">
      <c r="B432" s="421"/>
      <c r="C432" s="422"/>
      <c r="D432" s="422"/>
      <c r="E432" s="422"/>
      <c r="F432" s="423"/>
    </row>
    <row r="433" spans="2:6" ht="18" x14ac:dyDescent="0.35">
      <c r="B433" s="421"/>
      <c r="C433" s="422"/>
      <c r="D433" s="422"/>
      <c r="E433" s="422"/>
      <c r="F433" s="423"/>
    </row>
    <row r="434" spans="2:6" ht="18" x14ac:dyDescent="0.35">
      <c r="B434" s="421"/>
      <c r="C434" s="422"/>
      <c r="D434" s="422"/>
      <c r="E434" s="422"/>
      <c r="F434" s="423"/>
    </row>
    <row r="435" spans="2:6" ht="18" x14ac:dyDescent="0.35">
      <c r="B435" s="421"/>
      <c r="C435" s="422"/>
      <c r="D435" s="422"/>
      <c r="E435" s="422"/>
      <c r="F435" s="423"/>
    </row>
    <row r="436" spans="2:6" ht="18" x14ac:dyDescent="0.35">
      <c r="B436" s="421"/>
      <c r="C436" s="422"/>
      <c r="D436" s="422"/>
      <c r="E436" s="422"/>
      <c r="F436" s="423"/>
    </row>
    <row r="437" spans="2:6" ht="18" x14ac:dyDescent="0.35">
      <c r="B437" s="421"/>
      <c r="C437" s="422"/>
      <c r="D437" s="422"/>
      <c r="E437" s="422"/>
      <c r="F437" s="423"/>
    </row>
    <row r="438" spans="2:6" ht="18" x14ac:dyDescent="0.35">
      <c r="B438" s="421"/>
      <c r="C438" s="422"/>
      <c r="D438" s="422"/>
      <c r="E438" s="422"/>
      <c r="F438" s="423"/>
    </row>
    <row r="439" spans="2:6" ht="18" x14ac:dyDescent="0.35">
      <c r="B439" s="421"/>
      <c r="C439" s="422"/>
      <c r="D439" s="422"/>
      <c r="E439" s="422"/>
      <c r="F439" s="423"/>
    </row>
    <row r="440" spans="2:6" ht="18" x14ac:dyDescent="0.35">
      <c r="B440" s="421"/>
      <c r="C440" s="422"/>
      <c r="D440" s="422"/>
      <c r="E440" s="422"/>
      <c r="F440" s="423"/>
    </row>
    <row r="441" spans="2:6" ht="18" x14ac:dyDescent="0.35">
      <c r="B441" s="421"/>
      <c r="C441" s="422"/>
      <c r="D441" s="422"/>
      <c r="E441" s="422"/>
      <c r="F441" s="423"/>
    </row>
    <row r="442" spans="2:6" ht="18" x14ac:dyDescent="0.35">
      <c r="B442" s="421"/>
      <c r="C442" s="422"/>
      <c r="D442" s="422"/>
      <c r="E442" s="422"/>
      <c r="F442" s="423"/>
    </row>
    <row r="443" spans="2:6" ht="18" x14ac:dyDescent="0.35">
      <c r="B443" s="421"/>
      <c r="C443" s="422"/>
      <c r="D443" s="422"/>
      <c r="E443" s="422"/>
      <c r="F443" s="423"/>
    </row>
    <row r="444" spans="2:6" ht="18" x14ac:dyDescent="0.35">
      <c r="B444" s="421"/>
      <c r="C444" s="422"/>
      <c r="D444" s="422"/>
      <c r="E444" s="422"/>
      <c r="F444" s="423"/>
    </row>
    <row r="445" spans="2:6" ht="18" x14ac:dyDescent="0.35">
      <c r="B445" s="421"/>
      <c r="C445" s="422"/>
      <c r="D445" s="422"/>
      <c r="E445" s="422"/>
      <c r="F445" s="423"/>
    </row>
    <row r="446" spans="2:6" ht="18" x14ac:dyDescent="0.35">
      <c r="B446" s="421"/>
      <c r="C446" s="422"/>
      <c r="D446" s="422"/>
      <c r="E446" s="422"/>
      <c r="F446" s="423"/>
    </row>
    <row r="447" spans="2:6" ht="18" x14ac:dyDescent="0.35">
      <c r="B447" s="421"/>
      <c r="C447" s="422"/>
      <c r="D447" s="422"/>
      <c r="E447" s="422"/>
      <c r="F447" s="423"/>
    </row>
    <row r="448" spans="2:6" ht="18" x14ac:dyDescent="0.35">
      <c r="B448" s="421"/>
      <c r="C448" s="422"/>
      <c r="D448" s="422"/>
      <c r="E448" s="422"/>
      <c r="F448" s="423"/>
    </row>
    <row r="449" spans="2:6" ht="18" x14ac:dyDescent="0.35">
      <c r="B449" s="421"/>
      <c r="C449" s="422"/>
      <c r="D449" s="422"/>
      <c r="E449" s="422"/>
      <c r="F449" s="423"/>
    </row>
    <row r="450" spans="2:6" ht="18" x14ac:dyDescent="0.35">
      <c r="B450" s="421"/>
      <c r="C450" s="422"/>
      <c r="D450" s="422"/>
      <c r="E450" s="422"/>
      <c r="F450" s="423"/>
    </row>
    <row r="451" spans="2:6" ht="18" x14ac:dyDescent="0.35">
      <c r="B451" s="421"/>
      <c r="C451" s="422"/>
      <c r="D451" s="422"/>
      <c r="E451" s="422"/>
      <c r="F451" s="423"/>
    </row>
    <row r="452" spans="2:6" ht="18" x14ac:dyDescent="0.35">
      <c r="B452" s="421"/>
      <c r="C452" s="422"/>
      <c r="D452" s="422"/>
      <c r="E452" s="422"/>
      <c r="F452" s="423"/>
    </row>
    <row r="453" spans="2:6" ht="18" x14ac:dyDescent="0.35">
      <c r="B453" s="421"/>
      <c r="C453" s="422"/>
      <c r="D453" s="422"/>
      <c r="E453" s="422"/>
      <c r="F453" s="423"/>
    </row>
    <row r="454" spans="2:6" ht="18" x14ac:dyDescent="0.35">
      <c r="B454" s="421"/>
      <c r="C454" s="422"/>
      <c r="D454" s="422"/>
      <c r="E454" s="422"/>
      <c r="F454" s="423"/>
    </row>
    <row r="455" spans="2:6" ht="18" x14ac:dyDescent="0.35">
      <c r="B455" s="421"/>
      <c r="C455" s="422"/>
      <c r="D455" s="422"/>
      <c r="E455" s="422"/>
      <c r="F455" s="423"/>
    </row>
    <row r="456" spans="2:6" ht="18" x14ac:dyDescent="0.35">
      <c r="B456" s="421"/>
      <c r="C456" s="422"/>
      <c r="D456" s="422"/>
      <c r="E456" s="422"/>
      <c r="F456" s="423"/>
    </row>
    <row r="457" spans="2:6" ht="18" x14ac:dyDescent="0.35">
      <c r="B457" s="421"/>
      <c r="C457" s="422"/>
      <c r="D457" s="422"/>
      <c r="E457" s="422"/>
      <c r="F457" s="423"/>
    </row>
    <row r="458" spans="2:6" ht="18" x14ac:dyDescent="0.35">
      <c r="B458" s="421"/>
      <c r="C458" s="422"/>
      <c r="D458" s="422"/>
      <c r="E458" s="422"/>
      <c r="F458" s="423"/>
    </row>
    <row r="459" spans="2:6" ht="18" x14ac:dyDescent="0.35">
      <c r="B459" s="421"/>
      <c r="C459" s="422"/>
      <c r="D459" s="422"/>
      <c r="E459" s="422"/>
      <c r="F459" s="423"/>
    </row>
    <row r="460" spans="2:6" ht="18" x14ac:dyDescent="0.35">
      <c r="B460" s="421"/>
      <c r="C460" s="422"/>
      <c r="D460" s="422"/>
      <c r="E460" s="422"/>
      <c r="F460" s="423"/>
    </row>
    <row r="461" spans="2:6" ht="18" x14ac:dyDescent="0.35">
      <c r="B461" s="421"/>
      <c r="C461" s="422"/>
      <c r="D461" s="422"/>
      <c r="E461" s="422"/>
      <c r="F461" s="423"/>
    </row>
    <row r="462" spans="2:6" ht="18" x14ac:dyDescent="0.35">
      <c r="B462" s="421"/>
      <c r="C462" s="422"/>
      <c r="D462" s="422"/>
      <c r="E462" s="422"/>
      <c r="F462" s="423"/>
    </row>
    <row r="463" spans="2:6" ht="18" x14ac:dyDescent="0.35">
      <c r="B463" s="421"/>
      <c r="C463" s="422"/>
      <c r="D463" s="422"/>
      <c r="E463" s="422"/>
      <c r="F463" s="423"/>
    </row>
    <row r="464" spans="2:6" ht="18" x14ac:dyDescent="0.35">
      <c r="B464" s="421"/>
      <c r="C464" s="422"/>
      <c r="D464" s="422"/>
      <c r="E464" s="422"/>
      <c r="F464" s="423"/>
    </row>
    <row r="465" spans="2:6" ht="18" x14ac:dyDescent="0.35">
      <c r="B465" s="421"/>
      <c r="C465" s="422"/>
      <c r="D465" s="422"/>
      <c r="E465" s="422"/>
      <c r="F465" s="423"/>
    </row>
    <row r="466" spans="2:6" ht="18" x14ac:dyDescent="0.35">
      <c r="B466" s="421"/>
      <c r="C466" s="422"/>
      <c r="D466" s="422"/>
      <c r="E466" s="422"/>
      <c r="F466" s="423"/>
    </row>
    <row r="467" spans="2:6" ht="18" x14ac:dyDescent="0.35">
      <c r="B467" s="421"/>
      <c r="C467" s="422"/>
      <c r="D467" s="422"/>
      <c r="E467" s="422"/>
      <c r="F467" s="423"/>
    </row>
    <row r="468" spans="2:6" ht="18" x14ac:dyDescent="0.35">
      <c r="B468" s="421"/>
      <c r="C468" s="422"/>
      <c r="D468" s="422"/>
      <c r="E468" s="422"/>
      <c r="F468" s="423"/>
    </row>
    <row r="469" spans="2:6" ht="18" x14ac:dyDescent="0.35">
      <c r="B469" s="421"/>
      <c r="C469" s="422"/>
      <c r="D469" s="422"/>
      <c r="E469" s="422"/>
      <c r="F469" s="423"/>
    </row>
    <row r="470" spans="2:6" ht="18" x14ac:dyDescent="0.35">
      <c r="B470" s="421"/>
      <c r="C470" s="422"/>
      <c r="D470" s="422"/>
      <c r="E470" s="422"/>
      <c r="F470" s="423"/>
    </row>
    <row r="471" spans="2:6" ht="18" x14ac:dyDescent="0.35">
      <c r="B471" s="421"/>
      <c r="C471" s="422"/>
      <c r="D471" s="422"/>
      <c r="E471" s="422"/>
      <c r="F471" s="423"/>
    </row>
    <row r="472" spans="2:6" ht="18" x14ac:dyDescent="0.35">
      <c r="B472" s="421"/>
      <c r="C472" s="422"/>
      <c r="D472" s="422"/>
      <c r="E472" s="422"/>
      <c r="F472" s="423"/>
    </row>
    <row r="473" spans="2:6" ht="18" x14ac:dyDescent="0.35">
      <c r="B473" s="421"/>
      <c r="C473" s="422"/>
      <c r="D473" s="422"/>
      <c r="E473" s="422"/>
      <c r="F473" s="423"/>
    </row>
    <row r="474" spans="2:6" ht="18" x14ac:dyDescent="0.35">
      <c r="B474" s="421"/>
      <c r="C474" s="422"/>
      <c r="D474" s="422"/>
      <c r="E474" s="422"/>
      <c r="F474" s="423"/>
    </row>
    <row r="475" spans="2:6" ht="18" x14ac:dyDescent="0.35">
      <c r="B475" s="421"/>
      <c r="C475" s="422"/>
      <c r="D475" s="422"/>
      <c r="E475" s="422"/>
      <c r="F475" s="423"/>
    </row>
    <row r="476" spans="2:6" ht="18" x14ac:dyDescent="0.35">
      <c r="B476" s="421"/>
      <c r="C476" s="422"/>
      <c r="D476" s="422"/>
      <c r="E476" s="422"/>
      <c r="F476" s="423"/>
    </row>
    <row r="477" spans="2:6" ht="18" x14ac:dyDescent="0.35">
      <c r="B477" s="421"/>
      <c r="C477" s="422"/>
      <c r="D477" s="422"/>
      <c r="E477" s="422"/>
      <c r="F477" s="423"/>
    </row>
    <row r="478" spans="2:6" ht="18" x14ac:dyDescent="0.35">
      <c r="B478" s="421"/>
      <c r="C478" s="422"/>
      <c r="D478" s="422"/>
      <c r="E478" s="422"/>
      <c r="F478" s="423"/>
    </row>
    <row r="479" spans="2:6" ht="18" x14ac:dyDescent="0.35">
      <c r="B479" s="421"/>
      <c r="C479" s="422"/>
      <c r="D479" s="422"/>
      <c r="E479" s="422"/>
      <c r="F479" s="423"/>
    </row>
    <row r="480" spans="2:6" ht="18" x14ac:dyDescent="0.35">
      <c r="B480" s="421"/>
      <c r="C480" s="422"/>
      <c r="D480" s="422"/>
      <c r="E480" s="422"/>
      <c r="F480" s="423"/>
    </row>
    <row r="481" spans="2:6" ht="18" x14ac:dyDescent="0.35">
      <c r="B481" s="421"/>
      <c r="C481" s="422"/>
      <c r="D481" s="422"/>
      <c r="E481" s="422"/>
      <c r="F481" s="423"/>
    </row>
    <row r="482" spans="2:6" ht="18" x14ac:dyDescent="0.35">
      <c r="B482" s="421"/>
      <c r="C482" s="422"/>
      <c r="D482" s="422"/>
      <c r="E482" s="422"/>
      <c r="F482" s="423"/>
    </row>
    <row r="483" spans="2:6" ht="18" x14ac:dyDescent="0.35">
      <c r="B483" s="421"/>
      <c r="C483" s="422"/>
      <c r="D483" s="422"/>
      <c r="E483" s="422"/>
      <c r="F483" s="423"/>
    </row>
    <row r="484" spans="2:6" ht="18" x14ac:dyDescent="0.35">
      <c r="B484" s="421"/>
      <c r="C484" s="422"/>
      <c r="D484" s="422"/>
      <c r="E484" s="422"/>
      <c r="F484" s="423"/>
    </row>
    <row r="485" spans="2:6" ht="18" x14ac:dyDescent="0.35">
      <c r="B485" s="421"/>
      <c r="C485" s="422"/>
      <c r="D485" s="422"/>
      <c r="E485" s="422"/>
      <c r="F485" s="423"/>
    </row>
    <row r="486" spans="2:6" ht="18" x14ac:dyDescent="0.35">
      <c r="B486" s="421"/>
      <c r="C486" s="422"/>
      <c r="D486" s="422"/>
      <c r="E486" s="422"/>
      <c r="F486" s="423"/>
    </row>
    <row r="487" spans="2:6" ht="18" x14ac:dyDescent="0.35">
      <c r="B487" s="421"/>
      <c r="C487" s="422"/>
      <c r="D487" s="422"/>
      <c r="E487" s="422"/>
      <c r="F487" s="423"/>
    </row>
    <row r="488" spans="2:6" ht="18" x14ac:dyDescent="0.35">
      <c r="B488" s="421"/>
      <c r="C488" s="422"/>
      <c r="D488" s="422"/>
      <c r="E488" s="422"/>
      <c r="F488" s="423"/>
    </row>
    <row r="489" spans="2:6" ht="18" x14ac:dyDescent="0.35">
      <c r="B489" s="421"/>
      <c r="C489" s="422"/>
      <c r="D489" s="422"/>
      <c r="E489" s="422"/>
      <c r="F489" s="423"/>
    </row>
    <row r="490" spans="2:6" ht="18" x14ac:dyDescent="0.35">
      <c r="B490" s="421"/>
      <c r="C490" s="422"/>
      <c r="D490" s="422"/>
      <c r="E490" s="422"/>
      <c r="F490" s="423"/>
    </row>
    <row r="491" spans="2:6" ht="18" x14ac:dyDescent="0.35">
      <c r="B491" s="421"/>
      <c r="C491" s="422"/>
      <c r="D491" s="422"/>
      <c r="E491" s="422"/>
      <c r="F491" s="423"/>
    </row>
    <row r="492" spans="2:6" ht="18" x14ac:dyDescent="0.35">
      <c r="B492" s="421"/>
      <c r="C492" s="422"/>
      <c r="D492" s="422"/>
      <c r="E492" s="422"/>
      <c r="F492" s="423"/>
    </row>
    <row r="493" spans="2:6" ht="18" x14ac:dyDescent="0.35">
      <c r="B493" s="421"/>
      <c r="C493" s="422"/>
      <c r="D493" s="422"/>
      <c r="E493" s="422"/>
      <c r="F493" s="423"/>
    </row>
    <row r="494" spans="2:6" ht="18" x14ac:dyDescent="0.35">
      <c r="B494" s="421"/>
      <c r="C494" s="422"/>
      <c r="D494" s="422"/>
      <c r="E494" s="422"/>
      <c r="F494" s="423"/>
    </row>
    <row r="495" spans="2:6" ht="18" x14ac:dyDescent="0.35">
      <c r="B495" s="421"/>
      <c r="C495" s="422"/>
      <c r="D495" s="422"/>
      <c r="E495" s="422"/>
      <c r="F495" s="423"/>
    </row>
    <row r="496" spans="2:6" ht="18" x14ac:dyDescent="0.35">
      <c r="B496" s="421"/>
      <c r="C496" s="422"/>
      <c r="D496" s="422"/>
      <c r="E496" s="422"/>
      <c r="F496" s="423"/>
    </row>
    <row r="497" spans="2:6" ht="18" x14ac:dyDescent="0.35">
      <c r="B497" s="421"/>
      <c r="C497" s="422"/>
      <c r="D497" s="422"/>
      <c r="E497" s="422"/>
      <c r="F497" s="423"/>
    </row>
    <row r="498" spans="2:6" ht="18" x14ac:dyDescent="0.35">
      <c r="B498" s="421"/>
      <c r="C498" s="422"/>
      <c r="D498" s="422"/>
      <c r="E498" s="422"/>
      <c r="F498" s="423"/>
    </row>
    <row r="499" spans="2:6" ht="18" x14ac:dyDescent="0.35">
      <c r="B499" s="421"/>
      <c r="C499" s="422"/>
      <c r="D499" s="422"/>
      <c r="E499" s="422"/>
      <c r="F499" s="423"/>
    </row>
    <row r="500" spans="2:6" ht="18" x14ac:dyDescent="0.35">
      <c r="B500" s="421"/>
      <c r="C500" s="422"/>
      <c r="D500" s="422"/>
      <c r="E500" s="422"/>
      <c r="F500" s="423"/>
    </row>
    <row r="501" spans="2:6" ht="18" x14ac:dyDescent="0.35">
      <c r="B501" s="421"/>
      <c r="C501" s="422"/>
      <c r="D501" s="422"/>
      <c r="E501" s="422"/>
      <c r="F501" s="423"/>
    </row>
    <row r="502" spans="2:6" ht="18" x14ac:dyDescent="0.35">
      <c r="B502" s="421"/>
      <c r="C502" s="422"/>
      <c r="D502" s="422"/>
      <c r="E502" s="422"/>
      <c r="F502" s="423"/>
    </row>
    <row r="503" spans="2:6" ht="18" x14ac:dyDescent="0.35">
      <c r="B503" s="421"/>
      <c r="C503" s="422"/>
      <c r="D503" s="422"/>
      <c r="E503" s="422"/>
      <c r="F503" s="423"/>
    </row>
    <row r="504" spans="2:6" ht="18" x14ac:dyDescent="0.35">
      <c r="B504" s="421"/>
      <c r="C504" s="422"/>
      <c r="D504" s="422"/>
      <c r="E504" s="422"/>
      <c r="F504" s="423"/>
    </row>
    <row r="505" spans="2:6" ht="18" x14ac:dyDescent="0.35">
      <c r="B505" s="421"/>
      <c r="C505" s="422"/>
      <c r="D505" s="422"/>
      <c r="E505" s="422"/>
      <c r="F505" s="423"/>
    </row>
    <row r="506" spans="2:6" ht="18" x14ac:dyDescent="0.35">
      <c r="B506" s="421"/>
      <c r="C506" s="422"/>
      <c r="D506" s="422"/>
      <c r="E506" s="422"/>
      <c r="F506" s="423"/>
    </row>
    <row r="507" spans="2:6" ht="18" x14ac:dyDescent="0.35">
      <c r="B507" s="421"/>
      <c r="C507" s="422"/>
      <c r="D507" s="422"/>
      <c r="E507" s="422"/>
      <c r="F507" s="423"/>
    </row>
    <row r="508" spans="2:6" ht="18" x14ac:dyDescent="0.35">
      <c r="B508" s="421"/>
      <c r="C508" s="422"/>
      <c r="D508" s="422"/>
      <c r="E508" s="422"/>
      <c r="F508" s="423"/>
    </row>
    <row r="509" spans="2:6" ht="18" x14ac:dyDescent="0.35">
      <c r="B509" s="421"/>
      <c r="C509" s="422"/>
      <c r="D509" s="422"/>
      <c r="E509" s="422"/>
      <c r="F509" s="423"/>
    </row>
    <row r="510" spans="2:6" ht="18" x14ac:dyDescent="0.35">
      <c r="B510" s="421"/>
      <c r="C510" s="422"/>
      <c r="D510" s="422"/>
      <c r="E510" s="422"/>
      <c r="F510" s="423"/>
    </row>
    <row r="511" spans="2:6" ht="18" x14ac:dyDescent="0.35">
      <c r="B511" s="421"/>
      <c r="C511" s="422"/>
      <c r="D511" s="422"/>
      <c r="E511" s="422"/>
      <c r="F511" s="423"/>
    </row>
    <row r="512" spans="2:6" ht="18" x14ac:dyDescent="0.35">
      <c r="B512" s="421"/>
      <c r="C512" s="422"/>
      <c r="D512" s="422"/>
      <c r="E512" s="422"/>
      <c r="F512" s="423"/>
    </row>
    <row r="513" spans="2:6" ht="18" x14ac:dyDescent="0.35">
      <c r="B513" s="421"/>
      <c r="C513" s="422"/>
      <c r="D513" s="422"/>
      <c r="E513" s="422"/>
      <c r="F513" s="423"/>
    </row>
    <row r="514" spans="2:6" ht="18" x14ac:dyDescent="0.35">
      <c r="B514" s="421"/>
      <c r="C514" s="422"/>
      <c r="D514" s="422"/>
      <c r="E514" s="422"/>
      <c r="F514" s="423"/>
    </row>
    <row r="515" spans="2:6" ht="18" x14ac:dyDescent="0.35">
      <c r="B515" s="421"/>
      <c r="C515" s="422"/>
      <c r="D515" s="422"/>
      <c r="E515" s="422"/>
      <c r="F515" s="423"/>
    </row>
    <row r="516" spans="2:6" ht="18" x14ac:dyDescent="0.35">
      <c r="B516" s="421"/>
      <c r="C516" s="422"/>
      <c r="D516" s="422"/>
      <c r="E516" s="422"/>
      <c r="F516" s="423"/>
    </row>
    <row r="517" spans="2:6" ht="18" x14ac:dyDescent="0.35">
      <c r="B517" s="421"/>
      <c r="C517" s="422"/>
      <c r="D517" s="422"/>
      <c r="E517" s="422"/>
      <c r="F517" s="423"/>
    </row>
    <row r="518" spans="2:6" ht="18" x14ac:dyDescent="0.35">
      <c r="B518" s="421"/>
      <c r="C518" s="422"/>
      <c r="D518" s="422"/>
      <c r="E518" s="422"/>
      <c r="F518" s="423"/>
    </row>
    <row r="519" spans="2:6" ht="18" x14ac:dyDescent="0.35">
      <c r="B519" s="421"/>
      <c r="C519" s="422"/>
      <c r="D519" s="422"/>
      <c r="E519" s="422"/>
      <c r="F519" s="423"/>
    </row>
    <row r="520" spans="2:6" ht="18" x14ac:dyDescent="0.35">
      <c r="B520" s="421"/>
      <c r="C520" s="422"/>
      <c r="D520" s="422"/>
      <c r="E520" s="422"/>
      <c r="F520" s="423"/>
    </row>
    <row r="521" spans="2:6" ht="18" x14ac:dyDescent="0.35">
      <c r="B521" s="421"/>
      <c r="C521" s="422"/>
      <c r="D521" s="422"/>
      <c r="E521" s="422"/>
      <c r="F521" s="423"/>
    </row>
    <row r="522" spans="2:6" ht="18" x14ac:dyDescent="0.35">
      <c r="B522" s="421"/>
      <c r="C522" s="422"/>
      <c r="D522" s="422"/>
      <c r="E522" s="422"/>
      <c r="F522" s="423"/>
    </row>
    <row r="523" spans="2:6" ht="18" x14ac:dyDescent="0.35">
      <c r="B523" s="421"/>
      <c r="C523" s="422"/>
      <c r="D523" s="422"/>
      <c r="E523" s="422"/>
      <c r="F523" s="423"/>
    </row>
    <row r="524" spans="2:6" ht="18" x14ac:dyDescent="0.35">
      <c r="B524" s="421"/>
      <c r="C524" s="422"/>
      <c r="D524" s="422"/>
      <c r="E524" s="422"/>
      <c r="F524" s="423"/>
    </row>
    <row r="525" spans="2:6" ht="18" x14ac:dyDescent="0.35">
      <c r="B525" s="421"/>
      <c r="C525" s="422"/>
      <c r="D525" s="422"/>
      <c r="E525" s="422"/>
      <c r="F525" s="423"/>
    </row>
    <row r="526" spans="2:6" ht="18" x14ac:dyDescent="0.35">
      <c r="B526" s="421"/>
      <c r="C526" s="422"/>
      <c r="D526" s="422"/>
      <c r="E526" s="422"/>
      <c r="F526" s="423"/>
    </row>
    <row r="527" spans="2:6" ht="18" x14ac:dyDescent="0.35">
      <c r="B527" s="421"/>
      <c r="C527" s="422"/>
      <c r="D527" s="422"/>
      <c r="E527" s="422"/>
      <c r="F527" s="423"/>
    </row>
    <row r="528" spans="2:6" ht="18" x14ac:dyDescent="0.35">
      <c r="B528" s="421"/>
      <c r="C528" s="422"/>
      <c r="D528" s="422"/>
      <c r="E528" s="422"/>
      <c r="F528" s="423"/>
    </row>
    <row r="529" spans="2:6" ht="18" x14ac:dyDescent="0.35">
      <c r="B529" s="421"/>
      <c r="C529" s="422"/>
      <c r="D529" s="422"/>
      <c r="E529" s="422"/>
      <c r="F529" s="423"/>
    </row>
    <row r="530" spans="2:6" ht="18" x14ac:dyDescent="0.35">
      <c r="B530" s="421"/>
      <c r="C530" s="422"/>
      <c r="D530" s="422"/>
      <c r="E530" s="422"/>
      <c r="F530" s="423"/>
    </row>
    <row r="531" spans="2:6" ht="18" x14ac:dyDescent="0.35">
      <c r="B531" s="421"/>
      <c r="C531" s="422"/>
      <c r="D531" s="422"/>
      <c r="E531" s="422"/>
      <c r="F531" s="423"/>
    </row>
    <row r="532" spans="2:6" ht="18" x14ac:dyDescent="0.35">
      <c r="B532" s="421"/>
      <c r="C532" s="422"/>
      <c r="D532" s="422"/>
      <c r="E532" s="422"/>
      <c r="F532" s="423"/>
    </row>
    <row r="533" spans="2:6" ht="18" x14ac:dyDescent="0.35">
      <c r="B533" s="421"/>
      <c r="C533" s="422"/>
      <c r="D533" s="422"/>
      <c r="E533" s="422"/>
      <c r="F533" s="423"/>
    </row>
    <row r="534" spans="2:6" ht="18" x14ac:dyDescent="0.35">
      <c r="B534" s="421"/>
      <c r="C534" s="422"/>
      <c r="D534" s="422"/>
      <c r="E534" s="422"/>
      <c r="F534" s="423"/>
    </row>
    <row r="535" spans="2:6" ht="18" x14ac:dyDescent="0.35">
      <c r="B535" s="421"/>
      <c r="C535" s="422"/>
      <c r="D535" s="422"/>
      <c r="E535" s="422"/>
      <c r="F535" s="423"/>
    </row>
    <row r="536" spans="2:6" ht="18" x14ac:dyDescent="0.35">
      <c r="B536" s="421"/>
      <c r="C536" s="422"/>
      <c r="D536" s="422"/>
      <c r="E536" s="422"/>
      <c r="F536" s="423"/>
    </row>
    <row r="537" spans="2:6" ht="18" x14ac:dyDescent="0.35">
      <c r="B537" s="421"/>
      <c r="C537" s="422"/>
      <c r="D537" s="422"/>
      <c r="E537" s="422"/>
      <c r="F537" s="423"/>
    </row>
    <row r="538" spans="2:6" ht="18" x14ac:dyDescent="0.35">
      <c r="B538" s="421"/>
      <c r="C538" s="422"/>
      <c r="D538" s="422"/>
      <c r="E538" s="422"/>
      <c r="F538" s="423"/>
    </row>
    <row r="539" spans="2:6" ht="18" x14ac:dyDescent="0.35">
      <c r="B539" s="421"/>
      <c r="C539" s="422"/>
      <c r="D539" s="422"/>
      <c r="E539" s="422"/>
      <c r="F539" s="423"/>
    </row>
    <row r="540" spans="2:6" ht="18" x14ac:dyDescent="0.35">
      <c r="B540" s="421"/>
      <c r="C540" s="422"/>
      <c r="D540" s="422"/>
      <c r="E540" s="422"/>
      <c r="F540" s="423"/>
    </row>
    <row r="541" spans="2:6" ht="18" x14ac:dyDescent="0.35">
      <c r="B541" s="421"/>
      <c r="C541" s="422"/>
      <c r="D541" s="422"/>
      <c r="E541" s="422"/>
      <c r="F541" s="423"/>
    </row>
    <row r="542" spans="2:6" ht="18" x14ac:dyDescent="0.35">
      <c r="B542" s="421"/>
      <c r="C542" s="422"/>
      <c r="D542" s="422"/>
      <c r="E542" s="422"/>
      <c r="F542" s="423"/>
    </row>
    <row r="543" spans="2:6" ht="18" x14ac:dyDescent="0.35">
      <c r="B543" s="421"/>
      <c r="C543" s="422"/>
      <c r="D543" s="422"/>
      <c r="E543" s="422"/>
      <c r="F543" s="423"/>
    </row>
    <row r="544" spans="2:6" ht="18" x14ac:dyDescent="0.35">
      <c r="B544" s="421"/>
      <c r="C544" s="422"/>
      <c r="D544" s="422"/>
      <c r="E544" s="422"/>
      <c r="F544" s="423"/>
    </row>
    <row r="545" spans="2:6" ht="18" x14ac:dyDescent="0.35">
      <c r="B545" s="421"/>
      <c r="C545" s="422"/>
      <c r="D545" s="422"/>
      <c r="E545" s="422"/>
      <c r="F545" s="423"/>
    </row>
    <row r="546" spans="2:6" ht="18" x14ac:dyDescent="0.35">
      <c r="B546" s="421"/>
      <c r="C546" s="422"/>
      <c r="D546" s="422"/>
      <c r="E546" s="422"/>
      <c r="F546" s="423"/>
    </row>
    <row r="547" spans="2:6" ht="18" x14ac:dyDescent="0.35">
      <c r="B547" s="421"/>
      <c r="C547" s="422"/>
      <c r="D547" s="422"/>
      <c r="E547" s="422"/>
      <c r="F547" s="423"/>
    </row>
    <row r="548" spans="2:6" ht="18" x14ac:dyDescent="0.35">
      <c r="B548" s="421"/>
      <c r="C548" s="422"/>
      <c r="D548" s="422"/>
      <c r="E548" s="422"/>
      <c r="F548" s="423"/>
    </row>
    <row r="549" spans="2:6" ht="18" x14ac:dyDescent="0.35">
      <c r="B549" s="421"/>
      <c r="C549" s="422"/>
      <c r="D549" s="422"/>
      <c r="E549" s="422"/>
      <c r="F549" s="423"/>
    </row>
    <row r="550" spans="2:6" ht="18" x14ac:dyDescent="0.35">
      <c r="B550" s="421"/>
      <c r="C550" s="422"/>
      <c r="D550" s="422"/>
      <c r="E550" s="422"/>
      <c r="F550" s="423"/>
    </row>
    <row r="551" spans="2:6" ht="18" x14ac:dyDescent="0.35">
      <c r="B551" s="421"/>
      <c r="C551" s="422"/>
      <c r="D551" s="422"/>
      <c r="E551" s="422"/>
      <c r="F551" s="423"/>
    </row>
    <row r="552" spans="2:6" ht="18" x14ac:dyDescent="0.35">
      <c r="B552" s="421"/>
      <c r="C552" s="422"/>
      <c r="D552" s="422"/>
      <c r="E552" s="422"/>
      <c r="F552" s="423"/>
    </row>
    <row r="553" spans="2:6" ht="18" x14ac:dyDescent="0.35">
      <c r="B553" s="421"/>
      <c r="C553" s="422"/>
      <c r="D553" s="422"/>
      <c r="E553" s="422"/>
      <c r="F553" s="423"/>
    </row>
    <row r="554" spans="2:6" ht="18" x14ac:dyDescent="0.35">
      <c r="B554" s="421"/>
      <c r="C554" s="422"/>
      <c r="D554" s="422"/>
      <c r="E554" s="422"/>
      <c r="F554" s="423"/>
    </row>
    <row r="555" spans="2:6" ht="18" x14ac:dyDescent="0.35">
      <c r="B555" s="421"/>
      <c r="C555" s="422"/>
      <c r="D555" s="422"/>
      <c r="E555" s="422"/>
      <c r="F555" s="423"/>
    </row>
    <row r="556" spans="2:6" ht="18" x14ac:dyDescent="0.35">
      <c r="B556" s="421"/>
      <c r="C556" s="422"/>
      <c r="D556" s="422"/>
      <c r="E556" s="422"/>
      <c r="F556" s="423"/>
    </row>
    <row r="557" spans="2:6" ht="18" x14ac:dyDescent="0.35">
      <c r="B557" s="421"/>
      <c r="C557" s="422"/>
      <c r="D557" s="422"/>
      <c r="E557" s="422"/>
      <c r="F557" s="423"/>
    </row>
    <row r="558" spans="2:6" ht="18" x14ac:dyDescent="0.35">
      <c r="B558" s="421"/>
      <c r="C558" s="422"/>
      <c r="D558" s="422"/>
      <c r="E558" s="422"/>
      <c r="F558" s="423"/>
    </row>
    <row r="559" spans="2:6" ht="18" x14ac:dyDescent="0.35">
      <c r="B559" s="421"/>
      <c r="C559" s="422"/>
      <c r="D559" s="422"/>
      <c r="E559" s="422"/>
      <c r="F559" s="423"/>
    </row>
    <row r="560" spans="2:6" ht="18" x14ac:dyDescent="0.35">
      <c r="B560" s="421"/>
      <c r="C560" s="422"/>
      <c r="D560" s="422"/>
      <c r="E560" s="422"/>
      <c r="F560" s="423"/>
    </row>
    <row r="561" spans="2:6" ht="18" x14ac:dyDescent="0.35">
      <c r="B561" s="421"/>
      <c r="C561" s="422"/>
      <c r="D561" s="422"/>
      <c r="E561" s="422"/>
      <c r="F561" s="423"/>
    </row>
    <row r="562" spans="2:6" ht="18" x14ac:dyDescent="0.35">
      <c r="B562" s="421"/>
      <c r="C562" s="422"/>
      <c r="D562" s="422"/>
      <c r="E562" s="422"/>
      <c r="F562" s="423"/>
    </row>
    <row r="563" spans="2:6" ht="18" x14ac:dyDescent="0.35">
      <c r="B563" s="421"/>
      <c r="C563" s="422"/>
      <c r="D563" s="422"/>
      <c r="E563" s="422"/>
      <c r="F563" s="423"/>
    </row>
    <row r="564" spans="2:6" ht="18" x14ac:dyDescent="0.35">
      <c r="B564" s="421"/>
      <c r="C564" s="422"/>
      <c r="D564" s="422"/>
      <c r="E564" s="422"/>
      <c r="F564" s="423"/>
    </row>
    <row r="565" spans="2:6" ht="18" x14ac:dyDescent="0.35">
      <c r="B565" s="421"/>
      <c r="C565" s="422"/>
      <c r="D565" s="422"/>
      <c r="E565" s="422"/>
      <c r="F565" s="423"/>
    </row>
    <row r="566" spans="2:6" ht="18" x14ac:dyDescent="0.35">
      <c r="B566" s="421"/>
      <c r="C566" s="422"/>
      <c r="D566" s="422"/>
      <c r="E566" s="422"/>
      <c r="F566" s="423"/>
    </row>
    <row r="567" spans="2:6" ht="18" x14ac:dyDescent="0.35">
      <c r="B567" s="421"/>
      <c r="C567" s="422"/>
      <c r="D567" s="422"/>
      <c r="E567" s="422"/>
      <c r="F567" s="423"/>
    </row>
    <row r="568" spans="2:6" ht="18" x14ac:dyDescent="0.35">
      <c r="B568" s="421"/>
      <c r="C568" s="422"/>
      <c r="D568" s="422"/>
      <c r="E568" s="422"/>
      <c r="F568" s="423"/>
    </row>
    <row r="569" spans="2:6" ht="18" x14ac:dyDescent="0.35">
      <c r="B569" s="421"/>
      <c r="C569" s="422"/>
      <c r="D569" s="422"/>
      <c r="E569" s="422"/>
      <c r="F569" s="423"/>
    </row>
    <row r="570" spans="2:6" ht="18" x14ac:dyDescent="0.35">
      <c r="B570" s="421"/>
      <c r="C570" s="422"/>
      <c r="D570" s="422"/>
      <c r="E570" s="422"/>
      <c r="F570" s="423"/>
    </row>
    <row r="571" spans="2:6" ht="18" x14ac:dyDescent="0.35">
      <c r="B571" s="421"/>
      <c r="C571" s="422"/>
      <c r="D571" s="422"/>
      <c r="E571" s="422"/>
      <c r="F571" s="423"/>
    </row>
    <row r="572" spans="2:6" ht="18" x14ac:dyDescent="0.35">
      <c r="B572" s="421"/>
      <c r="C572" s="422"/>
      <c r="D572" s="422"/>
      <c r="E572" s="422"/>
      <c r="F572" s="423"/>
    </row>
    <row r="573" spans="2:6" ht="18" x14ac:dyDescent="0.35">
      <c r="B573" s="421"/>
      <c r="C573" s="422"/>
      <c r="D573" s="422"/>
      <c r="E573" s="422"/>
      <c r="F573" s="423"/>
    </row>
    <row r="574" spans="2:6" ht="18" x14ac:dyDescent="0.35">
      <c r="B574" s="421"/>
      <c r="C574" s="422"/>
      <c r="D574" s="422"/>
      <c r="E574" s="422"/>
      <c r="F574" s="423"/>
    </row>
    <row r="575" spans="2:6" ht="18" x14ac:dyDescent="0.35">
      <c r="B575" s="421"/>
      <c r="C575" s="422"/>
      <c r="D575" s="422"/>
      <c r="E575" s="422"/>
      <c r="F575" s="423"/>
    </row>
    <row r="576" spans="2:6" ht="18" x14ac:dyDescent="0.35">
      <c r="B576" s="421"/>
      <c r="C576" s="422"/>
      <c r="D576" s="422"/>
      <c r="E576" s="422"/>
      <c r="F576" s="423"/>
    </row>
    <row r="577" spans="2:6" ht="18" x14ac:dyDescent="0.35">
      <c r="B577" s="421"/>
      <c r="C577" s="422"/>
      <c r="D577" s="422"/>
      <c r="E577" s="422"/>
      <c r="F577" s="423"/>
    </row>
    <row r="578" spans="2:6" ht="18" x14ac:dyDescent="0.35">
      <c r="B578" s="421"/>
      <c r="C578" s="422"/>
      <c r="D578" s="422"/>
      <c r="E578" s="422"/>
      <c r="F578" s="423"/>
    </row>
    <row r="579" spans="2:6" ht="18" x14ac:dyDescent="0.35">
      <c r="B579" s="421"/>
      <c r="C579" s="422"/>
      <c r="D579" s="422"/>
      <c r="E579" s="422"/>
      <c r="F579" s="423"/>
    </row>
    <row r="580" spans="2:6" ht="18" x14ac:dyDescent="0.35">
      <c r="B580" s="421"/>
      <c r="C580" s="422"/>
      <c r="D580" s="422"/>
      <c r="E580" s="422"/>
      <c r="F580" s="423"/>
    </row>
    <row r="581" spans="2:6" ht="18" x14ac:dyDescent="0.35">
      <c r="B581" s="421"/>
      <c r="C581" s="422"/>
      <c r="D581" s="422"/>
      <c r="E581" s="422"/>
      <c r="F581" s="423"/>
    </row>
    <row r="582" spans="2:6" ht="18" x14ac:dyDescent="0.35">
      <c r="B582" s="421"/>
      <c r="C582" s="422"/>
      <c r="D582" s="422"/>
      <c r="E582" s="422"/>
      <c r="F582" s="423"/>
    </row>
    <row r="583" spans="2:6" ht="18" x14ac:dyDescent="0.35">
      <c r="B583" s="421"/>
      <c r="C583" s="422"/>
      <c r="D583" s="422"/>
      <c r="E583" s="422"/>
      <c r="F583" s="423"/>
    </row>
    <row r="584" spans="2:6" ht="18" x14ac:dyDescent="0.35">
      <c r="B584" s="421"/>
      <c r="C584" s="422"/>
      <c r="D584" s="422"/>
      <c r="E584" s="422"/>
      <c r="F584" s="423"/>
    </row>
    <row r="585" spans="2:6" ht="18" x14ac:dyDescent="0.35">
      <c r="B585" s="421"/>
      <c r="C585" s="422"/>
      <c r="D585" s="422"/>
      <c r="E585" s="422"/>
      <c r="F585" s="423"/>
    </row>
    <row r="586" spans="2:6" ht="18" x14ac:dyDescent="0.35">
      <c r="B586" s="421"/>
      <c r="C586" s="422"/>
      <c r="D586" s="422"/>
      <c r="E586" s="422"/>
      <c r="F586" s="423"/>
    </row>
    <row r="587" spans="2:6" ht="18" x14ac:dyDescent="0.35">
      <c r="B587" s="421"/>
      <c r="C587" s="422"/>
      <c r="D587" s="422"/>
      <c r="E587" s="422"/>
      <c r="F587" s="423"/>
    </row>
    <row r="588" spans="2:6" ht="18" x14ac:dyDescent="0.35">
      <c r="B588" s="421"/>
      <c r="C588" s="422"/>
      <c r="D588" s="422"/>
      <c r="E588" s="422"/>
      <c r="F588" s="423"/>
    </row>
    <row r="589" spans="2:6" ht="18" x14ac:dyDescent="0.35">
      <c r="B589" s="421"/>
      <c r="C589" s="422"/>
      <c r="D589" s="422"/>
      <c r="E589" s="422"/>
      <c r="F589" s="423"/>
    </row>
    <row r="590" spans="2:6" ht="18" x14ac:dyDescent="0.35">
      <c r="B590" s="421"/>
      <c r="C590" s="422"/>
      <c r="D590" s="422"/>
      <c r="E590" s="422"/>
      <c r="F590" s="423"/>
    </row>
    <row r="591" spans="2:6" ht="18" x14ac:dyDescent="0.35">
      <c r="B591" s="421"/>
      <c r="C591" s="422"/>
      <c r="D591" s="422"/>
      <c r="E591" s="422"/>
      <c r="F591" s="423"/>
    </row>
    <row r="592" spans="2:6" ht="18" x14ac:dyDescent="0.35">
      <c r="B592" s="421"/>
      <c r="C592" s="422"/>
      <c r="D592" s="422"/>
      <c r="E592" s="422"/>
      <c r="F592" s="423"/>
    </row>
    <row r="593" spans="2:6" ht="18" x14ac:dyDescent="0.35">
      <c r="B593" s="421"/>
      <c r="C593" s="422"/>
      <c r="D593" s="422"/>
      <c r="E593" s="422"/>
      <c r="F593" s="423"/>
    </row>
    <row r="594" spans="2:6" ht="18" x14ac:dyDescent="0.35">
      <c r="B594" s="421"/>
      <c r="C594" s="422"/>
      <c r="D594" s="422"/>
      <c r="E594" s="422"/>
      <c r="F594" s="423"/>
    </row>
    <row r="595" spans="2:6" ht="18" x14ac:dyDescent="0.35">
      <c r="B595" s="421"/>
      <c r="C595" s="422"/>
      <c r="D595" s="422"/>
      <c r="E595" s="422"/>
      <c r="F595" s="423"/>
    </row>
    <row r="596" spans="2:6" ht="18" x14ac:dyDescent="0.35">
      <c r="B596" s="421"/>
      <c r="C596" s="422"/>
      <c r="D596" s="422"/>
      <c r="E596" s="422"/>
      <c r="F596" s="423"/>
    </row>
    <row r="597" spans="2:6" ht="18" x14ac:dyDescent="0.35">
      <c r="B597" s="421"/>
      <c r="C597" s="422"/>
      <c r="D597" s="422"/>
      <c r="E597" s="422"/>
      <c r="F597" s="423"/>
    </row>
    <row r="598" spans="2:6" ht="18" x14ac:dyDescent="0.35">
      <c r="B598" s="421"/>
      <c r="C598" s="422"/>
      <c r="D598" s="422"/>
      <c r="E598" s="422"/>
      <c r="F598" s="423"/>
    </row>
    <row r="599" spans="2:6" ht="18" x14ac:dyDescent="0.35">
      <c r="B599" s="421"/>
      <c r="C599" s="422"/>
      <c r="D599" s="422"/>
      <c r="E599" s="422"/>
      <c r="F599" s="423"/>
    </row>
    <row r="600" spans="2:6" ht="18" x14ac:dyDescent="0.35">
      <c r="B600" s="421"/>
      <c r="C600" s="422"/>
      <c r="D600" s="422"/>
      <c r="E600" s="422"/>
      <c r="F600" s="423"/>
    </row>
    <row r="601" spans="2:6" ht="18" x14ac:dyDescent="0.35">
      <c r="B601" s="421"/>
      <c r="C601" s="422"/>
      <c r="D601" s="422"/>
      <c r="E601" s="422"/>
      <c r="F601" s="423"/>
    </row>
    <row r="602" spans="2:6" ht="18" x14ac:dyDescent="0.35">
      <c r="B602" s="421"/>
      <c r="C602" s="422"/>
      <c r="D602" s="422"/>
      <c r="E602" s="422"/>
      <c r="F602" s="423"/>
    </row>
    <row r="603" spans="2:6" ht="18" x14ac:dyDescent="0.35">
      <c r="B603" s="421"/>
      <c r="C603" s="422"/>
      <c r="D603" s="422"/>
      <c r="E603" s="422"/>
      <c r="F603" s="423"/>
    </row>
    <row r="604" spans="2:6" ht="18" x14ac:dyDescent="0.35">
      <c r="B604" s="421"/>
      <c r="C604" s="422"/>
      <c r="D604" s="422"/>
      <c r="E604" s="422"/>
      <c r="F604" s="423"/>
    </row>
    <row r="605" spans="2:6" ht="18" x14ac:dyDescent="0.35">
      <c r="B605" s="421"/>
      <c r="C605" s="422"/>
      <c r="D605" s="422"/>
      <c r="E605" s="422"/>
      <c r="F605" s="423"/>
    </row>
    <row r="606" spans="2:6" ht="18" x14ac:dyDescent="0.35">
      <c r="B606" s="421"/>
      <c r="C606" s="422"/>
      <c r="D606" s="422"/>
      <c r="E606" s="422"/>
      <c r="F606" s="423"/>
    </row>
    <row r="607" spans="2:6" ht="18" x14ac:dyDescent="0.35">
      <c r="B607" s="421"/>
      <c r="C607" s="422"/>
      <c r="D607" s="422"/>
      <c r="E607" s="422"/>
      <c r="F607" s="423"/>
    </row>
    <row r="608" spans="2:6" ht="18" x14ac:dyDescent="0.35">
      <c r="B608" s="421"/>
      <c r="C608" s="422"/>
      <c r="D608" s="422"/>
      <c r="E608" s="422"/>
      <c r="F608" s="423"/>
    </row>
    <row r="609" spans="2:6" ht="18" x14ac:dyDescent="0.35">
      <c r="B609" s="421"/>
      <c r="C609" s="422"/>
      <c r="D609" s="422"/>
      <c r="E609" s="422"/>
      <c r="F609" s="423"/>
    </row>
    <row r="610" spans="2:6" ht="18" x14ac:dyDescent="0.35">
      <c r="B610" s="421"/>
      <c r="C610" s="422"/>
      <c r="D610" s="422"/>
      <c r="E610" s="422"/>
      <c r="F610" s="423"/>
    </row>
    <row r="611" spans="2:6" ht="18" x14ac:dyDescent="0.35">
      <c r="B611" s="421"/>
      <c r="C611" s="422"/>
      <c r="D611" s="422"/>
      <c r="E611" s="422"/>
      <c r="F611" s="423"/>
    </row>
    <row r="612" spans="2:6" ht="18" x14ac:dyDescent="0.35">
      <c r="B612" s="421"/>
      <c r="C612" s="422"/>
      <c r="D612" s="422"/>
      <c r="E612" s="422"/>
      <c r="F612" s="423"/>
    </row>
    <row r="613" spans="2:6" ht="18" x14ac:dyDescent="0.35">
      <c r="B613" s="421"/>
      <c r="C613" s="422"/>
      <c r="D613" s="422"/>
      <c r="E613" s="422"/>
      <c r="F613" s="423"/>
    </row>
    <row r="614" spans="2:6" ht="18" x14ac:dyDescent="0.35">
      <c r="B614" s="421"/>
      <c r="C614" s="422"/>
      <c r="D614" s="422"/>
      <c r="E614" s="422"/>
      <c r="F614" s="423"/>
    </row>
    <row r="615" spans="2:6" ht="18" x14ac:dyDescent="0.35">
      <c r="B615" s="421"/>
      <c r="C615" s="422"/>
      <c r="D615" s="422"/>
      <c r="E615" s="422"/>
      <c r="F615" s="423"/>
    </row>
    <row r="616" spans="2:6" ht="18" x14ac:dyDescent="0.35">
      <c r="B616" s="421"/>
      <c r="C616" s="422"/>
      <c r="D616" s="422"/>
      <c r="E616" s="422"/>
      <c r="F616" s="423"/>
    </row>
    <row r="617" spans="2:6" ht="18" x14ac:dyDescent="0.35">
      <c r="B617" s="421"/>
      <c r="C617" s="422"/>
      <c r="D617" s="422"/>
      <c r="E617" s="422"/>
      <c r="F617" s="423"/>
    </row>
    <row r="618" spans="2:6" ht="18" x14ac:dyDescent="0.35">
      <c r="B618" s="421"/>
      <c r="C618" s="422"/>
      <c r="D618" s="422"/>
      <c r="E618" s="422"/>
      <c r="F618" s="423"/>
    </row>
    <row r="619" spans="2:6" ht="18" x14ac:dyDescent="0.35">
      <c r="B619" s="421"/>
      <c r="C619" s="422"/>
      <c r="D619" s="422"/>
      <c r="E619" s="422"/>
      <c r="F619" s="423"/>
    </row>
    <row r="620" spans="2:6" ht="18" x14ac:dyDescent="0.35">
      <c r="B620" s="421"/>
      <c r="C620" s="422"/>
      <c r="D620" s="422"/>
      <c r="E620" s="422"/>
      <c r="F620" s="423"/>
    </row>
    <row r="621" spans="2:6" ht="18" x14ac:dyDescent="0.35">
      <c r="B621" s="421"/>
      <c r="C621" s="422"/>
      <c r="D621" s="422"/>
      <c r="E621" s="422"/>
      <c r="F621" s="423"/>
    </row>
    <row r="622" spans="2:6" ht="18" x14ac:dyDescent="0.35">
      <c r="B622" s="421"/>
      <c r="C622" s="422"/>
      <c r="D622" s="422"/>
      <c r="E622" s="422"/>
      <c r="F622" s="423"/>
    </row>
    <row r="623" spans="2:6" ht="18" x14ac:dyDescent="0.35">
      <c r="B623" s="421"/>
      <c r="C623" s="422"/>
      <c r="D623" s="422"/>
      <c r="E623" s="422"/>
      <c r="F623" s="423"/>
    </row>
    <row r="624" spans="2:6" ht="18" x14ac:dyDescent="0.35">
      <c r="B624" s="421"/>
      <c r="C624" s="422"/>
      <c r="D624" s="422"/>
      <c r="E624" s="422"/>
      <c r="F624" s="423"/>
    </row>
    <row r="625" spans="2:6" ht="18" x14ac:dyDescent="0.35">
      <c r="B625" s="421"/>
      <c r="C625" s="422"/>
      <c r="D625" s="422"/>
      <c r="E625" s="422"/>
      <c r="F625" s="423"/>
    </row>
    <row r="626" spans="2:6" ht="18" x14ac:dyDescent="0.35">
      <c r="B626" s="421"/>
      <c r="C626" s="422"/>
      <c r="D626" s="422"/>
      <c r="E626" s="422"/>
      <c r="F626" s="423"/>
    </row>
    <row r="627" spans="2:6" ht="18" x14ac:dyDescent="0.35">
      <c r="B627" s="421"/>
      <c r="C627" s="422"/>
      <c r="D627" s="422"/>
      <c r="E627" s="422"/>
      <c r="F627" s="423"/>
    </row>
    <row r="628" spans="2:6" ht="18" x14ac:dyDescent="0.35">
      <c r="B628" s="421"/>
      <c r="C628" s="422"/>
      <c r="D628" s="422"/>
      <c r="E628" s="422"/>
      <c r="F628" s="423"/>
    </row>
    <row r="629" spans="2:6" ht="18" x14ac:dyDescent="0.35">
      <c r="B629" s="421"/>
      <c r="C629" s="422"/>
      <c r="D629" s="422"/>
      <c r="E629" s="422"/>
      <c r="F629" s="423"/>
    </row>
    <row r="630" spans="2:6" ht="18" x14ac:dyDescent="0.35">
      <c r="B630" s="421"/>
      <c r="C630" s="422"/>
      <c r="D630" s="422"/>
      <c r="E630" s="422"/>
      <c r="F630" s="423"/>
    </row>
    <row r="631" spans="2:6" ht="18" x14ac:dyDescent="0.35">
      <c r="B631" s="421"/>
      <c r="C631" s="422"/>
      <c r="D631" s="422"/>
      <c r="E631" s="422"/>
      <c r="F631" s="423"/>
    </row>
    <row r="632" spans="2:6" ht="18" x14ac:dyDescent="0.35">
      <c r="B632" s="421"/>
      <c r="C632" s="422"/>
      <c r="D632" s="422"/>
      <c r="E632" s="422"/>
      <c r="F632" s="423"/>
    </row>
    <row r="633" spans="2:6" ht="18" x14ac:dyDescent="0.35">
      <c r="B633" s="421"/>
      <c r="C633" s="422"/>
      <c r="D633" s="422"/>
      <c r="E633" s="422"/>
      <c r="F633" s="423"/>
    </row>
    <row r="634" spans="2:6" ht="18" x14ac:dyDescent="0.35">
      <c r="B634" s="421"/>
      <c r="C634" s="422"/>
      <c r="D634" s="422"/>
      <c r="E634" s="422"/>
      <c r="F634" s="423"/>
    </row>
    <row r="635" spans="2:6" ht="18" x14ac:dyDescent="0.35">
      <c r="B635" s="421"/>
      <c r="C635" s="422"/>
      <c r="D635" s="422"/>
      <c r="E635" s="422"/>
      <c r="F635" s="423"/>
    </row>
    <row r="636" spans="2:6" ht="18" x14ac:dyDescent="0.35">
      <c r="B636" s="421"/>
      <c r="C636" s="422"/>
      <c r="D636" s="422"/>
      <c r="E636" s="422"/>
      <c r="F636" s="423"/>
    </row>
    <row r="637" spans="2:6" ht="18" x14ac:dyDescent="0.35">
      <c r="B637" s="421"/>
      <c r="C637" s="422"/>
      <c r="D637" s="422"/>
      <c r="E637" s="422"/>
      <c r="F637" s="423"/>
    </row>
    <row r="638" spans="2:6" ht="18" x14ac:dyDescent="0.35">
      <c r="B638" s="421"/>
      <c r="C638" s="422"/>
      <c r="D638" s="422"/>
      <c r="E638" s="422"/>
      <c r="F638" s="423"/>
    </row>
    <row r="639" spans="2:6" ht="18" x14ac:dyDescent="0.35">
      <c r="B639" s="421"/>
      <c r="C639" s="422"/>
      <c r="D639" s="422"/>
      <c r="E639" s="422"/>
      <c r="F639" s="423"/>
    </row>
    <row r="640" spans="2:6" ht="18" x14ac:dyDescent="0.35">
      <c r="B640" s="421"/>
      <c r="C640" s="422"/>
      <c r="D640" s="422"/>
      <c r="E640" s="422"/>
      <c r="F640" s="423"/>
    </row>
    <row r="641" spans="2:6" ht="18" x14ac:dyDescent="0.35">
      <c r="B641" s="421"/>
      <c r="C641" s="422"/>
      <c r="D641" s="422"/>
      <c r="E641" s="422"/>
      <c r="F641" s="423"/>
    </row>
    <row r="642" spans="2:6" ht="18" x14ac:dyDescent="0.35">
      <c r="B642" s="421"/>
      <c r="C642" s="422"/>
      <c r="D642" s="422"/>
      <c r="E642" s="422"/>
      <c r="F642" s="423"/>
    </row>
    <row r="643" spans="2:6" ht="18" x14ac:dyDescent="0.35">
      <c r="B643" s="421"/>
      <c r="C643" s="422"/>
      <c r="D643" s="422"/>
      <c r="E643" s="422"/>
      <c r="F643" s="423"/>
    </row>
    <row r="644" spans="2:6" ht="18" x14ac:dyDescent="0.35">
      <c r="B644" s="421"/>
      <c r="C644" s="422"/>
      <c r="D644" s="422"/>
      <c r="E644" s="422"/>
      <c r="F644" s="423"/>
    </row>
    <row r="645" spans="2:6" ht="18" x14ac:dyDescent="0.35">
      <c r="B645" s="421"/>
      <c r="C645" s="422"/>
      <c r="D645" s="422"/>
      <c r="E645" s="422"/>
      <c r="F645" s="423"/>
    </row>
    <row r="646" spans="2:6" ht="18" x14ac:dyDescent="0.35">
      <c r="B646" s="421"/>
      <c r="C646" s="422"/>
      <c r="D646" s="422"/>
      <c r="E646" s="422"/>
      <c r="F646" s="423"/>
    </row>
    <row r="647" spans="2:6" ht="18" x14ac:dyDescent="0.35">
      <c r="B647" s="421"/>
      <c r="C647" s="422"/>
      <c r="D647" s="422"/>
      <c r="E647" s="422"/>
      <c r="F647" s="423"/>
    </row>
    <row r="648" spans="2:6" ht="18" x14ac:dyDescent="0.35">
      <c r="B648" s="421"/>
      <c r="C648" s="422"/>
      <c r="D648" s="422"/>
      <c r="E648" s="422"/>
      <c r="F648" s="423"/>
    </row>
    <row r="649" spans="2:6" ht="18" x14ac:dyDescent="0.35">
      <c r="B649" s="421"/>
      <c r="C649" s="422"/>
      <c r="D649" s="422"/>
      <c r="E649" s="422"/>
      <c r="F649" s="423"/>
    </row>
    <row r="650" spans="2:6" ht="18" x14ac:dyDescent="0.35">
      <c r="B650" s="421"/>
      <c r="C650" s="422"/>
      <c r="D650" s="422"/>
      <c r="E650" s="422"/>
      <c r="F650" s="423"/>
    </row>
    <row r="651" spans="2:6" ht="18" x14ac:dyDescent="0.35">
      <c r="B651" s="421"/>
      <c r="C651" s="422"/>
      <c r="D651" s="422"/>
      <c r="E651" s="422"/>
      <c r="F651" s="423"/>
    </row>
    <row r="652" spans="2:6" ht="18" x14ac:dyDescent="0.35">
      <c r="B652" s="421"/>
      <c r="C652" s="422"/>
      <c r="D652" s="422"/>
      <c r="E652" s="422"/>
      <c r="F652" s="423"/>
    </row>
    <row r="653" spans="2:6" ht="18" x14ac:dyDescent="0.35">
      <c r="B653" s="421"/>
      <c r="C653" s="422"/>
      <c r="D653" s="422"/>
      <c r="E653" s="422"/>
      <c r="F653" s="423"/>
    </row>
    <row r="654" spans="2:6" ht="18" x14ac:dyDescent="0.35">
      <c r="B654" s="421"/>
      <c r="C654" s="422"/>
      <c r="D654" s="422"/>
      <c r="E654" s="422"/>
      <c r="F654" s="423"/>
    </row>
    <row r="655" spans="2:6" ht="18" x14ac:dyDescent="0.35">
      <c r="B655" s="421"/>
      <c r="C655" s="422"/>
      <c r="D655" s="422"/>
      <c r="E655" s="422"/>
      <c r="F655" s="423"/>
    </row>
    <row r="656" spans="2:6" ht="18" x14ac:dyDescent="0.35">
      <c r="B656" s="421"/>
      <c r="C656" s="422"/>
      <c r="D656" s="422"/>
      <c r="E656" s="422"/>
      <c r="F656" s="423"/>
    </row>
    <row r="657" spans="2:6" ht="18" x14ac:dyDescent="0.35">
      <c r="B657" s="421"/>
      <c r="C657" s="422"/>
      <c r="D657" s="422"/>
      <c r="E657" s="422"/>
      <c r="F657" s="423"/>
    </row>
    <row r="658" spans="2:6" ht="18" x14ac:dyDescent="0.35">
      <c r="B658" s="421"/>
      <c r="C658" s="422"/>
      <c r="D658" s="422"/>
      <c r="E658" s="422"/>
      <c r="F658" s="423"/>
    </row>
    <row r="659" spans="2:6" ht="18" x14ac:dyDescent="0.35">
      <c r="B659" s="421"/>
      <c r="C659" s="422"/>
      <c r="D659" s="422"/>
      <c r="E659" s="422"/>
      <c r="F659" s="423"/>
    </row>
    <row r="660" spans="2:6" ht="18" x14ac:dyDescent="0.35">
      <c r="B660" s="421"/>
      <c r="C660" s="422"/>
      <c r="D660" s="422"/>
      <c r="E660" s="422"/>
      <c r="F660" s="423"/>
    </row>
    <row r="661" spans="2:6" ht="18" x14ac:dyDescent="0.35">
      <c r="B661" s="421"/>
      <c r="C661" s="422"/>
      <c r="D661" s="422"/>
      <c r="E661" s="422"/>
      <c r="F661" s="423"/>
    </row>
    <row r="662" spans="2:6" ht="18" x14ac:dyDescent="0.35">
      <c r="B662" s="421"/>
      <c r="C662" s="422"/>
      <c r="D662" s="422"/>
      <c r="E662" s="422"/>
      <c r="F662" s="423"/>
    </row>
    <row r="663" spans="2:6" ht="18" x14ac:dyDescent="0.35">
      <c r="B663" s="421"/>
      <c r="C663" s="422"/>
      <c r="D663" s="422"/>
      <c r="E663" s="422"/>
      <c r="F663" s="423"/>
    </row>
    <row r="664" spans="2:6" ht="18" x14ac:dyDescent="0.35">
      <c r="B664" s="421"/>
      <c r="C664" s="422"/>
      <c r="D664" s="422"/>
      <c r="E664" s="422"/>
      <c r="F664" s="423"/>
    </row>
    <row r="665" spans="2:6" ht="18" x14ac:dyDescent="0.35">
      <c r="B665" s="421"/>
      <c r="C665" s="422"/>
      <c r="D665" s="422"/>
      <c r="E665" s="422"/>
      <c r="F665" s="423"/>
    </row>
    <row r="666" spans="2:6" ht="18" x14ac:dyDescent="0.35">
      <c r="B666" s="421"/>
      <c r="C666" s="422"/>
      <c r="D666" s="422"/>
      <c r="E666" s="422"/>
      <c r="F666" s="423"/>
    </row>
    <row r="667" spans="2:6" ht="18" x14ac:dyDescent="0.35">
      <c r="B667" s="421"/>
      <c r="C667" s="422"/>
      <c r="D667" s="422"/>
      <c r="E667" s="422"/>
      <c r="F667" s="423"/>
    </row>
    <row r="668" spans="2:6" ht="18" x14ac:dyDescent="0.35">
      <c r="B668" s="421"/>
      <c r="C668" s="422"/>
      <c r="D668" s="422"/>
      <c r="E668" s="422"/>
      <c r="F668" s="423"/>
    </row>
    <row r="669" spans="2:6" ht="18" x14ac:dyDescent="0.35">
      <c r="B669" s="421"/>
      <c r="C669" s="422"/>
      <c r="D669" s="422"/>
      <c r="E669" s="422"/>
      <c r="F669" s="423"/>
    </row>
    <row r="670" spans="2:6" ht="18" x14ac:dyDescent="0.35">
      <c r="B670" s="421"/>
      <c r="C670" s="422"/>
      <c r="D670" s="422"/>
      <c r="E670" s="422"/>
      <c r="F670" s="423"/>
    </row>
    <row r="671" spans="2:6" ht="18" x14ac:dyDescent="0.35">
      <c r="B671" s="421"/>
      <c r="C671" s="422"/>
      <c r="D671" s="422"/>
      <c r="E671" s="422"/>
      <c r="F671" s="423"/>
    </row>
    <row r="672" spans="2:6" ht="18" x14ac:dyDescent="0.35">
      <c r="B672" s="421"/>
      <c r="C672" s="422"/>
      <c r="D672" s="422"/>
      <c r="E672" s="422"/>
      <c r="F672" s="423"/>
    </row>
    <row r="673" spans="2:6" ht="18" x14ac:dyDescent="0.35">
      <c r="B673" s="421"/>
      <c r="C673" s="422"/>
      <c r="D673" s="422"/>
      <c r="E673" s="422"/>
      <c r="F673" s="423"/>
    </row>
    <row r="674" spans="2:6" ht="18" x14ac:dyDescent="0.35">
      <c r="B674" s="421"/>
      <c r="C674" s="422"/>
      <c r="D674" s="422"/>
      <c r="E674" s="422"/>
      <c r="F674" s="423"/>
    </row>
    <row r="675" spans="2:6" ht="18" x14ac:dyDescent="0.35">
      <c r="B675" s="421"/>
      <c r="C675" s="422"/>
      <c r="D675" s="422"/>
      <c r="E675" s="422"/>
      <c r="F675" s="423"/>
    </row>
    <row r="676" spans="2:6" ht="18" x14ac:dyDescent="0.35">
      <c r="B676" s="421"/>
      <c r="C676" s="422"/>
      <c r="D676" s="422"/>
      <c r="E676" s="422"/>
      <c r="F676" s="423"/>
    </row>
    <row r="677" spans="2:6" ht="18" x14ac:dyDescent="0.35">
      <c r="B677" s="421"/>
      <c r="C677" s="422"/>
      <c r="D677" s="422"/>
      <c r="E677" s="422"/>
      <c r="F677" s="423"/>
    </row>
    <row r="678" spans="2:6" ht="18" x14ac:dyDescent="0.35">
      <c r="B678" s="421"/>
      <c r="C678" s="422"/>
      <c r="D678" s="422"/>
      <c r="E678" s="422"/>
      <c r="F678" s="423"/>
    </row>
    <row r="679" spans="2:6" ht="18" x14ac:dyDescent="0.35">
      <c r="B679" s="421"/>
      <c r="C679" s="422"/>
      <c r="D679" s="422"/>
      <c r="E679" s="422"/>
      <c r="F679" s="423"/>
    </row>
    <row r="680" spans="2:6" ht="18" x14ac:dyDescent="0.35">
      <c r="B680" s="421"/>
      <c r="C680" s="422"/>
      <c r="D680" s="422"/>
      <c r="E680" s="422"/>
      <c r="F680" s="423"/>
    </row>
    <row r="681" spans="2:6" ht="18" x14ac:dyDescent="0.35">
      <c r="B681" s="421"/>
      <c r="C681" s="422"/>
      <c r="D681" s="422"/>
      <c r="E681" s="422"/>
      <c r="F681" s="423"/>
    </row>
    <row r="682" spans="2:6" ht="18" x14ac:dyDescent="0.35">
      <c r="B682" s="421"/>
      <c r="C682" s="422"/>
      <c r="D682" s="422"/>
      <c r="E682" s="422"/>
      <c r="F682" s="423"/>
    </row>
    <row r="683" spans="2:6" ht="18" x14ac:dyDescent="0.35">
      <c r="B683" s="421"/>
      <c r="C683" s="422"/>
      <c r="D683" s="422"/>
      <c r="E683" s="422"/>
      <c r="F683" s="423"/>
    </row>
    <row r="684" spans="2:6" ht="18" x14ac:dyDescent="0.35">
      <c r="B684" s="421"/>
      <c r="C684" s="422"/>
      <c r="D684" s="422"/>
      <c r="E684" s="422"/>
      <c r="F684" s="423"/>
    </row>
    <row r="685" spans="2:6" ht="18" x14ac:dyDescent="0.35">
      <c r="B685" s="421"/>
      <c r="C685" s="422"/>
      <c r="D685" s="422"/>
      <c r="E685" s="422"/>
      <c r="F685" s="423"/>
    </row>
    <row r="686" spans="2:6" ht="18" x14ac:dyDescent="0.35">
      <c r="B686" s="421"/>
      <c r="C686" s="422"/>
      <c r="D686" s="422"/>
      <c r="E686" s="422"/>
      <c r="F686" s="423"/>
    </row>
    <row r="687" spans="2:6" ht="18" x14ac:dyDescent="0.35">
      <c r="B687" s="421"/>
      <c r="C687" s="422"/>
      <c r="D687" s="422"/>
      <c r="E687" s="422"/>
      <c r="F687" s="423"/>
    </row>
    <row r="688" spans="2:6" ht="18" x14ac:dyDescent="0.35">
      <c r="B688" s="421"/>
      <c r="C688" s="422"/>
      <c r="D688" s="422"/>
      <c r="E688" s="422"/>
      <c r="F688" s="423"/>
    </row>
    <row r="689" spans="2:6" ht="18" x14ac:dyDescent="0.35">
      <c r="B689" s="421"/>
      <c r="C689" s="422"/>
      <c r="D689" s="422"/>
      <c r="E689" s="422"/>
      <c r="F689" s="423"/>
    </row>
    <row r="690" spans="2:6" ht="18" x14ac:dyDescent="0.35">
      <c r="B690" s="421"/>
      <c r="C690" s="422"/>
      <c r="D690" s="422"/>
      <c r="E690" s="422"/>
      <c r="F690" s="423"/>
    </row>
    <row r="691" spans="2:6" ht="18" x14ac:dyDescent="0.35">
      <c r="B691" s="421"/>
      <c r="C691" s="422"/>
      <c r="D691" s="422"/>
      <c r="E691" s="422"/>
      <c r="F691" s="423"/>
    </row>
    <row r="692" spans="2:6" ht="18" x14ac:dyDescent="0.35">
      <c r="B692" s="421"/>
      <c r="C692" s="422"/>
      <c r="D692" s="422"/>
      <c r="E692" s="422"/>
      <c r="F692" s="423"/>
    </row>
    <row r="693" spans="2:6" ht="18" x14ac:dyDescent="0.35">
      <c r="B693" s="421"/>
      <c r="C693" s="422"/>
      <c r="D693" s="422"/>
      <c r="E693" s="422"/>
      <c r="F693" s="423"/>
    </row>
    <row r="694" spans="2:6" ht="18" x14ac:dyDescent="0.35">
      <c r="B694" s="421"/>
      <c r="C694" s="422"/>
      <c r="D694" s="422"/>
      <c r="E694" s="422"/>
      <c r="F694" s="423"/>
    </row>
    <row r="695" spans="2:6" ht="18" x14ac:dyDescent="0.35">
      <c r="B695" s="421"/>
      <c r="C695" s="422"/>
      <c r="D695" s="422"/>
      <c r="E695" s="422"/>
      <c r="F695" s="423"/>
    </row>
    <row r="696" spans="2:6" ht="18" x14ac:dyDescent="0.35">
      <c r="B696" s="421"/>
      <c r="C696" s="422"/>
      <c r="D696" s="422"/>
      <c r="E696" s="422"/>
      <c r="F696" s="423"/>
    </row>
    <row r="697" spans="2:6" ht="18" x14ac:dyDescent="0.35">
      <c r="B697" s="421"/>
      <c r="C697" s="422"/>
      <c r="D697" s="422"/>
      <c r="E697" s="422"/>
      <c r="F697" s="423"/>
    </row>
    <row r="698" spans="2:6" ht="18" x14ac:dyDescent="0.35">
      <c r="B698" s="421"/>
      <c r="C698" s="422"/>
      <c r="D698" s="422"/>
      <c r="E698" s="422"/>
      <c r="F698" s="423"/>
    </row>
    <row r="699" spans="2:6" ht="18" x14ac:dyDescent="0.35">
      <c r="B699" s="421"/>
      <c r="C699" s="422"/>
      <c r="D699" s="422"/>
      <c r="E699" s="422"/>
      <c r="F699" s="423"/>
    </row>
    <row r="700" spans="2:6" ht="18" x14ac:dyDescent="0.35">
      <c r="B700" s="421"/>
      <c r="C700" s="422"/>
      <c r="D700" s="422"/>
      <c r="E700" s="422"/>
      <c r="F700" s="423"/>
    </row>
    <row r="701" spans="2:6" ht="18" x14ac:dyDescent="0.35">
      <c r="B701" s="421"/>
      <c r="C701" s="422"/>
      <c r="D701" s="422"/>
      <c r="E701" s="422"/>
      <c r="F701" s="423"/>
    </row>
    <row r="702" spans="2:6" ht="18" x14ac:dyDescent="0.35">
      <c r="B702" s="421"/>
      <c r="C702" s="422"/>
      <c r="D702" s="422"/>
      <c r="E702" s="422"/>
      <c r="F702" s="423"/>
    </row>
    <row r="703" spans="2:6" ht="18" x14ac:dyDescent="0.35">
      <c r="B703" s="421"/>
      <c r="C703" s="422"/>
      <c r="D703" s="422"/>
      <c r="E703" s="422"/>
      <c r="F703" s="423"/>
    </row>
    <row r="704" spans="2:6" ht="18" x14ac:dyDescent="0.35">
      <c r="B704" s="421"/>
      <c r="C704" s="422"/>
      <c r="D704" s="422"/>
      <c r="E704" s="422"/>
      <c r="F704" s="423"/>
    </row>
    <row r="705" spans="2:6" ht="18" x14ac:dyDescent="0.35">
      <c r="B705" s="421"/>
      <c r="C705" s="422"/>
      <c r="D705" s="422"/>
      <c r="E705" s="422"/>
      <c r="F705" s="423"/>
    </row>
    <row r="706" spans="2:6" ht="18" x14ac:dyDescent="0.35">
      <c r="B706" s="421"/>
      <c r="C706" s="422"/>
      <c r="D706" s="422"/>
      <c r="E706" s="422"/>
      <c r="F706" s="423"/>
    </row>
    <row r="707" spans="2:6" ht="18" x14ac:dyDescent="0.35">
      <c r="B707" s="421"/>
      <c r="C707" s="422"/>
      <c r="D707" s="422"/>
      <c r="E707" s="422"/>
      <c r="F707" s="423"/>
    </row>
    <row r="708" spans="2:6" ht="18" x14ac:dyDescent="0.35">
      <c r="B708" s="421"/>
      <c r="C708" s="422"/>
      <c r="D708" s="422"/>
      <c r="E708" s="422"/>
      <c r="F708" s="423"/>
    </row>
    <row r="709" spans="2:6" ht="18" x14ac:dyDescent="0.35">
      <c r="B709" s="421"/>
      <c r="C709" s="422"/>
      <c r="D709" s="422"/>
      <c r="E709" s="422"/>
      <c r="F709" s="423"/>
    </row>
    <row r="710" spans="2:6" ht="18" x14ac:dyDescent="0.35">
      <c r="B710" s="421"/>
      <c r="C710" s="422"/>
      <c r="D710" s="422"/>
      <c r="E710" s="422"/>
      <c r="F710" s="423"/>
    </row>
    <row r="711" spans="2:6" ht="18" x14ac:dyDescent="0.35">
      <c r="B711" s="421"/>
      <c r="C711" s="422"/>
      <c r="D711" s="422"/>
      <c r="E711" s="422"/>
      <c r="F711" s="423"/>
    </row>
    <row r="712" spans="2:6" ht="18" x14ac:dyDescent="0.35">
      <c r="B712" s="421"/>
      <c r="C712" s="422"/>
      <c r="D712" s="422"/>
      <c r="E712" s="422"/>
      <c r="F712" s="423"/>
    </row>
    <row r="713" spans="2:6" ht="18" x14ac:dyDescent="0.35">
      <c r="B713" s="421"/>
      <c r="C713" s="422"/>
      <c r="D713" s="422"/>
      <c r="E713" s="422"/>
      <c r="F713" s="423"/>
    </row>
    <row r="714" spans="2:6" ht="18" x14ac:dyDescent="0.35">
      <c r="B714" s="421"/>
      <c r="C714" s="422"/>
      <c r="D714" s="422"/>
      <c r="E714" s="422"/>
      <c r="F714" s="423"/>
    </row>
    <row r="715" spans="2:6" ht="18" x14ac:dyDescent="0.35">
      <c r="B715" s="421"/>
      <c r="C715" s="422"/>
      <c r="D715" s="422"/>
      <c r="E715" s="422"/>
      <c r="F715" s="423"/>
    </row>
    <row r="716" spans="2:6" ht="18" x14ac:dyDescent="0.35">
      <c r="B716" s="421"/>
      <c r="C716" s="422"/>
      <c r="D716" s="422"/>
      <c r="E716" s="422"/>
      <c r="F716" s="423"/>
    </row>
    <row r="717" spans="2:6" ht="18" x14ac:dyDescent="0.35">
      <c r="B717" s="421"/>
      <c r="C717" s="422"/>
      <c r="D717" s="422"/>
      <c r="E717" s="422"/>
      <c r="F717" s="423"/>
    </row>
    <row r="718" spans="2:6" ht="18" x14ac:dyDescent="0.35">
      <c r="B718" s="421"/>
      <c r="C718" s="422"/>
      <c r="D718" s="422"/>
      <c r="E718" s="422"/>
      <c r="F718" s="423"/>
    </row>
    <row r="719" spans="2:6" ht="18" x14ac:dyDescent="0.35">
      <c r="B719" s="421"/>
      <c r="C719" s="422"/>
      <c r="D719" s="422"/>
      <c r="E719" s="422"/>
      <c r="F719" s="423"/>
    </row>
    <row r="720" spans="2:6" ht="18" x14ac:dyDescent="0.35">
      <c r="B720" s="421"/>
      <c r="C720" s="422"/>
      <c r="D720" s="422"/>
      <c r="E720" s="422"/>
      <c r="F720" s="423"/>
    </row>
    <row r="721" spans="2:6" ht="18" x14ac:dyDescent="0.35">
      <c r="B721" s="421"/>
      <c r="C721" s="422"/>
      <c r="D721" s="422"/>
      <c r="E721" s="422"/>
      <c r="F721" s="423"/>
    </row>
    <row r="722" spans="2:6" ht="18" x14ac:dyDescent="0.35">
      <c r="B722" s="421"/>
      <c r="C722" s="422"/>
      <c r="D722" s="422"/>
      <c r="E722" s="422"/>
      <c r="F722" s="423"/>
    </row>
    <row r="723" spans="2:6" ht="18" x14ac:dyDescent="0.35">
      <c r="B723" s="421"/>
      <c r="C723" s="422"/>
      <c r="D723" s="422"/>
      <c r="E723" s="422"/>
      <c r="F723" s="423"/>
    </row>
    <row r="724" spans="2:6" ht="18" x14ac:dyDescent="0.35">
      <c r="B724" s="421"/>
      <c r="C724" s="422"/>
      <c r="D724" s="422"/>
      <c r="E724" s="422"/>
      <c r="F724" s="423"/>
    </row>
    <row r="725" spans="2:6" ht="18" x14ac:dyDescent="0.35">
      <c r="B725" s="421"/>
      <c r="C725" s="422"/>
      <c r="D725" s="422"/>
      <c r="E725" s="422"/>
      <c r="F725" s="423"/>
    </row>
    <row r="726" spans="2:6" ht="18" x14ac:dyDescent="0.35">
      <c r="B726" s="421"/>
      <c r="C726" s="422"/>
      <c r="D726" s="422"/>
      <c r="E726" s="422"/>
      <c r="F726" s="423"/>
    </row>
    <row r="727" spans="2:6" ht="18" x14ac:dyDescent="0.35">
      <c r="B727" s="421"/>
      <c r="C727" s="422"/>
      <c r="D727" s="422"/>
      <c r="E727" s="422"/>
      <c r="F727" s="423"/>
    </row>
    <row r="728" spans="2:6" ht="18" x14ac:dyDescent="0.35">
      <c r="B728" s="421"/>
      <c r="C728" s="422"/>
      <c r="D728" s="422"/>
      <c r="E728" s="422"/>
      <c r="F728" s="423"/>
    </row>
    <row r="729" spans="2:6" ht="18" x14ac:dyDescent="0.35">
      <c r="B729" s="421"/>
      <c r="C729" s="422"/>
      <c r="D729" s="422"/>
      <c r="E729" s="422"/>
      <c r="F729" s="423"/>
    </row>
    <row r="730" spans="2:6" ht="18" x14ac:dyDescent="0.35">
      <c r="B730" s="421"/>
      <c r="C730" s="422"/>
      <c r="D730" s="422"/>
      <c r="E730" s="422"/>
      <c r="F730" s="423"/>
    </row>
    <row r="731" spans="2:6" ht="18" x14ac:dyDescent="0.35">
      <c r="B731" s="421"/>
      <c r="C731" s="422"/>
      <c r="D731" s="422"/>
      <c r="E731" s="422"/>
      <c r="F731" s="423"/>
    </row>
    <row r="732" spans="2:6" ht="18" x14ac:dyDescent="0.35">
      <c r="B732" s="421"/>
      <c r="C732" s="422"/>
      <c r="D732" s="422"/>
      <c r="E732" s="422"/>
      <c r="F732" s="423"/>
    </row>
    <row r="733" spans="2:6" ht="18" x14ac:dyDescent="0.35">
      <c r="B733" s="421"/>
      <c r="C733" s="422"/>
      <c r="D733" s="422"/>
      <c r="E733" s="422"/>
      <c r="F733" s="423"/>
    </row>
    <row r="734" spans="2:6" ht="18" x14ac:dyDescent="0.35">
      <c r="B734" s="421"/>
      <c r="C734" s="422"/>
      <c r="D734" s="422"/>
      <c r="E734" s="422"/>
      <c r="F734" s="423"/>
    </row>
    <row r="735" spans="2:6" ht="18" x14ac:dyDescent="0.35">
      <c r="B735" s="421"/>
      <c r="C735" s="422"/>
      <c r="D735" s="422"/>
      <c r="E735" s="422"/>
      <c r="F735" s="423"/>
    </row>
    <row r="736" spans="2:6" ht="18" x14ac:dyDescent="0.35">
      <c r="B736" s="421"/>
      <c r="C736" s="422"/>
      <c r="D736" s="422"/>
      <c r="E736" s="422"/>
      <c r="F736" s="423"/>
    </row>
    <row r="737" spans="2:6" ht="18" x14ac:dyDescent="0.35">
      <c r="B737" s="421"/>
      <c r="C737" s="422"/>
      <c r="D737" s="422"/>
      <c r="E737" s="422"/>
      <c r="F737" s="423"/>
    </row>
    <row r="738" spans="2:6" ht="18" x14ac:dyDescent="0.35">
      <c r="B738" s="421"/>
      <c r="C738" s="422"/>
      <c r="D738" s="422"/>
      <c r="E738" s="422"/>
      <c r="F738" s="423"/>
    </row>
    <row r="739" spans="2:6" ht="18" x14ac:dyDescent="0.35">
      <c r="B739" s="421"/>
      <c r="C739" s="422"/>
      <c r="D739" s="422"/>
      <c r="E739" s="422"/>
      <c r="F739" s="423"/>
    </row>
    <row r="740" spans="2:6" ht="18" x14ac:dyDescent="0.35">
      <c r="B740" s="421"/>
      <c r="C740" s="422"/>
      <c r="D740" s="422"/>
      <c r="E740" s="422"/>
      <c r="F740" s="423"/>
    </row>
    <row r="741" spans="2:6" ht="18" x14ac:dyDescent="0.35">
      <c r="B741" s="421"/>
      <c r="C741" s="422"/>
      <c r="D741" s="422"/>
      <c r="E741" s="422"/>
      <c r="F741" s="423"/>
    </row>
    <row r="742" spans="2:6" ht="18" x14ac:dyDescent="0.35">
      <c r="B742" s="421"/>
      <c r="C742" s="422"/>
      <c r="D742" s="422"/>
      <c r="E742" s="422"/>
      <c r="F742" s="423"/>
    </row>
    <row r="743" spans="2:6" ht="18" x14ac:dyDescent="0.35">
      <c r="B743" s="421"/>
      <c r="C743" s="422"/>
      <c r="D743" s="422"/>
      <c r="E743" s="422"/>
      <c r="F743" s="423"/>
    </row>
    <row r="744" spans="2:6" ht="18" x14ac:dyDescent="0.35">
      <c r="B744" s="421"/>
      <c r="C744" s="422"/>
      <c r="D744" s="422"/>
      <c r="E744" s="422"/>
      <c r="F744" s="423"/>
    </row>
    <row r="745" spans="2:6" ht="18" x14ac:dyDescent="0.35">
      <c r="B745" s="421"/>
      <c r="C745" s="422"/>
      <c r="D745" s="422"/>
      <c r="E745" s="422"/>
      <c r="F745" s="423"/>
    </row>
    <row r="746" spans="2:6" ht="18" x14ac:dyDescent="0.35">
      <c r="B746" s="421"/>
      <c r="C746" s="422"/>
      <c r="D746" s="422"/>
      <c r="E746" s="422"/>
      <c r="F746" s="423"/>
    </row>
    <row r="747" spans="2:6" ht="18" x14ac:dyDescent="0.35">
      <c r="B747" s="421"/>
      <c r="C747" s="422"/>
      <c r="D747" s="422"/>
      <c r="E747" s="422"/>
      <c r="F747" s="423"/>
    </row>
    <row r="748" spans="2:6" ht="18" x14ac:dyDescent="0.35">
      <c r="B748" s="421"/>
      <c r="C748" s="422"/>
      <c r="D748" s="422"/>
      <c r="E748" s="422"/>
      <c r="F748" s="423"/>
    </row>
    <row r="749" spans="2:6" ht="18" x14ac:dyDescent="0.35">
      <c r="B749" s="421"/>
      <c r="C749" s="422"/>
      <c r="D749" s="422"/>
      <c r="E749" s="422"/>
      <c r="F749" s="423"/>
    </row>
    <row r="750" spans="2:6" ht="18" x14ac:dyDescent="0.35">
      <c r="B750" s="421"/>
      <c r="C750" s="422"/>
      <c r="D750" s="422"/>
      <c r="E750" s="422"/>
      <c r="F750" s="423"/>
    </row>
    <row r="751" spans="2:6" ht="18" x14ac:dyDescent="0.35">
      <c r="B751" s="421"/>
      <c r="C751" s="422"/>
      <c r="D751" s="422"/>
      <c r="E751" s="422"/>
      <c r="F751" s="423"/>
    </row>
    <row r="752" spans="2:6" ht="18" x14ac:dyDescent="0.35">
      <c r="B752" s="421"/>
      <c r="C752" s="422"/>
      <c r="D752" s="422"/>
      <c r="E752" s="422"/>
      <c r="F752" s="423"/>
    </row>
    <row r="753" spans="2:6" ht="18" x14ac:dyDescent="0.35">
      <c r="B753" s="421"/>
      <c r="C753" s="422"/>
      <c r="D753" s="422"/>
      <c r="E753" s="422"/>
      <c r="F753" s="423"/>
    </row>
    <row r="754" spans="2:6" ht="18" x14ac:dyDescent="0.35">
      <c r="B754" s="421"/>
      <c r="C754" s="422"/>
      <c r="D754" s="422"/>
      <c r="E754" s="422"/>
      <c r="F754" s="423"/>
    </row>
    <row r="755" spans="2:6" ht="18" x14ac:dyDescent="0.35">
      <c r="B755" s="421"/>
      <c r="C755" s="422"/>
      <c r="D755" s="422"/>
      <c r="E755" s="422"/>
      <c r="F755" s="423"/>
    </row>
    <row r="756" spans="2:6" ht="18" x14ac:dyDescent="0.35">
      <c r="B756" s="421"/>
      <c r="C756" s="422"/>
      <c r="D756" s="422"/>
      <c r="E756" s="422"/>
      <c r="F756" s="423"/>
    </row>
    <row r="757" spans="2:6" ht="18" x14ac:dyDescent="0.35">
      <c r="B757" s="421"/>
      <c r="C757" s="422"/>
      <c r="D757" s="422"/>
      <c r="E757" s="422"/>
      <c r="F757" s="423"/>
    </row>
    <row r="758" spans="2:6" ht="18" x14ac:dyDescent="0.35">
      <c r="B758" s="421"/>
      <c r="C758" s="422"/>
      <c r="D758" s="422"/>
      <c r="E758" s="422"/>
      <c r="F758" s="423"/>
    </row>
    <row r="759" spans="2:6" ht="18" x14ac:dyDescent="0.35">
      <c r="B759" s="421"/>
      <c r="C759" s="422"/>
      <c r="D759" s="422"/>
      <c r="E759" s="422"/>
      <c r="F759" s="423"/>
    </row>
    <row r="760" spans="2:6" ht="18" x14ac:dyDescent="0.35">
      <c r="B760" s="421"/>
      <c r="C760" s="422"/>
      <c r="D760" s="422"/>
      <c r="E760" s="422"/>
      <c r="F760" s="423"/>
    </row>
    <row r="761" spans="2:6" ht="18" x14ac:dyDescent="0.35">
      <c r="B761" s="421"/>
      <c r="C761" s="422"/>
      <c r="D761" s="422"/>
      <c r="E761" s="422"/>
      <c r="F761" s="423"/>
    </row>
    <row r="762" spans="2:6" ht="18" x14ac:dyDescent="0.35">
      <c r="B762" s="421"/>
      <c r="C762" s="422"/>
      <c r="D762" s="422"/>
      <c r="E762" s="422"/>
      <c r="F762" s="423"/>
    </row>
    <row r="763" spans="2:6" ht="18" x14ac:dyDescent="0.35">
      <c r="B763" s="421"/>
      <c r="C763" s="422"/>
      <c r="D763" s="422"/>
      <c r="E763" s="422"/>
      <c r="F763" s="423"/>
    </row>
    <row r="764" spans="2:6" ht="18" x14ac:dyDescent="0.35">
      <c r="B764" s="421"/>
      <c r="C764" s="422"/>
      <c r="D764" s="422"/>
      <c r="E764" s="422"/>
      <c r="F764" s="423"/>
    </row>
    <row r="765" spans="2:6" ht="18" x14ac:dyDescent="0.35">
      <c r="B765" s="421"/>
      <c r="C765" s="422"/>
      <c r="D765" s="422"/>
      <c r="E765" s="422"/>
      <c r="F765" s="423"/>
    </row>
    <row r="766" spans="2:6" ht="18" x14ac:dyDescent="0.35">
      <c r="B766" s="421"/>
      <c r="C766" s="422"/>
      <c r="D766" s="422"/>
      <c r="E766" s="422"/>
      <c r="F766" s="423"/>
    </row>
    <row r="767" spans="2:6" ht="18" x14ac:dyDescent="0.35">
      <c r="B767" s="421"/>
      <c r="C767" s="422"/>
      <c r="D767" s="422"/>
      <c r="E767" s="422"/>
      <c r="F767" s="423"/>
    </row>
    <row r="768" spans="2:6" ht="18" x14ac:dyDescent="0.35">
      <c r="B768" s="421"/>
      <c r="C768" s="422"/>
      <c r="D768" s="422"/>
      <c r="E768" s="422"/>
      <c r="F768" s="423"/>
    </row>
    <row r="769" spans="2:6" ht="18" x14ac:dyDescent="0.35">
      <c r="B769" s="421"/>
      <c r="C769" s="422"/>
      <c r="D769" s="422"/>
      <c r="E769" s="422"/>
      <c r="F769" s="423"/>
    </row>
    <row r="770" spans="2:6" ht="18" x14ac:dyDescent="0.35">
      <c r="B770" s="421"/>
      <c r="C770" s="422"/>
      <c r="D770" s="422"/>
      <c r="E770" s="422"/>
      <c r="F770" s="423"/>
    </row>
    <row r="771" spans="2:6" ht="18" x14ac:dyDescent="0.35">
      <c r="B771" s="421"/>
      <c r="C771" s="422"/>
      <c r="D771" s="422"/>
      <c r="E771" s="422"/>
      <c r="F771" s="423"/>
    </row>
    <row r="772" spans="2:6" ht="18" x14ac:dyDescent="0.35">
      <c r="B772" s="421"/>
      <c r="C772" s="422"/>
      <c r="D772" s="422"/>
      <c r="E772" s="422"/>
      <c r="F772" s="423"/>
    </row>
    <row r="773" spans="2:6" ht="18" x14ac:dyDescent="0.35">
      <c r="B773" s="421"/>
      <c r="C773" s="422"/>
      <c r="D773" s="422"/>
      <c r="E773" s="422"/>
      <c r="F773" s="423"/>
    </row>
    <row r="774" spans="2:6" ht="18" x14ac:dyDescent="0.35">
      <c r="B774" s="421"/>
      <c r="C774" s="422"/>
      <c r="D774" s="422"/>
      <c r="E774" s="422"/>
      <c r="F774" s="423"/>
    </row>
    <row r="775" spans="2:6" ht="18" x14ac:dyDescent="0.35">
      <c r="B775" s="421"/>
      <c r="C775" s="422"/>
      <c r="D775" s="422"/>
      <c r="E775" s="422"/>
      <c r="F775" s="423"/>
    </row>
    <row r="776" spans="2:6" ht="18" x14ac:dyDescent="0.35">
      <c r="B776" s="421"/>
      <c r="C776" s="422"/>
      <c r="D776" s="422"/>
      <c r="E776" s="422"/>
      <c r="F776" s="423"/>
    </row>
    <row r="777" spans="2:6" ht="18" x14ac:dyDescent="0.35">
      <c r="B777" s="421"/>
      <c r="C777" s="422"/>
      <c r="D777" s="422"/>
      <c r="E777" s="422"/>
      <c r="F777" s="423"/>
    </row>
    <row r="778" spans="2:6" ht="18" x14ac:dyDescent="0.35">
      <c r="B778" s="421"/>
      <c r="C778" s="422"/>
      <c r="D778" s="422"/>
      <c r="E778" s="422"/>
      <c r="F778" s="423"/>
    </row>
    <row r="779" spans="2:6" ht="18" x14ac:dyDescent="0.35">
      <c r="B779" s="421"/>
      <c r="C779" s="422"/>
      <c r="D779" s="422"/>
      <c r="E779" s="422"/>
      <c r="F779" s="423"/>
    </row>
    <row r="780" spans="2:6" ht="18" x14ac:dyDescent="0.35">
      <c r="B780" s="421"/>
      <c r="C780" s="422"/>
      <c r="D780" s="422"/>
      <c r="E780" s="422"/>
      <c r="F780" s="423"/>
    </row>
    <row r="781" spans="2:6" ht="18" x14ac:dyDescent="0.35">
      <c r="B781" s="421"/>
      <c r="C781" s="422"/>
      <c r="D781" s="422"/>
      <c r="E781" s="422"/>
      <c r="F781" s="423"/>
    </row>
    <row r="782" spans="2:6" ht="18" x14ac:dyDescent="0.35">
      <c r="B782" s="421"/>
      <c r="C782" s="422"/>
      <c r="D782" s="422"/>
      <c r="E782" s="422"/>
      <c r="F782" s="423"/>
    </row>
    <row r="783" spans="2:6" ht="18" x14ac:dyDescent="0.35">
      <c r="B783" s="421"/>
      <c r="C783" s="422"/>
      <c r="D783" s="422"/>
      <c r="E783" s="422"/>
      <c r="F783" s="423"/>
    </row>
    <row r="784" spans="2:6" ht="18" x14ac:dyDescent="0.35">
      <c r="B784" s="421"/>
      <c r="C784" s="422"/>
      <c r="D784" s="422"/>
      <c r="E784" s="422"/>
      <c r="F784" s="423"/>
    </row>
    <row r="785" spans="2:6" ht="18" x14ac:dyDescent="0.35">
      <c r="B785" s="421"/>
      <c r="C785" s="422"/>
      <c r="D785" s="422"/>
      <c r="E785" s="422"/>
      <c r="F785" s="423"/>
    </row>
    <row r="786" spans="2:6" ht="18" x14ac:dyDescent="0.35">
      <c r="B786" s="421"/>
      <c r="C786" s="422"/>
      <c r="D786" s="422"/>
      <c r="E786" s="422"/>
      <c r="F786" s="423"/>
    </row>
    <row r="787" spans="2:6" ht="18" x14ac:dyDescent="0.35">
      <c r="B787" s="421"/>
      <c r="C787" s="422"/>
      <c r="D787" s="422"/>
      <c r="E787" s="422"/>
      <c r="F787" s="423"/>
    </row>
    <row r="788" spans="2:6" ht="18" x14ac:dyDescent="0.35">
      <c r="B788" s="421"/>
      <c r="C788" s="422"/>
      <c r="D788" s="422"/>
      <c r="E788" s="422"/>
      <c r="F788" s="423"/>
    </row>
    <row r="789" spans="2:6" ht="18" x14ac:dyDescent="0.35">
      <c r="B789" s="421"/>
      <c r="C789" s="422"/>
      <c r="D789" s="422"/>
      <c r="E789" s="422"/>
      <c r="F789" s="423"/>
    </row>
    <row r="790" spans="2:6" ht="18" x14ac:dyDescent="0.35">
      <c r="B790" s="421"/>
      <c r="C790" s="422"/>
      <c r="D790" s="422"/>
      <c r="E790" s="422"/>
      <c r="F790" s="423"/>
    </row>
    <row r="791" spans="2:6" ht="18" x14ac:dyDescent="0.35">
      <c r="B791" s="421"/>
      <c r="C791" s="422"/>
      <c r="D791" s="422"/>
      <c r="E791" s="422"/>
      <c r="F791" s="423"/>
    </row>
    <row r="792" spans="2:6" ht="18" x14ac:dyDescent="0.35">
      <c r="B792" s="421"/>
      <c r="C792" s="422"/>
      <c r="D792" s="422"/>
      <c r="E792" s="422"/>
      <c r="F792" s="423"/>
    </row>
    <row r="793" spans="2:6" ht="18" x14ac:dyDescent="0.35">
      <c r="B793" s="421"/>
      <c r="C793" s="422"/>
      <c r="D793" s="422"/>
      <c r="E793" s="422"/>
      <c r="F793" s="423"/>
    </row>
    <row r="794" spans="2:6" ht="18" x14ac:dyDescent="0.35">
      <c r="B794" s="421"/>
      <c r="C794" s="422"/>
      <c r="D794" s="422"/>
      <c r="E794" s="422"/>
      <c r="F794" s="423"/>
    </row>
    <row r="795" spans="2:6" ht="18" x14ac:dyDescent="0.35">
      <c r="B795" s="421"/>
      <c r="C795" s="422"/>
      <c r="D795" s="422"/>
      <c r="E795" s="422"/>
      <c r="F795" s="423"/>
    </row>
    <row r="796" spans="2:6" ht="18" x14ac:dyDescent="0.35">
      <c r="B796" s="421"/>
      <c r="C796" s="422"/>
      <c r="D796" s="422"/>
      <c r="E796" s="422"/>
      <c r="F796" s="423"/>
    </row>
    <row r="797" spans="2:6" ht="18" x14ac:dyDescent="0.35">
      <c r="B797" s="421"/>
      <c r="C797" s="422"/>
      <c r="D797" s="422"/>
      <c r="E797" s="422"/>
      <c r="F797" s="423"/>
    </row>
    <row r="798" spans="2:6" ht="18" x14ac:dyDescent="0.35">
      <c r="B798" s="421"/>
      <c r="C798" s="422"/>
      <c r="D798" s="422"/>
      <c r="E798" s="422"/>
      <c r="F798" s="423"/>
    </row>
    <row r="799" spans="2:6" ht="18" x14ac:dyDescent="0.35">
      <c r="B799" s="421"/>
      <c r="C799" s="422"/>
      <c r="D799" s="422"/>
      <c r="E799" s="422"/>
      <c r="F799" s="423"/>
    </row>
    <row r="800" spans="2:6" ht="18" x14ac:dyDescent="0.35">
      <c r="B800" s="421"/>
      <c r="C800" s="422"/>
      <c r="D800" s="422"/>
      <c r="E800" s="422"/>
      <c r="F800" s="423"/>
    </row>
    <row r="801" spans="2:6" ht="18" x14ac:dyDescent="0.35">
      <c r="B801" s="421"/>
      <c r="C801" s="422"/>
      <c r="D801" s="422"/>
      <c r="E801" s="422"/>
      <c r="F801" s="423"/>
    </row>
    <row r="802" spans="2:6" ht="18" x14ac:dyDescent="0.35">
      <c r="B802" s="421"/>
      <c r="C802" s="422"/>
      <c r="D802" s="422"/>
      <c r="E802" s="422"/>
      <c r="F802" s="423"/>
    </row>
    <row r="803" spans="2:6" ht="18" x14ac:dyDescent="0.35">
      <c r="B803" s="421"/>
      <c r="C803" s="422"/>
      <c r="D803" s="422"/>
      <c r="E803" s="422"/>
      <c r="F803" s="423"/>
    </row>
    <row r="804" spans="2:6" ht="18" x14ac:dyDescent="0.35">
      <c r="B804" s="421"/>
      <c r="C804" s="422"/>
      <c r="D804" s="422"/>
      <c r="E804" s="422"/>
      <c r="F804" s="423"/>
    </row>
    <row r="805" spans="2:6" ht="18" x14ac:dyDescent="0.35">
      <c r="B805" s="421"/>
      <c r="C805" s="422"/>
      <c r="D805" s="422"/>
      <c r="E805" s="422"/>
      <c r="F805" s="423"/>
    </row>
    <row r="806" spans="2:6" ht="18" x14ac:dyDescent="0.35">
      <c r="B806" s="421"/>
      <c r="C806" s="422"/>
      <c r="D806" s="422"/>
      <c r="E806" s="422"/>
      <c r="F806" s="423"/>
    </row>
    <row r="807" spans="2:6" ht="18" x14ac:dyDescent="0.35">
      <c r="B807" s="421"/>
      <c r="C807" s="422"/>
      <c r="D807" s="422"/>
      <c r="E807" s="422"/>
      <c r="F807" s="423"/>
    </row>
    <row r="808" spans="2:6" ht="18" x14ac:dyDescent="0.35">
      <c r="B808" s="421"/>
      <c r="C808" s="422"/>
      <c r="D808" s="422"/>
      <c r="E808" s="422"/>
      <c r="F808" s="423"/>
    </row>
    <row r="809" spans="2:6" ht="18" x14ac:dyDescent="0.35">
      <c r="B809" s="421"/>
      <c r="C809" s="422"/>
      <c r="D809" s="422"/>
      <c r="E809" s="422"/>
      <c r="F809" s="423"/>
    </row>
    <row r="810" spans="2:6" ht="18" x14ac:dyDescent="0.35">
      <c r="B810" s="421"/>
      <c r="C810" s="422"/>
      <c r="D810" s="422"/>
      <c r="E810" s="422"/>
      <c r="F810" s="423"/>
    </row>
    <row r="811" spans="2:6" ht="18" x14ac:dyDescent="0.35">
      <c r="B811" s="421"/>
      <c r="C811" s="422"/>
      <c r="D811" s="422"/>
      <c r="E811" s="422"/>
      <c r="F811" s="423"/>
    </row>
    <row r="812" spans="2:6" ht="18" x14ac:dyDescent="0.35">
      <c r="B812" s="421"/>
      <c r="C812" s="422"/>
      <c r="D812" s="422"/>
      <c r="E812" s="422"/>
      <c r="F812" s="423"/>
    </row>
    <row r="813" spans="2:6" ht="18" x14ac:dyDescent="0.35">
      <c r="B813" s="421"/>
      <c r="C813" s="422"/>
      <c r="D813" s="422"/>
      <c r="E813" s="422"/>
      <c r="F813" s="423"/>
    </row>
    <row r="814" spans="2:6" ht="18" x14ac:dyDescent="0.35">
      <c r="B814" s="421"/>
      <c r="C814" s="422"/>
      <c r="D814" s="422"/>
      <c r="E814" s="422"/>
      <c r="F814" s="423"/>
    </row>
    <row r="815" spans="2:6" ht="18" x14ac:dyDescent="0.35">
      <c r="B815" s="421"/>
      <c r="C815" s="422"/>
      <c r="D815" s="422"/>
      <c r="E815" s="422"/>
      <c r="F815" s="423"/>
    </row>
    <row r="816" spans="2:6" ht="18" x14ac:dyDescent="0.35">
      <c r="B816" s="421"/>
      <c r="C816" s="422"/>
      <c r="D816" s="422"/>
      <c r="E816" s="422"/>
      <c r="F816" s="423"/>
    </row>
    <row r="817" spans="2:6" ht="18" x14ac:dyDescent="0.35">
      <c r="B817" s="421"/>
      <c r="C817" s="422"/>
      <c r="D817" s="422"/>
      <c r="E817" s="422"/>
      <c r="F817" s="423"/>
    </row>
    <row r="818" spans="2:6" ht="18" x14ac:dyDescent="0.35">
      <c r="B818" s="421"/>
      <c r="C818" s="422"/>
      <c r="D818" s="422"/>
      <c r="E818" s="422"/>
      <c r="F818" s="423"/>
    </row>
    <row r="819" spans="2:6" ht="18" x14ac:dyDescent="0.35">
      <c r="B819" s="421"/>
      <c r="C819" s="422"/>
      <c r="D819" s="422"/>
      <c r="E819" s="422"/>
      <c r="F819" s="423"/>
    </row>
    <row r="820" spans="2:6" ht="18" x14ac:dyDescent="0.35">
      <c r="B820" s="421"/>
      <c r="C820" s="422"/>
      <c r="D820" s="422"/>
      <c r="E820" s="422"/>
      <c r="F820" s="423"/>
    </row>
    <row r="821" spans="2:6" ht="18" x14ac:dyDescent="0.35">
      <c r="B821" s="421"/>
      <c r="C821" s="422"/>
      <c r="D821" s="422"/>
      <c r="E821" s="422"/>
      <c r="F821" s="423"/>
    </row>
    <row r="822" spans="2:6" ht="18" x14ac:dyDescent="0.35">
      <c r="B822" s="421"/>
      <c r="C822" s="422"/>
      <c r="D822" s="422"/>
      <c r="E822" s="422"/>
      <c r="F822" s="423"/>
    </row>
    <row r="823" spans="2:6" ht="18" x14ac:dyDescent="0.35">
      <c r="B823" s="421"/>
      <c r="C823" s="422"/>
      <c r="D823" s="422"/>
      <c r="E823" s="422"/>
      <c r="F823" s="423"/>
    </row>
    <row r="824" spans="2:6" ht="18" x14ac:dyDescent="0.35">
      <c r="B824" s="421"/>
      <c r="C824" s="422"/>
      <c r="D824" s="422"/>
      <c r="E824" s="422"/>
      <c r="F824" s="423"/>
    </row>
    <row r="825" spans="2:6" ht="18" x14ac:dyDescent="0.35">
      <c r="B825" s="421"/>
      <c r="C825" s="422"/>
      <c r="D825" s="422"/>
      <c r="E825" s="422"/>
      <c r="F825" s="423"/>
    </row>
    <row r="826" spans="2:6" ht="18" x14ac:dyDescent="0.35">
      <c r="B826" s="421"/>
      <c r="C826" s="422"/>
      <c r="D826" s="422"/>
      <c r="E826" s="422"/>
      <c r="F826" s="423"/>
    </row>
    <row r="827" spans="2:6" ht="18" x14ac:dyDescent="0.35">
      <c r="B827" s="421"/>
      <c r="C827" s="422"/>
      <c r="D827" s="422"/>
      <c r="E827" s="422"/>
      <c r="F827" s="423"/>
    </row>
    <row r="828" spans="2:6" ht="18" x14ac:dyDescent="0.35">
      <c r="B828" s="421"/>
      <c r="C828" s="422"/>
      <c r="D828" s="422"/>
      <c r="E828" s="422"/>
      <c r="F828" s="423"/>
    </row>
    <row r="829" spans="2:6" ht="18" x14ac:dyDescent="0.35">
      <c r="B829" s="421"/>
      <c r="C829" s="422"/>
      <c r="D829" s="422"/>
      <c r="E829" s="422"/>
      <c r="F829" s="423"/>
    </row>
    <row r="830" spans="2:6" ht="18" x14ac:dyDescent="0.35">
      <c r="B830" s="421"/>
      <c r="C830" s="422"/>
      <c r="D830" s="422"/>
      <c r="E830" s="422"/>
      <c r="F830" s="423"/>
    </row>
    <row r="831" spans="2:6" ht="18" x14ac:dyDescent="0.35">
      <c r="B831" s="421"/>
      <c r="C831" s="422"/>
      <c r="D831" s="422"/>
      <c r="E831" s="422"/>
      <c r="F831" s="423"/>
    </row>
    <row r="832" spans="2:6" ht="18" x14ac:dyDescent="0.35">
      <c r="B832" s="421"/>
      <c r="C832" s="422"/>
      <c r="D832" s="422"/>
      <c r="E832" s="422"/>
      <c r="F832" s="423"/>
    </row>
    <row r="833" spans="2:6" ht="18" x14ac:dyDescent="0.35">
      <c r="B833" s="421"/>
      <c r="C833" s="422"/>
      <c r="D833" s="422"/>
      <c r="E833" s="422"/>
      <c r="F833" s="423"/>
    </row>
    <row r="834" spans="2:6" ht="18" x14ac:dyDescent="0.35">
      <c r="B834" s="421"/>
      <c r="C834" s="422"/>
      <c r="D834" s="422"/>
      <c r="E834" s="422"/>
      <c r="F834" s="423"/>
    </row>
    <row r="835" spans="2:6" ht="18" x14ac:dyDescent="0.35">
      <c r="B835" s="421"/>
      <c r="C835" s="422"/>
      <c r="D835" s="422"/>
      <c r="E835" s="422"/>
      <c r="F835" s="423"/>
    </row>
    <row r="836" spans="2:6" ht="18" x14ac:dyDescent="0.35">
      <c r="B836" s="421"/>
      <c r="C836" s="422"/>
      <c r="D836" s="422"/>
      <c r="E836" s="422"/>
      <c r="F836" s="423"/>
    </row>
    <row r="837" spans="2:6" ht="18" x14ac:dyDescent="0.35">
      <c r="B837" s="421"/>
      <c r="C837" s="422"/>
      <c r="D837" s="422"/>
      <c r="E837" s="422"/>
      <c r="F837" s="423"/>
    </row>
    <row r="838" spans="2:6" ht="18" x14ac:dyDescent="0.35">
      <c r="B838" s="421"/>
      <c r="C838" s="422"/>
      <c r="D838" s="422"/>
      <c r="E838" s="422"/>
      <c r="F838" s="423"/>
    </row>
    <row r="839" spans="2:6" ht="18" x14ac:dyDescent="0.35">
      <c r="B839" s="421"/>
      <c r="C839" s="422"/>
      <c r="D839" s="422"/>
      <c r="E839" s="422"/>
      <c r="F839" s="423"/>
    </row>
    <row r="840" spans="2:6" ht="18" x14ac:dyDescent="0.35">
      <c r="B840" s="421"/>
      <c r="C840" s="422"/>
      <c r="D840" s="422"/>
      <c r="E840" s="422"/>
      <c r="F840" s="423"/>
    </row>
    <row r="841" spans="2:6" ht="18" x14ac:dyDescent="0.35">
      <c r="B841" s="421"/>
      <c r="C841" s="422"/>
      <c r="D841" s="422"/>
      <c r="E841" s="422"/>
      <c r="F841" s="423"/>
    </row>
    <row r="842" spans="2:6" ht="18" x14ac:dyDescent="0.35">
      <c r="B842" s="421"/>
      <c r="C842" s="422"/>
      <c r="D842" s="422"/>
      <c r="E842" s="422"/>
      <c r="F842" s="423"/>
    </row>
    <row r="843" spans="2:6" ht="18" x14ac:dyDescent="0.35">
      <c r="B843" s="421"/>
      <c r="C843" s="422"/>
      <c r="D843" s="422"/>
      <c r="E843" s="422"/>
      <c r="F843" s="423"/>
    </row>
    <row r="844" spans="2:6" ht="18" x14ac:dyDescent="0.35">
      <c r="B844" s="421"/>
      <c r="C844" s="422"/>
      <c r="D844" s="422"/>
      <c r="E844" s="422"/>
      <c r="F844" s="423"/>
    </row>
    <row r="845" spans="2:6" ht="18" x14ac:dyDescent="0.35">
      <c r="B845" s="421"/>
      <c r="C845" s="422"/>
      <c r="D845" s="422"/>
      <c r="E845" s="422"/>
      <c r="F845" s="423"/>
    </row>
    <row r="846" spans="2:6" ht="18" x14ac:dyDescent="0.35">
      <c r="B846" s="421"/>
      <c r="C846" s="422"/>
      <c r="D846" s="422"/>
      <c r="E846" s="422"/>
      <c r="F846" s="423"/>
    </row>
    <row r="847" spans="2:6" ht="18" x14ac:dyDescent="0.35">
      <c r="B847" s="421"/>
      <c r="C847" s="422"/>
      <c r="D847" s="422"/>
      <c r="E847" s="422"/>
      <c r="F847" s="423"/>
    </row>
    <row r="848" spans="2:6" ht="18" x14ac:dyDescent="0.35">
      <c r="B848" s="421"/>
      <c r="C848" s="422"/>
      <c r="D848" s="422"/>
      <c r="E848" s="422"/>
      <c r="F848" s="423"/>
    </row>
    <row r="849" spans="2:6" ht="18" x14ac:dyDescent="0.35">
      <c r="B849" s="421"/>
      <c r="C849" s="422"/>
      <c r="D849" s="422"/>
      <c r="E849" s="422"/>
      <c r="F849" s="423"/>
    </row>
    <row r="850" spans="2:6" ht="18" x14ac:dyDescent="0.35">
      <c r="B850" s="421"/>
      <c r="C850" s="422"/>
      <c r="D850" s="422"/>
      <c r="E850" s="422"/>
      <c r="F850" s="423"/>
    </row>
    <row r="851" spans="2:6" ht="18" x14ac:dyDescent="0.35">
      <c r="B851" s="421"/>
      <c r="C851" s="422"/>
      <c r="D851" s="422"/>
      <c r="E851" s="422"/>
      <c r="F851" s="423"/>
    </row>
    <row r="852" spans="2:6" ht="18" x14ac:dyDescent="0.35">
      <c r="B852" s="421"/>
      <c r="C852" s="422"/>
      <c r="D852" s="422"/>
      <c r="E852" s="422"/>
      <c r="F852" s="423"/>
    </row>
    <row r="853" spans="2:6" ht="18" x14ac:dyDescent="0.35">
      <c r="B853" s="421"/>
      <c r="C853" s="422"/>
      <c r="D853" s="422"/>
      <c r="E853" s="422"/>
      <c r="F853" s="423"/>
    </row>
    <row r="854" spans="2:6" ht="18" x14ac:dyDescent="0.35">
      <c r="B854" s="421"/>
      <c r="C854" s="422"/>
      <c r="D854" s="422"/>
      <c r="E854" s="422"/>
      <c r="F854" s="423"/>
    </row>
    <row r="855" spans="2:6" ht="18" x14ac:dyDescent="0.35">
      <c r="B855" s="421"/>
      <c r="C855" s="422"/>
      <c r="D855" s="422"/>
      <c r="E855" s="422"/>
      <c r="F855" s="423"/>
    </row>
    <row r="856" spans="2:6" ht="18" x14ac:dyDescent="0.35">
      <c r="B856" s="421"/>
      <c r="C856" s="422"/>
      <c r="D856" s="422"/>
      <c r="E856" s="422"/>
      <c r="F856" s="423"/>
    </row>
    <row r="857" spans="2:6" ht="18" x14ac:dyDescent="0.35">
      <c r="B857" s="421"/>
      <c r="C857" s="422"/>
      <c r="D857" s="422"/>
      <c r="E857" s="422"/>
      <c r="F857" s="423"/>
    </row>
    <row r="858" spans="2:6" ht="18" x14ac:dyDescent="0.35">
      <c r="B858" s="421"/>
      <c r="C858" s="422"/>
      <c r="D858" s="422"/>
      <c r="E858" s="422"/>
      <c r="F858" s="423"/>
    </row>
    <row r="859" spans="2:6" ht="18" x14ac:dyDescent="0.35">
      <c r="B859" s="421"/>
      <c r="C859" s="422"/>
      <c r="D859" s="422"/>
      <c r="E859" s="422"/>
      <c r="F859" s="423"/>
    </row>
    <row r="860" spans="2:6" ht="18" x14ac:dyDescent="0.35">
      <c r="B860" s="421"/>
      <c r="C860" s="422"/>
      <c r="D860" s="422"/>
      <c r="E860" s="422"/>
      <c r="F860" s="423"/>
    </row>
    <row r="861" spans="2:6" ht="18" x14ac:dyDescent="0.35">
      <c r="B861" s="421"/>
      <c r="C861" s="422"/>
      <c r="D861" s="422"/>
      <c r="E861" s="422"/>
      <c r="F861" s="423"/>
    </row>
    <row r="862" spans="2:6" ht="18" x14ac:dyDescent="0.35">
      <c r="B862" s="421"/>
      <c r="C862" s="422"/>
      <c r="D862" s="422"/>
      <c r="E862" s="422"/>
      <c r="F862" s="423"/>
    </row>
    <row r="863" spans="2:6" ht="18" x14ac:dyDescent="0.35">
      <c r="B863" s="421"/>
      <c r="C863" s="422"/>
      <c r="D863" s="422"/>
      <c r="E863" s="422"/>
      <c r="F863" s="423"/>
    </row>
    <row r="864" spans="2:6" ht="18" x14ac:dyDescent="0.35">
      <c r="B864" s="421"/>
      <c r="C864" s="422"/>
      <c r="D864" s="422"/>
      <c r="E864" s="422"/>
      <c r="F864" s="423"/>
    </row>
    <row r="865" spans="2:6" ht="18" x14ac:dyDescent="0.35">
      <c r="B865" s="421"/>
      <c r="C865" s="422"/>
      <c r="D865" s="422"/>
      <c r="E865" s="422"/>
      <c r="F865" s="423"/>
    </row>
    <row r="866" spans="2:6" ht="18" x14ac:dyDescent="0.35">
      <c r="B866" s="421"/>
      <c r="C866" s="422"/>
      <c r="D866" s="422"/>
      <c r="E866" s="422"/>
      <c r="F866" s="423"/>
    </row>
    <row r="867" spans="2:6" ht="18" x14ac:dyDescent="0.35">
      <c r="B867" s="421"/>
      <c r="C867" s="422"/>
      <c r="D867" s="422"/>
      <c r="E867" s="422"/>
      <c r="F867" s="423"/>
    </row>
    <row r="868" spans="2:6" ht="18" x14ac:dyDescent="0.35">
      <c r="B868" s="421"/>
      <c r="C868" s="422"/>
      <c r="D868" s="422"/>
      <c r="E868" s="422"/>
      <c r="F868" s="423"/>
    </row>
    <row r="869" spans="2:6" ht="18" x14ac:dyDescent="0.35">
      <c r="B869" s="421"/>
      <c r="C869" s="422"/>
      <c r="D869" s="422"/>
      <c r="E869" s="422"/>
      <c r="F869" s="423"/>
    </row>
    <row r="870" spans="2:6" ht="18" x14ac:dyDescent="0.35">
      <c r="B870" s="421"/>
      <c r="C870" s="422"/>
      <c r="D870" s="422"/>
      <c r="E870" s="422"/>
      <c r="F870" s="423"/>
    </row>
    <row r="871" spans="2:6" ht="18" x14ac:dyDescent="0.35">
      <c r="B871" s="421"/>
      <c r="C871" s="422"/>
      <c r="D871" s="422"/>
      <c r="E871" s="422"/>
      <c r="F871" s="423"/>
    </row>
    <row r="872" spans="2:6" ht="18" x14ac:dyDescent="0.35">
      <c r="B872" s="421"/>
      <c r="C872" s="422"/>
      <c r="D872" s="422"/>
      <c r="E872" s="422"/>
      <c r="F872" s="423"/>
    </row>
    <row r="873" spans="2:6" ht="18" x14ac:dyDescent="0.35">
      <c r="B873" s="421"/>
      <c r="C873" s="422"/>
      <c r="D873" s="422"/>
      <c r="E873" s="422"/>
      <c r="F873" s="423"/>
    </row>
    <row r="874" spans="2:6" ht="18" x14ac:dyDescent="0.35">
      <c r="B874" s="421"/>
      <c r="C874" s="422"/>
      <c r="D874" s="422"/>
      <c r="E874" s="422"/>
      <c r="F874" s="423"/>
    </row>
    <row r="875" spans="2:6" ht="18" x14ac:dyDescent="0.35">
      <c r="B875" s="421"/>
      <c r="C875" s="422"/>
      <c r="D875" s="422"/>
      <c r="E875" s="422"/>
      <c r="F875" s="423"/>
    </row>
    <row r="876" spans="2:6" ht="18" x14ac:dyDescent="0.35">
      <c r="B876" s="421"/>
      <c r="C876" s="422"/>
      <c r="D876" s="422"/>
      <c r="E876" s="422"/>
      <c r="F876" s="423"/>
    </row>
    <row r="877" spans="2:6" ht="18" x14ac:dyDescent="0.35">
      <c r="B877" s="421"/>
      <c r="C877" s="422"/>
      <c r="D877" s="422"/>
      <c r="E877" s="422"/>
      <c r="F877" s="423"/>
    </row>
    <row r="878" spans="2:6" ht="18" x14ac:dyDescent="0.35">
      <c r="B878" s="421"/>
      <c r="C878" s="422"/>
      <c r="D878" s="422"/>
      <c r="E878" s="422"/>
      <c r="F878" s="423"/>
    </row>
    <row r="879" spans="2:6" ht="18" x14ac:dyDescent="0.35">
      <c r="B879" s="421"/>
      <c r="C879" s="422"/>
      <c r="D879" s="422"/>
      <c r="E879" s="422"/>
      <c r="F879" s="423"/>
    </row>
    <row r="880" spans="2:6" ht="18" x14ac:dyDescent="0.35">
      <c r="B880" s="421"/>
      <c r="C880" s="422"/>
      <c r="D880" s="422"/>
      <c r="E880" s="422"/>
      <c r="F880" s="423"/>
    </row>
    <row r="881" spans="2:6" ht="18" x14ac:dyDescent="0.35">
      <c r="B881" s="421"/>
      <c r="C881" s="422"/>
      <c r="D881" s="422"/>
      <c r="E881" s="422"/>
      <c r="F881" s="423"/>
    </row>
    <row r="882" spans="2:6" ht="18" x14ac:dyDescent="0.35">
      <c r="B882" s="421"/>
      <c r="C882" s="422"/>
      <c r="D882" s="422"/>
      <c r="E882" s="422"/>
      <c r="F882" s="423"/>
    </row>
    <row r="883" spans="2:6" ht="18" x14ac:dyDescent="0.35">
      <c r="B883" s="421"/>
      <c r="C883" s="422"/>
      <c r="D883" s="422"/>
      <c r="E883" s="422"/>
      <c r="F883" s="423"/>
    </row>
    <row r="884" spans="2:6" ht="18" x14ac:dyDescent="0.35">
      <c r="B884" s="421"/>
      <c r="C884" s="422"/>
      <c r="D884" s="422"/>
      <c r="E884" s="422"/>
      <c r="F884" s="423"/>
    </row>
    <row r="885" spans="2:6" ht="18" x14ac:dyDescent="0.35">
      <c r="B885" s="421"/>
      <c r="C885" s="422"/>
      <c r="D885" s="422"/>
      <c r="E885" s="422"/>
      <c r="F885" s="423"/>
    </row>
    <row r="886" spans="2:6" ht="18" x14ac:dyDescent="0.35">
      <c r="B886" s="421"/>
      <c r="C886" s="422"/>
      <c r="D886" s="422"/>
      <c r="E886" s="422"/>
      <c r="F886" s="423"/>
    </row>
    <row r="887" spans="2:6" ht="18" x14ac:dyDescent="0.35">
      <c r="B887" s="421"/>
      <c r="C887" s="422"/>
      <c r="D887" s="422"/>
      <c r="E887" s="422"/>
      <c r="F887" s="423"/>
    </row>
    <row r="888" spans="2:6" ht="18" x14ac:dyDescent="0.35">
      <c r="B888" s="421"/>
      <c r="C888" s="422"/>
      <c r="D888" s="422"/>
      <c r="E888" s="422"/>
      <c r="F888" s="423"/>
    </row>
    <row r="889" spans="2:6" ht="18" x14ac:dyDescent="0.35">
      <c r="B889" s="421"/>
      <c r="C889" s="422"/>
      <c r="D889" s="422"/>
      <c r="E889" s="422"/>
      <c r="F889" s="423"/>
    </row>
    <row r="890" spans="2:6" ht="18" x14ac:dyDescent="0.35">
      <c r="B890" s="421"/>
      <c r="C890" s="422"/>
      <c r="D890" s="422"/>
      <c r="E890" s="422"/>
      <c r="F890" s="423"/>
    </row>
    <row r="891" spans="2:6" ht="18" x14ac:dyDescent="0.35">
      <c r="B891" s="421"/>
      <c r="C891" s="422"/>
      <c r="D891" s="422"/>
      <c r="E891" s="422"/>
      <c r="F891" s="423"/>
    </row>
    <row r="892" spans="2:6" ht="18" x14ac:dyDescent="0.35">
      <c r="B892" s="421"/>
      <c r="C892" s="422"/>
      <c r="D892" s="422"/>
      <c r="E892" s="422"/>
      <c r="F892" s="423"/>
    </row>
    <row r="893" spans="2:6" ht="18" x14ac:dyDescent="0.35">
      <c r="B893" s="421"/>
      <c r="C893" s="422"/>
      <c r="D893" s="422"/>
      <c r="E893" s="422"/>
      <c r="F893" s="423"/>
    </row>
    <row r="894" spans="2:6" ht="18" x14ac:dyDescent="0.35">
      <c r="B894" s="421"/>
      <c r="C894" s="422"/>
      <c r="D894" s="422"/>
      <c r="E894" s="422"/>
      <c r="F894" s="423"/>
    </row>
    <row r="895" spans="2:6" ht="18" x14ac:dyDescent="0.35">
      <c r="B895" s="421"/>
      <c r="C895" s="422"/>
      <c r="D895" s="422"/>
      <c r="E895" s="422"/>
      <c r="F895" s="423"/>
    </row>
    <row r="896" spans="2:6" ht="18" x14ac:dyDescent="0.35">
      <c r="B896" s="421"/>
      <c r="C896" s="422"/>
      <c r="D896" s="422"/>
      <c r="E896" s="422"/>
      <c r="F896" s="423"/>
    </row>
    <row r="897" spans="2:6" ht="18" x14ac:dyDescent="0.35">
      <c r="B897" s="421"/>
      <c r="C897" s="422"/>
      <c r="D897" s="422"/>
      <c r="E897" s="422"/>
      <c r="F897" s="423"/>
    </row>
    <row r="898" spans="2:6" ht="18" x14ac:dyDescent="0.35">
      <c r="B898" s="421"/>
      <c r="C898" s="422"/>
      <c r="D898" s="422"/>
      <c r="E898" s="422"/>
      <c r="F898" s="423"/>
    </row>
    <row r="899" spans="2:6" ht="18" x14ac:dyDescent="0.35">
      <c r="B899" s="421"/>
      <c r="C899" s="422"/>
      <c r="D899" s="422"/>
      <c r="E899" s="422"/>
      <c r="F899" s="423"/>
    </row>
    <row r="900" spans="2:6" ht="18" x14ac:dyDescent="0.35">
      <c r="B900" s="421"/>
      <c r="C900" s="422"/>
      <c r="D900" s="422"/>
      <c r="E900" s="422"/>
      <c r="F900" s="423"/>
    </row>
    <row r="901" spans="2:6" ht="18" x14ac:dyDescent="0.35">
      <c r="B901" s="421"/>
      <c r="C901" s="422"/>
      <c r="D901" s="422"/>
      <c r="E901" s="422"/>
      <c r="F901" s="423"/>
    </row>
    <row r="902" spans="2:6" ht="18" x14ac:dyDescent="0.35">
      <c r="B902" s="421"/>
      <c r="C902" s="422"/>
      <c r="D902" s="422"/>
      <c r="E902" s="422"/>
      <c r="F902" s="423"/>
    </row>
    <row r="903" spans="2:6" ht="18" x14ac:dyDescent="0.35">
      <c r="B903" s="421"/>
      <c r="C903" s="422"/>
      <c r="D903" s="422"/>
      <c r="E903" s="422"/>
      <c r="F903" s="423"/>
    </row>
    <row r="904" spans="2:6" ht="18" x14ac:dyDescent="0.35">
      <c r="B904" s="421"/>
      <c r="C904" s="422"/>
      <c r="D904" s="422"/>
      <c r="E904" s="422"/>
      <c r="F904" s="423"/>
    </row>
    <row r="905" spans="2:6" ht="18" x14ac:dyDescent="0.35">
      <c r="B905" s="421"/>
      <c r="C905" s="422"/>
      <c r="D905" s="422"/>
      <c r="E905" s="422"/>
      <c r="F905" s="423"/>
    </row>
    <row r="906" spans="2:6" ht="18" x14ac:dyDescent="0.35">
      <c r="B906" s="421"/>
      <c r="C906" s="422"/>
      <c r="D906" s="422"/>
      <c r="E906" s="422"/>
      <c r="F906" s="423"/>
    </row>
    <row r="907" spans="2:6" ht="18" x14ac:dyDescent="0.35">
      <c r="B907" s="421"/>
      <c r="C907" s="422"/>
      <c r="D907" s="422"/>
      <c r="E907" s="422"/>
      <c r="F907" s="423"/>
    </row>
    <row r="908" spans="2:6" ht="18" x14ac:dyDescent="0.35">
      <c r="B908" s="421"/>
      <c r="C908" s="422"/>
      <c r="D908" s="422"/>
      <c r="E908" s="422"/>
      <c r="F908" s="423"/>
    </row>
    <row r="909" spans="2:6" ht="18" x14ac:dyDescent="0.35">
      <c r="B909" s="421"/>
      <c r="C909" s="422"/>
      <c r="D909" s="422"/>
      <c r="E909" s="422"/>
      <c r="F909" s="423"/>
    </row>
    <row r="910" spans="2:6" ht="18" x14ac:dyDescent="0.35">
      <c r="B910" s="421"/>
      <c r="C910" s="422"/>
      <c r="D910" s="422"/>
      <c r="E910" s="422"/>
      <c r="F910" s="423"/>
    </row>
    <row r="911" spans="2:6" ht="18" x14ac:dyDescent="0.35">
      <c r="B911" s="421"/>
      <c r="C911" s="422"/>
      <c r="D911" s="422"/>
      <c r="E911" s="422"/>
      <c r="F911" s="423"/>
    </row>
    <row r="912" spans="2:6" ht="18" x14ac:dyDescent="0.35">
      <c r="B912" s="421"/>
      <c r="C912" s="422"/>
      <c r="D912" s="422"/>
      <c r="E912" s="422"/>
      <c r="F912" s="423"/>
    </row>
    <row r="913" spans="2:6" ht="18" x14ac:dyDescent="0.35">
      <c r="B913" s="421"/>
      <c r="C913" s="422"/>
      <c r="D913" s="422"/>
      <c r="E913" s="422"/>
      <c r="F913" s="423"/>
    </row>
    <row r="914" spans="2:6" ht="18" x14ac:dyDescent="0.35">
      <c r="B914" s="421"/>
      <c r="C914" s="422"/>
      <c r="D914" s="422"/>
      <c r="E914" s="422"/>
      <c r="F914" s="423"/>
    </row>
    <row r="915" spans="2:6" ht="18" x14ac:dyDescent="0.35">
      <c r="B915" s="421"/>
      <c r="C915" s="422"/>
      <c r="D915" s="422"/>
      <c r="E915" s="422"/>
      <c r="F915" s="423"/>
    </row>
    <row r="916" spans="2:6" ht="18" x14ac:dyDescent="0.35">
      <c r="B916" s="421"/>
      <c r="C916" s="422"/>
      <c r="D916" s="422"/>
      <c r="E916" s="422"/>
      <c r="F916" s="423"/>
    </row>
    <row r="917" spans="2:6" ht="18" x14ac:dyDescent="0.35">
      <c r="B917" s="421"/>
      <c r="C917" s="422"/>
      <c r="D917" s="422"/>
      <c r="E917" s="422"/>
      <c r="F917" s="423"/>
    </row>
    <row r="918" spans="2:6" ht="18" x14ac:dyDescent="0.35">
      <c r="B918" s="421"/>
      <c r="C918" s="422"/>
      <c r="D918" s="422"/>
      <c r="E918" s="422"/>
      <c r="F918" s="423"/>
    </row>
    <row r="919" spans="2:6" ht="18" x14ac:dyDescent="0.35">
      <c r="B919" s="421"/>
      <c r="C919" s="422"/>
      <c r="D919" s="422"/>
      <c r="E919" s="422"/>
      <c r="F919" s="423"/>
    </row>
    <row r="920" spans="2:6" ht="18" x14ac:dyDescent="0.35">
      <c r="B920" s="421"/>
      <c r="C920" s="422"/>
      <c r="D920" s="422"/>
      <c r="E920" s="422"/>
      <c r="F920" s="423"/>
    </row>
    <row r="921" spans="2:6" ht="18" x14ac:dyDescent="0.35">
      <c r="B921" s="421"/>
      <c r="C921" s="422"/>
      <c r="D921" s="422"/>
      <c r="E921" s="422"/>
      <c r="F921" s="423"/>
    </row>
    <row r="922" spans="2:6" ht="18" x14ac:dyDescent="0.35">
      <c r="B922" s="421"/>
      <c r="C922" s="422"/>
      <c r="D922" s="422"/>
      <c r="E922" s="422"/>
      <c r="F922" s="423"/>
    </row>
    <row r="923" spans="2:6" ht="18" x14ac:dyDescent="0.35">
      <c r="B923" s="421"/>
      <c r="C923" s="422"/>
      <c r="D923" s="422"/>
      <c r="E923" s="422"/>
      <c r="F923" s="423"/>
    </row>
    <row r="924" spans="2:6" ht="18" x14ac:dyDescent="0.35">
      <c r="B924" s="421"/>
      <c r="C924" s="422"/>
      <c r="D924" s="422"/>
      <c r="E924" s="422"/>
      <c r="F924" s="423"/>
    </row>
    <row r="925" spans="2:6" ht="18" x14ac:dyDescent="0.35">
      <c r="B925" s="421"/>
      <c r="C925" s="422"/>
      <c r="D925" s="422"/>
      <c r="E925" s="422"/>
      <c r="F925" s="423"/>
    </row>
    <row r="926" spans="2:6" ht="18" x14ac:dyDescent="0.35">
      <c r="B926" s="421"/>
      <c r="C926" s="422"/>
      <c r="D926" s="422"/>
      <c r="E926" s="422"/>
      <c r="F926" s="423"/>
    </row>
    <row r="927" spans="2:6" ht="18" x14ac:dyDescent="0.35">
      <c r="B927" s="421"/>
      <c r="C927" s="422"/>
      <c r="D927" s="422"/>
      <c r="E927" s="422"/>
      <c r="F927" s="423"/>
    </row>
    <row r="928" spans="2:6" ht="18" x14ac:dyDescent="0.35">
      <c r="B928" s="421"/>
      <c r="C928" s="422"/>
      <c r="D928" s="422"/>
      <c r="E928" s="422"/>
      <c r="F928" s="423"/>
    </row>
    <row r="929" spans="2:6" ht="18" x14ac:dyDescent="0.35">
      <c r="B929" s="421"/>
      <c r="C929" s="422"/>
      <c r="D929" s="422"/>
      <c r="E929" s="422"/>
      <c r="F929" s="423"/>
    </row>
    <row r="930" spans="2:6" ht="18" x14ac:dyDescent="0.35">
      <c r="B930" s="421"/>
      <c r="C930" s="422"/>
      <c r="D930" s="422"/>
      <c r="E930" s="422"/>
      <c r="F930" s="423"/>
    </row>
    <row r="931" spans="2:6" ht="18" x14ac:dyDescent="0.35">
      <c r="B931" s="421"/>
      <c r="C931" s="422"/>
      <c r="D931" s="422"/>
      <c r="E931" s="422"/>
      <c r="F931" s="423"/>
    </row>
    <row r="932" spans="2:6" ht="18" x14ac:dyDescent="0.35">
      <c r="B932" s="421"/>
      <c r="C932" s="422"/>
      <c r="D932" s="422"/>
      <c r="E932" s="422"/>
      <c r="F932" s="423"/>
    </row>
    <row r="933" spans="2:6" ht="18" x14ac:dyDescent="0.35">
      <c r="B933" s="421"/>
      <c r="C933" s="422"/>
      <c r="D933" s="422"/>
      <c r="E933" s="422"/>
      <c r="F933" s="423"/>
    </row>
    <row r="934" spans="2:6" ht="18" x14ac:dyDescent="0.35">
      <c r="B934" s="421"/>
      <c r="C934" s="422"/>
      <c r="D934" s="422"/>
      <c r="E934" s="422"/>
      <c r="F934" s="423"/>
    </row>
    <row r="935" spans="2:6" ht="18" x14ac:dyDescent="0.35">
      <c r="B935" s="421"/>
      <c r="C935" s="422"/>
      <c r="D935" s="422"/>
      <c r="E935" s="422"/>
      <c r="F935" s="423"/>
    </row>
    <row r="936" spans="2:6" ht="18" x14ac:dyDescent="0.35">
      <c r="B936" s="421"/>
      <c r="C936" s="422"/>
      <c r="D936" s="422"/>
      <c r="E936" s="422"/>
      <c r="F936" s="423"/>
    </row>
    <row r="937" spans="2:6" ht="18" x14ac:dyDescent="0.35">
      <c r="B937" s="421"/>
      <c r="C937" s="422"/>
      <c r="D937" s="422"/>
      <c r="E937" s="422"/>
      <c r="F937" s="423"/>
    </row>
    <row r="938" spans="2:6" ht="18" x14ac:dyDescent="0.35">
      <c r="B938" s="421"/>
      <c r="C938" s="422"/>
      <c r="D938" s="422"/>
      <c r="E938" s="422"/>
      <c r="F938" s="423"/>
    </row>
    <row r="939" spans="2:6" ht="18" x14ac:dyDescent="0.35">
      <c r="B939" s="421"/>
      <c r="C939" s="422"/>
      <c r="D939" s="422"/>
      <c r="E939" s="422"/>
      <c r="F939" s="423"/>
    </row>
    <row r="940" spans="2:6" ht="18" x14ac:dyDescent="0.35">
      <c r="B940" s="421"/>
      <c r="C940" s="422"/>
      <c r="D940" s="422"/>
      <c r="E940" s="422"/>
      <c r="F940" s="423"/>
    </row>
    <row r="941" spans="2:6" ht="18" x14ac:dyDescent="0.35">
      <c r="B941" s="421"/>
      <c r="C941" s="422"/>
      <c r="D941" s="422"/>
      <c r="E941" s="422"/>
      <c r="F941" s="423"/>
    </row>
    <row r="942" spans="2:6" ht="18" x14ac:dyDescent="0.35">
      <c r="B942" s="421"/>
      <c r="C942" s="422"/>
      <c r="D942" s="422"/>
      <c r="E942" s="422"/>
      <c r="F942" s="423"/>
    </row>
    <row r="943" spans="2:6" ht="18" x14ac:dyDescent="0.35">
      <c r="B943" s="421"/>
      <c r="C943" s="422"/>
      <c r="D943" s="422"/>
      <c r="E943" s="422"/>
      <c r="F943" s="423"/>
    </row>
    <row r="944" spans="2:6" ht="18" x14ac:dyDescent="0.35">
      <c r="B944" s="421"/>
      <c r="C944" s="422"/>
      <c r="D944" s="422"/>
      <c r="E944" s="422"/>
      <c r="F944" s="423"/>
    </row>
    <row r="945" spans="2:6" ht="18" x14ac:dyDescent="0.35">
      <c r="B945" s="421"/>
      <c r="C945" s="422"/>
      <c r="D945" s="422"/>
      <c r="E945" s="422"/>
      <c r="F945" s="423"/>
    </row>
    <row r="946" spans="2:6" ht="18" x14ac:dyDescent="0.35">
      <c r="B946" s="421"/>
      <c r="C946" s="422"/>
      <c r="D946" s="422"/>
      <c r="E946" s="422"/>
      <c r="F946" s="423"/>
    </row>
    <row r="947" spans="2:6" ht="18" x14ac:dyDescent="0.35">
      <c r="B947" s="421"/>
      <c r="C947" s="422"/>
      <c r="D947" s="422"/>
      <c r="E947" s="422"/>
      <c r="F947" s="423"/>
    </row>
    <row r="948" spans="2:6" ht="18" x14ac:dyDescent="0.35">
      <c r="B948" s="421"/>
      <c r="C948" s="422"/>
      <c r="D948" s="422"/>
      <c r="E948" s="422"/>
      <c r="F948" s="423"/>
    </row>
    <row r="949" spans="2:6" ht="18" x14ac:dyDescent="0.35">
      <c r="B949" s="421"/>
      <c r="C949" s="422"/>
      <c r="D949" s="422"/>
      <c r="E949" s="422"/>
      <c r="F949" s="423"/>
    </row>
    <row r="950" spans="2:6" ht="18" x14ac:dyDescent="0.35">
      <c r="B950" s="421"/>
      <c r="C950" s="422"/>
      <c r="D950" s="422"/>
      <c r="E950" s="422"/>
      <c r="F950" s="423"/>
    </row>
    <row r="951" spans="2:6" ht="18" x14ac:dyDescent="0.35">
      <c r="B951" s="421"/>
      <c r="C951" s="422"/>
      <c r="D951" s="422"/>
      <c r="E951" s="422"/>
      <c r="F951" s="423"/>
    </row>
    <row r="952" spans="2:6" ht="18" x14ac:dyDescent="0.35">
      <c r="B952" s="421"/>
      <c r="C952" s="422"/>
      <c r="D952" s="422"/>
      <c r="E952" s="422"/>
      <c r="F952" s="423"/>
    </row>
    <row r="953" spans="2:6" ht="18" x14ac:dyDescent="0.35">
      <c r="B953" s="421"/>
      <c r="C953" s="422"/>
      <c r="D953" s="422"/>
      <c r="E953" s="422"/>
      <c r="F953" s="423"/>
    </row>
    <row r="954" spans="2:6" ht="18" x14ac:dyDescent="0.35">
      <c r="B954" s="421"/>
      <c r="C954" s="422"/>
      <c r="D954" s="422"/>
      <c r="E954" s="422"/>
      <c r="F954" s="423"/>
    </row>
    <row r="955" spans="2:6" ht="18" x14ac:dyDescent="0.35">
      <c r="B955" s="421"/>
      <c r="C955" s="422"/>
      <c r="D955" s="422"/>
      <c r="E955" s="422"/>
      <c r="F955" s="423"/>
    </row>
    <row r="956" spans="2:6" ht="18" x14ac:dyDescent="0.35">
      <c r="B956" s="421"/>
      <c r="C956" s="422"/>
      <c r="D956" s="422"/>
      <c r="E956" s="422"/>
      <c r="F956" s="423"/>
    </row>
    <row r="957" spans="2:6" ht="18" x14ac:dyDescent="0.35">
      <c r="B957" s="421"/>
      <c r="C957" s="422"/>
      <c r="D957" s="422"/>
      <c r="E957" s="422"/>
      <c r="F957" s="423"/>
    </row>
    <row r="958" spans="2:6" ht="18" x14ac:dyDescent="0.35">
      <c r="B958" s="421"/>
      <c r="C958" s="422"/>
      <c r="D958" s="422"/>
      <c r="E958" s="422"/>
      <c r="F958" s="423"/>
    </row>
    <row r="959" spans="2:6" ht="18" x14ac:dyDescent="0.35">
      <c r="B959" s="421"/>
      <c r="C959" s="422"/>
      <c r="D959" s="422"/>
      <c r="E959" s="422"/>
      <c r="F959" s="423"/>
    </row>
    <row r="960" spans="2:6" ht="18" x14ac:dyDescent="0.35">
      <c r="B960" s="421"/>
      <c r="C960" s="422"/>
      <c r="D960" s="422"/>
      <c r="E960" s="422"/>
      <c r="F960" s="423"/>
    </row>
    <row r="961" spans="2:6" ht="18" x14ac:dyDescent="0.35">
      <c r="B961" s="421"/>
      <c r="C961" s="422"/>
      <c r="D961" s="422"/>
      <c r="E961" s="422"/>
      <c r="F961" s="423"/>
    </row>
    <row r="962" spans="2:6" ht="18" x14ac:dyDescent="0.35">
      <c r="B962" s="421"/>
      <c r="C962" s="422"/>
      <c r="D962" s="422"/>
      <c r="E962" s="422"/>
      <c r="F962" s="423"/>
    </row>
    <row r="963" spans="2:6" ht="18" x14ac:dyDescent="0.35">
      <c r="B963" s="421"/>
      <c r="C963" s="422"/>
      <c r="D963" s="422"/>
      <c r="E963" s="422"/>
      <c r="F963" s="423"/>
    </row>
    <row r="964" spans="2:6" ht="18" x14ac:dyDescent="0.35">
      <c r="B964" s="421"/>
      <c r="C964" s="422"/>
      <c r="D964" s="422"/>
      <c r="E964" s="422"/>
      <c r="F964" s="423"/>
    </row>
    <row r="965" spans="2:6" ht="18" x14ac:dyDescent="0.35">
      <c r="B965" s="421"/>
      <c r="C965" s="422"/>
      <c r="D965" s="422"/>
      <c r="E965" s="422"/>
      <c r="F965" s="423"/>
    </row>
    <row r="966" spans="2:6" ht="18" x14ac:dyDescent="0.35">
      <c r="B966" s="421"/>
      <c r="C966" s="422"/>
      <c r="D966" s="422"/>
      <c r="E966" s="422"/>
      <c r="F966" s="423"/>
    </row>
    <row r="967" spans="2:6" ht="18" x14ac:dyDescent="0.35">
      <c r="B967" s="421"/>
      <c r="C967" s="422"/>
      <c r="D967" s="422"/>
      <c r="E967" s="422"/>
      <c r="F967" s="423"/>
    </row>
    <row r="968" spans="2:6" ht="18" x14ac:dyDescent="0.35">
      <c r="B968" s="421"/>
      <c r="C968" s="422"/>
      <c r="D968" s="422"/>
      <c r="E968" s="422"/>
      <c r="F968" s="423"/>
    </row>
    <row r="969" spans="2:6" ht="18" x14ac:dyDescent="0.35">
      <c r="B969" s="421"/>
      <c r="C969" s="422"/>
      <c r="D969" s="422"/>
      <c r="E969" s="422"/>
      <c r="F969" s="423"/>
    </row>
    <row r="970" spans="2:6" ht="18" x14ac:dyDescent="0.35">
      <c r="B970" s="421"/>
      <c r="C970" s="422"/>
      <c r="D970" s="422"/>
      <c r="E970" s="422"/>
      <c r="F970" s="423"/>
    </row>
    <row r="971" spans="2:6" ht="18" x14ac:dyDescent="0.35">
      <c r="B971" s="421"/>
      <c r="C971" s="422"/>
      <c r="D971" s="422"/>
      <c r="E971" s="422"/>
      <c r="F971" s="423"/>
    </row>
    <row r="972" spans="2:6" ht="18" x14ac:dyDescent="0.35">
      <c r="B972" s="421"/>
      <c r="C972" s="422"/>
      <c r="D972" s="422"/>
      <c r="E972" s="422"/>
      <c r="F972" s="423"/>
    </row>
    <row r="973" spans="2:6" ht="18" x14ac:dyDescent="0.35">
      <c r="B973" s="421"/>
      <c r="C973" s="422"/>
      <c r="D973" s="422"/>
      <c r="E973" s="422"/>
      <c r="F973" s="423"/>
    </row>
    <row r="974" spans="2:6" ht="18" x14ac:dyDescent="0.35">
      <c r="B974" s="421"/>
      <c r="C974" s="422"/>
      <c r="D974" s="422"/>
      <c r="E974" s="422"/>
      <c r="F974" s="423"/>
    </row>
    <row r="975" spans="2:6" ht="18" x14ac:dyDescent="0.35">
      <c r="B975" s="421"/>
      <c r="C975" s="422"/>
      <c r="D975" s="422"/>
      <c r="E975" s="422"/>
      <c r="F975" s="423"/>
    </row>
    <row r="976" spans="2:6" ht="18" x14ac:dyDescent="0.35">
      <c r="B976" s="421"/>
      <c r="C976" s="422"/>
      <c r="D976" s="422"/>
      <c r="E976" s="422"/>
      <c r="F976" s="423"/>
    </row>
    <row r="977" spans="2:6" ht="18" x14ac:dyDescent="0.35">
      <c r="B977" s="421"/>
      <c r="C977" s="422"/>
      <c r="D977" s="422"/>
      <c r="E977" s="422"/>
      <c r="F977" s="423"/>
    </row>
    <row r="978" spans="2:6" ht="18" x14ac:dyDescent="0.35">
      <c r="B978" s="421"/>
      <c r="C978" s="422"/>
      <c r="D978" s="422"/>
      <c r="E978" s="422"/>
      <c r="F978" s="423"/>
    </row>
    <row r="979" spans="2:6" ht="18" x14ac:dyDescent="0.35">
      <c r="B979" s="421"/>
      <c r="C979" s="422"/>
      <c r="D979" s="422"/>
      <c r="E979" s="422"/>
      <c r="F979" s="423"/>
    </row>
    <row r="980" spans="2:6" ht="18" x14ac:dyDescent="0.35">
      <c r="B980" s="421"/>
      <c r="C980" s="422"/>
      <c r="D980" s="422"/>
      <c r="E980" s="422"/>
      <c r="F980" s="423"/>
    </row>
    <row r="981" spans="2:6" ht="18" x14ac:dyDescent="0.35">
      <c r="B981" s="421"/>
      <c r="C981" s="422"/>
      <c r="D981" s="422"/>
      <c r="E981" s="422"/>
      <c r="F981" s="423"/>
    </row>
    <row r="982" spans="2:6" ht="18" x14ac:dyDescent="0.35">
      <c r="B982" s="421"/>
      <c r="C982" s="422"/>
      <c r="D982" s="422"/>
      <c r="E982" s="422"/>
      <c r="F982" s="423"/>
    </row>
    <row r="983" spans="2:6" ht="18" x14ac:dyDescent="0.35">
      <c r="B983" s="421"/>
      <c r="C983" s="422"/>
      <c r="D983" s="422"/>
      <c r="E983" s="422"/>
      <c r="F983" s="423"/>
    </row>
    <row r="984" spans="2:6" ht="18" x14ac:dyDescent="0.35">
      <c r="B984" s="421"/>
      <c r="C984" s="422"/>
      <c r="D984" s="422"/>
      <c r="E984" s="422"/>
      <c r="F984" s="423"/>
    </row>
    <row r="985" spans="2:6" ht="18" x14ac:dyDescent="0.35">
      <c r="B985" s="421"/>
      <c r="C985" s="422"/>
      <c r="D985" s="422"/>
      <c r="E985" s="422"/>
      <c r="F985" s="423"/>
    </row>
    <row r="986" spans="2:6" ht="18" x14ac:dyDescent="0.35">
      <c r="B986" s="421"/>
      <c r="C986" s="422"/>
      <c r="D986" s="422"/>
      <c r="E986" s="422"/>
      <c r="F986" s="423"/>
    </row>
    <row r="987" spans="2:6" ht="18" x14ac:dyDescent="0.35">
      <c r="B987" s="421"/>
      <c r="C987" s="422"/>
      <c r="D987" s="422"/>
      <c r="E987" s="422"/>
      <c r="F987" s="423"/>
    </row>
    <row r="988" spans="2:6" ht="18" x14ac:dyDescent="0.35">
      <c r="B988" s="421"/>
      <c r="C988" s="422"/>
      <c r="D988" s="422"/>
      <c r="E988" s="422"/>
      <c r="F988" s="423"/>
    </row>
    <row r="989" spans="2:6" ht="18" x14ac:dyDescent="0.35">
      <c r="B989" s="421"/>
      <c r="C989" s="422"/>
      <c r="D989" s="422"/>
      <c r="E989" s="422"/>
      <c r="F989" s="423"/>
    </row>
    <row r="990" spans="2:6" ht="18" x14ac:dyDescent="0.35">
      <c r="B990" s="421"/>
      <c r="C990" s="422"/>
      <c r="D990" s="422"/>
      <c r="E990" s="422"/>
      <c r="F990" s="423"/>
    </row>
    <row r="991" spans="2:6" ht="18" x14ac:dyDescent="0.35">
      <c r="B991" s="421"/>
      <c r="C991" s="422"/>
      <c r="D991" s="422"/>
      <c r="E991" s="422"/>
      <c r="F991" s="423"/>
    </row>
    <row r="992" spans="2:6" ht="18" x14ac:dyDescent="0.35">
      <c r="B992" s="421"/>
      <c r="C992" s="422"/>
      <c r="D992" s="422"/>
      <c r="E992" s="422"/>
      <c r="F992" s="423"/>
    </row>
    <row r="993" spans="2:6" ht="18" x14ac:dyDescent="0.35">
      <c r="B993" s="421"/>
      <c r="C993" s="422"/>
      <c r="D993" s="422"/>
      <c r="E993" s="422"/>
      <c r="F993" s="423"/>
    </row>
    <row r="994" spans="2:6" ht="18" x14ac:dyDescent="0.35">
      <c r="B994" s="421"/>
      <c r="C994" s="422"/>
      <c r="D994" s="422"/>
      <c r="E994" s="422"/>
      <c r="F994" s="423"/>
    </row>
    <row r="995" spans="2:6" ht="18" x14ac:dyDescent="0.35">
      <c r="B995" s="421"/>
      <c r="C995" s="422"/>
      <c r="D995" s="422"/>
      <c r="E995" s="422"/>
      <c r="F995" s="423"/>
    </row>
    <row r="996" spans="2:6" ht="18" x14ac:dyDescent="0.35">
      <c r="B996" s="421"/>
      <c r="C996" s="422"/>
      <c r="D996" s="422"/>
      <c r="E996" s="422"/>
      <c r="F996" s="423"/>
    </row>
    <row r="997" spans="2:6" ht="18" x14ac:dyDescent="0.35">
      <c r="B997" s="421"/>
      <c r="C997" s="422"/>
      <c r="D997" s="422"/>
      <c r="E997" s="422"/>
      <c r="F997" s="423"/>
    </row>
    <row r="998" spans="2:6" ht="18" x14ac:dyDescent="0.35">
      <c r="B998" s="421"/>
      <c r="C998" s="422"/>
      <c r="D998" s="422"/>
      <c r="E998" s="422"/>
      <c r="F998" s="423"/>
    </row>
    <row r="999" spans="2:6" ht="18" x14ac:dyDescent="0.35">
      <c r="B999" s="421"/>
      <c r="C999" s="422"/>
      <c r="D999" s="422"/>
      <c r="E999" s="422"/>
      <c r="F999" s="423"/>
    </row>
    <row r="1000" spans="2:6" ht="18" x14ac:dyDescent="0.35">
      <c r="B1000" s="421"/>
      <c r="C1000" s="422"/>
      <c r="D1000" s="422"/>
      <c r="E1000" s="422"/>
      <c r="F1000" s="423"/>
    </row>
    <row r="1001" spans="2:6" ht="18" x14ac:dyDescent="0.35">
      <c r="B1001" s="421"/>
      <c r="C1001" s="422"/>
      <c r="D1001" s="422"/>
      <c r="E1001" s="422"/>
      <c r="F1001" s="423"/>
    </row>
    <row r="1002" spans="2:6" ht="18" x14ac:dyDescent="0.35">
      <c r="B1002" s="421"/>
      <c r="C1002" s="422"/>
      <c r="D1002" s="422"/>
      <c r="E1002" s="422"/>
      <c r="F1002" s="423"/>
    </row>
    <row r="1003" spans="2:6" ht="18" x14ac:dyDescent="0.35">
      <c r="B1003" s="421"/>
      <c r="C1003" s="422"/>
      <c r="D1003" s="422"/>
      <c r="E1003" s="422"/>
      <c r="F1003" s="423"/>
    </row>
    <row r="1004" spans="2:6" ht="18" x14ac:dyDescent="0.35">
      <c r="B1004" s="421"/>
      <c r="C1004" s="422"/>
      <c r="D1004" s="422"/>
      <c r="E1004" s="422"/>
      <c r="F1004" s="423"/>
    </row>
    <row r="1005" spans="2:6" ht="18" x14ac:dyDescent="0.35">
      <c r="B1005" s="421"/>
      <c r="C1005" s="422"/>
      <c r="D1005" s="422"/>
      <c r="E1005" s="422"/>
      <c r="F1005" s="423"/>
    </row>
    <row r="1006" spans="2:6" ht="18" x14ac:dyDescent="0.35">
      <c r="B1006" s="421"/>
      <c r="C1006" s="422"/>
      <c r="D1006" s="422"/>
      <c r="E1006" s="422"/>
      <c r="F1006" s="423"/>
    </row>
    <row r="1007" spans="2:6" ht="18" x14ac:dyDescent="0.35">
      <c r="B1007" s="421"/>
      <c r="C1007" s="422"/>
      <c r="D1007" s="422"/>
      <c r="E1007" s="422"/>
      <c r="F1007" s="423"/>
    </row>
    <row r="1008" spans="2:6" ht="18" x14ac:dyDescent="0.35">
      <c r="B1008" s="421"/>
      <c r="C1008" s="422"/>
      <c r="D1008" s="422"/>
      <c r="E1008" s="422"/>
      <c r="F1008" s="423"/>
    </row>
    <row r="1009" spans="2:6" ht="18" x14ac:dyDescent="0.35">
      <c r="B1009" s="421"/>
      <c r="C1009" s="422"/>
      <c r="D1009" s="422"/>
      <c r="E1009" s="422"/>
      <c r="F1009" s="423"/>
    </row>
    <row r="1010" spans="2:6" ht="18" x14ac:dyDescent="0.35">
      <c r="B1010" s="421"/>
      <c r="C1010" s="422"/>
      <c r="D1010" s="422"/>
      <c r="E1010" s="422"/>
      <c r="F1010" s="423"/>
    </row>
    <row r="1011" spans="2:6" ht="18" x14ac:dyDescent="0.35">
      <c r="B1011" s="421"/>
      <c r="C1011" s="422"/>
      <c r="D1011" s="422"/>
      <c r="E1011" s="422"/>
      <c r="F1011" s="423"/>
    </row>
    <row r="1012" spans="2:6" ht="18" x14ac:dyDescent="0.35">
      <c r="B1012" s="421"/>
      <c r="C1012" s="422"/>
      <c r="D1012" s="422"/>
      <c r="E1012" s="422"/>
      <c r="F1012" s="423"/>
    </row>
    <row r="1013" spans="2:6" ht="18" x14ac:dyDescent="0.35">
      <c r="B1013" s="421"/>
      <c r="C1013" s="422"/>
      <c r="D1013" s="422"/>
      <c r="E1013" s="422"/>
      <c r="F1013" s="423"/>
    </row>
    <row r="1014" spans="2:6" ht="18" x14ac:dyDescent="0.35">
      <c r="B1014" s="421"/>
      <c r="C1014" s="422"/>
      <c r="D1014" s="422"/>
      <c r="E1014" s="422"/>
      <c r="F1014" s="423"/>
    </row>
    <row r="1015" spans="2:6" ht="18" x14ac:dyDescent="0.35">
      <c r="B1015" s="421"/>
      <c r="C1015" s="422"/>
      <c r="D1015" s="422"/>
      <c r="E1015" s="422"/>
      <c r="F1015" s="423"/>
    </row>
    <row r="1016" spans="2:6" ht="18" x14ac:dyDescent="0.35">
      <c r="B1016" s="421"/>
      <c r="C1016" s="422"/>
      <c r="D1016" s="422"/>
      <c r="E1016" s="422"/>
      <c r="F1016" s="423"/>
    </row>
    <row r="1017" spans="2:6" ht="18" x14ac:dyDescent="0.35">
      <c r="B1017" s="421"/>
      <c r="C1017" s="422"/>
      <c r="D1017" s="422"/>
      <c r="E1017" s="422"/>
      <c r="F1017" s="423"/>
    </row>
    <row r="1018" spans="2:6" ht="18" x14ac:dyDescent="0.35">
      <c r="B1018" s="421"/>
      <c r="C1018" s="422"/>
      <c r="D1018" s="422"/>
      <c r="E1018" s="422"/>
      <c r="F1018" s="423"/>
    </row>
    <row r="1019" spans="2:6" ht="18" x14ac:dyDescent="0.35">
      <c r="B1019" s="421"/>
      <c r="C1019" s="422"/>
      <c r="D1019" s="422"/>
      <c r="E1019" s="422"/>
      <c r="F1019" s="423"/>
    </row>
    <row r="1020" spans="2:6" ht="18" x14ac:dyDescent="0.35">
      <c r="B1020" s="421"/>
      <c r="C1020" s="422"/>
      <c r="D1020" s="422"/>
      <c r="E1020" s="422"/>
      <c r="F1020" s="423"/>
    </row>
    <row r="1021" spans="2:6" ht="18" x14ac:dyDescent="0.35">
      <c r="B1021" s="421"/>
      <c r="C1021" s="422"/>
      <c r="D1021" s="422"/>
      <c r="E1021" s="422"/>
      <c r="F1021" s="423"/>
    </row>
    <row r="1022" spans="2:6" ht="18" x14ac:dyDescent="0.35">
      <c r="B1022" s="421"/>
      <c r="C1022" s="422"/>
      <c r="D1022" s="422"/>
      <c r="E1022" s="422"/>
      <c r="F1022" s="423"/>
    </row>
    <row r="1023" spans="2:6" ht="18" x14ac:dyDescent="0.35">
      <c r="B1023" s="421"/>
      <c r="C1023" s="422"/>
      <c r="D1023" s="422"/>
      <c r="E1023" s="422"/>
      <c r="F1023" s="423"/>
    </row>
    <row r="1024" spans="2:6" ht="18" x14ac:dyDescent="0.35">
      <c r="B1024" s="421"/>
      <c r="C1024" s="422"/>
      <c r="D1024" s="422"/>
      <c r="E1024" s="422"/>
      <c r="F1024" s="423"/>
    </row>
    <row r="1025" spans="2:6" ht="18" x14ac:dyDescent="0.35">
      <c r="B1025" s="421"/>
      <c r="C1025" s="422"/>
      <c r="D1025" s="422"/>
      <c r="E1025" s="422"/>
      <c r="F1025" s="423"/>
    </row>
    <row r="1026" spans="2:6" ht="18" x14ac:dyDescent="0.35">
      <c r="B1026" s="421"/>
      <c r="C1026" s="422"/>
      <c r="D1026" s="422"/>
      <c r="E1026" s="422"/>
      <c r="F1026" s="423"/>
    </row>
    <row r="1027" spans="2:6" ht="18" x14ac:dyDescent="0.35">
      <c r="B1027" s="421"/>
      <c r="C1027" s="422"/>
      <c r="D1027" s="422"/>
      <c r="E1027" s="422"/>
      <c r="F1027" s="423"/>
    </row>
    <row r="1028" spans="2:6" ht="18" x14ac:dyDescent="0.35">
      <c r="B1028" s="421"/>
      <c r="C1028" s="422"/>
      <c r="D1028" s="422"/>
      <c r="E1028" s="422"/>
      <c r="F1028" s="423"/>
    </row>
    <row r="1029" spans="2:6" ht="18" x14ac:dyDescent="0.35">
      <c r="B1029" s="421"/>
      <c r="C1029" s="422"/>
      <c r="D1029" s="422"/>
      <c r="E1029" s="422"/>
      <c r="F1029" s="423"/>
    </row>
    <row r="1030" spans="2:6" ht="18" x14ac:dyDescent="0.35">
      <c r="B1030" s="421"/>
      <c r="C1030" s="422"/>
      <c r="D1030" s="422"/>
      <c r="E1030" s="422"/>
      <c r="F1030" s="423"/>
    </row>
    <row r="1031" spans="2:6" ht="18" x14ac:dyDescent="0.35">
      <c r="B1031" s="421"/>
      <c r="C1031" s="422"/>
      <c r="D1031" s="422"/>
      <c r="E1031" s="422"/>
      <c r="F1031" s="423"/>
    </row>
    <row r="1032" spans="2:6" ht="18" x14ac:dyDescent="0.35">
      <c r="B1032" s="421"/>
      <c r="C1032" s="422"/>
      <c r="D1032" s="422"/>
      <c r="E1032" s="422"/>
      <c r="F1032" s="423"/>
    </row>
    <row r="1033" spans="2:6" ht="18" x14ac:dyDescent="0.35">
      <c r="B1033" s="421"/>
      <c r="C1033" s="422"/>
      <c r="D1033" s="422"/>
      <c r="E1033" s="422"/>
      <c r="F1033" s="423"/>
    </row>
    <row r="1034" spans="2:6" ht="18" x14ac:dyDescent="0.35">
      <c r="B1034" s="421"/>
      <c r="C1034" s="422"/>
      <c r="D1034" s="422"/>
      <c r="E1034" s="422"/>
      <c r="F1034" s="423"/>
    </row>
    <row r="1035" spans="2:6" ht="18" x14ac:dyDescent="0.35">
      <c r="B1035" s="421"/>
      <c r="C1035" s="422"/>
      <c r="D1035" s="422"/>
      <c r="E1035" s="422"/>
      <c r="F1035" s="423"/>
    </row>
    <row r="1036" spans="2:6" ht="18" x14ac:dyDescent="0.35">
      <c r="B1036" s="421"/>
      <c r="C1036" s="422"/>
      <c r="D1036" s="422"/>
      <c r="E1036" s="422"/>
      <c r="F1036" s="423"/>
    </row>
    <row r="1037" spans="2:6" ht="18" x14ac:dyDescent="0.35">
      <c r="B1037" s="421"/>
      <c r="C1037" s="422"/>
      <c r="D1037" s="422"/>
      <c r="E1037" s="422"/>
      <c r="F1037" s="423"/>
    </row>
    <row r="1038" spans="2:6" ht="18" x14ac:dyDescent="0.35">
      <c r="B1038" s="421"/>
      <c r="C1038" s="422"/>
      <c r="D1038" s="422"/>
      <c r="E1038" s="422"/>
      <c r="F1038" s="423"/>
    </row>
    <row r="1039" spans="2:6" ht="18" x14ac:dyDescent="0.35">
      <c r="B1039" s="421"/>
      <c r="C1039" s="422"/>
      <c r="D1039" s="422"/>
      <c r="E1039" s="422"/>
      <c r="F1039" s="423"/>
    </row>
    <row r="1040" spans="2:6" ht="18" x14ac:dyDescent="0.35">
      <c r="B1040" s="421"/>
      <c r="C1040" s="422"/>
      <c r="D1040" s="422"/>
      <c r="E1040" s="422"/>
      <c r="F1040" s="423"/>
    </row>
    <row r="1041" spans="2:6" ht="18" x14ac:dyDescent="0.35">
      <c r="B1041" s="421"/>
      <c r="C1041" s="422"/>
      <c r="D1041" s="422"/>
      <c r="E1041" s="422"/>
      <c r="F1041" s="423"/>
    </row>
    <row r="1042" spans="2:6" ht="18" x14ac:dyDescent="0.35">
      <c r="B1042" s="421"/>
      <c r="C1042" s="422"/>
      <c r="D1042" s="422"/>
      <c r="E1042" s="422"/>
      <c r="F1042" s="423"/>
    </row>
    <row r="1043" spans="2:6" ht="18" x14ac:dyDescent="0.35">
      <c r="B1043" s="421"/>
      <c r="C1043" s="422"/>
      <c r="D1043" s="422"/>
      <c r="E1043" s="422"/>
      <c r="F1043" s="423"/>
    </row>
    <row r="1044" spans="2:6" ht="18" x14ac:dyDescent="0.35">
      <c r="B1044" s="421"/>
      <c r="C1044" s="422"/>
      <c r="D1044" s="422"/>
      <c r="E1044" s="422"/>
      <c r="F1044" s="423"/>
    </row>
    <row r="1045" spans="2:6" ht="18" x14ac:dyDescent="0.35">
      <c r="B1045" s="421"/>
      <c r="C1045" s="422"/>
      <c r="D1045" s="422"/>
      <c r="E1045" s="422"/>
      <c r="F1045" s="423"/>
    </row>
    <row r="1046" spans="2:6" ht="18" x14ac:dyDescent="0.35">
      <c r="B1046" s="421"/>
      <c r="C1046" s="422"/>
      <c r="D1046" s="422"/>
      <c r="E1046" s="422"/>
      <c r="F1046" s="423"/>
    </row>
    <row r="1047" spans="2:6" ht="18" x14ac:dyDescent="0.35">
      <c r="B1047" s="421"/>
      <c r="C1047" s="422"/>
      <c r="D1047" s="422"/>
      <c r="E1047" s="422"/>
      <c r="F1047" s="423"/>
    </row>
    <row r="1048" spans="2:6" ht="18" x14ac:dyDescent="0.35">
      <c r="B1048" s="421"/>
      <c r="C1048" s="422"/>
      <c r="D1048" s="422"/>
      <c r="E1048" s="422"/>
      <c r="F1048" s="423"/>
    </row>
    <row r="1049" spans="2:6" ht="18" x14ac:dyDescent="0.35">
      <c r="B1049" s="421"/>
      <c r="C1049" s="422"/>
      <c r="D1049" s="422"/>
      <c r="E1049" s="422"/>
      <c r="F1049" s="423"/>
    </row>
    <row r="1050" spans="2:6" ht="18" x14ac:dyDescent="0.35">
      <c r="B1050" s="421"/>
      <c r="C1050" s="422"/>
      <c r="D1050" s="422"/>
      <c r="E1050" s="422"/>
      <c r="F1050" s="423"/>
    </row>
    <row r="1051" spans="2:6" ht="18" x14ac:dyDescent="0.35">
      <c r="B1051" s="421"/>
      <c r="C1051" s="422"/>
      <c r="D1051" s="422"/>
      <c r="E1051" s="422"/>
      <c r="F1051" s="423"/>
    </row>
    <row r="1052" spans="2:6" ht="18" x14ac:dyDescent="0.35">
      <c r="B1052" s="421"/>
      <c r="C1052" s="422"/>
      <c r="D1052" s="422"/>
      <c r="E1052" s="422"/>
      <c r="F1052" s="423"/>
    </row>
    <row r="1053" spans="2:6" ht="18" x14ac:dyDescent="0.35">
      <c r="B1053" s="421"/>
      <c r="C1053" s="422"/>
      <c r="D1053" s="422"/>
      <c r="E1053" s="422"/>
      <c r="F1053" s="423"/>
    </row>
    <row r="1054" spans="2:6" ht="18" x14ac:dyDescent="0.35">
      <c r="B1054" s="421"/>
      <c r="C1054" s="422"/>
      <c r="D1054" s="422"/>
      <c r="E1054" s="422"/>
      <c r="F1054" s="423"/>
    </row>
    <row r="1055" spans="2:6" ht="18" x14ac:dyDescent="0.35">
      <c r="B1055" s="421"/>
      <c r="C1055" s="422"/>
      <c r="D1055" s="422"/>
      <c r="E1055" s="422"/>
      <c r="F1055" s="423"/>
    </row>
    <row r="1056" spans="2:6" ht="18" x14ac:dyDescent="0.35">
      <c r="B1056" s="421"/>
      <c r="C1056" s="422"/>
      <c r="D1056" s="422"/>
      <c r="E1056" s="422"/>
      <c r="F1056" s="423"/>
    </row>
    <row r="1057" spans="2:6" ht="18" x14ac:dyDescent="0.35">
      <c r="B1057" s="421"/>
      <c r="C1057" s="422"/>
      <c r="D1057" s="422"/>
      <c r="E1057" s="422"/>
      <c r="F1057" s="423"/>
    </row>
    <row r="1058" spans="2:6" ht="18" x14ac:dyDescent="0.35">
      <c r="B1058" s="421"/>
      <c r="C1058" s="422"/>
      <c r="D1058" s="422"/>
      <c r="E1058" s="422"/>
      <c r="F1058" s="423"/>
    </row>
    <row r="1059" spans="2:6" ht="18" x14ac:dyDescent="0.35">
      <c r="B1059" s="421"/>
      <c r="C1059" s="422"/>
      <c r="D1059" s="422"/>
      <c r="E1059" s="422"/>
      <c r="F1059" s="423"/>
    </row>
    <row r="1060" spans="2:6" ht="18" x14ac:dyDescent="0.35">
      <c r="B1060" s="421"/>
      <c r="C1060" s="422"/>
      <c r="D1060" s="422"/>
      <c r="E1060" s="422"/>
      <c r="F1060" s="423"/>
    </row>
    <row r="1061" spans="2:6" ht="18" x14ac:dyDescent="0.35">
      <c r="B1061" s="421"/>
      <c r="C1061" s="422"/>
      <c r="D1061" s="422"/>
      <c r="E1061" s="422"/>
      <c r="F1061" s="423"/>
    </row>
    <row r="1062" spans="2:6" ht="18" x14ac:dyDescent="0.35">
      <c r="B1062" s="421"/>
      <c r="C1062" s="422"/>
      <c r="D1062" s="422"/>
      <c r="E1062" s="422"/>
      <c r="F1062" s="423"/>
    </row>
    <row r="1063" spans="2:6" ht="18" x14ac:dyDescent="0.35">
      <c r="B1063" s="421"/>
      <c r="C1063" s="422"/>
      <c r="D1063" s="422"/>
      <c r="E1063" s="422"/>
      <c r="F1063" s="423"/>
    </row>
    <row r="1064" spans="2:6" ht="18" x14ac:dyDescent="0.35">
      <c r="B1064" s="421"/>
      <c r="C1064" s="422"/>
      <c r="D1064" s="422"/>
      <c r="E1064" s="422"/>
      <c r="F1064" s="423"/>
    </row>
    <row r="1065" spans="2:6" ht="18" x14ac:dyDescent="0.35">
      <c r="B1065" s="421"/>
      <c r="C1065" s="422"/>
      <c r="D1065" s="422"/>
      <c r="E1065" s="422"/>
      <c r="F1065" s="423"/>
    </row>
    <row r="1066" spans="2:6" ht="18" x14ac:dyDescent="0.35">
      <c r="B1066" s="421"/>
      <c r="C1066" s="422"/>
      <c r="D1066" s="422"/>
      <c r="E1066" s="422"/>
      <c r="F1066" s="423"/>
    </row>
    <row r="1067" spans="2:6" ht="18" x14ac:dyDescent="0.35">
      <c r="B1067" s="421"/>
      <c r="C1067" s="422"/>
      <c r="D1067" s="422"/>
      <c r="E1067" s="422"/>
      <c r="F1067" s="423"/>
    </row>
    <row r="1068" spans="2:6" ht="18" x14ac:dyDescent="0.35">
      <c r="B1068" s="421"/>
      <c r="C1068" s="422"/>
      <c r="D1068" s="422"/>
      <c r="E1068" s="422"/>
      <c r="F1068" s="423"/>
    </row>
    <row r="1069" spans="2:6" ht="18" x14ac:dyDescent="0.35">
      <c r="B1069" s="421"/>
      <c r="C1069" s="422"/>
      <c r="D1069" s="422"/>
      <c r="E1069" s="422"/>
      <c r="F1069" s="423"/>
    </row>
    <row r="1070" spans="2:6" ht="18" x14ac:dyDescent="0.35">
      <c r="B1070" s="421"/>
      <c r="C1070" s="422"/>
      <c r="D1070" s="422"/>
      <c r="E1070" s="422"/>
      <c r="F1070" s="423"/>
    </row>
    <row r="1071" spans="2:6" ht="18" x14ac:dyDescent="0.35">
      <c r="B1071" s="421"/>
      <c r="C1071" s="422"/>
      <c r="D1071" s="422"/>
      <c r="E1071" s="422"/>
      <c r="F1071" s="423"/>
    </row>
    <row r="1072" spans="2:6" ht="18" x14ac:dyDescent="0.35">
      <c r="B1072" s="421"/>
      <c r="C1072" s="422"/>
      <c r="D1072" s="422"/>
      <c r="E1072" s="422"/>
      <c r="F1072" s="423"/>
    </row>
    <row r="1073" spans="2:6" ht="18" x14ac:dyDescent="0.35">
      <c r="B1073" s="421"/>
      <c r="C1073" s="422"/>
      <c r="D1073" s="422"/>
      <c r="E1073" s="422"/>
      <c r="F1073" s="423"/>
    </row>
    <row r="1074" spans="2:6" ht="18" x14ac:dyDescent="0.35">
      <c r="B1074" s="421"/>
      <c r="C1074" s="422"/>
      <c r="D1074" s="422"/>
      <c r="E1074" s="422"/>
      <c r="F1074" s="423"/>
    </row>
    <row r="1075" spans="2:6" ht="18" x14ac:dyDescent="0.35">
      <c r="B1075" s="421"/>
      <c r="C1075" s="422"/>
      <c r="D1075" s="422"/>
      <c r="E1075" s="422"/>
      <c r="F1075" s="423"/>
    </row>
    <row r="1076" spans="2:6" ht="18" x14ac:dyDescent="0.35">
      <c r="B1076" s="421"/>
      <c r="C1076" s="422"/>
      <c r="D1076" s="422"/>
      <c r="E1076" s="422"/>
      <c r="F1076" s="423"/>
    </row>
    <row r="1077" spans="2:6" ht="18" x14ac:dyDescent="0.35">
      <c r="B1077" s="421"/>
      <c r="C1077" s="422"/>
      <c r="D1077" s="422"/>
      <c r="E1077" s="422"/>
      <c r="F1077" s="423"/>
    </row>
    <row r="1078" spans="2:6" ht="18" x14ac:dyDescent="0.35">
      <c r="B1078" s="421"/>
      <c r="C1078" s="422"/>
      <c r="D1078" s="422"/>
      <c r="E1078" s="422"/>
      <c r="F1078" s="423"/>
    </row>
    <row r="1079" spans="2:6" ht="18" x14ac:dyDescent="0.35">
      <c r="B1079" s="421"/>
      <c r="C1079" s="422"/>
      <c r="D1079" s="422"/>
      <c r="E1079" s="422"/>
      <c r="F1079" s="423"/>
    </row>
    <row r="1080" spans="2:6" ht="18" x14ac:dyDescent="0.35">
      <c r="B1080" s="421"/>
      <c r="C1080" s="422"/>
      <c r="D1080" s="422"/>
      <c r="E1080" s="422"/>
      <c r="F1080" s="423"/>
    </row>
    <row r="1081" spans="2:6" ht="18" x14ac:dyDescent="0.35">
      <c r="B1081" s="421"/>
      <c r="C1081" s="422"/>
      <c r="D1081" s="422"/>
      <c r="E1081" s="422"/>
      <c r="F1081" s="423"/>
    </row>
    <row r="1082" spans="2:6" ht="18" x14ac:dyDescent="0.35">
      <c r="B1082" s="421"/>
      <c r="C1082" s="422"/>
      <c r="D1082" s="422"/>
      <c r="E1082" s="422"/>
      <c r="F1082" s="423"/>
    </row>
    <row r="1083" spans="2:6" ht="18" x14ac:dyDescent="0.35">
      <c r="B1083" s="421"/>
      <c r="C1083" s="422"/>
      <c r="D1083" s="422"/>
      <c r="E1083" s="422"/>
      <c r="F1083" s="423"/>
    </row>
    <row r="1084" spans="2:6" ht="18" x14ac:dyDescent="0.35">
      <c r="B1084" s="421"/>
      <c r="C1084" s="422"/>
      <c r="D1084" s="422"/>
      <c r="E1084" s="422"/>
      <c r="F1084" s="423"/>
    </row>
    <row r="1085" spans="2:6" ht="18" x14ac:dyDescent="0.35">
      <c r="B1085" s="421"/>
      <c r="C1085" s="422"/>
      <c r="D1085" s="422"/>
      <c r="E1085" s="422"/>
      <c r="F1085" s="423"/>
    </row>
    <row r="1086" spans="2:6" ht="18" x14ac:dyDescent="0.35">
      <c r="B1086" s="421"/>
      <c r="C1086" s="422"/>
      <c r="D1086" s="422"/>
      <c r="E1086" s="422"/>
      <c r="F1086" s="423"/>
    </row>
    <row r="1087" spans="2:6" ht="18" x14ac:dyDescent="0.35">
      <c r="B1087" s="421"/>
      <c r="C1087" s="422"/>
      <c r="D1087" s="422"/>
      <c r="E1087" s="422"/>
      <c r="F1087" s="423"/>
    </row>
    <row r="1088" spans="2:6" ht="18" x14ac:dyDescent="0.35">
      <c r="B1088" s="421"/>
      <c r="C1088" s="422"/>
      <c r="D1088" s="422"/>
      <c r="E1088" s="422"/>
      <c r="F1088" s="423"/>
    </row>
    <row r="1089" spans="2:6" ht="18" x14ac:dyDescent="0.35">
      <c r="B1089" s="421"/>
      <c r="C1089" s="422"/>
      <c r="D1089" s="422"/>
      <c r="E1089" s="422"/>
      <c r="F1089" s="423"/>
    </row>
    <row r="1090" spans="2:6" ht="18" x14ac:dyDescent="0.35">
      <c r="B1090" s="421"/>
      <c r="C1090" s="422"/>
      <c r="D1090" s="422"/>
      <c r="E1090" s="422"/>
      <c r="F1090" s="423"/>
    </row>
    <row r="1091" spans="2:6" ht="18" x14ac:dyDescent="0.35">
      <c r="B1091" s="421"/>
      <c r="C1091" s="422"/>
      <c r="D1091" s="422"/>
      <c r="E1091" s="422"/>
      <c r="F1091" s="423"/>
    </row>
    <row r="1092" spans="2:6" ht="18" x14ac:dyDescent="0.35">
      <c r="B1092" s="421"/>
      <c r="C1092" s="422"/>
      <c r="D1092" s="422"/>
      <c r="E1092" s="422"/>
      <c r="F1092" s="423"/>
    </row>
    <row r="1093" spans="2:6" ht="18" x14ac:dyDescent="0.35">
      <c r="B1093" s="421"/>
      <c r="C1093" s="422"/>
      <c r="D1093" s="422"/>
      <c r="E1093" s="422"/>
      <c r="F1093" s="423"/>
    </row>
    <row r="1094" spans="2:6" ht="18" x14ac:dyDescent="0.35">
      <c r="B1094" s="421"/>
      <c r="C1094" s="422"/>
      <c r="D1094" s="422"/>
      <c r="E1094" s="422"/>
      <c r="F1094" s="423"/>
    </row>
    <row r="1095" spans="2:6" ht="18" x14ac:dyDescent="0.35">
      <c r="B1095" s="421"/>
      <c r="C1095" s="422"/>
      <c r="D1095" s="422"/>
      <c r="E1095" s="422"/>
      <c r="F1095" s="423"/>
    </row>
    <row r="1096" spans="2:6" ht="18" x14ac:dyDescent="0.35">
      <c r="B1096" s="421"/>
      <c r="C1096" s="422"/>
      <c r="D1096" s="422"/>
      <c r="E1096" s="422"/>
      <c r="F1096" s="423"/>
    </row>
    <row r="1097" spans="2:6" ht="18" x14ac:dyDescent="0.35">
      <c r="B1097" s="421"/>
      <c r="C1097" s="422"/>
      <c r="D1097" s="422"/>
      <c r="E1097" s="422"/>
      <c r="F1097" s="423"/>
    </row>
    <row r="1098" spans="2:6" ht="18" x14ac:dyDescent="0.35">
      <c r="B1098" s="421"/>
      <c r="C1098" s="422"/>
      <c r="D1098" s="422"/>
      <c r="E1098" s="422"/>
      <c r="F1098" s="423"/>
    </row>
    <row r="1099" spans="2:6" ht="18" x14ac:dyDescent="0.35">
      <c r="B1099" s="421"/>
      <c r="C1099" s="422"/>
      <c r="D1099" s="422"/>
      <c r="E1099" s="422"/>
      <c r="F1099" s="423"/>
    </row>
    <row r="1100" spans="2:6" ht="18" x14ac:dyDescent="0.35">
      <c r="B1100" s="421"/>
      <c r="C1100" s="422"/>
      <c r="D1100" s="422"/>
      <c r="E1100" s="422"/>
      <c r="F1100" s="423"/>
    </row>
    <row r="1101" spans="2:6" ht="18" x14ac:dyDescent="0.35">
      <c r="B1101" s="421"/>
      <c r="C1101" s="422"/>
      <c r="D1101" s="422"/>
      <c r="E1101" s="422"/>
      <c r="F1101" s="423"/>
    </row>
    <row r="1102" spans="2:6" ht="18" x14ac:dyDescent="0.35">
      <c r="B1102" s="421"/>
      <c r="C1102" s="422"/>
      <c r="D1102" s="422"/>
      <c r="E1102" s="422"/>
      <c r="F1102" s="423"/>
    </row>
    <row r="1103" spans="2:6" ht="18" x14ac:dyDescent="0.35">
      <c r="B1103" s="421"/>
      <c r="C1103" s="422"/>
      <c r="D1103" s="422"/>
      <c r="E1103" s="422"/>
      <c r="F1103" s="423"/>
    </row>
    <row r="1104" spans="2:6" ht="18" x14ac:dyDescent="0.35">
      <c r="B1104" s="421"/>
      <c r="C1104" s="422"/>
      <c r="D1104" s="422"/>
      <c r="E1104" s="422"/>
      <c r="F1104" s="423"/>
    </row>
    <row r="1105" spans="2:6" ht="18" x14ac:dyDescent="0.35">
      <c r="B1105" s="421"/>
      <c r="C1105" s="422"/>
      <c r="D1105" s="422"/>
      <c r="E1105" s="422"/>
      <c r="F1105" s="423"/>
    </row>
    <row r="1106" spans="2:6" ht="18" x14ac:dyDescent="0.35">
      <c r="B1106" s="421"/>
      <c r="C1106" s="422"/>
      <c r="D1106" s="422"/>
      <c r="E1106" s="422"/>
      <c r="F1106" s="423"/>
    </row>
    <row r="1107" spans="2:6" ht="18" x14ac:dyDescent="0.35">
      <c r="B1107" s="421"/>
      <c r="C1107" s="422"/>
      <c r="D1107" s="422"/>
      <c r="E1107" s="422"/>
      <c r="F1107" s="423"/>
    </row>
    <row r="1108" spans="2:6" ht="18" x14ac:dyDescent="0.35">
      <c r="B1108" s="421"/>
      <c r="C1108" s="422"/>
      <c r="D1108" s="422"/>
      <c r="E1108" s="422"/>
      <c r="F1108" s="423"/>
    </row>
    <row r="1109" spans="2:6" ht="18" x14ac:dyDescent="0.35">
      <c r="B1109" s="421"/>
      <c r="C1109" s="422"/>
      <c r="D1109" s="422"/>
      <c r="E1109" s="422"/>
      <c r="F1109" s="423"/>
    </row>
    <row r="1110" spans="2:6" ht="18" x14ac:dyDescent="0.35">
      <c r="B1110" s="421"/>
      <c r="C1110" s="422"/>
      <c r="D1110" s="422"/>
      <c r="E1110" s="422"/>
      <c r="F1110" s="423"/>
    </row>
    <row r="1111" spans="2:6" ht="18" x14ac:dyDescent="0.35">
      <c r="B1111" s="421"/>
      <c r="C1111" s="422"/>
      <c r="D1111" s="422"/>
      <c r="E1111" s="422"/>
      <c r="F1111" s="423"/>
    </row>
    <row r="1112" spans="2:6" ht="18" x14ac:dyDescent="0.35">
      <c r="B1112" s="421"/>
      <c r="C1112" s="422"/>
      <c r="D1112" s="422"/>
      <c r="E1112" s="422"/>
      <c r="F1112" s="423"/>
    </row>
    <row r="1113" spans="2:6" ht="18" x14ac:dyDescent="0.35">
      <c r="B1113" s="421"/>
      <c r="C1113" s="422"/>
      <c r="D1113" s="422"/>
      <c r="E1113" s="422"/>
      <c r="F1113" s="423"/>
    </row>
    <row r="1114" spans="2:6" ht="18" x14ac:dyDescent="0.35">
      <c r="B1114" s="421"/>
      <c r="C1114" s="422"/>
      <c r="D1114" s="422"/>
      <c r="E1114" s="422"/>
      <c r="F1114" s="423"/>
    </row>
    <row r="1115" spans="2:6" ht="18" x14ac:dyDescent="0.35">
      <c r="B1115" s="421"/>
      <c r="C1115" s="422"/>
      <c r="D1115" s="422"/>
      <c r="E1115" s="422"/>
      <c r="F1115" s="423"/>
    </row>
    <row r="1116" spans="2:6" ht="18" x14ac:dyDescent="0.35">
      <c r="B1116" s="421"/>
      <c r="C1116" s="422"/>
      <c r="D1116" s="422"/>
      <c r="E1116" s="422"/>
      <c r="F1116" s="423"/>
    </row>
    <row r="1117" spans="2:6" ht="18" x14ac:dyDescent="0.35">
      <c r="B1117" s="421"/>
      <c r="C1117" s="422"/>
      <c r="D1117" s="422"/>
      <c r="E1117" s="422"/>
      <c r="F1117" s="423"/>
    </row>
    <row r="1118" spans="2:6" ht="18" x14ac:dyDescent="0.35">
      <c r="B1118" s="421"/>
      <c r="C1118" s="422"/>
      <c r="D1118" s="422"/>
      <c r="E1118" s="422"/>
      <c r="F1118" s="423"/>
    </row>
    <row r="1119" spans="2:6" ht="18" x14ac:dyDescent="0.35">
      <c r="B1119" s="421"/>
      <c r="C1119" s="422"/>
      <c r="D1119" s="422"/>
      <c r="E1119" s="422"/>
      <c r="F1119" s="423"/>
    </row>
    <row r="1120" spans="2:6" ht="18" x14ac:dyDescent="0.35">
      <c r="B1120" s="421"/>
      <c r="C1120" s="422"/>
      <c r="D1120" s="422"/>
      <c r="E1120" s="422"/>
      <c r="F1120" s="423"/>
    </row>
    <row r="1121" spans="2:6" ht="18" x14ac:dyDescent="0.35">
      <c r="B1121" s="421"/>
      <c r="C1121" s="422"/>
      <c r="D1121" s="422"/>
      <c r="E1121" s="422"/>
      <c r="F1121" s="423"/>
    </row>
    <row r="1122" spans="2:6" ht="18" x14ac:dyDescent="0.35">
      <c r="B1122" s="421"/>
      <c r="C1122" s="422"/>
      <c r="D1122" s="422"/>
      <c r="E1122" s="422"/>
      <c r="F1122" s="423"/>
    </row>
    <row r="1123" spans="2:6" ht="18" x14ac:dyDescent="0.35">
      <c r="B1123" s="421"/>
      <c r="C1123" s="422"/>
      <c r="D1123" s="422"/>
      <c r="E1123" s="422"/>
      <c r="F1123" s="423"/>
    </row>
    <row r="1124" spans="2:6" ht="18" x14ac:dyDescent="0.35">
      <c r="B1124" s="421"/>
      <c r="C1124" s="422"/>
      <c r="D1124" s="422"/>
      <c r="E1124" s="422"/>
      <c r="F1124" s="423"/>
    </row>
    <row r="1125" spans="2:6" ht="18" x14ac:dyDescent="0.35">
      <c r="B1125" s="421"/>
      <c r="C1125" s="422"/>
      <c r="D1125" s="422"/>
      <c r="E1125" s="422"/>
      <c r="F1125" s="423"/>
    </row>
    <row r="1126" spans="2:6" ht="18" x14ac:dyDescent="0.35">
      <c r="B1126" s="421"/>
      <c r="C1126" s="422"/>
      <c r="D1126" s="422"/>
      <c r="E1126" s="422"/>
      <c r="F1126" s="423"/>
    </row>
    <row r="1127" spans="2:6" ht="18" x14ac:dyDescent="0.35">
      <c r="B1127" s="421"/>
      <c r="C1127" s="422"/>
      <c r="D1127" s="422"/>
      <c r="E1127" s="422"/>
      <c r="F1127" s="423"/>
    </row>
    <row r="1128" spans="2:6" ht="18" x14ac:dyDescent="0.35">
      <c r="B1128" s="421"/>
      <c r="C1128" s="422"/>
      <c r="D1128" s="422"/>
      <c r="E1128" s="422"/>
      <c r="F1128" s="423"/>
    </row>
    <row r="1129" spans="2:6" ht="18" x14ac:dyDescent="0.35">
      <c r="B1129" s="421"/>
      <c r="C1129" s="422"/>
      <c r="D1129" s="422"/>
      <c r="E1129" s="422"/>
      <c r="F1129" s="423"/>
    </row>
    <row r="1130" spans="2:6" ht="18" x14ac:dyDescent="0.35">
      <c r="B1130" s="421"/>
      <c r="C1130" s="422"/>
      <c r="D1130" s="422"/>
      <c r="E1130" s="422"/>
      <c r="F1130" s="423"/>
    </row>
    <row r="1131" spans="2:6" ht="18" x14ac:dyDescent="0.35">
      <c r="B1131" s="421"/>
      <c r="C1131" s="422"/>
      <c r="D1131" s="422"/>
      <c r="E1131" s="422"/>
      <c r="F1131" s="423"/>
    </row>
    <row r="1132" spans="2:6" ht="18" x14ac:dyDescent="0.35">
      <c r="B1132" s="421"/>
      <c r="C1132" s="422"/>
      <c r="D1132" s="422"/>
      <c r="E1132" s="422"/>
      <c r="F1132" s="423"/>
    </row>
    <row r="1133" spans="2:6" ht="18" x14ac:dyDescent="0.35">
      <c r="B1133" s="421"/>
      <c r="C1133" s="422"/>
      <c r="D1133" s="422"/>
      <c r="E1133" s="422"/>
      <c r="F1133" s="423"/>
    </row>
    <row r="1134" spans="2:6" ht="18" x14ac:dyDescent="0.35">
      <c r="B1134" s="421"/>
      <c r="C1134" s="422"/>
      <c r="D1134" s="422"/>
      <c r="E1134" s="422"/>
      <c r="F1134" s="423"/>
    </row>
    <row r="1135" spans="2:6" ht="18" x14ac:dyDescent="0.35">
      <c r="B1135" s="421"/>
      <c r="C1135" s="422"/>
      <c r="D1135" s="422"/>
      <c r="E1135" s="422"/>
      <c r="F1135" s="423"/>
    </row>
    <row r="1136" spans="2:6" ht="18" x14ac:dyDescent="0.35">
      <c r="B1136" s="421"/>
      <c r="C1136" s="422"/>
      <c r="D1136" s="422"/>
      <c r="E1136" s="422"/>
      <c r="F1136" s="423"/>
    </row>
    <row r="1137" spans="2:6" ht="18" x14ac:dyDescent="0.35">
      <c r="B1137" s="421"/>
      <c r="C1137" s="422"/>
      <c r="D1137" s="422"/>
      <c r="E1137" s="422"/>
      <c r="F1137" s="423"/>
    </row>
    <row r="1138" spans="2:6" ht="18" x14ac:dyDescent="0.35">
      <c r="B1138" s="421"/>
      <c r="C1138" s="422"/>
      <c r="D1138" s="422"/>
      <c r="E1138" s="422"/>
      <c r="F1138" s="423"/>
    </row>
    <row r="1139" spans="2:6" ht="18" x14ac:dyDescent="0.35">
      <c r="B1139" s="421"/>
      <c r="C1139" s="422"/>
      <c r="D1139" s="422"/>
      <c r="E1139" s="422"/>
      <c r="F1139" s="423"/>
    </row>
    <row r="1140" spans="2:6" ht="18" x14ac:dyDescent="0.35">
      <c r="B1140" s="421"/>
      <c r="C1140" s="422"/>
      <c r="D1140" s="422"/>
      <c r="E1140" s="422"/>
      <c r="F1140" s="423"/>
    </row>
    <row r="1141" spans="2:6" ht="18" x14ac:dyDescent="0.35">
      <c r="B1141" s="421"/>
      <c r="C1141" s="422"/>
      <c r="D1141" s="422"/>
      <c r="E1141" s="422"/>
      <c r="F1141" s="423"/>
    </row>
    <row r="1142" spans="2:6" ht="18" x14ac:dyDescent="0.35">
      <c r="B1142" s="421"/>
      <c r="C1142" s="422"/>
      <c r="D1142" s="422"/>
      <c r="E1142" s="422"/>
      <c r="F1142" s="423"/>
    </row>
    <row r="1143" spans="2:6" ht="18" x14ac:dyDescent="0.35">
      <c r="B1143" s="421"/>
      <c r="C1143" s="422"/>
      <c r="D1143" s="422"/>
      <c r="E1143" s="422"/>
      <c r="F1143" s="423"/>
    </row>
    <row r="1144" spans="2:6" ht="18" x14ac:dyDescent="0.35">
      <c r="B1144" s="421"/>
      <c r="C1144" s="422"/>
      <c r="D1144" s="422"/>
      <c r="E1144" s="422"/>
      <c r="F1144" s="423"/>
    </row>
    <row r="1145" spans="2:6" ht="18" x14ac:dyDescent="0.35">
      <c r="B1145" s="421"/>
      <c r="C1145" s="422"/>
      <c r="D1145" s="422"/>
      <c r="E1145" s="422"/>
      <c r="F1145" s="423"/>
    </row>
    <row r="1146" spans="2:6" ht="18" x14ac:dyDescent="0.35">
      <c r="B1146" s="421"/>
      <c r="C1146" s="422"/>
      <c r="D1146" s="422"/>
      <c r="E1146" s="422"/>
      <c r="F1146" s="423"/>
    </row>
    <row r="1147" spans="2:6" ht="18" x14ac:dyDescent="0.35">
      <c r="B1147" s="421"/>
      <c r="C1147" s="422"/>
      <c r="D1147" s="422"/>
      <c r="E1147" s="422"/>
      <c r="F1147" s="423"/>
    </row>
    <row r="1148" spans="2:6" ht="18" x14ac:dyDescent="0.35">
      <c r="B1148" s="421"/>
      <c r="C1148" s="422"/>
      <c r="D1148" s="422"/>
      <c r="E1148" s="422"/>
      <c r="F1148" s="423"/>
    </row>
    <row r="1149" spans="2:6" ht="18" x14ac:dyDescent="0.35">
      <c r="B1149" s="421"/>
      <c r="C1149" s="422"/>
      <c r="D1149" s="422"/>
      <c r="E1149" s="422"/>
      <c r="F1149" s="423"/>
    </row>
    <row r="1150" spans="2:6" ht="18" x14ac:dyDescent="0.35">
      <c r="B1150" s="421"/>
      <c r="C1150" s="422"/>
      <c r="D1150" s="422"/>
      <c r="E1150" s="422"/>
      <c r="F1150" s="423"/>
    </row>
    <row r="1151" spans="2:6" ht="18" x14ac:dyDescent="0.35">
      <c r="B1151" s="421"/>
      <c r="C1151" s="422"/>
      <c r="D1151" s="422"/>
      <c r="E1151" s="422"/>
      <c r="F1151" s="423"/>
    </row>
    <row r="1152" spans="2:6" ht="18" x14ac:dyDescent="0.35">
      <c r="B1152" s="421"/>
      <c r="C1152" s="422"/>
      <c r="D1152" s="422"/>
      <c r="E1152" s="422"/>
      <c r="F1152" s="423"/>
    </row>
    <row r="1153" spans="2:6" ht="18" x14ac:dyDescent="0.35">
      <c r="B1153" s="421"/>
      <c r="C1153" s="422"/>
      <c r="D1153" s="422"/>
      <c r="E1153" s="422"/>
      <c r="F1153" s="423"/>
    </row>
    <row r="1154" spans="2:6" ht="18" x14ac:dyDescent="0.35">
      <c r="B1154" s="421"/>
      <c r="C1154" s="422"/>
      <c r="D1154" s="422"/>
      <c r="E1154" s="422"/>
      <c r="F1154" s="423"/>
    </row>
    <row r="1155" spans="2:6" ht="18" x14ac:dyDescent="0.35">
      <c r="B1155" s="421"/>
      <c r="C1155" s="422"/>
      <c r="D1155" s="422"/>
      <c r="E1155" s="422"/>
      <c r="F1155" s="423"/>
    </row>
    <row r="1156" spans="2:6" ht="18" x14ac:dyDescent="0.35">
      <c r="B1156" s="421"/>
      <c r="C1156" s="422"/>
      <c r="D1156" s="422"/>
      <c r="E1156" s="422"/>
      <c r="F1156" s="423"/>
    </row>
    <row r="1157" spans="2:6" ht="18" x14ac:dyDescent="0.35">
      <c r="B1157" s="421"/>
      <c r="C1157" s="422"/>
      <c r="D1157" s="422"/>
      <c r="E1157" s="422"/>
      <c r="F1157" s="423"/>
    </row>
    <row r="1158" spans="2:6" ht="18" x14ac:dyDescent="0.35">
      <c r="B1158" s="421"/>
      <c r="C1158" s="422"/>
      <c r="D1158" s="422"/>
      <c r="E1158" s="422"/>
      <c r="F1158" s="423"/>
    </row>
    <row r="1159" spans="2:6" ht="18" x14ac:dyDescent="0.35">
      <c r="B1159" s="421"/>
      <c r="C1159" s="422"/>
      <c r="D1159" s="422"/>
      <c r="E1159" s="422"/>
      <c r="F1159" s="423"/>
    </row>
    <row r="1160" spans="2:6" ht="18" x14ac:dyDescent="0.35">
      <c r="B1160" s="421"/>
      <c r="C1160" s="422"/>
      <c r="D1160" s="422"/>
      <c r="E1160" s="422"/>
      <c r="F1160" s="423"/>
    </row>
    <row r="1161" spans="2:6" ht="18" x14ac:dyDescent="0.35">
      <c r="B1161" s="421"/>
      <c r="C1161" s="422"/>
      <c r="D1161" s="422"/>
      <c r="E1161" s="422"/>
      <c r="F1161" s="423"/>
    </row>
    <row r="1162" spans="2:6" ht="18" x14ac:dyDescent="0.35">
      <c r="B1162" s="421"/>
      <c r="C1162" s="422"/>
      <c r="D1162" s="422"/>
      <c r="E1162" s="422"/>
      <c r="F1162" s="423"/>
    </row>
    <row r="1163" spans="2:6" ht="18" x14ac:dyDescent="0.35">
      <c r="B1163" s="421"/>
      <c r="C1163" s="422"/>
      <c r="D1163" s="422"/>
      <c r="E1163" s="422"/>
      <c r="F1163" s="423"/>
    </row>
    <row r="1164" spans="2:6" ht="18" x14ac:dyDescent="0.35">
      <c r="B1164" s="421"/>
      <c r="C1164" s="422"/>
      <c r="D1164" s="422"/>
      <c r="E1164" s="422"/>
      <c r="F1164" s="423"/>
    </row>
    <row r="1165" spans="2:6" ht="18" x14ac:dyDescent="0.35">
      <c r="B1165" s="421"/>
      <c r="C1165" s="422"/>
      <c r="D1165" s="422"/>
      <c r="E1165" s="422"/>
      <c r="F1165" s="423"/>
    </row>
    <row r="1166" spans="2:6" ht="18" x14ac:dyDescent="0.35">
      <c r="B1166" s="421"/>
      <c r="C1166" s="422"/>
      <c r="D1166" s="422"/>
      <c r="E1166" s="422"/>
      <c r="F1166" s="423"/>
    </row>
    <row r="1167" spans="2:6" ht="18" x14ac:dyDescent="0.35">
      <c r="B1167" s="421"/>
      <c r="C1167" s="422"/>
      <c r="D1167" s="422"/>
      <c r="E1167" s="422"/>
      <c r="F1167" s="423"/>
    </row>
    <row r="1168" spans="2:6" ht="18" x14ac:dyDescent="0.35">
      <c r="B1168" s="421"/>
      <c r="C1168" s="422"/>
      <c r="D1168" s="422"/>
      <c r="E1168" s="422"/>
      <c r="F1168" s="423"/>
    </row>
    <row r="1169" spans="2:6" ht="18" x14ac:dyDescent="0.35">
      <c r="B1169" s="421"/>
      <c r="C1169" s="422"/>
      <c r="D1169" s="422"/>
      <c r="E1169" s="422"/>
      <c r="F1169" s="423"/>
    </row>
    <row r="1170" spans="2:6" ht="18" x14ac:dyDescent="0.35">
      <c r="B1170" s="421"/>
      <c r="C1170" s="422"/>
      <c r="D1170" s="422"/>
      <c r="E1170" s="422"/>
      <c r="F1170" s="423"/>
    </row>
    <row r="1171" spans="2:6" ht="18" x14ac:dyDescent="0.35">
      <c r="B1171" s="421"/>
      <c r="C1171" s="422"/>
      <c r="D1171" s="422"/>
      <c r="E1171" s="422"/>
      <c r="F1171" s="423"/>
    </row>
    <row r="1172" spans="2:6" ht="18" x14ac:dyDescent="0.35">
      <c r="B1172" s="421"/>
      <c r="C1172" s="422"/>
      <c r="D1172" s="422"/>
      <c r="E1172" s="422"/>
      <c r="F1172" s="423"/>
    </row>
    <row r="1173" spans="2:6" ht="18" x14ac:dyDescent="0.35">
      <c r="B1173" s="421"/>
      <c r="C1173" s="422"/>
      <c r="D1173" s="422"/>
      <c r="E1173" s="422"/>
      <c r="F1173" s="423"/>
    </row>
    <row r="1174" spans="2:6" ht="18" x14ac:dyDescent="0.35">
      <c r="B1174" s="421"/>
      <c r="C1174" s="422"/>
      <c r="D1174" s="422"/>
      <c r="E1174" s="422"/>
      <c r="F1174" s="423"/>
    </row>
    <row r="1175" spans="2:6" ht="18" x14ac:dyDescent="0.35">
      <c r="B1175" s="421"/>
      <c r="C1175" s="422"/>
      <c r="D1175" s="422"/>
      <c r="E1175" s="422"/>
      <c r="F1175" s="423"/>
    </row>
    <row r="1176" spans="2:6" ht="18" x14ac:dyDescent="0.35">
      <c r="B1176" s="421"/>
      <c r="C1176" s="422"/>
      <c r="D1176" s="422"/>
      <c r="E1176" s="422"/>
      <c r="F1176" s="423"/>
    </row>
    <row r="1177" spans="2:6" ht="18" x14ac:dyDescent="0.35">
      <c r="B1177" s="421"/>
      <c r="C1177" s="422"/>
      <c r="D1177" s="422"/>
      <c r="E1177" s="422"/>
      <c r="F1177" s="423"/>
    </row>
    <row r="1178" spans="2:6" ht="18" x14ac:dyDescent="0.35">
      <c r="B1178" s="421"/>
      <c r="C1178" s="422"/>
      <c r="D1178" s="422"/>
      <c r="E1178" s="422"/>
      <c r="F1178" s="423"/>
    </row>
    <row r="1179" spans="2:6" ht="18" x14ac:dyDescent="0.35">
      <c r="B1179" s="421"/>
      <c r="C1179" s="422"/>
      <c r="D1179" s="422"/>
      <c r="E1179" s="422"/>
      <c r="F1179" s="423"/>
    </row>
    <row r="1180" spans="2:6" ht="18" x14ac:dyDescent="0.35">
      <c r="B1180" s="421"/>
      <c r="C1180" s="422"/>
      <c r="D1180" s="422"/>
      <c r="E1180" s="422"/>
      <c r="F1180" s="423"/>
    </row>
    <row r="1181" spans="2:6" ht="18" x14ac:dyDescent="0.35">
      <c r="B1181" s="421"/>
      <c r="C1181" s="422"/>
      <c r="D1181" s="422"/>
      <c r="E1181" s="422"/>
      <c r="F1181" s="423"/>
    </row>
    <row r="1182" spans="2:6" ht="18" x14ac:dyDescent="0.35">
      <c r="B1182" s="421"/>
      <c r="C1182" s="422"/>
      <c r="D1182" s="422"/>
      <c r="E1182" s="422"/>
      <c r="F1182" s="423"/>
    </row>
    <row r="1183" spans="2:6" ht="18" x14ac:dyDescent="0.35">
      <c r="B1183" s="421"/>
      <c r="C1183" s="422"/>
      <c r="D1183" s="422"/>
      <c r="E1183" s="422"/>
      <c r="F1183" s="423"/>
    </row>
    <row r="1184" spans="2:6" ht="18" x14ac:dyDescent="0.35">
      <c r="B1184" s="421"/>
      <c r="C1184" s="422"/>
      <c r="D1184" s="422"/>
      <c r="E1184" s="422"/>
      <c r="F1184" s="423"/>
    </row>
    <row r="1185" spans="2:6" ht="18" x14ac:dyDescent="0.35">
      <c r="B1185" s="421"/>
      <c r="C1185" s="422"/>
      <c r="D1185" s="422"/>
      <c r="E1185" s="422"/>
      <c r="F1185" s="423"/>
    </row>
    <row r="1186" spans="2:6" ht="18" x14ac:dyDescent="0.35">
      <c r="B1186" s="421"/>
      <c r="C1186" s="422"/>
      <c r="D1186" s="422"/>
      <c r="E1186" s="422"/>
      <c r="F1186" s="423"/>
    </row>
    <row r="1187" spans="2:6" ht="18" x14ac:dyDescent="0.35">
      <c r="B1187" s="421"/>
      <c r="C1187" s="422"/>
      <c r="D1187" s="422"/>
      <c r="E1187" s="422"/>
      <c r="F1187" s="423"/>
    </row>
    <row r="1188" spans="2:6" ht="18" x14ac:dyDescent="0.35">
      <c r="B1188" s="421"/>
      <c r="C1188" s="422"/>
      <c r="D1188" s="422"/>
      <c r="E1188" s="422"/>
      <c r="F1188" s="423"/>
    </row>
    <row r="1189" spans="2:6" ht="18" x14ac:dyDescent="0.35">
      <c r="B1189" s="421"/>
      <c r="C1189" s="422"/>
      <c r="D1189" s="422"/>
      <c r="E1189" s="422"/>
      <c r="F1189" s="423"/>
    </row>
    <row r="1190" spans="2:6" ht="18" x14ac:dyDescent="0.35">
      <c r="B1190" s="421"/>
      <c r="C1190" s="422"/>
      <c r="D1190" s="422"/>
      <c r="E1190" s="422"/>
      <c r="F1190" s="423"/>
    </row>
    <row r="1191" spans="2:6" ht="18" x14ac:dyDescent="0.35">
      <c r="B1191" s="421"/>
      <c r="C1191" s="422"/>
      <c r="D1191" s="422"/>
      <c r="E1191" s="422"/>
      <c r="F1191" s="423"/>
    </row>
    <row r="1192" spans="2:6" ht="18" x14ac:dyDescent="0.35">
      <c r="B1192" s="421"/>
      <c r="C1192" s="422"/>
      <c r="D1192" s="422"/>
      <c r="E1192" s="422"/>
      <c r="F1192" s="423"/>
    </row>
    <row r="1193" spans="2:6" ht="18" x14ac:dyDescent="0.35">
      <c r="B1193" s="421"/>
      <c r="C1193" s="422"/>
      <c r="D1193" s="422"/>
      <c r="E1193" s="422"/>
      <c r="F1193" s="423"/>
    </row>
    <row r="1194" spans="2:6" ht="18" x14ac:dyDescent="0.35">
      <c r="B1194" s="421"/>
      <c r="C1194" s="422"/>
      <c r="D1194" s="422"/>
      <c r="E1194" s="422"/>
      <c r="F1194" s="423"/>
    </row>
    <row r="1195" spans="2:6" ht="18" x14ac:dyDescent="0.35">
      <c r="B1195" s="421"/>
      <c r="C1195" s="422"/>
      <c r="D1195" s="422"/>
      <c r="E1195" s="422"/>
      <c r="F1195" s="423"/>
    </row>
    <row r="1196" spans="2:6" ht="18" x14ac:dyDescent="0.35">
      <c r="B1196" s="421"/>
      <c r="C1196" s="422"/>
      <c r="D1196" s="422"/>
      <c r="E1196" s="422"/>
      <c r="F1196" s="423"/>
    </row>
    <row r="1197" spans="2:6" ht="18" x14ac:dyDescent="0.35">
      <c r="B1197" s="421"/>
      <c r="C1197" s="422"/>
      <c r="D1197" s="422"/>
      <c r="E1197" s="422"/>
      <c r="F1197" s="423"/>
    </row>
    <row r="1198" spans="2:6" ht="18" x14ac:dyDescent="0.35">
      <c r="B1198" s="421"/>
      <c r="C1198" s="422"/>
      <c r="D1198" s="422"/>
      <c r="E1198" s="422"/>
      <c r="F1198" s="423"/>
    </row>
    <row r="1199" spans="2:6" ht="18" x14ac:dyDescent="0.35">
      <c r="B1199" s="421"/>
      <c r="C1199" s="422"/>
      <c r="D1199" s="422"/>
      <c r="E1199" s="422"/>
      <c r="F1199" s="423"/>
    </row>
    <row r="1200" spans="2:6" ht="18" x14ac:dyDescent="0.35">
      <c r="B1200" s="421"/>
      <c r="C1200" s="422"/>
      <c r="D1200" s="422"/>
      <c r="E1200" s="422"/>
      <c r="F1200" s="423"/>
    </row>
    <row r="1201" spans="2:6" ht="18" x14ac:dyDescent="0.35">
      <c r="B1201" s="421"/>
      <c r="C1201" s="422"/>
      <c r="D1201" s="422"/>
      <c r="E1201" s="422"/>
      <c r="F1201" s="423"/>
    </row>
    <row r="1202" spans="2:6" ht="18" x14ac:dyDescent="0.35">
      <c r="B1202" s="421"/>
      <c r="C1202" s="422"/>
      <c r="D1202" s="422"/>
      <c r="E1202" s="422"/>
      <c r="F1202" s="423"/>
    </row>
    <row r="1203" spans="2:6" ht="18" x14ac:dyDescent="0.35">
      <c r="B1203" s="421"/>
      <c r="C1203" s="422"/>
      <c r="D1203" s="422"/>
      <c r="E1203" s="422"/>
      <c r="F1203" s="423"/>
    </row>
    <row r="1204" spans="2:6" ht="18" x14ac:dyDescent="0.35">
      <c r="B1204" s="421"/>
      <c r="C1204" s="422"/>
      <c r="D1204" s="422"/>
      <c r="E1204" s="422"/>
      <c r="F1204" s="423"/>
    </row>
    <row r="1205" spans="2:6" ht="18" x14ac:dyDescent="0.35">
      <c r="B1205" s="421"/>
      <c r="C1205" s="422"/>
      <c r="D1205" s="422"/>
      <c r="E1205" s="422"/>
      <c r="F1205" s="423"/>
    </row>
    <row r="1206" spans="2:6" ht="18" x14ac:dyDescent="0.35">
      <c r="B1206" s="421"/>
      <c r="C1206" s="422"/>
      <c r="D1206" s="422"/>
      <c r="E1206" s="422"/>
      <c r="F1206" s="423"/>
    </row>
    <row r="1207" spans="2:6" ht="18" x14ac:dyDescent="0.35">
      <c r="B1207" s="421"/>
      <c r="C1207" s="422"/>
      <c r="D1207" s="422"/>
      <c r="E1207" s="422"/>
      <c r="F1207" s="423"/>
    </row>
    <row r="1208" spans="2:6" ht="18" x14ac:dyDescent="0.35">
      <c r="B1208" s="421"/>
      <c r="C1208" s="422"/>
      <c r="D1208" s="422"/>
      <c r="E1208" s="422"/>
      <c r="F1208" s="423"/>
    </row>
    <row r="1209" spans="2:6" ht="18" x14ac:dyDescent="0.35">
      <c r="B1209" s="421"/>
      <c r="C1209" s="422"/>
      <c r="D1209" s="422"/>
      <c r="E1209" s="422"/>
      <c r="F1209" s="423"/>
    </row>
    <row r="1210" spans="2:6" ht="18" x14ac:dyDescent="0.35">
      <c r="B1210" s="421"/>
      <c r="C1210" s="422"/>
      <c r="D1210" s="422"/>
      <c r="E1210" s="422"/>
      <c r="F1210" s="423"/>
    </row>
    <row r="1211" spans="2:6" ht="18" x14ac:dyDescent="0.35">
      <c r="B1211" s="421"/>
      <c r="C1211" s="422"/>
      <c r="D1211" s="422"/>
      <c r="E1211" s="422"/>
      <c r="F1211" s="423"/>
    </row>
    <row r="1212" spans="2:6" ht="18" x14ac:dyDescent="0.35">
      <c r="B1212" s="421"/>
      <c r="C1212" s="422"/>
      <c r="D1212" s="422"/>
      <c r="E1212" s="422"/>
      <c r="F1212" s="423"/>
    </row>
    <row r="1213" spans="2:6" ht="18" x14ac:dyDescent="0.35">
      <c r="B1213" s="421"/>
      <c r="C1213" s="422"/>
      <c r="D1213" s="422"/>
      <c r="E1213" s="422"/>
      <c r="F1213" s="423"/>
    </row>
    <row r="1214" spans="2:6" ht="18" x14ac:dyDescent="0.35">
      <c r="B1214" s="421"/>
      <c r="C1214" s="422"/>
      <c r="D1214" s="422"/>
      <c r="E1214" s="422"/>
      <c r="F1214" s="423"/>
    </row>
    <row r="1215" spans="2:6" ht="18" x14ac:dyDescent="0.35">
      <c r="B1215" s="421"/>
      <c r="C1215" s="422"/>
      <c r="D1215" s="422"/>
      <c r="E1215" s="422"/>
      <c r="F1215" s="423"/>
    </row>
    <row r="1216" spans="2:6" ht="18" x14ac:dyDescent="0.35">
      <c r="B1216" s="421"/>
      <c r="C1216" s="422"/>
      <c r="D1216" s="422"/>
      <c r="E1216" s="422"/>
      <c r="F1216" s="423"/>
    </row>
    <row r="1217" spans="2:6" ht="18" x14ac:dyDescent="0.35">
      <c r="B1217" s="421"/>
      <c r="C1217" s="422"/>
      <c r="D1217" s="422"/>
      <c r="E1217" s="422"/>
      <c r="F1217" s="423"/>
    </row>
    <row r="1218" spans="2:6" ht="18" x14ac:dyDescent="0.35">
      <c r="B1218" s="421"/>
      <c r="C1218" s="422"/>
      <c r="D1218" s="422"/>
      <c r="E1218" s="422"/>
      <c r="F1218" s="423"/>
    </row>
    <row r="1219" spans="2:6" ht="18" x14ac:dyDescent="0.35">
      <c r="B1219" s="421"/>
      <c r="C1219" s="422"/>
      <c r="D1219" s="422"/>
      <c r="E1219" s="422"/>
      <c r="F1219" s="423"/>
    </row>
    <row r="1220" spans="2:6" ht="18" x14ac:dyDescent="0.35">
      <c r="B1220" s="421"/>
      <c r="C1220" s="422"/>
      <c r="D1220" s="422"/>
      <c r="E1220" s="422"/>
      <c r="F1220" s="423"/>
    </row>
    <row r="1221" spans="2:6" ht="18" x14ac:dyDescent="0.35">
      <c r="B1221" s="421"/>
      <c r="C1221" s="422"/>
      <c r="D1221" s="422"/>
      <c r="E1221" s="422"/>
      <c r="F1221" s="423"/>
    </row>
    <row r="1222" spans="2:6" ht="18" x14ac:dyDescent="0.35">
      <c r="B1222" s="421"/>
      <c r="C1222" s="422"/>
      <c r="D1222" s="422"/>
      <c r="E1222" s="422"/>
      <c r="F1222" s="423"/>
    </row>
    <row r="1223" spans="2:6" ht="18" x14ac:dyDescent="0.35">
      <c r="B1223" s="421"/>
      <c r="C1223" s="422"/>
      <c r="D1223" s="422"/>
      <c r="E1223" s="422"/>
      <c r="F1223" s="423"/>
    </row>
    <row r="1224" spans="2:6" ht="18" x14ac:dyDescent="0.35">
      <c r="B1224" s="421"/>
      <c r="C1224" s="422"/>
      <c r="D1224" s="422"/>
      <c r="E1224" s="422"/>
      <c r="F1224" s="423"/>
    </row>
    <row r="1225" spans="2:6" ht="18" x14ac:dyDescent="0.35">
      <c r="B1225" s="421"/>
      <c r="C1225" s="422"/>
      <c r="D1225" s="422"/>
      <c r="E1225" s="422"/>
      <c r="F1225" s="423"/>
    </row>
    <row r="1226" spans="2:6" ht="18" x14ac:dyDescent="0.35">
      <c r="B1226" s="421"/>
      <c r="C1226" s="422"/>
      <c r="D1226" s="422"/>
      <c r="E1226" s="422"/>
      <c r="F1226" s="423"/>
    </row>
    <row r="1227" spans="2:6" ht="18" x14ac:dyDescent="0.35">
      <c r="B1227" s="421"/>
      <c r="C1227" s="422"/>
      <c r="D1227" s="422"/>
      <c r="E1227" s="422"/>
      <c r="F1227" s="423"/>
    </row>
    <row r="1228" spans="2:6" ht="18" x14ac:dyDescent="0.35">
      <c r="B1228" s="421"/>
      <c r="C1228" s="422"/>
      <c r="D1228" s="422"/>
      <c r="E1228" s="422"/>
      <c r="F1228" s="423"/>
    </row>
    <row r="1229" spans="2:6" ht="18" x14ac:dyDescent="0.35">
      <c r="B1229" s="421"/>
      <c r="C1229" s="422"/>
      <c r="D1229" s="422"/>
      <c r="E1229" s="422"/>
      <c r="F1229" s="423"/>
    </row>
    <row r="1230" spans="2:6" ht="18" x14ac:dyDescent="0.35">
      <c r="B1230" s="421"/>
      <c r="C1230" s="422"/>
      <c r="D1230" s="422"/>
      <c r="E1230" s="422"/>
      <c r="F1230" s="423"/>
    </row>
    <row r="1231" spans="2:6" ht="18" x14ac:dyDescent="0.35">
      <c r="B1231" s="421"/>
      <c r="C1231" s="422"/>
      <c r="D1231" s="422"/>
      <c r="E1231" s="422"/>
      <c r="F1231" s="423"/>
    </row>
    <row r="1232" spans="2:6" ht="18" x14ac:dyDescent="0.35">
      <c r="B1232" s="421"/>
      <c r="C1232" s="422"/>
      <c r="D1232" s="422"/>
      <c r="E1232" s="422"/>
      <c r="F1232" s="423"/>
    </row>
    <row r="1233" spans="2:6" ht="18" x14ac:dyDescent="0.35">
      <c r="B1233" s="421"/>
      <c r="C1233" s="422"/>
      <c r="D1233" s="422"/>
      <c r="E1233" s="422"/>
      <c r="F1233" s="423"/>
    </row>
    <row r="1234" spans="2:6" ht="18" x14ac:dyDescent="0.35">
      <c r="B1234" s="421"/>
      <c r="C1234" s="422"/>
      <c r="D1234" s="422"/>
      <c r="E1234" s="422"/>
      <c r="F1234" s="423"/>
    </row>
    <row r="1235" spans="2:6" ht="18" x14ac:dyDescent="0.35">
      <c r="B1235" s="421"/>
      <c r="C1235" s="422"/>
      <c r="D1235" s="422"/>
      <c r="E1235" s="422"/>
      <c r="F1235" s="423"/>
    </row>
    <row r="1236" spans="2:6" ht="18" x14ac:dyDescent="0.35">
      <c r="B1236" s="421"/>
      <c r="C1236" s="422"/>
      <c r="D1236" s="422"/>
      <c r="E1236" s="422"/>
      <c r="F1236" s="423"/>
    </row>
    <row r="1237" spans="2:6" ht="18" x14ac:dyDescent="0.35">
      <c r="B1237" s="421"/>
      <c r="C1237" s="422"/>
      <c r="D1237" s="422"/>
      <c r="E1237" s="422"/>
      <c r="F1237" s="423"/>
    </row>
    <row r="1238" spans="2:6" ht="18" x14ac:dyDescent="0.35">
      <c r="B1238" s="421"/>
      <c r="C1238" s="422"/>
      <c r="D1238" s="422"/>
      <c r="E1238" s="422"/>
      <c r="F1238" s="423"/>
    </row>
    <row r="1239" spans="2:6" ht="18" x14ac:dyDescent="0.35">
      <c r="B1239" s="421"/>
      <c r="C1239" s="422"/>
      <c r="D1239" s="422"/>
      <c r="E1239" s="422"/>
      <c r="F1239" s="423"/>
    </row>
    <row r="1240" spans="2:6" ht="18" x14ac:dyDescent="0.35">
      <c r="B1240" s="421"/>
      <c r="C1240" s="422"/>
      <c r="D1240" s="422"/>
      <c r="E1240" s="422"/>
      <c r="F1240" s="423"/>
    </row>
    <row r="1241" spans="2:6" ht="18" x14ac:dyDescent="0.35">
      <c r="B1241" s="421"/>
      <c r="C1241" s="422"/>
      <c r="D1241" s="422"/>
      <c r="E1241" s="422"/>
      <c r="F1241" s="423"/>
    </row>
    <row r="1242" spans="2:6" ht="18" x14ac:dyDescent="0.35">
      <c r="B1242" s="421"/>
      <c r="C1242" s="422"/>
      <c r="D1242" s="422"/>
      <c r="E1242" s="422"/>
      <c r="F1242" s="423"/>
    </row>
    <row r="1243" spans="2:6" ht="18" x14ac:dyDescent="0.35">
      <c r="B1243" s="421"/>
      <c r="C1243" s="422"/>
      <c r="D1243" s="422"/>
      <c r="E1243" s="422"/>
      <c r="F1243" s="423"/>
    </row>
    <row r="1244" spans="2:6" ht="18" x14ac:dyDescent="0.35">
      <c r="B1244" s="421"/>
      <c r="C1244" s="422"/>
      <c r="D1244" s="422"/>
      <c r="E1244" s="422"/>
      <c r="F1244" s="423"/>
    </row>
    <row r="1245" spans="2:6" ht="18" x14ac:dyDescent="0.35">
      <c r="B1245" s="421"/>
      <c r="C1245" s="422"/>
      <c r="D1245" s="422"/>
      <c r="E1245" s="422"/>
      <c r="F1245" s="423"/>
    </row>
    <row r="1246" spans="2:6" ht="18" x14ac:dyDescent="0.35">
      <c r="B1246" s="421"/>
      <c r="C1246" s="422"/>
      <c r="D1246" s="422"/>
      <c r="E1246" s="422"/>
      <c r="F1246" s="423"/>
    </row>
    <row r="1247" spans="2:6" ht="18" x14ac:dyDescent="0.35">
      <c r="B1247" s="421"/>
      <c r="C1247" s="422"/>
      <c r="D1247" s="422"/>
      <c r="E1247" s="422"/>
      <c r="F1247" s="423"/>
    </row>
    <row r="1248" spans="2:6" ht="18" x14ac:dyDescent="0.35">
      <c r="B1248" s="421"/>
      <c r="C1248" s="422"/>
      <c r="D1248" s="422"/>
      <c r="E1248" s="422"/>
      <c r="F1248" s="423"/>
    </row>
    <row r="1249" spans="2:6" ht="18" x14ac:dyDescent="0.35">
      <c r="B1249" s="421"/>
      <c r="C1249" s="422"/>
      <c r="D1249" s="422"/>
      <c r="E1249" s="422"/>
      <c r="F1249" s="423"/>
    </row>
    <row r="1250" spans="2:6" ht="18" x14ac:dyDescent="0.35">
      <c r="B1250" s="421"/>
      <c r="C1250" s="422"/>
      <c r="D1250" s="422"/>
      <c r="E1250" s="422"/>
      <c r="F1250" s="423"/>
    </row>
    <row r="1251" spans="2:6" ht="18" x14ac:dyDescent="0.35">
      <c r="B1251" s="421"/>
      <c r="C1251" s="422"/>
      <c r="D1251" s="422"/>
      <c r="E1251" s="422"/>
      <c r="F1251" s="423"/>
    </row>
    <row r="1252" spans="2:6" ht="18" x14ac:dyDescent="0.35">
      <c r="B1252" s="421"/>
      <c r="C1252" s="422"/>
      <c r="D1252" s="422"/>
      <c r="E1252" s="422"/>
      <c r="F1252" s="423"/>
    </row>
    <row r="1253" spans="2:6" ht="18" x14ac:dyDescent="0.35">
      <c r="B1253" s="421"/>
      <c r="C1253" s="422"/>
      <c r="D1253" s="422"/>
      <c r="E1253" s="422"/>
      <c r="F1253" s="423"/>
    </row>
    <row r="1254" spans="2:6" ht="18" x14ac:dyDescent="0.35">
      <c r="B1254" s="421"/>
      <c r="C1254" s="422"/>
      <c r="D1254" s="422"/>
      <c r="E1254" s="422"/>
      <c r="F1254" s="423"/>
    </row>
    <row r="1255" spans="2:6" ht="18" x14ac:dyDescent="0.35">
      <c r="B1255" s="421"/>
      <c r="C1255" s="422"/>
      <c r="D1255" s="422"/>
      <c r="E1255" s="422"/>
      <c r="F1255" s="423"/>
    </row>
    <row r="1256" spans="2:6" ht="18" x14ac:dyDescent="0.35">
      <c r="B1256" s="421"/>
      <c r="C1256" s="422"/>
      <c r="D1256" s="422"/>
      <c r="E1256" s="422"/>
      <c r="F1256" s="423"/>
    </row>
    <row r="1257" spans="2:6" ht="18" x14ac:dyDescent="0.35">
      <c r="B1257" s="421"/>
      <c r="C1257" s="422"/>
      <c r="D1257" s="422"/>
      <c r="E1257" s="422"/>
      <c r="F1257" s="423"/>
    </row>
    <row r="1258" spans="2:6" ht="18" x14ac:dyDescent="0.35">
      <c r="B1258" s="421"/>
      <c r="C1258" s="422"/>
      <c r="D1258" s="422"/>
      <c r="E1258" s="422"/>
      <c r="F1258" s="423"/>
    </row>
    <row r="1259" spans="2:6" ht="18" x14ac:dyDescent="0.35">
      <c r="B1259" s="421"/>
      <c r="C1259" s="422"/>
      <c r="D1259" s="422"/>
      <c r="E1259" s="422"/>
      <c r="F1259" s="423"/>
    </row>
    <row r="1260" spans="2:6" ht="18" x14ac:dyDescent="0.35">
      <c r="B1260" s="421"/>
      <c r="C1260" s="422"/>
      <c r="D1260" s="422"/>
      <c r="E1260" s="422"/>
      <c r="F1260" s="423"/>
    </row>
    <row r="1261" spans="2:6" ht="18" x14ac:dyDescent="0.35">
      <c r="B1261" s="421"/>
      <c r="C1261" s="422"/>
      <c r="D1261" s="422"/>
      <c r="E1261" s="422"/>
      <c r="F1261" s="423"/>
    </row>
    <row r="1262" spans="2:6" ht="18" x14ac:dyDescent="0.35">
      <c r="B1262" s="421"/>
      <c r="C1262" s="422"/>
      <c r="D1262" s="422"/>
      <c r="E1262" s="422"/>
      <c r="F1262" s="423"/>
    </row>
    <row r="1263" spans="2:6" ht="18" x14ac:dyDescent="0.35">
      <c r="B1263" s="421"/>
      <c r="C1263" s="422"/>
      <c r="D1263" s="422"/>
      <c r="E1263" s="422"/>
      <c r="F1263" s="423"/>
    </row>
    <row r="1264" spans="2:6" ht="18" x14ac:dyDescent="0.35">
      <c r="B1264" s="421"/>
      <c r="C1264" s="422"/>
      <c r="D1264" s="422"/>
      <c r="E1264" s="422"/>
      <c r="F1264" s="423"/>
    </row>
    <row r="1265" spans="2:6" ht="18" x14ac:dyDescent="0.35">
      <c r="B1265" s="421"/>
      <c r="C1265" s="422"/>
      <c r="D1265" s="422"/>
      <c r="E1265" s="422"/>
      <c r="F1265" s="423"/>
    </row>
    <row r="1266" spans="2:6" ht="18" x14ac:dyDescent="0.35">
      <c r="B1266" s="421"/>
      <c r="C1266" s="422"/>
      <c r="D1266" s="422"/>
      <c r="E1266" s="422"/>
      <c r="F1266" s="423"/>
    </row>
    <row r="1267" spans="2:6" ht="18" x14ac:dyDescent="0.35">
      <c r="B1267" s="421"/>
      <c r="C1267" s="422"/>
      <c r="D1267" s="422"/>
      <c r="E1267" s="422"/>
      <c r="F1267" s="423"/>
    </row>
    <row r="1268" spans="2:6" ht="18" x14ac:dyDescent="0.35">
      <c r="B1268" s="421"/>
      <c r="C1268" s="422"/>
      <c r="D1268" s="422"/>
      <c r="E1268" s="422"/>
      <c r="F1268" s="423"/>
    </row>
    <row r="1269" spans="2:6" ht="18" x14ac:dyDescent="0.35">
      <c r="B1269" s="421"/>
      <c r="C1269" s="422"/>
      <c r="D1269" s="422"/>
      <c r="E1269" s="422"/>
      <c r="F1269" s="423"/>
    </row>
    <row r="1270" spans="2:6" ht="18" x14ac:dyDescent="0.35">
      <c r="B1270" s="421"/>
      <c r="C1270" s="422"/>
      <c r="D1270" s="422"/>
      <c r="E1270" s="422"/>
      <c r="F1270" s="423"/>
    </row>
    <row r="1271" spans="2:6" ht="18" x14ac:dyDescent="0.35">
      <c r="B1271" s="421"/>
      <c r="C1271" s="422"/>
      <c r="D1271" s="422"/>
      <c r="E1271" s="422"/>
      <c r="F1271" s="423"/>
    </row>
    <row r="1272" spans="2:6" ht="18" x14ac:dyDescent="0.35">
      <c r="B1272" s="421"/>
      <c r="C1272" s="422"/>
      <c r="D1272" s="422"/>
      <c r="E1272" s="422"/>
      <c r="F1272" s="423"/>
    </row>
    <row r="1273" spans="2:6" ht="18" x14ac:dyDescent="0.35">
      <c r="B1273" s="421"/>
      <c r="C1273" s="422"/>
      <c r="D1273" s="422"/>
      <c r="E1273" s="422"/>
      <c r="F1273" s="423"/>
    </row>
    <row r="1274" spans="2:6" ht="18" x14ac:dyDescent="0.35">
      <c r="B1274" s="421"/>
      <c r="C1274" s="422"/>
      <c r="D1274" s="422"/>
      <c r="E1274" s="422"/>
      <c r="F1274" s="423"/>
    </row>
    <row r="1275" spans="2:6" ht="18" x14ac:dyDescent="0.35">
      <c r="B1275" s="421"/>
      <c r="C1275" s="422"/>
      <c r="D1275" s="422"/>
      <c r="E1275" s="422"/>
      <c r="F1275" s="423"/>
    </row>
    <row r="1276" spans="2:6" ht="18" x14ac:dyDescent="0.35">
      <c r="B1276" s="421"/>
      <c r="C1276" s="422"/>
      <c r="D1276" s="422"/>
      <c r="E1276" s="422"/>
      <c r="F1276" s="423"/>
    </row>
    <row r="1277" spans="2:6" ht="18" x14ac:dyDescent="0.35">
      <c r="B1277" s="421"/>
      <c r="C1277" s="422"/>
      <c r="D1277" s="422"/>
      <c r="E1277" s="422"/>
      <c r="F1277" s="423"/>
    </row>
    <row r="1278" spans="2:6" ht="18" x14ac:dyDescent="0.35">
      <c r="B1278" s="421"/>
      <c r="C1278" s="422"/>
      <c r="D1278" s="422"/>
      <c r="E1278" s="422"/>
      <c r="F1278" s="423"/>
    </row>
    <row r="1279" spans="2:6" ht="18" x14ac:dyDescent="0.35">
      <c r="B1279" s="421"/>
      <c r="C1279" s="422"/>
      <c r="D1279" s="422"/>
      <c r="E1279" s="422"/>
      <c r="F1279" s="423"/>
    </row>
    <row r="1280" spans="2:6" ht="18" x14ac:dyDescent="0.35">
      <c r="B1280" s="421"/>
      <c r="C1280" s="422"/>
      <c r="D1280" s="422"/>
      <c r="E1280" s="422"/>
      <c r="F1280" s="423"/>
    </row>
    <row r="1281" spans="2:6" ht="18" x14ac:dyDescent="0.35">
      <c r="B1281" s="421"/>
      <c r="C1281" s="422"/>
      <c r="D1281" s="422"/>
      <c r="E1281" s="422"/>
      <c r="F1281" s="423"/>
    </row>
    <row r="1282" spans="2:6" ht="18" x14ac:dyDescent="0.35">
      <c r="B1282" s="421"/>
      <c r="C1282" s="422"/>
      <c r="D1282" s="422"/>
      <c r="E1282" s="422"/>
      <c r="F1282" s="423"/>
    </row>
    <row r="1283" spans="2:6" ht="18" x14ac:dyDescent="0.35">
      <c r="B1283" s="421"/>
      <c r="C1283" s="422"/>
      <c r="D1283" s="422"/>
      <c r="E1283" s="422"/>
      <c r="F1283" s="423"/>
    </row>
    <row r="1284" spans="2:6" ht="18" x14ac:dyDescent="0.35">
      <c r="B1284" s="421"/>
      <c r="C1284" s="422"/>
      <c r="D1284" s="422"/>
      <c r="E1284" s="422"/>
      <c r="F1284" s="423"/>
    </row>
    <row r="1285" spans="2:6" ht="18" x14ac:dyDescent="0.35">
      <c r="B1285" s="421"/>
      <c r="C1285" s="422"/>
      <c r="D1285" s="422"/>
      <c r="E1285" s="422"/>
      <c r="F1285" s="423"/>
    </row>
    <row r="1286" spans="2:6" ht="18" x14ac:dyDescent="0.35">
      <c r="B1286" s="421"/>
      <c r="C1286" s="422"/>
      <c r="D1286" s="422"/>
      <c r="E1286" s="422"/>
      <c r="F1286" s="423"/>
    </row>
    <row r="1287" spans="2:6" ht="18" x14ac:dyDescent="0.35">
      <c r="B1287" s="421"/>
      <c r="C1287" s="422"/>
      <c r="D1287" s="422"/>
      <c r="E1287" s="422"/>
      <c r="F1287" s="423"/>
    </row>
    <row r="1288" spans="2:6" ht="18" x14ac:dyDescent="0.35">
      <c r="B1288" s="421"/>
      <c r="C1288" s="422"/>
      <c r="D1288" s="422"/>
      <c r="E1288" s="422"/>
      <c r="F1288" s="423"/>
    </row>
    <row r="1289" spans="2:6" ht="18" x14ac:dyDescent="0.35">
      <c r="B1289" s="421"/>
      <c r="C1289" s="422"/>
      <c r="D1289" s="422"/>
      <c r="E1289" s="422"/>
      <c r="F1289" s="423"/>
    </row>
    <row r="1290" spans="2:6" ht="18" x14ac:dyDescent="0.35">
      <c r="B1290" s="421"/>
      <c r="C1290" s="422"/>
      <c r="D1290" s="422"/>
      <c r="E1290" s="422"/>
      <c r="F1290" s="423"/>
    </row>
    <row r="1291" spans="2:6" ht="18" x14ac:dyDescent="0.35">
      <c r="B1291" s="421"/>
      <c r="C1291" s="422"/>
      <c r="D1291" s="422"/>
      <c r="E1291" s="422"/>
      <c r="F1291" s="423"/>
    </row>
    <row r="1292" spans="2:6" ht="18" x14ac:dyDescent="0.35">
      <c r="B1292" s="421"/>
      <c r="C1292" s="422"/>
      <c r="D1292" s="422"/>
      <c r="E1292" s="422"/>
      <c r="F1292" s="423"/>
    </row>
    <row r="1293" spans="2:6" ht="18" x14ac:dyDescent="0.35">
      <c r="B1293" s="421"/>
      <c r="C1293" s="422"/>
      <c r="D1293" s="422"/>
      <c r="E1293" s="422"/>
      <c r="F1293" s="423"/>
    </row>
    <row r="1294" spans="2:6" ht="18" x14ac:dyDescent="0.35">
      <c r="B1294" s="421"/>
      <c r="C1294" s="422"/>
      <c r="D1294" s="422"/>
      <c r="E1294" s="422"/>
      <c r="F1294" s="423"/>
    </row>
    <row r="1295" spans="2:6" ht="18" x14ac:dyDescent="0.35">
      <c r="B1295" s="421"/>
      <c r="C1295" s="422"/>
      <c r="D1295" s="422"/>
      <c r="E1295" s="422"/>
      <c r="F1295" s="423"/>
    </row>
    <row r="1296" spans="2:6" ht="18" x14ac:dyDescent="0.35">
      <c r="B1296" s="421"/>
      <c r="C1296" s="422"/>
      <c r="D1296" s="422"/>
      <c r="E1296" s="422"/>
      <c r="F1296" s="423"/>
    </row>
    <row r="1297" spans="2:6" ht="18" x14ac:dyDescent="0.35">
      <c r="B1297" s="421"/>
      <c r="C1297" s="422"/>
      <c r="D1297" s="422"/>
      <c r="E1297" s="422"/>
      <c r="F1297" s="423"/>
    </row>
    <row r="1298" spans="2:6" ht="18" x14ac:dyDescent="0.35">
      <c r="B1298" s="421"/>
      <c r="C1298" s="422"/>
      <c r="D1298" s="422"/>
      <c r="E1298" s="422"/>
      <c r="F1298" s="423"/>
    </row>
    <row r="1299" spans="2:6" ht="18" x14ac:dyDescent="0.35">
      <c r="B1299" s="421"/>
      <c r="C1299" s="422"/>
      <c r="D1299" s="422"/>
      <c r="E1299" s="422"/>
      <c r="F1299" s="423"/>
    </row>
    <row r="1300" spans="2:6" ht="18" x14ac:dyDescent="0.35">
      <c r="B1300" s="421"/>
      <c r="C1300" s="422"/>
      <c r="D1300" s="422"/>
      <c r="E1300" s="422"/>
      <c r="F1300" s="423"/>
    </row>
    <row r="1301" spans="2:6" ht="18" x14ac:dyDescent="0.35">
      <c r="B1301" s="421"/>
      <c r="C1301" s="422"/>
      <c r="D1301" s="422"/>
      <c r="E1301" s="422"/>
      <c r="F1301" s="423"/>
    </row>
    <row r="1302" spans="2:6" ht="18" x14ac:dyDescent="0.35">
      <c r="B1302" s="421"/>
      <c r="C1302" s="422"/>
      <c r="D1302" s="422"/>
      <c r="E1302" s="422"/>
      <c r="F1302" s="423"/>
    </row>
    <row r="1303" spans="2:6" ht="18" x14ac:dyDescent="0.35">
      <c r="B1303" s="421"/>
      <c r="C1303" s="422"/>
      <c r="D1303" s="422"/>
      <c r="E1303" s="422"/>
      <c r="F1303" s="423"/>
    </row>
    <row r="1304" spans="2:6" ht="18" x14ac:dyDescent="0.35">
      <c r="B1304" s="421"/>
      <c r="C1304" s="422"/>
      <c r="D1304" s="422"/>
      <c r="E1304" s="422"/>
      <c r="F1304" s="423"/>
    </row>
    <row r="1305" spans="2:6" ht="18" x14ac:dyDescent="0.35">
      <c r="B1305" s="421"/>
      <c r="C1305" s="422"/>
      <c r="D1305" s="422"/>
      <c r="E1305" s="422"/>
      <c r="F1305" s="423"/>
    </row>
    <row r="1306" spans="2:6" ht="18" x14ac:dyDescent="0.35">
      <c r="B1306" s="421"/>
      <c r="C1306" s="422"/>
      <c r="D1306" s="422"/>
      <c r="E1306" s="422"/>
      <c r="F1306" s="423"/>
    </row>
    <row r="1307" spans="2:6" ht="18" x14ac:dyDescent="0.35">
      <c r="B1307" s="421"/>
      <c r="C1307" s="422"/>
      <c r="D1307" s="422"/>
      <c r="E1307" s="422"/>
      <c r="F1307" s="423"/>
    </row>
    <row r="1308" spans="2:6" ht="18" x14ac:dyDescent="0.35">
      <c r="B1308" s="421"/>
      <c r="C1308" s="422"/>
      <c r="D1308" s="422"/>
      <c r="E1308" s="422"/>
      <c r="F1308" s="423"/>
    </row>
    <row r="1309" spans="2:6" ht="18" x14ac:dyDescent="0.35">
      <c r="B1309" s="421"/>
      <c r="C1309" s="422"/>
      <c r="D1309" s="422"/>
      <c r="E1309" s="422"/>
      <c r="F1309" s="423"/>
    </row>
    <row r="1310" spans="2:6" ht="18" x14ac:dyDescent="0.35">
      <c r="B1310" s="421"/>
      <c r="C1310" s="422"/>
      <c r="D1310" s="422"/>
      <c r="E1310" s="422"/>
      <c r="F1310" s="423"/>
    </row>
    <row r="1311" spans="2:6" ht="18" x14ac:dyDescent="0.35">
      <c r="B1311" s="421"/>
      <c r="C1311" s="422"/>
      <c r="D1311" s="422"/>
      <c r="E1311" s="422"/>
      <c r="F1311" s="423"/>
    </row>
    <row r="1312" spans="2:6" ht="18" x14ac:dyDescent="0.35">
      <c r="B1312" s="421"/>
      <c r="C1312" s="422"/>
      <c r="D1312" s="422"/>
      <c r="E1312" s="422"/>
      <c r="F1312" s="423"/>
    </row>
    <row r="1313" spans="2:6" ht="18" x14ac:dyDescent="0.35">
      <c r="B1313" s="421"/>
      <c r="C1313" s="422"/>
      <c r="D1313" s="422"/>
      <c r="E1313" s="422"/>
      <c r="F1313" s="423"/>
    </row>
    <row r="1314" spans="2:6" ht="18" x14ac:dyDescent="0.35">
      <c r="B1314" s="421"/>
      <c r="C1314" s="422"/>
      <c r="D1314" s="422"/>
      <c r="E1314" s="422"/>
      <c r="F1314" s="423"/>
    </row>
    <row r="1315" spans="2:6" ht="18" x14ac:dyDescent="0.35">
      <c r="B1315" s="421"/>
      <c r="C1315" s="422"/>
      <c r="D1315" s="422"/>
      <c r="E1315" s="422"/>
      <c r="F1315" s="423"/>
    </row>
    <row r="1316" spans="2:6" ht="18" x14ac:dyDescent="0.35">
      <c r="B1316" s="421"/>
      <c r="C1316" s="422"/>
      <c r="D1316" s="422"/>
      <c r="E1316" s="422"/>
      <c r="F1316" s="423"/>
    </row>
    <row r="1317" spans="2:6" ht="18" x14ac:dyDescent="0.35">
      <c r="B1317" s="421"/>
      <c r="C1317" s="422"/>
      <c r="D1317" s="422"/>
      <c r="E1317" s="422"/>
      <c r="F1317" s="423"/>
    </row>
    <row r="1318" spans="2:6" ht="18" x14ac:dyDescent="0.35">
      <c r="B1318" s="421"/>
      <c r="C1318" s="422"/>
      <c r="D1318" s="422"/>
      <c r="E1318" s="422"/>
      <c r="F1318" s="423"/>
    </row>
    <row r="1319" spans="2:6" ht="18" x14ac:dyDescent="0.35">
      <c r="B1319" s="421"/>
      <c r="C1319" s="422"/>
      <c r="D1319" s="422"/>
      <c r="E1319" s="422"/>
      <c r="F1319" s="423"/>
    </row>
    <row r="1320" spans="2:6" ht="18" x14ac:dyDescent="0.35">
      <c r="B1320" s="421"/>
      <c r="C1320" s="422"/>
      <c r="D1320" s="422"/>
      <c r="E1320" s="422"/>
      <c r="F1320" s="423"/>
    </row>
    <row r="1321" spans="2:6" ht="18" x14ac:dyDescent="0.35">
      <c r="B1321" s="421"/>
      <c r="C1321" s="422"/>
      <c r="D1321" s="422"/>
      <c r="E1321" s="422"/>
      <c r="F1321" s="423"/>
    </row>
    <row r="1322" spans="2:6" ht="18" x14ac:dyDescent="0.35">
      <c r="B1322" s="421"/>
      <c r="C1322" s="422"/>
      <c r="D1322" s="422"/>
      <c r="E1322" s="422"/>
      <c r="F1322" s="423"/>
    </row>
    <row r="1323" spans="2:6" ht="18" x14ac:dyDescent="0.35">
      <c r="B1323" s="421"/>
      <c r="C1323" s="422"/>
      <c r="D1323" s="422"/>
      <c r="E1323" s="422"/>
      <c r="F1323" s="423"/>
    </row>
    <row r="1324" spans="2:6" ht="18" x14ac:dyDescent="0.35">
      <c r="B1324" s="421"/>
      <c r="C1324" s="422"/>
      <c r="D1324" s="422"/>
      <c r="E1324" s="422"/>
      <c r="F1324" s="423"/>
    </row>
    <row r="1325" spans="2:6" ht="18" x14ac:dyDescent="0.35">
      <c r="B1325" s="421"/>
      <c r="C1325" s="422"/>
      <c r="D1325" s="422"/>
      <c r="E1325" s="422"/>
      <c r="F1325" s="423"/>
    </row>
    <row r="1326" spans="2:6" ht="18" x14ac:dyDescent="0.35">
      <c r="B1326" s="421"/>
      <c r="C1326" s="422"/>
      <c r="D1326" s="422"/>
      <c r="E1326" s="422"/>
      <c r="F1326" s="423"/>
    </row>
    <row r="1327" spans="2:6" ht="18" x14ac:dyDescent="0.35">
      <c r="B1327" s="421"/>
      <c r="C1327" s="422"/>
      <c r="D1327" s="422"/>
      <c r="E1327" s="422"/>
      <c r="F1327" s="423"/>
    </row>
    <row r="1328" spans="2:6" ht="18" x14ac:dyDescent="0.35">
      <c r="B1328" s="421"/>
      <c r="C1328" s="422"/>
      <c r="D1328" s="422"/>
      <c r="E1328" s="422"/>
      <c r="F1328" s="423"/>
    </row>
    <row r="1329" spans="2:6" ht="18" x14ac:dyDescent="0.35">
      <c r="B1329" s="421"/>
      <c r="C1329" s="422"/>
      <c r="D1329" s="422"/>
      <c r="E1329" s="422"/>
      <c r="F1329" s="423"/>
    </row>
    <row r="1330" spans="2:6" ht="18" x14ac:dyDescent="0.35">
      <c r="B1330" s="421"/>
      <c r="C1330" s="422"/>
      <c r="D1330" s="422"/>
      <c r="E1330" s="422"/>
      <c r="F1330" s="423"/>
    </row>
    <row r="1331" spans="2:6" ht="18" x14ac:dyDescent="0.35">
      <c r="B1331" s="421"/>
      <c r="C1331" s="422"/>
      <c r="D1331" s="422"/>
      <c r="E1331" s="422"/>
      <c r="F1331" s="423"/>
    </row>
    <row r="1332" spans="2:6" ht="18" x14ac:dyDescent="0.35">
      <c r="B1332" s="421"/>
      <c r="C1332" s="422"/>
      <c r="D1332" s="422"/>
      <c r="E1332" s="422"/>
      <c r="F1332" s="423"/>
    </row>
    <row r="1333" spans="2:6" ht="18" x14ac:dyDescent="0.35">
      <c r="B1333" s="421"/>
      <c r="C1333" s="422"/>
      <c r="D1333" s="422"/>
      <c r="E1333" s="422"/>
      <c r="F1333" s="423"/>
    </row>
    <row r="1334" spans="2:6" ht="18" x14ac:dyDescent="0.35">
      <c r="B1334" s="421"/>
      <c r="C1334" s="422"/>
      <c r="D1334" s="422"/>
      <c r="E1334" s="422"/>
      <c r="F1334" s="423"/>
    </row>
    <row r="1335" spans="2:6" ht="18" x14ac:dyDescent="0.35">
      <c r="B1335" s="421"/>
      <c r="C1335" s="422"/>
      <c r="D1335" s="422"/>
      <c r="E1335" s="422"/>
      <c r="F1335" s="423"/>
    </row>
    <row r="1336" spans="2:6" ht="18" x14ac:dyDescent="0.35">
      <c r="B1336" s="421"/>
      <c r="C1336" s="422"/>
      <c r="D1336" s="422"/>
      <c r="E1336" s="422"/>
      <c r="F1336" s="423"/>
    </row>
    <row r="1337" spans="2:6" ht="18" x14ac:dyDescent="0.35">
      <c r="B1337" s="421"/>
      <c r="C1337" s="422"/>
      <c r="D1337" s="422"/>
      <c r="E1337" s="422"/>
      <c r="F1337" s="423"/>
    </row>
    <row r="1338" spans="2:6" ht="18" x14ac:dyDescent="0.35">
      <c r="B1338" s="421"/>
      <c r="C1338" s="422"/>
      <c r="D1338" s="422"/>
      <c r="E1338" s="422"/>
      <c r="F1338" s="423"/>
    </row>
    <row r="1339" spans="2:6" ht="18" x14ac:dyDescent="0.35">
      <c r="B1339" s="421"/>
      <c r="C1339" s="422"/>
      <c r="D1339" s="422"/>
      <c r="E1339" s="422"/>
      <c r="F1339" s="423"/>
    </row>
    <row r="1340" spans="2:6" ht="18" x14ac:dyDescent="0.35">
      <c r="B1340" s="421"/>
      <c r="C1340" s="422"/>
      <c r="D1340" s="422"/>
      <c r="E1340" s="422"/>
      <c r="F1340" s="423"/>
    </row>
    <row r="1341" spans="2:6" ht="18" x14ac:dyDescent="0.35">
      <c r="B1341" s="421"/>
      <c r="C1341" s="422"/>
      <c r="D1341" s="422"/>
      <c r="E1341" s="422"/>
      <c r="F1341" s="423"/>
    </row>
    <row r="1342" spans="2:6" ht="18" x14ac:dyDescent="0.35">
      <c r="B1342" s="421"/>
      <c r="C1342" s="422"/>
      <c r="D1342" s="422"/>
      <c r="E1342" s="422"/>
      <c r="F1342" s="423"/>
    </row>
    <row r="1343" spans="2:6" ht="18" x14ac:dyDescent="0.35">
      <c r="B1343" s="421"/>
      <c r="C1343" s="422"/>
      <c r="D1343" s="422"/>
      <c r="E1343" s="422"/>
      <c r="F1343" s="423"/>
    </row>
    <row r="1344" spans="2:6" ht="18" x14ac:dyDescent="0.35">
      <c r="B1344" s="421"/>
      <c r="C1344" s="422"/>
      <c r="D1344" s="422"/>
      <c r="E1344" s="422"/>
      <c r="F1344" s="423"/>
    </row>
    <row r="1345" spans="2:6" ht="18" x14ac:dyDescent="0.35">
      <c r="B1345" s="421"/>
      <c r="C1345" s="422"/>
      <c r="D1345" s="422"/>
      <c r="E1345" s="422"/>
      <c r="F1345" s="423"/>
    </row>
    <row r="1346" spans="2:6" ht="18" x14ac:dyDescent="0.35">
      <c r="B1346" s="421"/>
      <c r="C1346" s="422"/>
      <c r="D1346" s="422"/>
      <c r="E1346" s="422"/>
      <c r="F1346" s="423"/>
    </row>
    <row r="1347" spans="2:6" ht="18" x14ac:dyDescent="0.35">
      <c r="B1347" s="421"/>
      <c r="C1347" s="422"/>
      <c r="D1347" s="422"/>
      <c r="E1347" s="422"/>
      <c r="F1347" s="423"/>
    </row>
    <row r="1348" spans="2:6" ht="18" x14ac:dyDescent="0.35">
      <c r="B1348" s="421"/>
      <c r="C1348" s="422"/>
      <c r="D1348" s="422"/>
      <c r="E1348" s="422"/>
      <c r="F1348" s="423"/>
    </row>
    <row r="1349" spans="2:6" ht="18" x14ac:dyDescent="0.35">
      <c r="B1349" s="421"/>
      <c r="C1349" s="422"/>
      <c r="D1349" s="422"/>
      <c r="E1349" s="422"/>
      <c r="F1349" s="423"/>
    </row>
    <row r="1350" spans="2:6" ht="18" x14ac:dyDescent="0.35">
      <c r="B1350" s="421"/>
      <c r="C1350" s="422"/>
      <c r="D1350" s="422"/>
      <c r="E1350" s="422"/>
      <c r="F1350" s="423"/>
    </row>
    <row r="1351" spans="2:6" ht="18" x14ac:dyDescent="0.35">
      <c r="B1351" s="421"/>
      <c r="C1351" s="422"/>
      <c r="D1351" s="422"/>
      <c r="E1351" s="422"/>
      <c r="F1351" s="423"/>
    </row>
    <row r="1352" spans="2:6" ht="18" x14ac:dyDescent="0.35">
      <c r="B1352" s="421"/>
      <c r="C1352" s="422"/>
      <c r="D1352" s="422"/>
      <c r="E1352" s="422"/>
      <c r="F1352" s="423"/>
    </row>
    <row r="1353" spans="2:6" ht="18" x14ac:dyDescent="0.35">
      <c r="B1353" s="421"/>
      <c r="C1353" s="422"/>
      <c r="D1353" s="422"/>
      <c r="E1353" s="422"/>
      <c r="F1353" s="423"/>
    </row>
    <row r="1354" spans="2:6" ht="18" x14ac:dyDescent="0.35">
      <c r="B1354" s="421"/>
      <c r="C1354" s="422"/>
      <c r="D1354" s="422"/>
      <c r="E1354" s="422"/>
      <c r="F1354" s="423"/>
    </row>
    <row r="1355" spans="2:6" ht="18" x14ac:dyDescent="0.35">
      <c r="B1355" s="421"/>
      <c r="C1355" s="422"/>
      <c r="D1355" s="422"/>
      <c r="E1355" s="422"/>
      <c r="F1355" s="423"/>
    </row>
    <row r="1356" spans="2:6" ht="18" x14ac:dyDescent="0.35">
      <c r="B1356" s="421"/>
      <c r="C1356" s="422"/>
      <c r="D1356" s="422"/>
      <c r="E1356" s="422"/>
      <c r="F1356" s="423"/>
    </row>
    <row r="1357" spans="2:6" ht="18" x14ac:dyDescent="0.35">
      <c r="B1357" s="421"/>
      <c r="C1357" s="422"/>
      <c r="D1357" s="422"/>
      <c r="E1357" s="422"/>
      <c r="F1357" s="423"/>
    </row>
    <row r="1358" spans="2:6" ht="18" x14ac:dyDescent="0.35">
      <c r="B1358" s="421"/>
      <c r="C1358" s="422"/>
      <c r="D1358" s="422"/>
      <c r="E1358" s="422"/>
      <c r="F1358" s="423"/>
    </row>
    <row r="1359" spans="2:6" ht="18" x14ac:dyDescent="0.35">
      <c r="B1359" s="421"/>
      <c r="C1359" s="422"/>
      <c r="D1359" s="422"/>
      <c r="E1359" s="422"/>
      <c r="F1359" s="423"/>
    </row>
    <row r="1360" spans="2:6" ht="18" x14ac:dyDescent="0.35">
      <c r="B1360" s="421"/>
      <c r="C1360" s="422"/>
      <c r="D1360" s="422"/>
      <c r="E1360" s="422"/>
      <c r="F1360" s="423"/>
    </row>
    <row r="1361" spans="2:6" ht="18" x14ac:dyDescent="0.35">
      <c r="B1361" s="421"/>
      <c r="C1361" s="422"/>
      <c r="D1361" s="422"/>
      <c r="E1361" s="422"/>
      <c r="F1361" s="423"/>
    </row>
    <row r="1362" spans="2:6" ht="18" x14ac:dyDescent="0.35">
      <c r="B1362" s="421"/>
      <c r="C1362" s="422"/>
      <c r="D1362" s="422"/>
      <c r="E1362" s="422"/>
      <c r="F1362" s="423"/>
    </row>
    <row r="1363" spans="2:6" ht="18" x14ac:dyDescent="0.35">
      <c r="B1363" s="421"/>
      <c r="C1363" s="422"/>
      <c r="D1363" s="422"/>
      <c r="E1363" s="422"/>
      <c r="F1363" s="423"/>
    </row>
    <row r="1364" spans="2:6" ht="18" x14ac:dyDescent="0.35">
      <c r="B1364" s="421"/>
      <c r="C1364" s="422"/>
      <c r="D1364" s="422"/>
      <c r="E1364" s="422"/>
      <c r="F1364" s="423"/>
    </row>
    <row r="1365" spans="2:6" ht="18" x14ac:dyDescent="0.35">
      <c r="B1365" s="421"/>
      <c r="C1365" s="422"/>
      <c r="D1365" s="422"/>
      <c r="E1365" s="422"/>
      <c r="F1365" s="423"/>
    </row>
    <row r="1366" spans="2:6" ht="18" x14ac:dyDescent="0.35">
      <c r="B1366" s="421"/>
      <c r="C1366" s="422"/>
      <c r="D1366" s="422"/>
      <c r="E1366" s="422"/>
      <c r="F1366" s="423"/>
    </row>
    <row r="1367" spans="2:6" ht="18" x14ac:dyDescent="0.35">
      <c r="B1367" s="421"/>
      <c r="C1367" s="422"/>
      <c r="D1367" s="422"/>
      <c r="E1367" s="422"/>
      <c r="F1367" s="423"/>
    </row>
    <row r="1368" spans="2:6" ht="18" x14ac:dyDescent="0.35">
      <c r="B1368" s="421"/>
      <c r="C1368" s="422"/>
      <c r="D1368" s="422"/>
      <c r="E1368" s="422"/>
      <c r="F1368" s="423"/>
    </row>
    <row r="1369" spans="2:6" ht="18" x14ac:dyDescent="0.35">
      <c r="B1369" s="421"/>
      <c r="C1369" s="422"/>
      <c r="D1369" s="422"/>
      <c r="E1369" s="422"/>
      <c r="F1369" s="423"/>
    </row>
    <row r="1370" spans="2:6" ht="18" x14ac:dyDescent="0.35">
      <c r="B1370" s="421"/>
      <c r="C1370" s="422"/>
      <c r="D1370" s="422"/>
      <c r="E1370" s="422"/>
      <c r="F1370" s="423"/>
    </row>
    <row r="1371" spans="2:6" ht="18" x14ac:dyDescent="0.35">
      <c r="B1371" s="421"/>
      <c r="C1371" s="422"/>
      <c r="D1371" s="422"/>
      <c r="E1371" s="422"/>
      <c r="F1371" s="423"/>
    </row>
    <row r="1372" spans="2:6" ht="18" x14ac:dyDescent="0.35">
      <c r="B1372" s="421"/>
      <c r="C1372" s="422"/>
      <c r="D1372" s="422"/>
      <c r="E1372" s="422"/>
      <c r="F1372" s="423"/>
    </row>
    <row r="1373" spans="2:6" ht="18" x14ac:dyDescent="0.35">
      <c r="B1373" s="421"/>
      <c r="C1373" s="422"/>
      <c r="D1373" s="422"/>
      <c r="E1373" s="422"/>
      <c r="F1373" s="423"/>
    </row>
    <row r="1374" spans="2:6" ht="18" x14ac:dyDescent="0.35">
      <c r="B1374" s="421"/>
      <c r="C1374" s="422"/>
      <c r="D1374" s="422"/>
      <c r="E1374" s="422"/>
      <c r="F1374" s="423"/>
    </row>
    <row r="1375" spans="2:6" ht="18" x14ac:dyDescent="0.35">
      <c r="B1375" s="421"/>
      <c r="C1375" s="422"/>
      <c r="D1375" s="422"/>
      <c r="E1375" s="422"/>
      <c r="F1375" s="423"/>
    </row>
    <row r="1376" spans="2:6" ht="18" x14ac:dyDescent="0.35">
      <c r="B1376" s="421"/>
      <c r="C1376" s="422"/>
      <c r="D1376" s="422"/>
      <c r="E1376" s="422"/>
      <c r="F1376" s="423"/>
    </row>
    <row r="1377" spans="2:6" ht="18" x14ac:dyDescent="0.35">
      <c r="B1377" s="421"/>
      <c r="C1377" s="422"/>
      <c r="D1377" s="422"/>
      <c r="E1377" s="422"/>
      <c r="F1377" s="423"/>
    </row>
    <row r="1378" spans="2:6" ht="18" x14ac:dyDescent="0.35">
      <c r="B1378" s="421"/>
      <c r="C1378" s="422"/>
      <c r="D1378" s="422"/>
      <c r="E1378" s="422"/>
      <c r="F1378" s="423"/>
    </row>
    <row r="1379" spans="2:6" ht="18" x14ac:dyDescent="0.35">
      <c r="B1379" s="421"/>
      <c r="C1379" s="422"/>
      <c r="D1379" s="422"/>
      <c r="E1379" s="422"/>
      <c r="F1379" s="423"/>
    </row>
    <row r="1380" spans="2:6" ht="18" x14ac:dyDescent="0.35">
      <c r="B1380" s="421"/>
      <c r="C1380" s="422"/>
      <c r="D1380" s="422"/>
      <c r="E1380" s="422"/>
      <c r="F1380" s="423"/>
    </row>
    <row r="1381" spans="2:6" ht="18" x14ac:dyDescent="0.35">
      <c r="B1381" s="421"/>
      <c r="C1381" s="422"/>
      <c r="D1381" s="422"/>
      <c r="E1381" s="422"/>
      <c r="F1381" s="423"/>
    </row>
    <row r="1382" spans="2:6" ht="18" x14ac:dyDescent="0.35">
      <c r="B1382" s="421"/>
      <c r="C1382" s="422"/>
      <c r="D1382" s="422"/>
      <c r="E1382" s="422"/>
      <c r="F1382" s="423"/>
    </row>
    <row r="1383" spans="2:6" ht="18" x14ac:dyDescent="0.35">
      <c r="B1383" s="421"/>
      <c r="C1383" s="422"/>
      <c r="D1383" s="422"/>
      <c r="E1383" s="422"/>
      <c r="F1383" s="423"/>
    </row>
    <row r="1384" spans="2:6" ht="18" x14ac:dyDescent="0.35">
      <c r="B1384" s="421"/>
      <c r="C1384" s="422"/>
      <c r="D1384" s="422"/>
      <c r="E1384" s="422"/>
      <c r="F1384" s="423"/>
    </row>
    <row r="1385" spans="2:6" ht="18" x14ac:dyDescent="0.35">
      <c r="B1385" s="421"/>
      <c r="C1385" s="422"/>
      <c r="D1385" s="422"/>
      <c r="E1385" s="422"/>
      <c r="F1385" s="423"/>
    </row>
    <row r="1386" spans="2:6" ht="18" x14ac:dyDescent="0.35">
      <c r="B1386" s="421"/>
      <c r="C1386" s="422"/>
      <c r="D1386" s="422"/>
      <c r="E1386" s="422"/>
      <c r="F1386" s="423"/>
    </row>
    <row r="1387" spans="2:6" ht="18" x14ac:dyDescent="0.35">
      <c r="B1387" s="421"/>
      <c r="C1387" s="422"/>
      <c r="D1387" s="422"/>
      <c r="E1387" s="422"/>
      <c r="F1387" s="423"/>
    </row>
    <row r="1388" spans="2:6" ht="18" x14ac:dyDescent="0.35">
      <c r="B1388" s="421"/>
      <c r="C1388" s="422"/>
      <c r="D1388" s="422"/>
      <c r="E1388" s="422"/>
      <c r="F1388" s="423"/>
    </row>
    <row r="1389" spans="2:6" ht="18" x14ac:dyDescent="0.35">
      <c r="B1389" s="421"/>
      <c r="C1389" s="422"/>
      <c r="D1389" s="422"/>
      <c r="E1389" s="422"/>
      <c r="F1389" s="423"/>
    </row>
    <row r="1390" spans="2:6" ht="18" x14ac:dyDescent="0.35">
      <c r="B1390" s="421"/>
      <c r="C1390" s="422"/>
      <c r="D1390" s="422"/>
      <c r="E1390" s="422"/>
      <c r="F1390" s="423"/>
    </row>
    <row r="1391" spans="2:6" ht="18" x14ac:dyDescent="0.35">
      <c r="B1391" s="421"/>
      <c r="C1391" s="422"/>
      <c r="D1391" s="422"/>
      <c r="E1391" s="422"/>
      <c r="F1391" s="423"/>
    </row>
    <row r="1392" spans="2:6" ht="18" x14ac:dyDescent="0.35">
      <c r="B1392" s="421"/>
      <c r="C1392" s="422"/>
      <c r="D1392" s="422"/>
      <c r="E1392" s="422"/>
      <c r="F1392" s="423"/>
    </row>
    <row r="1393" spans="2:6" ht="18" x14ac:dyDescent="0.35">
      <c r="B1393" s="421"/>
      <c r="C1393" s="422"/>
      <c r="D1393" s="422"/>
      <c r="E1393" s="422"/>
      <c r="F1393" s="423"/>
    </row>
    <row r="1394" spans="2:6" ht="18" x14ac:dyDescent="0.35">
      <c r="B1394" s="421"/>
      <c r="C1394" s="422"/>
      <c r="D1394" s="422"/>
      <c r="E1394" s="422"/>
      <c r="F1394" s="423"/>
    </row>
    <row r="1395" spans="2:6" ht="18" x14ac:dyDescent="0.35">
      <c r="B1395" s="421"/>
      <c r="C1395" s="422"/>
      <c r="D1395" s="422"/>
      <c r="E1395" s="422"/>
      <c r="F1395" s="423"/>
    </row>
    <row r="1396" spans="2:6" ht="18" x14ac:dyDescent="0.35">
      <c r="B1396" s="421"/>
      <c r="C1396" s="422"/>
      <c r="D1396" s="422"/>
      <c r="E1396" s="422"/>
      <c r="F1396" s="423"/>
    </row>
    <row r="1397" spans="2:6" ht="18" x14ac:dyDescent="0.35">
      <c r="B1397" s="421"/>
      <c r="C1397" s="422"/>
      <c r="D1397" s="422"/>
      <c r="E1397" s="422"/>
      <c r="F1397" s="423"/>
    </row>
    <row r="1398" spans="2:6" ht="18" x14ac:dyDescent="0.35">
      <c r="B1398" s="421"/>
      <c r="C1398" s="422"/>
      <c r="D1398" s="422"/>
      <c r="E1398" s="422"/>
      <c r="F1398" s="423"/>
    </row>
    <row r="1399" spans="2:6" ht="18" x14ac:dyDescent="0.35">
      <c r="B1399" s="421"/>
      <c r="C1399" s="422"/>
      <c r="D1399" s="422"/>
      <c r="E1399" s="422"/>
      <c r="F1399" s="423"/>
    </row>
    <row r="1400" spans="2:6" ht="18" x14ac:dyDescent="0.35">
      <c r="B1400" s="421"/>
      <c r="C1400" s="422"/>
      <c r="D1400" s="422"/>
      <c r="E1400" s="422"/>
      <c r="F1400" s="423"/>
    </row>
    <row r="1401" spans="2:6" ht="18" x14ac:dyDescent="0.35">
      <c r="B1401" s="421"/>
      <c r="C1401" s="422"/>
      <c r="D1401" s="422"/>
      <c r="E1401" s="422"/>
      <c r="F1401" s="423"/>
    </row>
    <row r="1402" spans="2:6" ht="18" x14ac:dyDescent="0.35">
      <c r="B1402" s="421"/>
      <c r="C1402" s="422"/>
      <c r="D1402" s="422"/>
      <c r="E1402" s="422"/>
      <c r="F1402" s="423"/>
    </row>
    <row r="1403" spans="2:6" ht="18" x14ac:dyDescent="0.35">
      <c r="B1403" s="421"/>
      <c r="C1403" s="422"/>
      <c r="D1403" s="422"/>
      <c r="E1403" s="422"/>
      <c r="F1403" s="423"/>
    </row>
    <row r="1404" spans="2:6" ht="18" x14ac:dyDescent="0.35">
      <c r="B1404" s="421"/>
      <c r="C1404" s="422"/>
      <c r="D1404" s="422"/>
      <c r="E1404" s="422"/>
      <c r="F1404" s="423"/>
    </row>
    <row r="1405" spans="2:6" ht="18" x14ac:dyDescent="0.35">
      <c r="B1405" s="421"/>
      <c r="C1405" s="422"/>
      <c r="D1405" s="422"/>
      <c r="E1405" s="422"/>
      <c r="F1405" s="423"/>
    </row>
    <row r="1406" spans="2:6" ht="18" x14ac:dyDescent="0.35">
      <c r="B1406" s="421"/>
      <c r="C1406" s="422"/>
      <c r="D1406" s="422"/>
      <c r="E1406" s="422"/>
      <c r="F1406" s="423"/>
    </row>
    <row r="1407" spans="2:6" ht="18" x14ac:dyDescent="0.35">
      <c r="B1407" s="421"/>
      <c r="C1407" s="422"/>
      <c r="D1407" s="422"/>
      <c r="E1407" s="422"/>
      <c r="F1407" s="423"/>
    </row>
    <row r="1408" spans="2:6" ht="18" x14ac:dyDescent="0.35">
      <c r="B1408" s="421"/>
      <c r="C1408" s="422"/>
      <c r="D1408" s="422"/>
      <c r="E1408" s="422"/>
      <c r="F1408" s="423"/>
    </row>
    <row r="1409" spans="2:6" ht="18" x14ac:dyDescent="0.35">
      <c r="B1409" s="421"/>
      <c r="C1409" s="422"/>
      <c r="D1409" s="422"/>
      <c r="E1409" s="422"/>
      <c r="F1409" s="423"/>
    </row>
    <row r="1410" spans="2:6" ht="18" x14ac:dyDescent="0.35">
      <c r="B1410" s="421"/>
      <c r="C1410" s="422"/>
      <c r="D1410" s="422"/>
      <c r="E1410" s="422"/>
      <c r="F1410" s="423"/>
    </row>
    <row r="1411" spans="2:6" ht="18" x14ac:dyDescent="0.35">
      <c r="B1411" s="421"/>
      <c r="C1411" s="422"/>
      <c r="D1411" s="422"/>
      <c r="E1411" s="422"/>
      <c r="F1411" s="423"/>
    </row>
    <row r="1412" spans="2:6" ht="18" x14ac:dyDescent="0.35">
      <c r="B1412" s="421"/>
      <c r="C1412" s="422"/>
      <c r="D1412" s="422"/>
      <c r="E1412" s="422"/>
      <c r="F1412" s="423"/>
    </row>
    <row r="1413" spans="2:6" ht="18" x14ac:dyDescent="0.35">
      <c r="B1413" s="421"/>
      <c r="C1413" s="422"/>
      <c r="D1413" s="422"/>
      <c r="E1413" s="422"/>
      <c r="F1413" s="423"/>
    </row>
    <row r="1414" spans="2:6" ht="18" x14ac:dyDescent="0.35">
      <c r="B1414" s="421"/>
      <c r="C1414" s="422"/>
      <c r="D1414" s="422"/>
      <c r="E1414" s="422"/>
      <c r="F1414" s="423"/>
    </row>
    <row r="1415" spans="2:6" ht="18" x14ac:dyDescent="0.35">
      <c r="B1415" s="421"/>
      <c r="C1415" s="422"/>
      <c r="D1415" s="422"/>
      <c r="E1415" s="422"/>
      <c r="F1415" s="423"/>
    </row>
    <row r="1416" spans="2:6" ht="18" x14ac:dyDescent="0.35">
      <c r="B1416" s="421"/>
      <c r="C1416" s="422"/>
      <c r="D1416" s="422"/>
      <c r="E1416" s="422"/>
      <c r="F1416" s="423"/>
    </row>
    <row r="1417" spans="2:6" ht="18" x14ac:dyDescent="0.35">
      <c r="B1417" s="421"/>
      <c r="C1417" s="422"/>
      <c r="D1417" s="422"/>
      <c r="E1417" s="422"/>
      <c r="F1417" s="423"/>
    </row>
    <row r="1418" spans="2:6" ht="18" x14ac:dyDescent="0.35">
      <c r="B1418" s="421"/>
      <c r="C1418" s="422"/>
      <c r="D1418" s="422"/>
      <c r="E1418" s="422"/>
      <c r="F1418" s="423"/>
    </row>
    <row r="1419" spans="2:6" ht="18" x14ac:dyDescent="0.35">
      <c r="B1419" s="421"/>
      <c r="C1419" s="422"/>
      <c r="D1419" s="422"/>
      <c r="E1419" s="422"/>
      <c r="F1419" s="423"/>
    </row>
    <row r="1420" spans="2:6" ht="18" x14ac:dyDescent="0.35">
      <c r="B1420" s="421"/>
      <c r="C1420" s="422"/>
      <c r="D1420" s="422"/>
      <c r="E1420" s="422"/>
      <c r="F1420" s="423"/>
    </row>
    <row r="1421" spans="2:6" ht="18" x14ac:dyDescent="0.35">
      <c r="B1421" s="421"/>
      <c r="C1421" s="422"/>
      <c r="D1421" s="422"/>
      <c r="E1421" s="422"/>
      <c r="F1421" s="423"/>
    </row>
    <row r="1422" spans="2:6" ht="18" x14ac:dyDescent="0.35">
      <c r="B1422" s="421"/>
      <c r="C1422" s="422"/>
      <c r="D1422" s="422"/>
      <c r="E1422" s="422"/>
      <c r="F1422" s="423"/>
    </row>
    <row r="1423" spans="2:6" ht="18" x14ac:dyDescent="0.35">
      <c r="B1423" s="421"/>
      <c r="C1423" s="422"/>
      <c r="D1423" s="422"/>
      <c r="E1423" s="422"/>
      <c r="F1423" s="423"/>
    </row>
    <row r="1424" spans="2:6" ht="18" x14ac:dyDescent="0.35">
      <c r="B1424" s="421"/>
      <c r="C1424" s="422"/>
      <c r="D1424" s="422"/>
      <c r="E1424" s="422"/>
      <c r="F1424" s="423"/>
    </row>
    <row r="1425" spans="2:6" ht="18" x14ac:dyDescent="0.35">
      <c r="B1425" s="421"/>
      <c r="C1425" s="422"/>
      <c r="D1425" s="422"/>
      <c r="E1425" s="422"/>
      <c r="F1425" s="423"/>
    </row>
    <row r="1426" spans="2:6" ht="18" x14ac:dyDescent="0.35">
      <c r="B1426" s="421"/>
      <c r="C1426" s="422"/>
      <c r="D1426" s="422"/>
      <c r="E1426" s="422"/>
      <c r="F1426" s="423"/>
    </row>
    <row r="1427" spans="2:6" ht="18" x14ac:dyDescent="0.35">
      <c r="B1427" s="421"/>
      <c r="C1427" s="422"/>
      <c r="D1427" s="422"/>
      <c r="E1427" s="422"/>
      <c r="F1427" s="423"/>
    </row>
    <row r="1428" spans="2:6" ht="18" x14ac:dyDescent="0.35">
      <c r="B1428" s="421"/>
      <c r="C1428" s="422"/>
      <c r="D1428" s="422"/>
      <c r="E1428" s="422"/>
      <c r="F1428" s="423"/>
    </row>
    <row r="1429" spans="2:6" ht="18" x14ac:dyDescent="0.35">
      <c r="B1429" s="421"/>
      <c r="C1429" s="422"/>
      <c r="D1429" s="422"/>
      <c r="E1429" s="422"/>
      <c r="F1429" s="423"/>
    </row>
    <row r="1430" spans="2:6" ht="18" x14ac:dyDescent="0.35">
      <c r="B1430" s="421"/>
      <c r="C1430" s="422"/>
      <c r="D1430" s="422"/>
      <c r="E1430" s="422"/>
      <c r="F1430" s="423"/>
    </row>
    <row r="1431" spans="2:6" ht="18" x14ac:dyDescent="0.35">
      <c r="B1431" s="421"/>
      <c r="C1431" s="422"/>
      <c r="D1431" s="422"/>
      <c r="E1431" s="422"/>
      <c r="F1431" s="423"/>
    </row>
    <row r="1432" spans="2:6" ht="18" x14ac:dyDescent="0.35">
      <c r="B1432" s="421"/>
      <c r="C1432" s="422"/>
      <c r="D1432" s="422"/>
      <c r="E1432" s="422"/>
      <c r="F1432" s="423"/>
    </row>
    <row r="1433" spans="2:6" ht="18" x14ac:dyDescent="0.35">
      <c r="B1433" s="421"/>
      <c r="C1433" s="422"/>
      <c r="D1433" s="422"/>
      <c r="E1433" s="422"/>
      <c r="F1433" s="423"/>
    </row>
    <row r="1434" spans="2:6" ht="18" x14ac:dyDescent="0.35">
      <c r="B1434" s="421"/>
      <c r="C1434" s="422"/>
      <c r="D1434" s="422"/>
      <c r="E1434" s="422"/>
      <c r="F1434" s="423"/>
    </row>
    <row r="1435" spans="2:6" ht="18" x14ac:dyDescent="0.35">
      <c r="B1435" s="421"/>
      <c r="C1435" s="422"/>
      <c r="D1435" s="422"/>
      <c r="E1435" s="422"/>
      <c r="F1435" s="423"/>
    </row>
    <row r="1436" spans="2:6" ht="18" x14ac:dyDescent="0.35">
      <c r="B1436" s="421"/>
      <c r="C1436" s="422"/>
      <c r="D1436" s="422"/>
      <c r="E1436" s="422"/>
      <c r="F1436" s="423"/>
    </row>
    <row r="1437" spans="2:6" ht="18" x14ac:dyDescent="0.35">
      <c r="B1437" s="421"/>
      <c r="C1437" s="422"/>
      <c r="D1437" s="422"/>
      <c r="E1437" s="422"/>
      <c r="F1437" s="423"/>
    </row>
    <row r="1438" spans="2:6" ht="18" x14ac:dyDescent="0.35">
      <c r="B1438" s="421"/>
      <c r="C1438" s="422"/>
      <c r="D1438" s="422"/>
      <c r="E1438" s="422"/>
      <c r="F1438" s="423"/>
    </row>
    <row r="1439" spans="2:6" ht="18" x14ac:dyDescent="0.35">
      <c r="B1439" s="421"/>
      <c r="C1439" s="422"/>
      <c r="D1439" s="422"/>
      <c r="E1439" s="422"/>
      <c r="F1439" s="423"/>
    </row>
    <row r="1440" spans="2:6" ht="18" x14ac:dyDescent="0.35">
      <c r="B1440" s="421"/>
      <c r="C1440" s="422"/>
      <c r="D1440" s="422"/>
      <c r="E1440" s="422"/>
      <c r="F1440" s="423"/>
    </row>
    <row r="1441" spans="2:6" ht="18" x14ac:dyDescent="0.35">
      <c r="B1441" s="421"/>
      <c r="C1441" s="422"/>
      <c r="D1441" s="422"/>
      <c r="E1441" s="422"/>
      <c r="F1441" s="423"/>
    </row>
    <row r="1442" spans="2:6" ht="18" x14ac:dyDescent="0.35">
      <c r="B1442" s="421"/>
      <c r="C1442" s="422"/>
      <c r="D1442" s="422"/>
      <c r="E1442" s="422"/>
      <c r="F1442" s="423"/>
    </row>
    <row r="1443" spans="2:6" ht="18" x14ac:dyDescent="0.35">
      <c r="B1443" s="421"/>
      <c r="C1443" s="422"/>
      <c r="D1443" s="422"/>
      <c r="E1443" s="422"/>
      <c r="F1443" s="423"/>
    </row>
    <row r="1444" spans="2:6" ht="18" x14ac:dyDescent="0.35">
      <c r="B1444" s="421"/>
      <c r="C1444" s="422"/>
      <c r="D1444" s="422"/>
      <c r="E1444" s="422"/>
      <c r="F1444" s="423"/>
    </row>
    <row r="1445" spans="2:6" ht="18" x14ac:dyDescent="0.35">
      <c r="B1445" s="421"/>
      <c r="C1445" s="422"/>
      <c r="D1445" s="422"/>
      <c r="E1445" s="422"/>
      <c r="F1445" s="423"/>
    </row>
    <row r="1446" spans="2:6" ht="18" x14ac:dyDescent="0.35">
      <c r="B1446" s="421"/>
      <c r="C1446" s="422"/>
      <c r="D1446" s="422"/>
      <c r="E1446" s="422"/>
      <c r="F1446" s="423"/>
    </row>
    <row r="1447" spans="2:6" ht="18" x14ac:dyDescent="0.35">
      <c r="B1447" s="421"/>
      <c r="C1447" s="422"/>
      <c r="D1447" s="422"/>
      <c r="E1447" s="422"/>
      <c r="F1447" s="423"/>
    </row>
    <row r="1448" spans="2:6" ht="18" x14ac:dyDescent="0.35">
      <c r="B1448" s="421"/>
      <c r="C1448" s="422"/>
      <c r="D1448" s="422"/>
      <c r="E1448" s="422"/>
      <c r="F1448" s="423"/>
    </row>
    <row r="1449" spans="2:6" ht="18" x14ac:dyDescent="0.35">
      <c r="B1449" s="421"/>
      <c r="C1449" s="422"/>
      <c r="D1449" s="422"/>
      <c r="E1449" s="422"/>
      <c r="F1449" s="423"/>
    </row>
    <row r="1450" spans="2:6" ht="18" x14ac:dyDescent="0.35">
      <c r="B1450" s="421"/>
      <c r="C1450" s="422"/>
      <c r="D1450" s="422"/>
      <c r="E1450" s="422"/>
      <c r="F1450" s="423"/>
    </row>
    <row r="1451" spans="2:6" ht="18" x14ac:dyDescent="0.35">
      <c r="B1451" s="421"/>
      <c r="C1451" s="422"/>
      <c r="D1451" s="422"/>
      <c r="E1451" s="422"/>
      <c r="F1451" s="423"/>
    </row>
    <row r="1452" spans="2:6" ht="18" x14ac:dyDescent="0.35">
      <c r="B1452" s="421"/>
      <c r="C1452" s="422"/>
      <c r="D1452" s="422"/>
      <c r="E1452" s="422"/>
      <c r="F1452" s="423"/>
    </row>
    <row r="1453" spans="2:6" ht="18" x14ac:dyDescent="0.35">
      <c r="B1453" s="421"/>
      <c r="C1453" s="422"/>
      <c r="D1453" s="422"/>
      <c r="E1453" s="422"/>
      <c r="F1453" s="423"/>
    </row>
    <row r="1454" spans="2:6" ht="18" x14ac:dyDescent="0.35">
      <c r="B1454" s="421"/>
      <c r="C1454" s="422"/>
      <c r="D1454" s="422"/>
      <c r="E1454" s="422"/>
      <c r="F1454" s="423"/>
    </row>
    <row r="1455" spans="2:6" ht="18" x14ac:dyDescent="0.35">
      <c r="B1455" s="421"/>
      <c r="C1455" s="422"/>
      <c r="D1455" s="422"/>
      <c r="E1455" s="422"/>
      <c r="F1455" s="423"/>
    </row>
    <row r="1456" spans="2:6" ht="18" x14ac:dyDescent="0.35">
      <c r="B1456" s="421"/>
      <c r="C1456" s="422"/>
      <c r="D1456" s="422"/>
      <c r="E1456" s="422"/>
      <c r="F1456" s="423"/>
    </row>
    <row r="1457" spans="2:6" ht="18" x14ac:dyDescent="0.35">
      <c r="B1457" s="421"/>
      <c r="C1457" s="422"/>
      <c r="D1457" s="422"/>
      <c r="E1457" s="422"/>
      <c r="F1457" s="423"/>
    </row>
    <row r="1458" spans="2:6" ht="18" x14ac:dyDescent="0.35">
      <c r="B1458" s="421"/>
      <c r="C1458" s="422"/>
      <c r="D1458" s="422"/>
      <c r="E1458" s="422"/>
      <c r="F1458" s="423"/>
    </row>
    <row r="1459" spans="2:6" ht="18" x14ac:dyDescent="0.35">
      <c r="B1459" s="421"/>
      <c r="C1459" s="422"/>
      <c r="D1459" s="422"/>
      <c r="E1459" s="422"/>
      <c r="F1459" s="423"/>
    </row>
    <row r="1460" spans="2:6" ht="18" x14ac:dyDescent="0.35">
      <c r="B1460" s="421"/>
      <c r="C1460" s="422"/>
      <c r="D1460" s="422"/>
      <c r="E1460" s="422"/>
      <c r="F1460" s="423"/>
    </row>
    <row r="1461" spans="2:6" ht="18" x14ac:dyDescent="0.35">
      <c r="B1461" s="421"/>
      <c r="C1461" s="422"/>
      <c r="D1461" s="422"/>
      <c r="E1461" s="422"/>
      <c r="F1461" s="423"/>
    </row>
    <row r="1462" spans="2:6" ht="18" x14ac:dyDescent="0.35">
      <c r="B1462" s="421"/>
      <c r="C1462" s="422"/>
      <c r="D1462" s="422"/>
      <c r="E1462" s="422"/>
      <c r="F1462" s="423"/>
    </row>
    <row r="1463" spans="2:6" ht="18" x14ac:dyDescent="0.35">
      <c r="B1463" s="421"/>
      <c r="C1463" s="422"/>
      <c r="D1463" s="422"/>
      <c r="E1463" s="422"/>
      <c r="F1463" s="423"/>
    </row>
    <row r="1464" spans="2:6" ht="18" x14ac:dyDescent="0.35">
      <c r="B1464" s="421"/>
      <c r="C1464" s="422"/>
      <c r="D1464" s="422"/>
      <c r="E1464" s="422"/>
      <c r="F1464" s="423"/>
    </row>
    <row r="1465" spans="2:6" ht="18" x14ac:dyDescent="0.35">
      <c r="B1465" s="421"/>
      <c r="C1465" s="422"/>
      <c r="D1465" s="422"/>
      <c r="E1465" s="422"/>
      <c r="F1465" s="423"/>
    </row>
    <row r="1466" spans="2:6" ht="18" x14ac:dyDescent="0.35">
      <c r="B1466" s="421"/>
      <c r="C1466" s="422"/>
      <c r="D1466" s="422"/>
      <c r="E1466" s="422"/>
      <c r="F1466" s="423"/>
    </row>
    <row r="1467" spans="2:6" ht="18" x14ac:dyDescent="0.35">
      <c r="B1467" s="421"/>
      <c r="C1467" s="422"/>
      <c r="D1467" s="422"/>
      <c r="E1467" s="422"/>
      <c r="F1467" s="423"/>
    </row>
    <row r="1468" spans="2:6" ht="18" x14ac:dyDescent="0.35">
      <c r="B1468" s="421"/>
      <c r="C1468" s="422"/>
      <c r="D1468" s="422"/>
      <c r="E1468" s="422"/>
      <c r="F1468" s="423"/>
    </row>
    <row r="1469" spans="2:6" ht="18" x14ac:dyDescent="0.35">
      <c r="B1469" s="421"/>
      <c r="C1469" s="422"/>
      <c r="D1469" s="422"/>
      <c r="E1469" s="422"/>
      <c r="F1469" s="423"/>
    </row>
    <row r="1470" spans="2:6" ht="18" x14ac:dyDescent="0.35">
      <c r="B1470" s="421"/>
      <c r="C1470" s="422"/>
      <c r="D1470" s="422"/>
      <c r="E1470" s="422"/>
      <c r="F1470" s="423"/>
    </row>
    <row r="1471" spans="2:6" ht="18" x14ac:dyDescent="0.35">
      <c r="B1471" s="421"/>
      <c r="C1471" s="422"/>
      <c r="D1471" s="422"/>
      <c r="E1471" s="422"/>
      <c r="F1471" s="423"/>
    </row>
    <row r="1472" spans="2:6" ht="18" x14ac:dyDescent="0.35">
      <c r="B1472" s="421"/>
      <c r="C1472" s="422"/>
      <c r="D1472" s="422"/>
      <c r="E1472" s="422"/>
      <c r="F1472" s="423"/>
    </row>
    <row r="1473" spans="2:6" ht="18" x14ac:dyDescent="0.35">
      <c r="B1473" s="421"/>
      <c r="C1473" s="422"/>
      <c r="D1473" s="422"/>
      <c r="E1473" s="422"/>
      <c r="F1473" s="423"/>
    </row>
    <row r="1474" spans="2:6" ht="18" x14ac:dyDescent="0.35">
      <c r="B1474" s="421"/>
      <c r="C1474" s="422"/>
      <c r="D1474" s="422"/>
      <c r="E1474" s="422"/>
      <c r="F1474" s="423"/>
    </row>
    <row r="1475" spans="2:6" ht="18" x14ac:dyDescent="0.35">
      <c r="B1475" s="421"/>
      <c r="C1475" s="422"/>
      <c r="D1475" s="422"/>
      <c r="E1475" s="422"/>
      <c r="F1475" s="423"/>
    </row>
    <row r="1476" spans="2:6" ht="18" x14ac:dyDescent="0.35">
      <c r="B1476" s="421"/>
      <c r="C1476" s="422"/>
      <c r="D1476" s="422"/>
      <c r="E1476" s="422"/>
      <c r="F1476" s="423"/>
    </row>
    <row r="1477" spans="2:6" ht="18" x14ac:dyDescent="0.35">
      <c r="B1477" s="421"/>
      <c r="C1477" s="422"/>
      <c r="D1477" s="422"/>
      <c r="E1477" s="422"/>
      <c r="F1477" s="423"/>
    </row>
    <row r="1478" spans="2:6" ht="18" x14ac:dyDescent="0.35">
      <c r="B1478" s="421"/>
      <c r="C1478" s="422"/>
      <c r="D1478" s="422"/>
      <c r="E1478" s="422"/>
      <c r="F1478" s="423"/>
    </row>
    <row r="1479" spans="2:6" ht="18" x14ac:dyDescent="0.35">
      <c r="B1479" s="421"/>
      <c r="C1479" s="422"/>
      <c r="D1479" s="422"/>
      <c r="E1479" s="422"/>
      <c r="F1479" s="423"/>
    </row>
    <row r="1480" spans="2:6" ht="18" x14ac:dyDescent="0.35">
      <c r="B1480" s="421"/>
      <c r="C1480" s="422"/>
      <c r="D1480" s="422"/>
      <c r="E1480" s="422"/>
      <c r="F1480" s="423"/>
    </row>
    <row r="1481" spans="2:6" ht="18" x14ac:dyDescent="0.35">
      <c r="B1481" s="421"/>
      <c r="C1481" s="422"/>
      <c r="D1481" s="422"/>
      <c r="E1481" s="422"/>
      <c r="F1481" s="423"/>
    </row>
    <row r="1482" spans="2:6" ht="18" x14ac:dyDescent="0.35">
      <c r="B1482" s="421"/>
      <c r="C1482" s="422"/>
      <c r="D1482" s="422"/>
      <c r="E1482" s="422"/>
      <c r="F1482" s="423"/>
    </row>
    <row r="1483" spans="2:6" ht="18" x14ac:dyDescent="0.35">
      <c r="B1483" s="421"/>
      <c r="C1483" s="422"/>
      <c r="D1483" s="422"/>
      <c r="E1483" s="422"/>
      <c r="F1483" s="423"/>
    </row>
    <row r="1484" spans="2:6" ht="18" x14ac:dyDescent="0.35">
      <c r="B1484" s="421"/>
      <c r="C1484" s="422"/>
      <c r="D1484" s="422"/>
      <c r="E1484" s="422"/>
      <c r="F1484" s="423"/>
    </row>
    <row r="1485" spans="2:6" ht="18" x14ac:dyDescent="0.35">
      <c r="B1485" s="421"/>
      <c r="C1485" s="422"/>
      <c r="D1485" s="422"/>
      <c r="E1485" s="422"/>
      <c r="F1485" s="423"/>
    </row>
    <row r="1486" spans="2:6" ht="18" x14ac:dyDescent="0.35">
      <c r="B1486" s="421"/>
      <c r="C1486" s="422"/>
      <c r="D1486" s="422"/>
      <c r="E1486" s="422"/>
      <c r="F1486" s="423"/>
    </row>
    <row r="1487" spans="2:6" ht="18" x14ac:dyDescent="0.35">
      <c r="B1487" s="421"/>
      <c r="C1487" s="422"/>
      <c r="D1487" s="422"/>
      <c r="E1487" s="422"/>
      <c r="F1487" s="423"/>
    </row>
    <row r="1488" spans="2:6" ht="18" x14ac:dyDescent="0.35">
      <c r="B1488" s="421"/>
      <c r="C1488" s="422"/>
      <c r="D1488" s="422"/>
      <c r="E1488" s="422"/>
      <c r="F1488" s="423"/>
    </row>
    <row r="1489" spans="2:6" ht="18" x14ac:dyDescent="0.35">
      <c r="B1489" s="421"/>
      <c r="C1489" s="422"/>
      <c r="D1489" s="422"/>
      <c r="E1489" s="422"/>
      <c r="F1489" s="423"/>
    </row>
    <row r="1490" spans="2:6" ht="18" x14ac:dyDescent="0.35">
      <c r="B1490" s="421"/>
      <c r="C1490" s="422"/>
      <c r="D1490" s="422"/>
      <c r="E1490" s="422"/>
      <c r="F1490" s="423"/>
    </row>
    <row r="1491" spans="2:6" ht="18" x14ac:dyDescent="0.35">
      <c r="B1491" s="421"/>
      <c r="C1491" s="422"/>
      <c r="D1491" s="422"/>
      <c r="E1491" s="422"/>
      <c r="F1491" s="423"/>
    </row>
    <row r="1492" spans="2:6" ht="18" x14ac:dyDescent="0.35">
      <c r="B1492" s="421"/>
      <c r="C1492" s="422"/>
      <c r="D1492" s="422"/>
      <c r="E1492" s="422"/>
      <c r="F1492" s="423"/>
    </row>
    <row r="1493" spans="2:6" ht="18" x14ac:dyDescent="0.35">
      <c r="B1493" s="421"/>
      <c r="C1493" s="422"/>
      <c r="D1493" s="422"/>
      <c r="E1493" s="422"/>
      <c r="F1493" s="423"/>
    </row>
    <row r="1494" spans="2:6" ht="18" x14ac:dyDescent="0.35">
      <c r="B1494" s="421"/>
      <c r="C1494" s="422"/>
      <c r="D1494" s="422"/>
      <c r="E1494" s="422"/>
      <c r="F1494" s="423"/>
    </row>
    <row r="1495" spans="2:6" ht="18" x14ac:dyDescent="0.35">
      <c r="B1495" s="421"/>
      <c r="C1495" s="422"/>
      <c r="D1495" s="422"/>
      <c r="E1495" s="422"/>
      <c r="F1495" s="423"/>
    </row>
    <row r="1496" spans="2:6" ht="18" x14ac:dyDescent="0.35">
      <c r="B1496" s="421"/>
      <c r="C1496" s="422"/>
      <c r="D1496" s="422"/>
      <c r="E1496" s="422"/>
      <c r="F1496" s="423"/>
    </row>
    <row r="1497" spans="2:6" ht="18" x14ac:dyDescent="0.35">
      <c r="B1497" s="421"/>
      <c r="C1497" s="422"/>
      <c r="D1497" s="422"/>
      <c r="E1497" s="422"/>
      <c r="F1497" s="423"/>
    </row>
    <row r="1498" spans="2:6" ht="18" x14ac:dyDescent="0.35">
      <c r="B1498" s="421"/>
      <c r="C1498" s="422"/>
      <c r="D1498" s="422"/>
      <c r="E1498" s="422"/>
      <c r="F1498" s="423"/>
    </row>
    <row r="1499" spans="2:6" ht="18" x14ac:dyDescent="0.35">
      <c r="B1499" s="421"/>
      <c r="C1499" s="422"/>
      <c r="D1499" s="422"/>
      <c r="E1499" s="422"/>
      <c r="F1499" s="423"/>
    </row>
    <row r="1500" spans="2:6" ht="18" x14ac:dyDescent="0.35">
      <c r="B1500" s="421"/>
      <c r="C1500" s="422"/>
      <c r="D1500" s="422"/>
      <c r="E1500" s="422"/>
      <c r="F1500" s="423"/>
    </row>
    <row r="1501" spans="2:6" ht="18" x14ac:dyDescent="0.35">
      <c r="B1501" s="421"/>
      <c r="C1501" s="422"/>
      <c r="D1501" s="422"/>
      <c r="E1501" s="422"/>
      <c r="F1501" s="423"/>
    </row>
    <row r="1502" spans="2:6" ht="18" x14ac:dyDescent="0.35">
      <c r="B1502" s="421"/>
      <c r="C1502" s="422"/>
      <c r="D1502" s="422"/>
      <c r="E1502" s="422"/>
      <c r="F1502" s="423"/>
    </row>
    <row r="1503" spans="2:6" ht="18" x14ac:dyDescent="0.35">
      <c r="B1503" s="421"/>
      <c r="C1503" s="422"/>
      <c r="D1503" s="422"/>
      <c r="E1503" s="422"/>
      <c r="F1503" s="423"/>
    </row>
    <row r="1504" spans="2:6" ht="18" x14ac:dyDescent="0.35">
      <c r="B1504" s="421"/>
      <c r="C1504" s="422"/>
      <c r="D1504" s="422"/>
      <c r="E1504" s="422"/>
      <c r="F1504" s="423"/>
    </row>
    <row r="1505" spans="2:6" ht="18" x14ac:dyDescent="0.35">
      <c r="B1505" s="421"/>
      <c r="C1505" s="422"/>
      <c r="D1505" s="422"/>
      <c r="E1505" s="422"/>
      <c r="F1505" s="423"/>
    </row>
    <row r="1506" spans="2:6" ht="18" x14ac:dyDescent="0.35">
      <c r="B1506" s="421"/>
      <c r="C1506" s="422"/>
      <c r="D1506" s="422"/>
      <c r="E1506" s="422"/>
      <c r="F1506" s="423"/>
    </row>
    <row r="1507" spans="2:6" ht="18" x14ac:dyDescent="0.35">
      <c r="B1507" s="421"/>
      <c r="C1507" s="422"/>
      <c r="D1507" s="422"/>
      <c r="E1507" s="422"/>
      <c r="F1507" s="423"/>
    </row>
    <row r="1508" spans="2:6" ht="18" x14ac:dyDescent="0.35">
      <c r="B1508" s="421"/>
      <c r="C1508" s="422"/>
      <c r="D1508" s="422"/>
      <c r="E1508" s="422"/>
      <c r="F1508" s="423"/>
    </row>
    <row r="1509" spans="2:6" ht="18" x14ac:dyDescent="0.35">
      <c r="B1509" s="421"/>
      <c r="C1509" s="422"/>
      <c r="D1509" s="422"/>
      <c r="E1509" s="422"/>
      <c r="F1509" s="423"/>
    </row>
    <row r="1510" spans="2:6" ht="18" x14ac:dyDescent="0.35">
      <c r="B1510" s="421"/>
      <c r="C1510" s="422"/>
      <c r="D1510" s="422"/>
      <c r="E1510" s="422"/>
      <c r="F1510" s="423"/>
    </row>
    <row r="1511" spans="2:6" ht="18" x14ac:dyDescent="0.35">
      <c r="B1511" s="421"/>
      <c r="C1511" s="422"/>
      <c r="D1511" s="422"/>
      <c r="E1511" s="422"/>
      <c r="F1511" s="423"/>
    </row>
    <row r="1512" spans="2:6" ht="18" x14ac:dyDescent="0.35">
      <c r="B1512" s="421"/>
      <c r="C1512" s="422"/>
      <c r="D1512" s="422"/>
      <c r="E1512" s="422"/>
      <c r="F1512" s="423"/>
    </row>
    <row r="1513" spans="2:6" ht="18" x14ac:dyDescent="0.35">
      <c r="B1513" s="421"/>
      <c r="C1513" s="422"/>
      <c r="D1513" s="422"/>
      <c r="E1513" s="422"/>
      <c r="F1513" s="423"/>
    </row>
    <row r="1514" spans="2:6" ht="18" x14ac:dyDescent="0.35">
      <c r="B1514" s="421"/>
      <c r="C1514" s="422"/>
      <c r="D1514" s="422"/>
      <c r="E1514" s="422"/>
      <c r="F1514" s="423"/>
    </row>
    <row r="1515" spans="2:6" ht="18" x14ac:dyDescent="0.35">
      <c r="B1515" s="421"/>
      <c r="C1515" s="422"/>
      <c r="D1515" s="422"/>
      <c r="E1515" s="422"/>
      <c r="F1515" s="423"/>
    </row>
    <row r="1516" spans="2:6" ht="18" x14ac:dyDescent="0.35">
      <c r="B1516" s="421"/>
      <c r="C1516" s="422"/>
      <c r="D1516" s="422"/>
      <c r="E1516" s="422"/>
      <c r="F1516" s="423"/>
    </row>
    <row r="1517" spans="2:6" ht="18" x14ac:dyDescent="0.35">
      <c r="B1517" s="421"/>
      <c r="C1517" s="422"/>
      <c r="D1517" s="422"/>
      <c r="E1517" s="422"/>
      <c r="F1517" s="423"/>
    </row>
    <row r="1518" spans="2:6" ht="18" x14ac:dyDescent="0.35">
      <c r="B1518" s="421"/>
      <c r="C1518" s="422"/>
      <c r="D1518" s="422"/>
      <c r="E1518" s="422"/>
      <c r="F1518" s="423"/>
    </row>
    <row r="1519" spans="2:6" ht="18" x14ac:dyDescent="0.35">
      <c r="B1519" s="421"/>
      <c r="C1519" s="422"/>
      <c r="D1519" s="422"/>
      <c r="E1519" s="422"/>
      <c r="F1519" s="423"/>
    </row>
    <row r="1520" spans="2:6" ht="18" x14ac:dyDescent="0.35">
      <c r="B1520" s="421"/>
      <c r="C1520" s="422"/>
      <c r="D1520" s="422"/>
      <c r="E1520" s="422"/>
      <c r="F1520" s="423"/>
    </row>
    <row r="1521" spans="2:6" ht="18" x14ac:dyDescent="0.35">
      <c r="B1521" s="421"/>
      <c r="C1521" s="422"/>
      <c r="D1521" s="422"/>
      <c r="E1521" s="422"/>
      <c r="F1521" s="423"/>
    </row>
    <row r="1522" spans="2:6" ht="18" x14ac:dyDescent="0.35">
      <c r="B1522" s="421"/>
      <c r="C1522" s="422"/>
      <c r="D1522" s="422"/>
      <c r="E1522" s="422"/>
      <c r="F1522" s="423"/>
    </row>
    <row r="1523" spans="2:6" ht="18" x14ac:dyDescent="0.35">
      <c r="B1523" s="421"/>
      <c r="C1523" s="422"/>
      <c r="D1523" s="422"/>
      <c r="E1523" s="422"/>
      <c r="F1523" s="423"/>
    </row>
    <row r="1524" spans="2:6" ht="18" x14ac:dyDescent="0.35">
      <c r="B1524" s="421"/>
      <c r="C1524" s="422"/>
      <c r="D1524" s="422"/>
      <c r="E1524" s="422"/>
      <c r="F1524" s="423"/>
    </row>
    <row r="1525" spans="2:6" ht="18" x14ac:dyDescent="0.35">
      <c r="B1525" s="421"/>
      <c r="C1525" s="422"/>
      <c r="D1525" s="422"/>
      <c r="E1525" s="422"/>
      <c r="F1525" s="423"/>
    </row>
    <row r="1526" spans="2:6" ht="18" x14ac:dyDescent="0.35">
      <c r="B1526" s="421"/>
      <c r="C1526" s="422"/>
      <c r="D1526" s="422"/>
      <c r="E1526" s="422"/>
      <c r="F1526" s="423"/>
    </row>
    <row r="1527" spans="2:6" ht="18" x14ac:dyDescent="0.35">
      <c r="B1527" s="421"/>
      <c r="C1527" s="422"/>
      <c r="D1527" s="422"/>
      <c r="E1527" s="422"/>
      <c r="F1527" s="423"/>
    </row>
    <row r="1528" spans="2:6" ht="18" x14ac:dyDescent="0.35">
      <c r="B1528" s="421"/>
      <c r="C1528" s="422"/>
      <c r="D1528" s="422"/>
      <c r="E1528" s="422"/>
      <c r="F1528" s="423"/>
    </row>
    <row r="1529" spans="2:6" ht="18" x14ac:dyDescent="0.35">
      <c r="B1529" s="421"/>
      <c r="C1529" s="422"/>
      <c r="D1529" s="422"/>
      <c r="E1529" s="422"/>
      <c r="F1529" s="423"/>
    </row>
    <row r="1530" spans="2:6" ht="18" x14ac:dyDescent="0.35">
      <c r="B1530" s="421"/>
      <c r="C1530" s="422"/>
      <c r="D1530" s="422"/>
      <c r="E1530" s="422"/>
      <c r="F1530" s="423"/>
    </row>
    <row r="1531" spans="2:6" ht="18" x14ac:dyDescent="0.35">
      <c r="B1531" s="421"/>
      <c r="C1531" s="422"/>
      <c r="D1531" s="422"/>
      <c r="E1531" s="422"/>
      <c r="F1531" s="423"/>
    </row>
    <row r="1532" spans="2:6" ht="18" x14ac:dyDescent="0.35">
      <c r="B1532" s="421"/>
      <c r="C1532" s="422"/>
      <c r="D1532" s="422"/>
      <c r="E1532" s="422"/>
      <c r="F1532" s="423"/>
    </row>
    <row r="1533" spans="2:6" ht="18" x14ac:dyDescent="0.35">
      <c r="B1533" s="421"/>
      <c r="C1533" s="422"/>
      <c r="D1533" s="422"/>
      <c r="E1533" s="422"/>
      <c r="F1533" s="423"/>
    </row>
    <row r="1534" spans="2:6" ht="18" x14ac:dyDescent="0.35">
      <c r="B1534" s="421"/>
      <c r="C1534" s="422"/>
      <c r="D1534" s="422"/>
      <c r="E1534" s="422"/>
      <c r="F1534" s="423"/>
    </row>
    <row r="1535" spans="2:6" ht="18" x14ac:dyDescent="0.35">
      <c r="B1535" s="421"/>
      <c r="C1535" s="422"/>
      <c r="D1535" s="422"/>
      <c r="E1535" s="422"/>
      <c r="F1535" s="423"/>
    </row>
    <row r="1536" spans="2:6" ht="18" x14ac:dyDescent="0.35">
      <c r="B1536" s="421"/>
      <c r="C1536" s="422"/>
      <c r="D1536" s="422"/>
      <c r="E1536" s="422"/>
      <c r="F1536" s="423"/>
    </row>
    <row r="1537" spans="2:6" ht="18" x14ac:dyDescent="0.35">
      <c r="B1537" s="421"/>
      <c r="C1537" s="422"/>
      <c r="D1537" s="422"/>
      <c r="E1537" s="422"/>
      <c r="F1537" s="423"/>
    </row>
    <row r="1538" spans="2:6" ht="18" x14ac:dyDescent="0.35">
      <c r="B1538" s="421"/>
      <c r="C1538" s="422"/>
      <c r="D1538" s="422"/>
      <c r="E1538" s="422"/>
      <c r="F1538" s="423"/>
    </row>
    <row r="1539" spans="2:6" ht="18" x14ac:dyDescent="0.35">
      <c r="B1539" s="421"/>
      <c r="C1539" s="422"/>
      <c r="D1539" s="422"/>
      <c r="E1539" s="422"/>
      <c r="F1539" s="423"/>
    </row>
    <row r="1540" spans="2:6" ht="18" x14ac:dyDescent="0.35">
      <c r="B1540" s="421"/>
      <c r="C1540" s="422"/>
      <c r="D1540" s="422"/>
      <c r="E1540" s="422"/>
      <c r="F1540" s="423"/>
    </row>
    <row r="1541" spans="2:6" ht="18" x14ac:dyDescent="0.35">
      <c r="B1541" s="421"/>
      <c r="C1541" s="422"/>
      <c r="D1541" s="422"/>
      <c r="E1541" s="422"/>
      <c r="F1541" s="423"/>
    </row>
    <row r="1542" spans="2:6" ht="18" x14ac:dyDescent="0.35">
      <c r="B1542" s="421"/>
      <c r="C1542" s="422"/>
      <c r="D1542" s="422"/>
      <c r="E1542" s="422"/>
      <c r="F1542" s="423"/>
    </row>
    <row r="1543" spans="2:6" ht="18" x14ac:dyDescent="0.35">
      <c r="B1543" s="421"/>
      <c r="C1543" s="422"/>
      <c r="D1543" s="422"/>
      <c r="E1543" s="422"/>
      <c r="F1543" s="423"/>
    </row>
    <row r="1544" spans="2:6" ht="18" x14ac:dyDescent="0.35">
      <c r="B1544" s="421"/>
      <c r="C1544" s="422"/>
      <c r="D1544" s="422"/>
      <c r="E1544" s="422"/>
      <c r="F1544" s="423"/>
    </row>
    <row r="1545" spans="2:6" ht="18" x14ac:dyDescent="0.35">
      <c r="B1545" s="421"/>
      <c r="C1545" s="422"/>
      <c r="D1545" s="422"/>
      <c r="E1545" s="422"/>
      <c r="F1545" s="423"/>
    </row>
    <row r="1546" spans="2:6" ht="18" x14ac:dyDescent="0.35">
      <c r="B1546" s="421"/>
      <c r="C1546" s="422"/>
      <c r="D1546" s="422"/>
      <c r="E1546" s="422"/>
      <c r="F1546" s="423"/>
    </row>
    <row r="1547" spans="2:6" ht="18" x14ac:dyDescent="0.35">
      <c r="B1547" s="421"/>
      <c r="C1547" s="422"/>
      <c r="D1547" s="422"/>
      <c r="E1547" s="422"/>
      <c r="F1547" s="423"/>
    </row>
    <row r="1548" spans="2:6" ht="18" x14ac:dyDescent="0.35">
      <c r="B1548" s="421"/>
      <c r="C1548" s="422"/>
      <c r="D1548" s="422"/>
      <c r="E1548" s="422"/>
      <c r="F1548" s="423"/>
    </row>
    <row r="1549" spans="2:6" ht="18" x14ac:dyDescent="0.35">
      <c r="B1549" s="421"/>
      <c r="C1549" s="422"/>
      <c r="D1549" s="422"/>
      <c r="E1549" s="422"/>
      <c r="F1549" s="423"/>
    </row>
    <row r="1550" spans="2:6" ht="18" x14ac:dyDescent="0.35">
      <c r="B1550" s="421"/>
      <c r="C1550" s="422"/>
      <c r="D1550" s="422"/>
      <c r="E1550" s="422"/>
      <c r="F1550" s="423"/>
    </row>
    <row r="1551" spans="2:6" ht="18" x14ac:dyDescent="0.35">
      <c r="B1551" s="421"/>
      <c r="C1551" s="422"/>
      <c r="D1551" s="422"/>
      <c r="E1551" s="422"/>
      <c r="F1551" s="423"/>
    </row>
    <row r="1552" spans="2:6" ht="18" x14ac:dyDescent="0.35">
      <c r="B1552" s="421"/>
      <c r="C1552" s="422"/>
      <c r="D1552" s="422"/>
      <c r="E1552" s="422"/>
      <c r="F1552" s="423"/>
    </row>
    <row r="1553" spans="2:6" ht="18" x14ac:dyDescent="0.35">
      <c r="B1553" s="421"/>
      <c r="C1553" s="422"/>
      <c r="D1553" s="422"/>
      <c r="E1553" s="422"/>
      <c r="F1553" s="423"/>
    </row>
    <row r="1554" spans="2:6" ht="18" x14ac:dyDescent="0.35">
      <c r="B1554" s="421"/>
      <c r="C1554" s="422"/>
      <c r="D1554" s="422"/>
      <c r="E1554" s="422"/>
      <c r="F1554" s="423"/>
    </row>
    <row r="1555" spans="2:6" ht="18" x14ac:dyDescent="0.35">
      <c r="B1555" s="421"/>
      <c r="C1555" s="422"/>
      <c r="D1555" s="422"/>
      <c r="E1555" s="422"/>
      <c r="F1555" s="423"/>
    </row>
    <row r="1556" spans="2:6" ht="18" x14ac:dyDescent="0.35">
      <c r="B1556" s="421"/>
      <c r="C1556" s="422"/>
      <c r="D1556" s="422"/>
      <c r="E1556" s="422"/>
      <c r="F1556" s="423"/>
    </row>
    <row r="1557" spans="2:6" ht="18" x14ac:dyDescent="0.35">
      <c r="B1557" s="421"/>
      <c r="C1557" s="422"/>
      <c r="D1557" s="422"/>
      <c r="E1557" s="422"/>
      <c r="F1557" s="423"/>
    </row>
    <row r="1558" spans="2:6" ht="18" x14ac:dyDescent="0.35">
      <c r="B1558" s="421"/>
      <c r="C1558" s="422"/>
      <c r="D1558" s="422"/>
      <c r="E1558" s="422"/>
      <c r="F1558" s="423"/>
    </row>
    <row r="1559" spans="2:6" ht="18" x14ac:dyDescent="0.35">
      <c r="B1559" s="421"/>
      <c r="C1559" s="422"/>
      <c r="D1559" s="422"/>
      <c r="E1559" s="422"/>
      <c r="F1559" s="423"/>
    </row>
    <row r="1560" spans="2:6" ht="18" x14ac:dyDescent="0.35">
      <c r="B1560" s="421"/>
      <c r="C1560" s="422"/>
      <c r="D1560" s="422"/>
      <c r="E1560" s="422"/>
      <c r="F1560" s="423"/>
    </row>
    <row r="1561" spans="2:6" ht="18" x14ac:dyDescent="0.35">
      <c r="B1561" s="421"/>
      <c r="C1561" s="422"/>
      <c r="D1561" s="422"/>
      <c r="E1561" s="422"/>
      <c r="F1561" s="423"/>
    </row>
    <row r="1562" spans="2:6" ht="18" x14ac:dyDescent="0.35">
      <c r="B1562" s="421"/>
      <c r="C1562" s="422"/>
      <c r="D1562" s="422"/>
      <c r="E1562" s="422"/>
      <c r="F1562" s="423"/>
    </row>
    <row r="1563" spans="2:6" ht="18" x14ac:dyDescent="0.35">
      <c r="B1563" s="421"/>
      <c r="C1563" s="422"/>
      <c r="D1563" s="422"/>
      <c r="E1563" s="422"/>
      <c r="F1563" s="423"/>
    </row>
    <row r="1564" spans="2:6" ht="18" x14ac:dyDescent="0.35">
      <c r="B1564" s="421"/>
      <c r="C1564" s="422"/>
      <c r="D1564" s="422"/>
      <c r="E1564" s="422"/>
      <c r="F1564" s="423"/>
    </row>
    <row r="1565" spans="2:6" ht="18" x14ac:dyDescent="0.35">
      <c r="B1565" s="421"/>
      <c r="C1565" s="422"/>
      <c r="D1565" s="422"/>
      <c r="E1565" s="422"/>
      <c r="F1565" s="423"/>
    </row>
    <row r="1566" spans="2:6" ht="18" x14ac:dyDescent="0.35">
      <c r="B1566" s="421"/>
      <c r="C1566" s="422"/>
      <c r="D1566" s="422"/>
      <c r="E1566" s="422"/>
      <c r="F1566" s="423"/>
    </row>
    <row r="1567" spans="2:6" ht="18" x14ac:dyDescent="0.35">
      <c r="B1567" s="421"/>
      <c r="C1567" s="422"/>
      <c r="D1567" s="422"/>
      <c r="E1567" s="422"/>
      <c r="F1567" s="423"/>
    </row>
    <row r="1568" spans="2:6" ht="18" x14ac:dyDescent="0.35">
      <c r="B1568" s="421"/>
      <c r="C1568" s="422"/>
      <c r="D1568" s="422"/>
      <c r="E1568" s="422"/>
      <c r="F1568" s="423"/>
    </row>
    <row r="1569" spans="2:6" ht="18" x14ac:dyDescent="0.35">
      <c r="B1569" s="421"/>
      <c r="C1569" s="422"/>
      <c r="D1569" s="422"/>
      <c r="E1569" s="422"/>
      <c r="F1569" s="423"/>
    </row>
    <row r="1570" spans="2:6" ht="18" x14ac:dyDescent="0.35">
      <c r="B1570" s="421"/>
      <c r="C1570" s="422"/>
      <c r="D1570" s="422"/>
      <c r="E1570" s="422"/>
      <c r="F1570" s="423"/>
    </row>
    <row r="1571" spans="2:6" ht="18" x14ac:dyDescent="0.35">
      <c r="B1571" s="421"/>
      <c r="C1571" s="422"/>
      <c r="D1571" s="422"/>
      <c r="E1571" s="422"/>
      <c r="F1571" s="423"/>
    </row>
    <row r="1572" spans="2:6" ht="18" x14ac:dyDescent="0.35">
      <c r="B1572" s="421"/>
      <c r="C1572" s="422"/>
      <c r="D1572" s="422"/>
      <c r="E1572" s="422"/>
      <c r="F1572" s="423"/>
    </row>
    <row r="1573" spans="2:6" ht="18" x14ac:dyDescent="0.35">
      <c r="B1573" s="421"/>
      <c r="C1573" s="422"/>
      <c r="D1573" s="422"/>
      <c r="E1573" s="422"/>
      <c r="F1573" s="423"/>
    </row>
    <row r="1574" spans="2:6" ht="18" x14ac:dyDescent="0.35">
      <c r="B1574" s="421"/>
      <c r="C1574" s="422"/>
      <c r="D1574" s="422"/>
      <c r="E1574" s="422"/>
      <c r="F1574" s="423"/>
    </row>
    <row r="1575" spans="2:6" ht="18" x14ac:dyDescent="0.35">
      <c r="B1575" s="421"/>
      <c r="C1575" s="422"/>
      <c r="D1575" s="422"/>
      <c r="E1575" s="422"/>
      <c r="F1575" s="423"/>
    </row>
    <row r="1576" spans="2:6" ht="18" x14ac:dyDescent="0.35">
      <c r="B1576" s="421"/>
      <c r="C1576" s="422"/>
      <c r="D1576" s="422"/>
      <c r="E1576" s="422"/>
      <c r="F1576" s="423"/>
    </row>
    <row r="1577" spans="2:6" ht="18" x14ac:dyDescent="0.35">
      <c r="B1577" s="421"/>
      <c r="C1577" s="422"/>
      <c r="D1577" s="422"/>
      <c r="E1577" s="422"/>
      <c r="F1577" s="423"/>
    </row>
    <row r="1578" spans="2:6" ht="18" x14ac:dyDescent="0.35">
      <c r="B1578" s="421"/>
      <c r="C1578" s="422"/>
      <c r="D1578" s="422"/>
      <c r="E1578" s="422"/>
      <c r="F1578" s="423"/>
    </row>
    <row r="1579" spans="2:6" ht="18" x14ac:dyDescent="0.35">
      <c r="B1579" s="421"/>
      <c r="C1579" s="422"/>
      <c r="D1579" s="422"/>
      <c r="E1579" s="422"/>
      <c r="F1579" s="423"/>
    </row>
    <row r="1580" spans="2:6" ht="18" x14ac:dyDescent="0.35">
      <c r="B1580" s="421"/>
      <c r="C1580" s="422"/>
      <c r="D1580" s="422"/>
      <c r="E1580" s="422"/>
      <c r="F1580" s="423"/>
    </row>
    <row r="1581" spans="2:6" ht="18" x14ac:dyDescent="0.35">
      <c r="B1581" s="421"/>
      <c r="C1581" s="422"/>
      <c r="D1581" s="422"/>
      <c r="E1581" s="422"/>
      <c r="F1581" s="423"/>
    </row>
    <row r="1582" spans="2:6" ht="18" x14ac:dyDescent="0.35">
      <c r="B1582" s="421"/>
      <c r="C1582" s="422"/>
      <c r="D1582" s="422"/>
      <c r="E1582" s="422"/>
      <c r="F1582" s="423"/>
    </row>
    <row r="1583" spans="2:6" ht="18" x14ac:dyDescent="0.35">
      <c r="B1583" s="421"/>
      <c r="C1583" s="422"/>
      <c r="D1583" s="422"/>
      <c r="E1583" s="422"/>
      <c r="F1583" s="423"/>
    </row>
    <row r="1584" spans="2:6" ht="18" x14ac:dyDescent="0.35">
      <c r="B1584" s="421"/>
      <c r="C1584" s="422"/>
      <c r="D1584" s="422"/>
      <c r="E1584" s="422"/>
      <c r="F1584" s="423"/>
    </row>
    <row r="1585" spans="2:6" ht="18" x14ac:dyDescent="0.35">
      <c r="B1585" s="421"/>
      <c r="C1585" s="422"/>
      <c r="D1585" s="422"/>
      <c r="E1585" s="422"/>
      <c r="F1585" s="423"/>
    </row>
    <row r="1586" spans="2:6" ht="18" x14ac:dyDescent="0.35">
      <c r="B1586" s="421"/>
      <c r="C1586" s="422"/>
      <c r="D1586" s="422"/>
      <c r="E1586" s="422"/>
      <c r="F1586" s="423"/>
    </row>
    <row r="1587" spans="2:6" ht="18" x14ac:dyDescent="0.35">
      <c r="B1587" s="421"/>
      <c r="C1587" s="422"/>
      <c r="D1587" s="422"/>
      <c r="E1587" s="422"/>
      <c r="F1587" s="423"/>
    </row>
    <row r="1588" spans="2:6" ht="18" x14ac:dyDescent="0.35">
      <c r="B1588" s="421"/>
      <c r="C1588" s="422"/>
      <c r="D1588" s="422"/>
      <c r="E1588" s="422"/>
      <c r="F1588" s="423"/>
    </row>
    <row r="1589" spans="2:6" ht="18" x14ac:dyDescent="0.35">
      <c r="B1589" s="421"/>
      <c r="C1589" s="422"/>
      <c r="D1589" s="422"/>
      <c r="E1589" s="422"/>
      <c r="F1589" s="423"/>
    </row>
    <row r="1590" spans="2:6" ht="18" x14ac:dyDescent="0.35">
      <c r="B1590" s="421"/>
      <c r="C1590" s="422"/>
      <c r="D1590" s="422"/>
      <c r="E1590" s="422"/>
      <c r="F1590" s="423"/>
    </row>
    <row r="1591" spans="2:6" ht="18" x14ac:dyDescent="0.35">
      <c r="B1591" s="421"/>
      <c r="C1591" s="422"/>
      <c r="D1591" s="422"/>
      <c r="E1591" s="422"/>
      <c r="F1591" s="423"/>
    </row>
    <row r="1592" spans="2:6" ht="18" x14ac:dyDescent="0.35">
      <c r="B1592" s="421"/>
      <c r="C1592" s="422"/>
      <c r="D1592" s="422"/>
      <c r="E1592" s="422"/>
      <c r="F1592" s="423"/>
    </row>
    <row r="1593" spans="2:6" ht="18" x14ac:dyDescent="0.35">
      <c r="B1593" s="421"/>
      <c r="C1593" s="422"/>
      <c r="D1593" s="422"/>
      <c r="E1593" s="422"/>
      <c r="F1593" s="423"/>
    </row>
    <row r="1594" spans="2:6" ht="18" x14ac:dyDescent="0.35">
      <c r="B1594" s="421"/>
      <c r="C1594" s="422"/>
      <c r="D1594" s="422"/>
      <c r="E1594" s="422"/>
      <c r="F1594" s="423"/>
    </row>
    <row r="1595" spans="2:6" ht="18" x14ac:dyDescent="0.35">
      <c r="B1595" s="421"/>
      <c r="C1595" s="422"/>
      <c r="D1595" s="422"/>
      <c r="E1595" s="422"/>
      <c r="F1595" s="423"/>
    </row>
    <row r="1596" spans="2:6" ht="18" x14ac:dyDescent="0.35">
      <c r="B1596" s="421"/>
      <c r="C1596" s="422"/>
      <c r="D1596" s="422"/>
      <c r="E1596" s="422"/>
      <c r="F1596" s="423"/>
    </row>
    <row r="1597" spans="2:6" ht="18" x14ac:dyDescent="0.35">
      <c r="B1597" s="421"/>
      <c r="C1597" s="422"/>
      <c r="D1597" s="422"/>
      <c r="E1597" s="422"/>
      <c r="F1597" s="423"/>
    </row>
    <row r="1598" spans="2:6" ht="18" x14ac:dyDescent="0.35">
      <c r="B1598" s="421"/>
      <c r="C1598" s="422"/>
      <c r="D1598" s="422"/>
      <c r="E1598" s="422"/>
      <c r="F1598" s="423"/>
    </row>
    <row r="1599" spans="2:6" ht="18" x14ac:dyDescent="0.35">
      <c r="B1599" s="421"/>
      <c r="C1599" s="422"/>
      <c r="D1599" s="422"/>
      <c r="E1599" s="422"/>
      <c r="F1599" s="423"/>
    </row>
    <row r="1600" spans="2:6" ht="18" x14ac:dyDescent="0.35">
      <c r="B1600" s="421"/>
      <c r="C1600" s="422"/>
      <c r="D1600" s="422"/>
      <c r="E1600" s="422"/>
      <c r="F1600" s="423"/>
    </row>
    <row r="1601" spans="2:6" ht="18" x14ac:dyDescent="0.35">
      <c r="B1601" s="421"/>
      <c r="C1601" s="422"/>
      <c r="D1601" s="422"/>
      <c r="E1601" s="422"/>
      <c r="F1601" s="423"/>
    </row>
    <row r="1602" spans="2:6" ht="18" x14ac:dyDescent="0.35">
      <c r="B1602" s="421"/>
      <c r="C1602" s="422"/>
      <c r="D1602" s="422"/>
      <c r="E1602" s="422"/>
      <c r="F1602" s="423"/>
    </row>
    <row r="1603" spans="2:6" ht="18" x14ac:dyDescent="0.35">
      <c r="B1603" s="421"/>
      <c r="C1603" s="422"/>
      <c r="D1603" s="422"/>
      <c r="E1603" s="422"/>
      <c r="F1603" s="423"/>
    </row>
    <row r="1604" spans="2:6" ht="18" x14ac:dyDescent="0.35">
      <c r="B1604" s="421"/>
      <c r="C1604" s="422"/>
      <c r="D1604" s="422"/>
      <c r="E1604" s="422"/>
      <c r="F1604" s="423"/>
    </row>
    <row r="1605" spans="2:6" ht="18" x14ac:dyDescent="0.35">
      <c r="B1605" s="421"/>
      <c r="C1605" s="422"/>
      <c r="D1605" s="422"/>
      <c r="E1605" s="422"/>
      <c r="F1605" s="423"/>
    </row>
    <row r="1606" spans="2:6" ht="18" x14ac:dyDescent="0.35">
      <c r="B1606" s="421"/>
      <c r="C1606" s="422"/>
      <c r="D1606" s="422"/>
      <c r="E1606" s="422"/>
      <c r="F1606" s="423"/>
    </row>
    <row r="1607" spans="2:6" ht="18" x14ac:dyDescent="0.35">
      <c r="B1607" s="421"/>
      <c r="C1607" s="422"/>
      <c r="D1607" s="422"/>
      <c r="E1607" s="422"/>
      <c r="F1607" s="423"/>
    </row>
    <row r="1608" spans="2:6" ht="18" x14ac:dyDescent="0.35">
      <c r="B1608" s="421"/>
      <c r="C1608" s="422"/>
      <c r="D1608" s="422"/>
      <c r="E1608" s="422"/>
      <c r="F1608" s="423"/>
    </row>
    <row r="1609" spans="2:6" ht="18" x14ac:dyDescent="0.35">
      <c r="B1609" s="421"/>
      <c r="C1609" s="422"/>
      <c r="D1609" s="422"/>
      <c r="E1609" s="422"/>
      <c r="F1609" s="423"/>
    </row>
    <row r="1610" spans="2:6" ht="18" x14ac:dyDescent="0.35">
      <c r="B1610" s="421"/>
      <c r="C1610" s="422"/>
      <c r="D1610" s="422"/>
      <c r="E1610" s="422"/>
      <c r="F1610" s="423"/>
    </row>
    <row r="1611" spans="2:6" ht="18" x14ac:dyDescent="0.35">
      <c r="B1611" s="421"/>
      <c r="C1611" s="422"/>
      <c r="D1611" s="422"/>
      <c r="E1611" s="422"/>
      <c r="F1611" s="423"/>
    </row>
    <row r="1612" spans="2:6" ht="18" x14ac:dyDescent="0.35">
      <c r="B1612" s="421"/>
      <c r="C1612" s="422"/>
      <c r="D1612" s="422"/>
      <c r="E1612" s="422"/>
      <c r="F1612" s="423"/>
    </row>
    <row r="1613" spans="2:6" ht="18" x14ac:dyDescent="0.35">
      <c r="B1613" s="421"/>
      <c r="C1613" s="422"/>
      <c r="D1613" s="422"/>
      <c r="E1613" s="422"/>
      <c r="F1613" s="423"/>
    </row>
    <row r="1614" spans="2:6" ht="18" x14ac:dyDescent="0.35">
      <c r="B1614" s="421"/>
      <c r="C1614" s="422"/>
      <c r="D1614" s="422"/>
      <c r="E1614" s="422"/>
      <c r="F1614" s="423"/>
    </row>
    <row r="1615" spans="2:6" ht="18" x14ac:dyDescent="0.35">
      <c r="B1615" s="421"/>
      <c r="C1615" s="422"/>
      <c r="D1615" s="422"/>
      <c r="E1615" s="422"/>
      <c r="F1615" s="423"/>
    </row>
    <row r="1616" spans="2:6" ht="18" x14ac:dyDescent="0.35">
      <c r="B1616" s="421"/>
      <c r="C1616" s="422"/>
      <c r="D1616" s="422"/>
      <c r="E1616" s="422"/>
      <c r="F1616" s="423"/>
    </row>
    <row r="1617" spans="2:6" ht="18" x14ac:dyDescent="0.35">
      <c r="B1617" s="421"/>
      <c r="C1617" s="422"/>
      <c r="D1617" s="422"/>
      <c r="E1617" s="422"/>
      <c r="F1617" s="423"/>
    </row>
    <row r="1618" spans="2:6" ht="18" x14ac:dyDescent="0.35">
      <c r="B1618" s="421"/>
      <c r="C1618" s="422"/>
      <c r="D1618" s="422"/>
      <c r="E1618" s="422"/>
      <c r="F1618" s="423"/>
    </row>
    <row r="1619" spans="2:6" ht="18" x14ac:dyDescent="0.35">
      <c r="B1619" s="421"/>
      <c r="C1619" s="422"/>
      <c r="D1619" s="422"/>
      <c r="E1619" s="422"/>
      <c r="F1619" s="423"/>
    </row>
    <row r="1620" spans="2:6" ht="18" x14ac:dyDescent="0.35">
      <c r="B1620" s="421"/>
      <c r="C1620" s="422"/>
      <c r="D1620" s="422"/>
      <c r="E1620" s="422"/>
      <c r="F1620" s="423"/>
    </row>
    <row r="1621" spans="2:6" ht="18" x14ac:dyDescent="0.35">
      <c r="B1621" s="421"/>
      <c r="C1621" s="422"/>
      <c r="D1621" s="422"/>
      <c r="E1621" s="422"/>
      <c r="F1621" s="423"/>
    </row>
    <row r="1622" spans="2:6" ht="18" x14ac:dyDescent="0.35">
      <c r="B1622" s="421"/>
      <c r="C1622" s="422"/>
      <c r="D1622" s="422"/>
      <c r="E1622" s="422"/>
      <c r="F1622" s="423"/>
    </row>
    <row r="1623" spans="2:6" ht="18" x14ac:dyDescent="0.35">
      <c r="B1623" s="421"/>
      <c r="C1623" s="422"/>
      <c r="D1623" s="422"/>
      <c r="E1623" s="422"/>
      <c r="F1623" s="423"/>
    </row>
    <row r="1624" spans="2:6" ht="18" x14ac:dyDescent="0.35">
      <c r="B1624" s="421"/>
      <c r="C1624" s="422"/>
      <c r="D1624" s="422"/>
      <c r="E1624" s="422"/>
      <c r="F1624" s="423"/>
    </row>
    <row r="1625" spans="2:6" ht="18" x14ac:dyDescent="0.35">
      <c r="B1625" s="421"/>
      <c r="C1625" s="422"/>
      <c r="D1625" s="422"/>
      <c r="E1625" s="422"/>
      <c r="F1625" s="423"/>
    </row>
    <row r="1626" spans="2:6" ht="18" x14ac:dyDescent="0.35">
      <c r="B1626" s="421"/>
      <c r="C1626" s="422"/>
      <c r="D1626" s="422"/>
      <c r="E1626" s="422"/>
      <c r="F1626" s="423"/>
    </row>
    <row r="1627" spans="2:6" ht="18" x14ac:dyDescent="0.35">
      <c r="B1627" s="421"/>
      <c r="C1627" s="422"/>
      <c r="D1627" s="422"/>
      <c r="E1627" s="422"/>
      <c r="F1627" s="423"/>
    </row>
    <row r="1628" spans="2:6" ht="18" x14ac:dyDescent="0.35">
      <c r="B1628" s="421"/>
      <c r="C1628" s="422"/>
      <c r="D1628" s="422"/>
      <c r="E1628" s="422"/>
      <c r="F1628" s="423"/>
    </row>
    <row r="1629" spans="2:6" ht="18" x14ac:dyDescent="0.35">
      <c r="B1629" s="421"/>
      <c r="C1629" s="422"/>
      <c r="D1629" s="422"/>
      <c r="E1629" s="422"/>
      <c r="F1629" s="423"/>
    </row>
    <row r="1630" spans="2:6" ht="18" x14ac:dyDescent="0.35">
      <c r="B1630" s="421"/>
      <c r="C1630" s="422"/>
      <c r="D1630" s="422"/>
      <c r="E1630" s="422"/>
      <c r="F1630" s="423"/>
    </row>
    <row r="1631" spans="2:6" ht="18" x14ac:dyDescent="0.35">
      <c r="B1631" s="421"/>
      <c r="C1631" s="422"/>
      <c r="D1631" s="422"/>
      <c r="E1631" s="422"/>
      <c r="F1631" s="423"/>
    </row>
    <row r="1632" spans="2:6" ht="18" x14ac:dyDescent="0.35">
      <c r="B1632" s="421"/>
      <c r="C1632" s="422"/>
      <c r="D1632" s="422"/>
      <c r="E1632" s="422"/>
      <c r="F1632" s="423"/>
    </row>
    <row r="1633" spans="2:6" ht="18" x14ac:dyDescent="0.35">
      <c r="B1633" s="421"/>
      <c r="C1633" s="422"/>
      <c r="D1633" s="422"/>
      <c r="E1633" s="422"/>
      <c r="F1633" s="423"/>
    </row>
    <row r="1634" spans="2:6" ht="18" x14ac:dyDescent="0.35">
      <c r="B1634" s="421"/>
      <c r="C1634" s="422"/>
      <c r="D1634" s="422"/>
      <c r="E1634" s="422"/>
      <c r="F1634" s="423"/>
    </row>
    <row r="1635" spans="2:6" ht="18" x14ac:dyDescent="0.35">
      <c r="B1635" s="421"/>
      <c r="C1635" s="422"/>
      <c r="D1635" s="422"/>
      <c r="E1635" s="422"/>
      <c r="F1635" s="423"/>
    </row>
    <row r="1636" spans="2:6" ht="18" x14ac:dyDescent="0.35">
      <c r="B1636" s="421"/>
      <c r="C1636" s="422"/>
      <c r="D1636" s="422"/>
      <c r="E1636" s="422"/>
      <c r="F1636" s="423"/>
    </row>
    <row r="1637" spans="2:6" ht="18" x14ac:dyDescent="0.35">
      <c r="B1637" s="421"/>
      <c r="C1637" s="422"/>
      <c r="D1637" s="422"/>
      <c r="E1637" s="422"/>
      <c r="F1637" s="423"/>
    </row>
    <row r="1638" spans="2:6" ht="18" x14ac:dyDescent="0.35">
      <c r="B1638" s="421"/>
      <c r="C1638" s="422"/>
      <c r="D1638" s="422"/>
      <c r="E1638" s="422"/>
      <c r="F1638" s="423"/>
    </row>
    <row r="1639" spans="2:6" ht="18" x14ac:dyDescent="0.35">
      <c r="B1639" s="421"/>
      <c r="C1639" s="422"/>
      <c r="D1639" s="422"/>
      <c r="E1639" s="422"/>
      <c r="F1639" s="423"/>
    </row>
    <row r="1640" spans="2:6" ht="18" x14ac:dyDescent="0.35">
      <c r="B1640" s="421"/>
      <c r="C1640" s="422"/>
      <c r="D1640" s="422"/>
      <c r="E1640" s="422"/>
      <c r="F1640" s="423"/>
    </row>
    <row r="1641" spans="2:6" ht="18" x14ac:dyDescent="0.35">
      <c r="B1641" s="421"/>
      <c r="C1641" s="422"/>
      <c r="D1641" s="422"/>
      <c r="E1641" s="422"/>
      <c r="F1641" s="423"/>
    </row>
    <row r="1642" spans="2:6" ht="18" x14ac:dyDescent="0.35">
      <c r="B1642" s="421"/>
      <c r="C1642" s="422"/>
      <c r="D1642" s="422"/>
      <c r="E1642" s="422"/>
      <c r="F1642" s="423"/>
    </row>
    <row r="1643" spans="2:6" ht="18" x14ac:dyDescent="0.35">
      <c r="B1643" s="421"/>
      <c r="C1643" s="422"/>
      <c r="D1643" s="422"/>
      <c r="E1643" s="422"/>
      <c r="F1643" s="423"/>
    </row>
    <row r="1644" spans="2:6" ht="18" x14ac:dyDescent="0.35">
      <c r="B1644" s="421"/>
      <c r="C1644" s="422"/>
      <c r="D1644" s="422"/>
      <c r="E1644" s="422"/>
      <c r="F1644" s="423"/>
    </row>
    <row r="1645" spans="2:6" ht="18" x14ac:dyDescent="0.35">
      <c r="B1645" s="421"/>
      <c r="C1645" s="422"/>
      <c r="D1645" s="422"/>
      <c r="E1645" s="422"/>
      <c r="F1645" s="423"/>
    </row>
    <row r="1646" spans="2:6" ht="18" x14ac:dyDescent="0.35">
      <c r="B1646" s="421"/>
      <c r="C1646" s="422"/>
      <c r="D1646" s="422"/>
      <c r="E1646" s="422"/>
      <c r="F1646" s="423"/>
    </row>
    <row r="1647" spans="2:6" ht="18" x14ac:dyDescent="0.35">
      <c r="B1647" s="421"/>
      <c r="C1647" s="422"/>
      <c r="D1647" s="422"/>
      <c r="E1647" s="422"/>
      <c r="F1647" s="423"/>
    </row>
    <row r="1648" spans="2:6" ht="18" x14ac:dyDescent="0.35">
      <c r="B1648" s="421"/>
      <c r="C1648" s="422"/>
      <c r="D1648" s="422"/>
      <c r="E1648" s="422"/>
      <c r="F1648" s="423"/>
    </row>
    <row r="1649" spans="2:6" ht="18" x14ac:dyDescent="0.35">
      <c r="B1649" s="421"/>
      <c r="C1649" s="422"/>
      <c r="D1649" s="422"/>
      <c r="E1649" s="422"/>
      <c r="F1649" s="423"/>
    </row>
    <row r="1650" spans="2:6" ht="18" x14ac:dyDescent="0.35">
      <c r="B1650" s="421"/>
      <c r="C1650" s="422"/>
      <c r="D1650" s="422"/>
      <c r="E1650" s="422"/>
      <c r="F1650" s="423"/>
    </row>
    <row r="1651" spans="2:6" ht="18" x14ac:dyDescent="0.35">
      <c r="B1651" s="421"/>
      <c r="C1651" s="422"/>
      <c r="D1651" s="422"/>
      <c r="E1651" s="422"/>
      <c r="F1651" s="423"/>
    </row>
    <row r="1652" spans="2:6" ht="18" x14ac:dyDescent="0.35">
      <c r="B1652" s="421"/>
      <c r="C1652" s="422"/>
      <c r="D1652" s="422"/>
      <c r="E1652" s="422"/>
      <c r="F1652" s="423"/>
    </row>
    <row r="1653" spans="2:6" ht="18" x14ac:dyDescent="0.35">
      <c r="B1653" s="421"/>
      <c r="C1653" s="422"/>
      <c r="D1653" s="422"/>
      <c r="E1653" s="422"/>
      <c r="F1653" s="423"/>
    </row>
    <row r="1654" spans="2:6" ht="18" x14ac:dyDescent="0.35">
      <c r="B1654" s="421"/>
      <c r="C1654" s="422"/>
      <c r="D1654" s="422"/>
      <c r="E1654" s="422"/>
      <c r="F1654" s="423"/>
    </row>
    <row r="1655" spans="2:6" ht="18" x14ac:dyDescent="0.35">
      <c r="B1655" s="421"/>
      <c r="C1655" s="422"/>
      <c r="D1655" s="422"/>
      <c r="E1655" s="422"/>
      <c r="F1655" s="423"/>
    </row>
    <row r="1656" spans="2:6" ht="18" x14ac:dyDescent="0.35">
      <c r="B1656" s="421"/>
      <c r="C1656" s="422"/>
      <c r="D1656" s="422"/>
      <c r="E1656" s="422"/>
      <c r="F1656" s="423"/>
    </row>
    <row r="1657" spans="2:6" ht="18" x14ac:dyDescent="0.35">
      <c r="B1657" s="421"/>
      <c r="C1657" s="422"/>
      <c r="D1657" s="422"/>
      <c r="E1657" s="422"/>
      <c r="F1657" s="423"/>
    </row>
    <row r="1658" spans="2:6" ht="18" x14ac:dyDescent="0.35">
      <c r="B1658" s="421"/>
      <c r="C1658" s="422"/>
      <c r="D1658" s="422"/>
      <c r="E1658" s="422"/>
      <c r="F1658" s="423"/>
    </row>
    <row r="1659" spans="2:6" ht="18" x14ac:dyDescent="0.35">
      <c r="B1659" s="421"/>
      <c r="C1659" s="422"/>
      <c r="D1659" s="422"/>
      <c r="E1659" s="422"/>
      <c r="F1659" s="423"/>
    </row>
    <row r="1660" spans="2:6" ht="18" x14ac:dyDescent="0.35">
      <c r="B1660" s="421"/>
      <c r="C1660" s="422"/>
      <c r="D1660" s="422"/>
      <c r="E1660" s="422"/>
      <c r="F1660" s="423"/>
    </row>
    <row r="1661" spans="2:6" ht="18" x14ac:dyDescent="0.35">
      <c r="B1661" s="421"/>
      <c r="C1661" s="422"/>
      <c r="D1661" s="422"/>
      <c r="E1661" s="422"/>
      <c r="F1661" s="423"/>
    </row>
    <row r="1662" spans="2:6" ht="18" x14ac:dyDescent="0.35">
      <c r="B1662" s="421"/>
      <c r="C1662" s="422"/>
      <c r="D1662" s="422"/>
      <c r="E1662" s="422"/>
      <c r="F1662" s="423"/>
    </row>
    <row r="1663" spans="2:6" ht="18" x14ac:dyDescent="0.35">
      <c r="B1663" s="421"/>
      <c r="C1663" s="422"/>
      <c r="D1663" s="422"/>
      <c r="E1663" s="422"/>
      <c r="F1663" s="423"/>
    </row>
    <row r="1664" spans="2:6" ht="18" x14ac:dyDescent="0.35">
      <c r="B1664" s="421"/>
      <c r="C1664" s="422"/>
      <c r="D1664" s="422"/>
      <c r="E1664" s="422"/>
      <c r="F1664" s="423"/>
    </row>
    <row r="1665" spans="2:6" ht="18" x14ac:dyDescent="0.35">
      <c r="B1665" s="421"/>
      <c r="C1665" s="422"/>
      <c r="D1665" s="422"/>
      <c r="E1665" s="422"/>
      <c r="F1665" s="423"/>
    </row>
    <row r="1666" spans="2:6" ht="18" x14ac:dyDescent="0.35">
      <c r="B1666" s="421"/>
      <c r="C1666" s="422"/>
      <c r="D1666" s="422"/>
      <c r="E1666" s="422"/>
      <c r="F1666" s="423"/>
    </row>
    <row r="1667" spans="2:6" ht="18" x14ac:dyDescent="0.35">
      <c r="B1667" s="421"/>
      <c r="C1667" s="422"/>
      <c r="D1667" s="422"/>
      <c r="E1667" s="422"/>
      <c r="F1667" s="423"/>
    </row>
    <row r="1668" spans="2:6" ht="18" x14ac:dyDescent="0.35">
      <c r="B1668" s="421"/>
      <c r="C1668" s="422"/>
      <c r="D1668" s="422"/>
      <c r="E1668" s="422"/>
      <c r="F1668" s="423"/>
    </row>
    <row r="1669" spans="2:6" ht="18" x14ac:dyDescent="0.35">
      <c r="B1669" s="421"/>
      <c r="C1669" s="422"/>
      <c r="D1669" s="422"/>
      <c r="E1669" s="422"/>
      <c r="F1669" s="423"/>
    </row>
    <row r="1670" spans="2:6" ht="18" x14ac:dyDescent="0.35">
      <c r="B1670" s="421"/>
      <c r="C1670" s="422"/>
      <c r="D1670" s="422"/>
      <c r="E1670" s="422"/>
      <c r="F1670" s="423"/>
    </row>
    <row r="1671" spans="2:6" ht="18" x14ac:dyDescent="0.35">
      <c r="B1671" s="421"/>
      <c r="C1671" s="422"/>
      <c r="D1671" s="422"/>
      <c r="E1671" s="422"/>
      <c r="F1671" s="423"/>
    </row>
    <row r="1672" spans="2:6" ht="18" x14ac:dyDescent="0.35">
      <c r="B1672" s="421"/>
      <c r="C1672" s="422"/>
      <c r="D1672" s="422"/>
      <c r="E1672" s="422"/>
      <c r="F1672" s="423"/>
    </row>
    <row r="1673" spans="2:6" ht="18" x14ac:dyDescent="0.35">
      <c r="B1673" s="421"/>
      <c r="C1673" s="422"/>
      <c r="D1673" s="422"/>
      <c r="E1673" s="422"/>
      <c r="F1673" s="423"/>
    </row>
    <row r="1674" spans="2:6" ht="18" x14ac:dyDescent="0.35">
      <c r="B1674" s="421"/>
      <c r="C1674" s="422"/>
      <c r="D1674" s="422"/>
      <c r="E1674" s="422"/>
      <c r="F1674" s="423"/>
    </row>
    <row r="1675" spans="2:6" ht="18" x14ac:dyDescent="0.35">
      <c r="B1675" s="421"/>
      <c r="C1675" s="422"/>
      <c r="D1675" s="422"/>
      <c r="E1675" s="422"/>
      <c r="F1675" s="423"/>
    </row>
    <row r="1676" spans="2:6" ht="18" x14ac:dyDescent="0.35">
      <c r="B1676" s="421"/>
      <c r="C1676" s="422"/>
      <c r="D1676" s="422"/>
      <c r="E1676" s="422"/>
      <c r="F1676" s="423"/>
    </row>
    <row r="1677" spans="2:6" ht="18" x14ac:dyDescent="0.35">
      <c r="B1677" s="421"/>
      <c r="C1677" s="422"/>
      <c r="D1677" s="422"/>
      <c r="E1677" s="422"/>
      <c r="F1677" s="423"/>
    </row>
    <row r="1678" spans="2:6" ht="18" x14ac:dyDescent="0.35">
      <c r="B1678" s="421"/>
      <c r="C1678" s="422"/>
      <c r="D1678" s="422"/>
      <c r="E1678" s="422"/>
      <c r="F1678" s="423"/>
    </row>
    <row r="1679" spans="2:6" ht="18" x14ac:dyDescent="0.35">
      <c r="B1679" s="421"/>
      <c r="C1679" s="422"/>
      <c r="D1679" s="422"/>
      <c r="E1679" s="422"/>
      <c r="F1679" s="423"/>
    </row>
    <row r="1680" spans="2:6" ht="18" x14ac:dyDescent="0.35">
      <c r="B1680" s="421"/>
      <c r="C1680" s="422"/>
      <c r="D1680" s="422"/>
      <c r="E1680" s="422"/>
      <c r="F1680" s="423"/>
    </row>
    <row r="1681" spans="2:6" ht="18" x14ac:dyDescent="0.35">
      <c r="B1681" s="421"/>
      <c r="C1681" s="422"/>
      <c r="D1681" s="422"/>
      <c r="E1681" s="422"/>
      <c r="F1681" s="423"/>
    </row>
    <row r="1682" spans="2:6" ht="18" x14ac:dyDescent="0.35">
      <c r="B1682" s="421"/>
      <c r="C1682" s="422"/>
      <c r="D1682" s="422"/>
      <c r="E1682" s="422"/>
      <c r="F1682" s="423"/>
    </row>
    <row r="1683" spans="2:6" ht="18" x14ac:dyDescent="0.35">
      <c r="B1683" s="421"/>
      <c r="C1683" s="422"/>
      <c r="D1683" s="422"/>
      <c r="E1683" s="422"/>
      <c r="F1683" s="423"/>
    </row>
    <row r="1684" spans="2:6" ht="18" x14ac:dyDescent="0.35">
      <c r="B1684" s="421"/>
      <c r="C1684" s="422"/>
      <c r="D1684" s="422"/>
      <c r="E1684" s="422"/>
      <c r="F1684" s="423"/>
    </row>
    <row r="1685" spans="2:6" ht="18" x14ac:dyDescent="0.35">
      <c r="B1685" s="421"/>
      <c r="C1685" s="422"/>
      <c r="D1685" s="422"/>
      <c r="E1685" s="422"/>
      <c r="F1685" s="423"/>
    </row>
    <row r="1686" spans="2:6" ht="18" x14ac:dyDescent="0.35">
      <c r="B1686" s="421"/>
      <c r="C1686" s="422"/>
      <c r="D1686" s="422"/>
      <c r="E1686" s="422"/>
      <c r="F1686" s="423"/>
    </row>
    <row r="1687" spans="2:6" ht="18" x14ac:dyDescent="0.35">
      <c r="B1687" s="421"/>
      <c r="C1687" s="422"/>
      <c r="D1687" s="422"/>
      <c r="E1687" s="422"/>
      <c r="F1687" s="423"/>
    </row>
    <row r="1688" spans="2:6" ht="18" x14ac:dyDescent="0.35">
      <c r="B1688" s="421"/>
      <c r="C1688" s="422"/>
      <c r="D1688" s="422"/>
      <c r="E1688" s="422"/>
      <c r="F1688" s="423"/>
    </row>
    <row r="1689" spans="2:6" ht="18" x14ac:dyDescent="0.35">
      <c r="B1689" s="421"/>
      <c r="C1689" s="422"/>
      <c r="D1689" s="422"/>
      <c r="E1689" s="422"/>
      <c r="F1689" s="423"/>
    </row>
    <row r="1690" spans="2:6" ht="18" x14ac:dyDescent="0.35">
      <c r="B1690" s="421"/>
      <c r="C1690" s="422"/>
      <c r="D1690" s="422"/>
      <c r="E1690" s="422"/>
      <c r="F1690" s="423"/>
    </row>
    <row r="1691" spans="2:6" ht="18" x14ac:dyDescent="0.35">
      <c r="B1691" s="421"/>
      <c r="C1691" s="422"/>
      <c r="D1691" s="422"/>
      <c r="E1691" s="422"/>
      <c r="F1691" s="423"/>
    </row>
    <row r="1692" spans="2:6" ht="18" x14ac:dyDescent="0.35">
      <c r="B1692" s="421"/>
      <c r="C1692" s="422"/>
      <c r="D1692" s="422"/>
      <c r="E1692" s="422"/>
      <c r="F1692" s="423"/>
    </row>
    <row r="1693" spans="2:6" ht="18" x14ac:dyDescent="0.35">
      <c r="B1693" s="421"/>
      <c r="C1693" s="422"/>
      <c r="D1693" s="422"/>
      <c r="E1693" s="422"/>
      <c r="F1693" s="423"/>
    </row>
    <row r="1694" spans="2:6" ht="18" x14ac:dyDescent="0.35">
      <c r="B1694" s="421"/>
      <c r="C1694" s="422"/>
      <c r="D1694" s="422"/>
      <c r="E1694" s="422"/>
      <c r="F1694" s="423"/>
    </row>
    <row r="1695" spans="2:6" ht="18" x14ac:dyDescent="0.35">
      <c r="B1695" s="421"/>
      <c r="C1695" s="422"/>
      <c r="D1695" s="422"/>
      <c r="E1695" s="422"/>
      <c r="F1695" s="423"/>
    </row>
    <row r="1696" spans="2:6" ht="18" x14ac:dyDescent="0.35">
      <c r="B1696" s="421"/>
      <c r="C1696" s="422"/>
      <c r="D1696" s="422"/>
      <c r="E1696" s="422"/>
      <c r="F1696" s="423"/>
    </row>
    <row r="1697" spans="2:6" ht="18" x14ac:dyDescent="0.35">
      <c r="B1697" s="421"/>
      <c r="C1697" s="422"/>
      <c r="D1697" s="422"/>
      <c r="E1697" s="422"/>
      <c r="F1697" s="423"/>
    </row>
    <row r="1698" spans="2:6" ht="18" x14ac:dyDescent="0.35">
      <c r="B1698" s="421"/>
      <c r="C1698" s="422"/>
      <c r="D1698" s="422"/>
      <c r="E1698" s="422"/>
      <c r="F1698" s="423"/>
    </row>
    <row r="1699" spans="2:6" ht="18" x14ac:dyDescent="0.35">
      <c r="B1699" s="421"/>
      <c r="C1699" s="422"/>
      <c r="D1699" s="422"/>
      <c r="E1699" s="422"/>
      <c r="F1699" s="423"/>
    </row>
    <row r="1700" spans="2:6" ht="18" x14ac:dyDescent="0.35">
      <c r="B1700" s="421"/>
      <c r="C1700" s="422"/>
      <c r="D1700" s="422"/>
      <c r="E1700" s="422"/>
      <c r="F1700" s="423"/>
    </row>
    <row r="1701" spans="2:6" ht="18" x14ac:dyDescent="0.35">
      <c r="B1701" s="421"/>
      <c r="C1701" s="422"/>
      <c r="D1701" s="422"/>
      <c r="E1701" s="422"/>
      <c r="F1701" s="423"/>
    </row>
    <row r="1702" spans="2:6" ht="18" x14ac:dyDescent="0.35">
      <c r="B1702" s="421"/>
      <c r="C1702" s="422"/>
      <c r="D1702" s="422"/>
      <c r="E1702" s="422"/>
      <c r="F1702" s="423"/>
    </row>
    <row r="1703" spans="2:6" ht="18" x14ac:dyDescent="0.35">
      <c r="B1703" s="421"/>
      <c r="C1703" s="422"/>
      <c r="D1703" s="422"/>
      <c r="E1703" s="422"/>
      <c r="F1703" s="423"/>
    </row>
    <row r="1704" spans="2:6" ht="18" x14ac:dyDescent="0.35">
      <c r="B1704" s="421"/>
      <c r="C1704" s="422"/>
      <c r="D1704" s="422"/>
      <c r="E1704" s="422"/>
      <c r="F1704" s="423"/>
    </row>
    <row r="1705" spans="2:6" ht="18" x14ac:dyDescent="0.35">
      <c r="B1705" s="421"/>
      <c r="C1705" s="422"/>
      <c r="D1705" s="422"/>
      <c r="E1705" s="422"/>
      <c r="F1705" s="423"/>
    </row>
    <row r="1706" spans="2:6" ht="18" x14ac:dyDescent="0.35">
      <c r="B1706" s="421"/>
      <c r="C1706" s="422"/>
      <c r="D1706" s="422"/>
      <c r="E1706" s="422"/>
      <c r="F1706" s="423"/>
    </row>
    <row r="1707" spans="2:6" ht="18" x14ac:dyDescent="0.35">
      <c r="B1707" s="421"/>
      <c r="C1707" s="422"/>
      <c r="D1707" s="422"/>
      <c r="E1707" s="422"/>
      <c r="F1707" s="423"/>
    </row>
    <row r="1708" spans="2:6" ht="18" x14ac:dyDescent="0.35">
      <c r="B1708" s="421"/>
      <c r="C1708" s="422"/>
      <c r="D1708" s="422"/>
      <c r="E1708" s="422"/>
      <c r="F1708" s="423"/>
    </row>
    <row r="1709" spans="2:6" ht="18" x14ac:dyDescent="0.35">
      <c r="B1709" s="421"/>
      <c r="C1709" s="422"/>
      <c r="D1709" s="422"/>
      <c r="E1709" s="422"/>
      <c r="F1709" s="423"/>
    </row>
    <row r="1710" spans="2:6" ht="18" x14ac:dyDescent="0.35">
      <c r="B1710" s="421"/>
      <c r="C1710" s="422"/>
      <c r="D1710" s="422"/>
      <c r="E1710" s="422"/>
      <c r="F1710" s="423"/>
    </row>
    <row r="1711" spans="2:6" ht="18" x14ac:dyDescent="0.35">
      <c r="B1711" s="421"/>
      <c r="C1711" s="422"/>
      <c r="D1711" s="422"/>
      <c r="E1711" s="422"/>
      <c r="F1711" s="423"/>
    </row>
    <row r="1712" spans="2:6" ht="18" x14ac:dyDescent="0.35">
      <c r="B1712" s="421"/>
      <c r="C1712" s="422"/>
      <c r="D1712" s="422"/>
      <c r="E1712" s="422"/>
      <c r="F1712" s="423"/>
    </row>
    <row r="1713" spans="2:6" ht="18" x14ac:dyDescent="0.35">
      <c r="B1713" s="421"/>
      <c r="C1713" s="422"/>
      <c r="D1713" s="422"/>
      <c r="E1713" s="422"/>
      <c r="F1713" s="423"/>
    </row>
    <row r="1714" spans="2:6" ht="18" x14ac:dyDescent="0.35">
      <c r="B1714" s="421"/>
      <c r="C1714" s="422"/>
      <c r="D1714" s="422"/>
      <c r="E1714" s="422"/>
      <c r="F1714" s="423"/>
    </row>
    <row r="1715" spans="2:6" ht="18" x14ac:dyDescent="0.35">
      <c r="B1715" s="421"/>
      <c r="C1715" s="422"/>
      <c r="D1715" s="422"/>
      <c r="E1715" s="422"/>
      <c r="F1715" s="423"/>
    </row>
    <row r="1716" spans="2:6" ht="18" x14ac:dyDescent="0.35">
      <c r="B1716" s="421"/>
      <c r="C1716" s="422"/>
      <c r="D1716" s="422"/>
      <c r="E1716" s="422"/>
      <c r="F1716" s="423"/>
    </row>
    <row r="1717" spans="2:6" ht="18" x14ac:dyDescent="0.35">
      <c r="B1717" s="421"/>
      <c r="C1717" s="422"/>
      <c r="D1717" s="422"/>
      <c r="E1717" s="422"/>
      <c r="F1717" s="423"/>
    </row>
    <row r="1718" spans="2:6" ht="18" x14ac:dyDescent="0.35">
      <c r="B1718" s="421"/>
      <c r="C1718" s="422"/>
      <c r="D1718" s="422"/>
      <c r="E1718" s="422"/>
      <c r="F1718" s="423"/>
    </row>
    <row r="1719" spans="2:6" ht="18" x14ac:dyDescent="0.35">
      <c r="B1719" s="421"/>
      <c r="C1719" s="422"/>
      <c r="D1719" s="422"/>
      <c r="E1719" s="422"/>
      <c r="F1719" s="423"/>
    </row>
    <row r="1720" spans="2:6" ht="18" x14ac:dyDescent="0.35">
      <c r="B1720" s="421"/>
      <c r="C1720" s="422"/>
      <c r="D1720" s="422"/>
      <c r="E1720" s="422"/>
      <c r="F1720" s="423"/>
    </row>
    <row r="1721" spans="2:6" ht="18" x14ac:dyDescent="0.35">
      <c r="B1721" s="421"/>
      <c r="C1721" s="422"/>
      <c r="D1721" s="422"/>
      <c r="E1721" s="422"/>
      <c r="F1721" s="423"/>
    </row>
    <row r="1722" spans="2:6" ht="18" x14ac:dyDescent="0.35">
      <c r="B1722" s="421"/>
      <c r="C1722" s="422"/>
      <c r="D1722" s="422"/>
      <c r="E1722" s="422"/>
      <c r="F1722" s="423"/>
    </row>
    <row r="1723" spans="2:6" ht="18" x14ac:dyDescent="0.35">
      <c r="B1723" s="421"/>
      <c r="C1723" s="422"/>
      <c r="D1723" s="422"/>
      <c r="E1723" s="422"/>
      <c r="F1723" s="423"/>
    </row>
    <row r="1724" spans="2:6" ht="18" x14ac:dyDescent="0.35">
      <c r="B1724" s="421"/>
      <c r="C1724" s="422"/>
      <c r="D1724" s="422"/>
      <c r="E1724" s="422"/>
      <c r="F1724" s="423"/>
    </row>
    <row r="1725" spans="2:6" ht="18" x14ac:dyDescent="0.35">
      <c r="B1725" s="421"/>
      <c r="C1725" s="422"/>
      <c r="D1725" s="422"/>
      <c r="E1725" s="422"/>
      <c r="F1725" s="423"/>
    </row>
    <row r="1726" spans="2:6" ht="18" x14ac:dyDescent="0.35">
      <c r="B1726" s="421"/>
      <c r="C1726" s="422"/>
      <c r="D1726" s="422"/>
      <c r="E1726" s="422"/>
      <c r="F1726" s="423"/>
    </row>
    <row r="1727" spans="2:6" ht="18" x14ac:dyDescent="0.35">
      <c r="B1727" s="421"/>
      <c r="C1727" s="422"/>
      <c r="D1727" s="422"/>
      <c r="E1727" s="422"/>
      <c r="F1727" s="423"/>
    </row>
    <row r="1728" spans="2:6" ht="18" x14ac:dyDescent="0.35">
      <c r="B1728" s="421"/>
      <c r="C1728" s="422"/>
      <c r="D1728" s="422"/>
      <c r="E1728" s="422"/>
      <c r="F1728" s="423"/>
    </row>
    <row r="1729" spans="2:6" ht="18" x14ac:dyDescent="0.35">
      <c r="B1729" s="421"/>
      <c r="C1729" s="422"/>
      <c r="D1729" s="422"/>
      <c r="E1729" s="422"/>
      <c r="F1729" s="423"/>
    </row>
    <row r="1730" spans="2:6" ht="18" x14ac:dyDescent="0.35">
      <c r="B1730" s="421"/>
      <c r="C1730" s="422"/>
      <c r="D1730" s="422"/>
      <c r="E1730" s="422"/>
      <c r="F1730" s="423"/>
    </row>
    <row r="1731" spans="2:6" ht="18" x14ac:dyDescent="0.35">
      <c r="B1731" s="421"/>
      <c r="C1731" s="422"/>
      <c r="D1731" s="422"/>
      <c r="E1731" s="422"/>
      <c r="F1731" s="423"/>
    </row>
    <row r="1732" spans="2:6" ht="18" x14ac:dyDescent="0.35">
      <c r="B1732" s="421"/>
      <c r="C1732" s="422"/>
      <c r="D1732" s="422"/>
      <c r="E1732" s="422"/>
      <c r="F1732" s="423"/>
    </row>
    <row r="1733" spans="2:6" ht="18" x14ac:dyDescent="0.35">
      <c r="B1733" s="421"/>
      <c r="C1733" s="422"/>
      <c r="D1733" s="422"/>
      <c r="E1733" s="422"/>
      <c r="F1733" s="423"/>
    </row>
    <row r="1734" spans="2:6" ht="18" x14ac:dyDescent="0.35">
      <c r="B1734" s="421"/>
      <c r="C1734" s="422"/>
      <c r="D1734" s="422"/>
      <c r="E1734" s="422"/>
      <c r="F1734" s="423"/>
    </row>
    <row r="1735" spans="2:6" ht="18" x14ac:dyDescent="0.35">
      <c r="B1735" s="421"/>
      <c r="C1735" s="422"/>
      <c r="D1735" s="422"/>
      <c r="E1735" s="422"/>
      <c r="F1735" s="423"/>
    </row>
    <row r="1736" spans="2:6" ht="18" x14ac:dyDescent="0.35">
      <c r="B1736" s="421"/>
      <c r="C1736" s="422"/>
      <c r="D1736" s="422"/>
      <c r="E1736" s="422"/>
      <c r="F1736" s="423"/>
    </row>
    <row r="1737" spans="2:6" ht="18" x14ac:dyDescent="0.35">
      <c r="B1737" s="421"/>
      <c r="C1737" s="422"/>
      <c r="D1737" s="422"/>
      <c r="E1737" s="422"/>
      <c r="F1737" s="423"/>
    </row>
    <row r="1738" spans="2:6" ht="18" x14ac:dyDescent="0.35">
      <c r="B1738" s="421"/>
      <c r="C1738" s="422"/>
      <c r="D1738" s="422"/>
      <c r="E1738" s="422"/>
      <c r="F1738" s="423"/>
    </row>
    <row r="1739" spans="2:6" ht="18" x14ac:dyDescent="0.35">
      <c r="B1739" s="421"/>
      <c r="C1739" s="422"/>
      <c r="D1739" s="422"/>
      <c r="E1739" s="422"/>
      <c r="F1739" s="423"/>
    </row>
    <row r="1740" spans="2:6" ht="18" x14ac:dyDescent="0.35">
      <c r="B1740" s="421"/>
      <c r="C1740" s="422"/>
      <c r="D1740" s="422"/>
      <c r="E1740" s="422"/>
      <c r="F1740" s="423"/>
    </row>
    <row r="1741" spans="2:6" ht="18" x14ac:dyDescent="0.35">
      <c r="B1741" s="421"/>
      <c r="C1741" s="422"/>
      <c r="D1741" s="422"/>
      <c r="E1741" s="422"/>
      <c r="F1741" s="423"/>
    </row>
    <row r="1742" spans="2:6" ht="18" x14ac:dyDescent="0.35">
      <c r="B1742" s="421"/>
      <c r="C1742" s="422"/>
      <c r="D1742" s="422"/>
      <c r="E1742" s="422"/>
      <c r="F1742" s="423"/>
    </row>
    <row r="1743" spans="2:6" ht="18" x14ac:dyDescent="0.35">
      <c r="B1743" s="421"/>
      <c r="C1743" s="422"/>
      <c r="D1743" s="422"/>
      <c r="E1743" s="422"/>
      <c r="F1743" s="423"/>
    </row>
    <row r="1744" spans="2:6" ht="18" x14ac:dyDescent="0.35">
      <c r="B1744" s="421"/>
      <c r="C1744" s="422"/>
      <c r="D1744" s="422"/>
      <c r="E1744" s="422"/>
      <c r="F1744" s="423"/>
    </row>
    <row r="1745" spans="2:6" ht="18" x14ac:dyDescent="0.35">
      <c r="B1745" s="421"/>
      <c r="C1745" s="422"/>
      <c r="D1745" s="422"/>
      <c r="E1745" s="422"/>
      <c r="F1745" s="423"/>
    </row>
    <row r="1746" spans="2:6" ht="18" x14ac:dyDescent="0.35">
      <c r="B1746" s="421"/>
      <c r="C1746" s="422"/>
      <c r="D1746" s="422"/>
      <c r="E1746" s="422"/>
      <c r="F1746" s="423"/>
    </row>
    <row r="1747" spans="2:6" ht="18" x14ac:dyDescent="0.35">
      <c r="B1747" s="421"/>
      <c r="C1747" s="422"/>
      <c r="D1747" s="422"/>
      <c r="E1747" s="422"/>
      <c r="F1747" s="423"/>
    </row>
    <row r="1748" spans="2:6" ht="18" x14ac:dyDescent="0.35">
      <c r="B1748" s="421"/>
      <c r="C1748" s="422"/>
      <c r="D1748" s="422"/>
      <c r="E1748" s="422"/>
      <c r="F1748" s="423"/>
    </row>
    <row r="1749" spans="2:6" ht="18" x14ac:dyDescent="0.35">
      <c r="B1749" s="421"/>
      <c r="C1749" s="422"/>
      <c r="D1749" s="422"/>
      <c r="E1749" s="422"/>
      <c r="F1749" s="423"/>
    </row>
    <row r="1750" spans="2:6" ht="18" x14ac:dyDescent="0.35">
      <c r="B1750" s="421"/>
      <c r="C1750" s="422"/>
      <c r="D1750" s="422"/>
      <c r="E1750" s="422"/>
      <c r="F1750" s="423"/>
    </row>
    <row r="1751" spans="2:6" ht="18" x14ac:dyDescent="0.35">
      <c r="B1751" s="421"/>
      <c r="C1751" s="422"/>
      <c r="D1751" s="422"/>
      <c r="E1751" s="422"/>
      <c r="F1751" s="423"/>
    </row>
    <row r="1752" spans="2:6" ht="18" x14ac:dyDescent="0.35">
      <c r="B1752" s="421"/>
      <c r="C1752" s="422"/>
      <c r="D1752" s="422"/>
      <c r="E1752" s="422"/>
      <c r="F1752" s="423"/>
    </row>
    <row r="1753" spans="2:6" ht="18" x14ac:dyDescent="0.35">
      <c r="B1753" s="421"/>
      <c r="C1753" s="422"/>
      <c r="D1753" s="422"/>
      <c r="E1753" s="422"/>
      <c r="F1753" s="423"/>
    </row>
    <row r="1754" spans="2:6" ht="18" x14ac:dyDescent="0.35">
      <c r="B1754" s="421"/>
      <c r="C1754" s="422"/>
      <c r="D1754" s="422"/>
      <c r="E1754" s="422"/>
      <c r="F1754" s="423"/>
    </row>
    <row r="1755" spans="2:6" ht="18" x14ac:dyDescent="0.35">
      <c r="B1755" s="421"/>
      <c r="C1755" s="422"/>
      <c r="D1755" s="422"/>
      <c r="E1755" s="422"/>
      <c r="F1755" s="423"/>
    </row>
    <row r="1756" spans="2:6" ht="18" x14ac:dyDescent="0.35">
      <c r="B1756" s="421"/>
      <c r="C1756" s="422"/>
      <c r="D1756" s="422"/>
      <c r="E1756" s="422"/>
      <c r="F1756" s="423"/>
    </row>
    <row r="1757" spans="2:6" ht="18" x14ac:dyDescent="0.35">
      <c r="B1757" s="421"/>
      <c r="C1757" s="422"/>
      <c r="D1757" s="422"/>
      <c r="E1757" s="422"/>
      <c r="F1757" s="423"/>
    </row>
    <row r="1758" spans="2:6" ht="18" x14ac:dyDescent="0.35">
      <c r="B1758" s="421"/>
      <c r="C1758" s="422"/>
      <c r="D1758" s="422"/>
      <c r="E1758" s="422"/>
      <c r="F1758" s="423"/>
    </row>
    <row r="1759" spans="2:6" ht="18" x14ac:dyDescent="0.35">
      <c r="B1759" s="421"/>
      <c r="C1759" s="422"/>
      <c r="D1759" s="422"/>
      <c r="E1759" s="422"/>
      <c r="F1759" s="423"/>
    </row>
    <row r="1760" spans="2:6" ht="18" x14ac:dyDescent="0.35">
      <c r="B1760" s="421"/>
      <c r="C1760" s="422"/>
      <c r="D1760" s="422"/>
      <c r="E1760" s="422"/>
      <c r="F1760" s="423"/>
    </row>
    <row r="1761" spans="2:6" ht="18" x14ac:dyDescent="0.35">
      <c r="B1761" s="421"/>
      <c r="C1761" s="422"/>
      <c r="D1761" s="422"/>
      <c r="E1761" s="422"/>
      <c r="F1761" s="423"/>
    </row>
    <row r="1762" spans="2:6" ht="18" x14ac:dyDescent="0.35">
      <c r="B1762" s="421"/>
      <c r="C1762" s="422"/>
      <c r="D1762" s="422"/>
      <c r="E1762" s="422"/>
      <c r="F1762" s="423"/>
    </row>
    <row r="1763" spans="2:6" ht="18" x14ac:dyDescent="0.35">
      <c r="B1763" s="421"/>
      <c r="C1763" s="422"/>
      <c r="D1763" s="422"/>
      <c r="E1763" s="422"/>
      <c r="F1763" s="423"/>
    </row>
    <row r="1764" spans="2:6" ht="18" x14ac:dyDescent="0.35">
      <c r="B1764" s="421"/>
      <c r="C1764" s="422"/>
      <c r="D1764" s="422"/>
      <c r="E1764" s="422"/>
      <c r="F1764" s="423"/>
    </row>
    <row r="1765" spans="2:6" ht="18" x14ac:dyDescent="0.35">
      <c r="B1765" s="421"/>
      <c r="C1765" s="422"/>
      <c r="D1765" s="422"/>
      <c r="E1765" s="422"/>
      <c r="F1765" s="423"/>
    </row>
    <row r="1766" spans="2:6" ht="18" x14ac:dyDescent="0.35">
      <c r="B1766" s="421"/>
      <c r="C1766" s="422"/>
      <c r="D1766" s="422"/>
      <c r="E1766" s="422"/>
      <c r="F1766" s="423"/>
    </row>
    <row r="1767" spans="2:6" ht="18" x14ac:dyDescent="0.35">
      <c r="B1767" s="421"/>
      <c r="C1767" s="422"/>
      <c r="D1767" s="422"/>
      <c r="E1767" s="422"/>
      <c r="F1767" s="423"/>
    </row>
    <row r="1768" spans="2:6" ht="18" x14ac:dyDescent="0.35">
      <c r="B1768" s="421"/>
      <c r="C1768" s="422"/>
      <c r="D1768" s="422"/>
      <c r="E1768" s="422"/>
      <c r="F1768" s="423"/>
    </row>
    <row r="1769" spans="2:6" ht="18" x14ac:dyDescent="0.35">
      <c r="B1769" s="421"/>
      <c r="C1769" s="422"/>
      <c r="D1769" s="422"/>
      <c r="E1769" s="422"/>
      <c r="F1769" s="423"/>
    </row>
    <row r="1770" spans="2:6" ht="18" x14ac:dyDescent="0.35">
      <c r="B1770" s="421"/>
      <c r="C1770" s="422"/>
      <c r="D1770" s="422"/>
      <c r="E1770" s="422"/>
      <c r="F1770" s="423"/>
    </row>
    <row r="1771" spans="2:6" ht="18" x14ac:dyDescent="0.35">
      <c r="B1771" s="421"/>
      <c r="C1771" s="422"/>
      <c r="D1771" s="422"/>
      <c r="E1771" s="422"/>
      <c r="F1771" s="423"/>
    </row>
    <row r="1772" spans="2:6" ht="18" x14ac:dyDescent="0.35">
      <c r="B1772" s="421"/>
      <c r="C1772" s="422"/>
      <c r="D1772" s="422"/>
      <c r="E1772" s="422"/>
      <c r="F1772" s="423"/>
    </row>
    <row r="1773" spans="2:6" ht="18" x14ac:dyDescent="0.35">
      <c r="B1773" s="421"/>
      <c r="C1773" s="422"/>
      <c r="D1773" s="422"/>
      <c r="E1773" s="422"/>
      <c r="F1773" s="423"/>
    </row>
    <row r="1774" spans="2:6" ht="18" x14ac:dyDescent="0.35">
      <c r="B1774" s="421"/>
      <c r="C1774" s="422"/>
      <c r="D1774" s="422"/>
      <c r="E1774" s="422"/>
      <c r="F1774" s="423"/>
    </row>
    <row r="1775" spans="2:6" ht="18" x14ac:dyDescent="0.35">
      <c r="B1775" s="421"/>
      <c r="C1775" s="422"/>
      <c r="D1775" s="422"/>
      <c r="E1775" s="422"/>
      <c r="F1775" s="423"/>
    </row>
    <row r="1776" spans="2:6" ht="18" x14ac:dyDescent="0.35">
      <c r="B1776" s="421"/>
      <c r="C1776" s="422"/>
      <c r="D1776" s="422"/>
      <c r="E1776" s="422"/>
      <c r="F1776" s="423"/>
    </row>
    <row r="1777" spans="2:6" ht="18" x14ac:dyDescent="0.35">
      <c r="B1777" s="421"/>
      <c r="C1777" s="422"/>
      <c r="D1777" s="422"/>
      <c r="E1777" s="422"/>
      <c r="F1777" s="423"/>
    </row>
    <row r="1778" spans="2:6" ht="18" x14ac:dyDescent="0.35">
      <c r="B1778" s="421"/>
      <c r="C1778" s="422"/>
      <c r="D1778" s="422"/>
      <c r="E1778" s="422"/>
      <c r="F1778" s="423"/>
    </row>
    <row r="1779" spans="2:6" ht="18" x14ac:dyDescent="0.35">
      <c r="B1779" s="421"/>
      <c r="C1779" s="422"/>
      <c r="D1779" s="422"/>
      <c r="E1779" s="422"/>
      <c r="F1779" s="423"/>
    </row>
    <row r="1780" spans="2:6" ht="18" x14ac:dyDescent="0.35">
      <c r="B1780" s="421"/>
      <c r="C1780" s="422"/>
      <c r="D1780" s="422"/>
      <c r="E1780" s="422"/>
      <c r="F1780" s="423"/>
    </row>
    <row r="1781" spans="2:6" ht="18" x14ac:dyDescent="0.35">
      <c r="B1781" s="421"/>
      <c r="C1781" s="422"/>
      <c r="D1781" s="422"/>
      <c r="E1781" s="422"/>
      <c r="F1781" s="423"/>
    </row>
    <row r="1782" spans="2:6" ht="18" x14ac:dyDescent="0.35">
      <c r="B1782" s="421"/>
      <c r="C1782" s="422"/>
      <c r="D1782" s="422"/>
      <c r="E1782" s="422"/>
      <c r="F1782" s="423"/>
    </row>
    <row r="1783" spans="2:6" ht="18" x14ac:dyDescent="0.35">
      <c r="B1783" s="421"/>
      <c r="C1783" s="422"/>
      <c r="D1783" s="422"/>
      <c r="E1783" s="422"/>
      <c r="F1783" s="423"/>
    </row>
    <row r="1784" spans="2:6" ht="18" x14ac:dyDescent="0.35">
      <c r="B1784" s="421"/>
      <c r="C1784" s="422"/>
      <c r="D1784" s="422"/>
      <c r="E1784" s="422"/>
      <c r="F1784" s="423"/>
    </row>
    <row r="1785" spans="2:6" ht="18" x14ac:dyDescent="0.35">
      <c r="B1785" s="421"/>
      <c r="C1785" s="422"/>
      <c r="D1785" s="422"/>
      <c r="E1785" s="422"/>
      <c r="F1785" s="423"/>
    </row>
    <row r="1786" spans="2:6" ht="18" x14ac:dyDescent="0.35">
      <c r="B1786" s="421"/>
      <c r="C1786" s="422"/>
      <c r="D1786" s="422"/>
      <c r="E1786" s="422"/>
      <c r="F1786" s="423"/>
    </row>
    <row r="1787" spans="2:6" ht="18" x14ac:dyDescent="0.35">
      <c r="B1787" s="421"/>
      <c r="C1787" s="422"/>
      <c r="D1787" s="422"/>
      <c r="E1787" s="422"/>
      <c r="F1787" s="423"/>
    </row>
    <row r="1788" spans="2:6" ht="18" x14ac:dyDescent="0.35">
      <c r="B1788" s="421"/>
      <c r="C1788" s="422"/>
      <c r="D1788" s="422"/>
      <c r="E1788" s="422"/>
      <c r="F1788" s="423"/>
    </row>
    <row r="1789" spans="2:6" ht="18" x14ac:dyDescent="0.35">
      <c r="B1789" s="421"/>
      <c r="C1789" s="422"/>
      <c r="D1789" s="422"/>
      <c r="E1789" s="422"/>
      <c r="F1789" s="423"/>
    </row>
    <row r="1790" spans="2:6" ht="18" x14ac:dyDescent="0.35">
      <c r="B1790" s="421"/>
      <c r="C1790" s="422"/>
      <c r="D1790" s="422"/>
      <c r="E1790" s="422"/>
      <c r="F1790" s="423"/>
    </row>
    <row r="1791" spans="2:6" ht="18" x14ac:dyDescent="0.35">
      <c r="B1791" s="421"/>
      <c r="C1791" s="422"/>
      <c r="D1791" s="422"/>
      <c r="E1791" s="422"/>
      <c r="F1791" s="423"/>
    </row>
    <row r="1792" spans="2:6" ht="18" x14ac:dyDescent="0.35">
      <c r="B1792" s="421"/>
      <c r="C1792" s="422"/>
      <c r="D1792" s="422"/>
      <c r="E1792" s="422"/>
      <c r="F1792" s="423"/>
    </row>
    <row r="1793" spans="2:6" ht="18" x14ac:dyDescent="0.35">
      <c r="B1793" s="421"/>
      <c r="C1793" s="422"/>
      <c r="D1793" s="422"/>
      <c r="E1793" s="422"/>
      <c r="F1793" s="423"/>
    </row>
    <row r="1794" spans="2:6" ht="18" x14ac:dyDescent="0.35">
      <c r="B1794" s="421"/>
      <c r="C1794" s="422"/>
      <c r="D1794" s="422"/>
      <c r="E1794" s="422"/>
      <c r="F1794" s="423"/>
    </row>
    <row r="1795" spans="2:6" ht="18" x14ac:dyDescent="0.35">
      <c r="B1795" s="421"/>
      <c r="C1795" s="422"/>
      <c r="D1795" s="422"/>
      <c r="E1795" s="422"/>
      <c r="F1795" s="423"/>
    </row>
    <row r="1796" spans="2:6" ht="18" x14ac:dyDescent="0.35">
      <c r="B1796" s="421"/>
      <c r="C1796" s="422"/>
      <c r="D1796" s="422"/>
      <c r="E1796" s="422"/>
      <c r="F1796" s="423"/>
    </row>
    <row r="1797" spans="2:6" ht="18" x14ac:dyDescent="0.35">
      <c r="B1797" s="421"/>
      <c r="C1797" s="422"/>
      <c r="D1797" s="422"/>
      <c r="E1797" s="422"/>
      <c r="F1797" s="423"/>
    </row>
    <row r="1798" spans="2:6" ht="18" x14ac:dyDescent="0.35">
      <c r="B1798" s="421"/>
      <c r="C1798" s="422"/>
      <c r="D1798" s="422"/>
      <c r="E1798" s="422"/>
      <c r="F1798" s="423"/>
    </row>
    <row r="1799" spans="2:6" ht="18" x14ac:dyDescent="0.35">
      <c r="B1799" s="421"/>
      <c r="C1799" s="422"/>
      <c r="D1799" s="422"/>
      <c r="E1799" s="422"/>
      <c r="F1799" s="423"/>
    </row>
    <row r="1800" spans="2:6" ht="18" x14ac:dyDescent="0.35">
      <c r="B1800" s="421"/>
      <c r="C1800" s="422"/>
      <c r="D1800" s="422"/>
      <c r="E1800" s="422"/>
      <c r="F1800" s="423"/>
    </row>
    <row r="1801" spans="2:6" ht="18" x14ac:dyDescent="0.35">
      <c r="B1801" s="421"/>
      <c r="C1801" s="422"/>
      <c r="D1801" s="422"/>
      <c r="E1801" s="422"/>
      <c r="F1801" s="423"/>
    </row>
    <row r="1802" spans="2:6" ht="18" x14ac:dyDescent="0.35">
      <c r="B1802" s="421"/>
      <c r="C1802" s="422"/>
      <c r="D1802" s="422"/>
      <c r="E1802" s="422"/>
      <c r="F1802" s="423"/>
    </row>
    <row r="1803" spans="2:6" ht="18" x14ac:dyDescent="0.35">
      <c r="B1803" s="421"/>
      <c r="C1803" s="422"/>
      <c r="D1803" s="422"/>
      <c r="E1803" s="422"/>
      <c r="F1803" s="423"/>
    </row>
    <row r="1804" spans="2:6" ht="18" x14ac:dyDescent="0.35">
      <c r="B1804" s="421"/>
      <c r="C1804" s="422"/>
      <c r="D1804" s="422"/>
      <c r="E1804" s="422"/>
      <c r="F1804" s="423"/>
    </row>
    <row r="1805" spans="2:6" ht="18" x14ac:dyDescent="0.35">
      <c r="B1805" s="421"/>
      <c r="C1805" s="422"/>
      <c r="D1805" s="422"/>
      <c r="E1805" s="422"/>
      <c r="F1805" s="423"/>
    </row>
    <row r="1806" spans="2:6" ht="18" x14ac:dyDescent="0.35">
      <c r="B1806" s="421"/>
      <c r="C1806" s="422"/>
      <c r="D1806" s="422"/>
      <c r="E1806" s="422"/>
      <c r="F1806" s="423"/>
    </row>
    <row r="1807" spans="2:6" ht="18" x14ac:dyDescent="0.35">
      <c r="B1807" s="421"/>
      <c r="C1807" s="422"/>
      <c r="D1807" s="422"/>
      <c r="E1807" s="422"/>
      <c r="F1807" s="423"/>
    </row>
    <row r="1808" spans="2:6" ht="18" x14ac:dyDescent="0.35">
      <c r="B1808" s="421"/>
      <c r="C1808" s="422"/>
      <c r="D1808" s="422"/>
      <c r="E1808" s="422"/>
      <c r="F1808" s="423"/>
    </row>
    <row r="1809" spans="2:6" ht="18" x14ac:dyDescent="0.35">
      <c r="B1809" s="421"/>
      <c r="C1809" s="422"/>
      <c r="D1809" s="422"/>
      <c r="E1809" s="422"/>
      <c r="F1809" s="423"/>
    </row>
    <row r="1810" spans="2:6" ht="18" x14ac:dyDescent="0.35">
      <c r="B1810" s="421"/>
      <c r="C1810" s="422"/>
      <c r="D1810" s="422"/>
      <c r="E1810" s="422"/>
      <c r="F1810" s="423"/>
    </row>
    <row r="1811" spans="2:6" ht="18" x14ac:dyDescent="0.35">
      <c r="B1811" s="421"/>
      <c r="C1811" s="422"/>
      <c r="D1811" s="422"/>
      <c r="E1811" s="422"/>
      <c r="F1811" s="423"/>
    </row>
    <row r="1812" spans="2:6" ht="18" x14ac:dyDescent="0.35">
      <c r="B1812" s="421"/>
      <c r="C1812" s="422"/>
      <c r="D1812" s="422"/>
      <c r="E1812" s="422"/>
      <c r="F1812" s="423"/>
    </row>
    <row r="1813" spans="2:6" ht="18" x14ac:dyDescent="0.35">
      <c r="B1813" s="421"/>
      <c r="C1813" s="422"/>
      <c r="D1813" s="422"/>
      <c r="E1813" s="422"/>
      <c r="F1813" s="423"/>
    </row>
    <row r="1814" spans="2:6" ht="18" x14ac:dyDescent="0.35">
      <c r="B1814" s="421"/>
      <c r="C1814" s="422"/>
      <c r="D1814" s="422"/>
      <c r="E1814" s="422"/>
      <c r="F1814" s="423"/>
    </row>
    <row r="1815" spans="2:6" ht="18" x14ac:dyDescent="0.35">
      <c r="B1815" s="421"/>
      <c r="C1815" s="422"/>
      <c r="D1815" s="422"/>
      <c r="E1815" s="422"/>
      <c r="F1815" s="423"/>
    </row>
    <row r="1816" spans="2:6" ht="18" x14ac:dyDescent="0.35">
      <c r="B1816" s="421"/>
      <c r="C1816" s="422"/>
      <c r="D1816" s="422"/>
      <c r="E1816" s="422"/>
      <c r="F1816" s="423"/>
    </row>
    <row r="1817" spans="2:6" ht="18" x14ac:dyDescent="0.35">
      <c r="B1817" s="421"/>
      <c r="C1817" s="422"/>
      <c r="D1817" s="422"/>
      <c r="E1817" s="422"/>
      <c r="F1817" s="423"/>
    </row>
    <row r="1818" spans="2:6" ht="18" x14ac:dyDescent="0.35">
      <c r="B1818" s="421"/>
      <c r="C1818" s="422"/>
      <c r="D1818" s="422"/>
      <c r="E1818" s="422"/>
      <c r="F1818" s="423"/>
    </row>
    <row r="1819" spans="2:6" ht="18" x14ac:dyDescent="0.35">
      <c r="B1819" s="421"/>
      <c r="C1819" s="422"/>
      <c r="D1819" s="422"/>
      <c r="E1819" s="422"/>
      <c r="F1819" s="423"/>
    </row>
    <row r="1820" spans="2:6" ht="18" x14ac:dyDescent="0.35">
      <c r="B1820" s="421"/>
      <c r="C1820" s="422"/>
      <c r="D1820" s="422"/>
      <c r="E1820" s="422"/>
      <c r="F1820" s="423"/>
    </row>
    <row r="1821" spans="2:6" ht="18" x14ac:dyDescent="0.35">
      <c r="B1821" s="421"/>
      <c r="C1821" s="422"/>
      <c r="D1821" s="422"/>
      <c r="E1821" s="422"/>
      <c r="F1821" s="423"/>
    </row>
    <row r="1822" spans="2:6" ht="18" x14ac:dyDescent="0.35">
      <c r="B1822" s="421"/>
      <c r="C1822" s="422"/>
      <c r="D1822" s="422"/>
      <c r="E1822" s="422"/>
      <c r="F1822" s="423"/>
    </row>
    <row r="1823" spans="2:6" ht="18" x14ac:dyDescent="0.35">
      <c r="B1823" s="421"/>
      <c r="C1823" s="422"/>
      <c r="D1823" s="422"/>
      <c r="E1823" s="422"/>
      <c r="F1823" s="423"/>
    </row>
    <row r="1824" spans="2:6" ht="18" x14ac:dyDescent="0.35">
      <c r="B1824" s="421"/>
      <c r="C1824" s="422"/>
      <c r="D1824" s="422"/>
      <c r="E1824" s="422"/>
      <c r="F1824" s="423"/>
    </row>
    <row r="1825" spans="2:6" ht="18" x14ac:dyDescent="0.35">
      <c r="B1825" s="421"/>
      <c r="C1825" s="422"/>
      <c r="D1825" s="422"/>
      <c r="E1825" s="422"/>
      <c r="F1825" s="423"/>
    </row>
    <row r="1826" spans="2:6" ht="18" x14ac:dyDescent="0.35">
      <c r="B1826" s="421"/>
      <c r="C1826" s="422"/>
      <c r="D1826" s="422"/>
      <c r="E1826" s="422"/>
      <c r="F1826" s="423"/>
    </row>
    <row r="1827" spans="2:6" ht="18" x14ac:dyDescent="0.35">
      <c r="B1827" s="421"/>
      <c r="C1827" s="422"/>
      <c r="D1827" s="422"/>
      <c r="E1827" s="422"/>
      <c r="F1827" s="423"/>
    </row>
    <row r="1828" spans="2:6" ht="18" x14ac:dyDescent="0.35">
      <c r="B1828" s="421"/>
      <c r="C1828" s="422"/>
      <c r="D1828" s="422"/>
      <c r="E1828" s="422"/>
      <c r="F1828" s="423"/>
    </row>
    <row r="1829" spans="2:6" ht="18" x14ac:dyDescent="0.35">
      <c r="B1829" s="421"/>
      <c r="C1829" s="422"/>
      <c r="D1829" s="422"/>
      <c r="E1829" s="422"/>
      <c r="F1829" s="423"/>
    </row>
    <row r="1830" spans="2:6" ht="18" x14ac:dyDescent="0.35">
      <c r="B1830" s="421"/>
      <c r="C1830" s="422"/>
      <c r="D1830" s="422"/>
      <c r="E1830" s="422"/>
      <c r="F1830" s="423"/>
    </row>
    <row r="1831" spans="2:6" ht="18" x14ac:dyDescent="0.35">
      <c r="B1831" s="421"/>
      <c r="C1831" s="422"/>
      <c r="D1831" s="422"/>
      <c r="E1831" s="422"/>
      <c r="F1831" s="423"/>
    </row>
    <row r="1832" spans="2:6" ht="18" x14ac:dyDescent="0.35">
      <c r="B1832" s="421"/>
      <c r="C1832" s="422"/>
      <c r="D1832" s="422"/>
      <c r="E1832" s="422"/>
      <c r="F1832" s="423"/>
    </row>
    <row r="1833" spans="2:6" ht="18" x14ac:dyDescent="0.35">
      <c r="B1833" s="421"/>
      <c r="C1833" s="422"/>
      <c r="D1833" s="422"/>
      <c r="E1833" s="422"/>
      <c r="F1833" s="423"/>
    </row>
    <row r="1834" spans="2:6" ht="18" x14ac:dyDescent="0.35">
      <c r="B1834" s="421"/>
      <c r="C1834" s="422"/>
      <c r="D1834" s="422"/>
      <c r="E1834" s="422"/>
      <c r="F1834" s="423"/>
    </row>
    <row r="1835" spans="2:6" ht="18" x14ac:dyDescent="0.35">
      <c r="B1835" s="421"/>
      <c r="C1835" s="422"/>
      <c r="D1835" s="422"/>
      <c r="E1835" s="422"/>
      <c r="F1835" s="423"/>
    </row>
    <row r="1836" spans="2:6" ht="18" x14ac:dyDescent="0.35">
      <c r="B1836" s="421"/>
      <c r="C1836" s="422"/>
      <c r="D1836" s="422"/>
      <c r="E1836" s="422"/>
      <c r="F1836" s="423"/>
    </row>
    <row r="1837" spans="2:6" ht="18" x14ac:dyDescent="0.35">
      <c r="B1837" s="421"/>
      <c r="C1837" s="422"/>
      <c r="D1837" s="422"/>
      <c r="E1837" s="422"/>
      <c r="F1837" s="423"/>
    </row>
    <row r="1838" spans="2:6" ht="18" x14ac:dyDescent="0.35">
      <c r="B1838" s="421"/>
      <c r="C1838" s="422"/>
      <c r="D1838" s="422"/>
      <c r="E1838" s="422"/>
      <c r="F1838" s="423"/>
    </row>
    <row r="1839" spans="2:6" ht="18" x14ac:dyDescent="0.35">
      <c r="B1839" s="421"/>
      <c r="C1839" s="422"/>
      <c r="D1839" s="422"/>
      <c r="E1839" s="422"/>
      <c r="F1839" s="423"/>
    </row>
    <row r="1840" spans="2:6" ht="18" x14ac:dyDescent="0.35">
      <c r="B1840" s="421"/>
      <c r="C1840" s="422"/>
      <c r="D1840" s="422"/>
      <c r="E1840" s="422"/>
      <c r="F1840" s="423"/>
    </row>
    <row r="1841" spans="2:6" ht="18" x14ac:dyDescent="0.35">
      <c r="B1841" s="421"/>
      <c r="C1841" s="422"/>
      <c r="D1841" s="422"/>
      <c r="E1841" s="422"/>
      <c r="F1841" s="423"/>
    </row>
    <row r="1842" spans="2:6" ht="18" x14ac:dyDescent="0.35">
      <c r="B1842" s="421"/>
      <c r="C1842" s="422"/>
      <c r="D1842" s="422"/>
      <c r="E1842" s="422"/>
      <c r="F1842" s="423"/>
    </row>
    <row r="1843" spans="2:6" ht="18" x14ac:dyDescent="0.35">
      <c r="B1843" s="421"/>
      <c r="C1843" s="422"/>
      <c r="D1843" s="422"/>
      <c r="E1843" s="422"/>
      <c r="F1843" s="423"/>
    </row>
    <row r="1844" spans="2:6" ht="18" x14ac:dyDescent="0.35">
      <c r="B1844" s="421"/>
      <c r="C1844" s="422"/>
      <c r="D1844" s="422"/>
      <c r="E1844" s="422"/>
      <c r="F1844" s="423"/>
    </row>
    <row r="1845" spans="2:6" ht="18" x14ac:dyDescent="0.35">
      <c r="B1845" s="421"/>
      <c r="C1845" s="422"/>
      <c r="D1845" s="422"/>
      <c r="E1845" s="422"/>
      <c r="F1845" s="423"/>
    </row>
    <row r="1846" spans="2:6" ht="18" x14ac:dyDescent="0.35">
      <c r="B1846" s="421"/>
      <c r="C1846" s="422"/>
      <c r="D1846" s="422"/>
      <c r="E1846" s="422"/>
      <c r="F1846" s="423"/>
    </row>
    <row r="1847" spans="2:6" ht="18" x14ac:dyDescent="0.35">
      <c r="B1847" s="421"/>
      <c r="C1847" s="422"/>
      <c r="D1847" s="422"/>
      <c r="E1847" s="422"/>
      <c r="F1847" s="423"/>
    </row>
    <row r="1848" spans="2:6" ht="18" x14ac:dyDescent="0.35">
      <c r="B1848" s="421"/>
      <c r="C1848" s="422"/>
      <c r="D1848" s="422"/>
      <c r="E1848" s="422"/>
      <c r="F1848" s="423"/>
    </row>
    <row r="1849" spans="2:6" ht="18" x14ac:dyDescent="0.35">
      <c r="B1849" s="421"/>
      <c r="C1849" s="422"/>
      <c r="D1849" s="422"/>
      <c r="E1849" s="422"/>
      <c r="F1849" s="423"/>
    </row>
    <row r="1850" spans="2:6" ht="18" x14ac:dyDescent="0.35">
      <c r="B1850" s="421"/>
      <c r="C1850" s="422"/>
      <c r="D1850" s="422"/>
      <c r="E1850" s="422"/>
      <c r="F1850" s="423"/>
    </row>
    <row r="1851" spans="2:6" ht="18" x14ac:dyDescent="0.35">
      <c r="B1851" s="421"/>
      <c r="C1851" s="422"/>
      <c r="D1851" s="422"/>
      <c r="E1851" s="422"/>
      <c r="F1851" s="423"/>
    </row>
    <row r="1852" spans="2:6" ht="18" x14ac:dyDescent="0.35">
      <c r="B1852" s="421"/>
      <c r="C1852" s="422"/>
      <c r="D1852" s="422"/>
      <c r="E1852" s="422"/>
      <c r="F1852" s="423"/>
    </row>
    <row r="1853" spans="2:6" ht="18" x14ac:dyDescent="0.35">
      <c r="B1853" s="421"/>
      <c r="C1853" s="422"/>
      <c r="D1853" s="422"/>
      <c r="E1853" s="422"/>
      <c r="F1853" s="423"/>
    </row>
    <row r="1854" spans="2:6" ht="18" x14ac:dyDescent="0.35">
      <c r="B1854" s="421"/>
      <c r="C1854" s="422"/>
      <c r="D1854" s="422"/>
      <c r="E1854" s="422"/>
      <c r="F1854" s="423"/>
    </row>
    <row r="1855" spans="2:6" ht="18" x14ac:dyDescent="0.35">
      <c r="B1855" s="421"/>
      <c r="C1855" s="422"/>
      <c r="D1855" s="422"/>
      <c r="E1855" s="422"/>
      <c r="F1855" s="423"/>
    </row>
    <row r="1856" spans="2:6" ht="18" x14ac:dyDescent="0.35">
      <c r="B1856" s="421"/>
      <c r="C1856" s="422"/>
      <c r="D1856" s="422"/>
      <c r="E1856" s="422"/>
      <c r="F1856" s="423"/>
    </row>
    <row r="1857" spans="2:6" ht="18" x14ac:dyDescent="0.35">
      <c r="B1857" s="421"/>
      <c r="C1857" s="422"/>
      <c r="D1857" s="422"/>
      <c r="E1857" s="422"/>
      <c r="F1857" s="423"/>
    </row>
    <row r="1858" spans="2:6" ht="18" x14ac:dyDescent="0.35">
      <c r="B1858" s="421"/>
      <c r="C1858" s="422"/>
      <c r="D1858" s="422"/>
      <c r="E1858" s="422"/>
      <c r="F1858" s="423"/>
    </row>
    <row r="1859" spans="2:6" ht="18" x14ac:dyDescent="0.35">
      <c r="B1859" s="421"/>
      <c r="C1859" s="422"/>
      <c r="D1859" s="422"/>
      <c r="E1859" s="422"/>
      <c r="F1859" s="423"/>
    </row>
    <row r="1860" spans="2:6" ht="18" x14ac:dyDescent="0.35">
      <c r="B1860" s="421"/>
      <c r="C1860" s="422"/>
      <c r="D1860" s="422"/>
      <c r="E1860" s="422"/>
      <c r="F1860" s="423"/>
    </row>
    <row r="1861" spans="2:6" ht="18" x14ac:dyDescent="0.35">
      <c r="B1861" s="421"/>
      <c r="C1861" s="422"/>
      <c r="D1861" s="422"/>
      <c r="E1861" s="422"/>
      <c r="F1861" s="423"/>
    </row>
    <row r="1862" spans="2:6" ht="18" x14ac:dyDescent="0.35">
      <c r="B1862" s="421"/>
      <c r="C1862" s="422"/>
      <c r="D1862" s="422"/>
      <c r="E1862" s="422"/>
      <c r="F1862" s="423"/>
    </row>
    <row r="1863" spans="2:6" ht="18" x14ac:dyDescent="0.35">
      <c r="B1863" s="421"/>
      <c r="C1863" s="422"/>
      <c r="D1863" s="422"/>
      <c r="E1863" s="422"/>
      <c r="F1863" s="423"/>
    </row>
    <row r="1864" spans="2:6" ht="18" x14ac:dyDescent="0.35">
      <c r="B1864" s="421"/>
      <c r="C1864" s="422"/>
      <c r="D1864" s="422"/>
      <c r="E1864" s="422"/>
      <c r="F1864" s="423"/>
    </row>
    <row r="1865" spans="2:6" ht="18" x14ac:dyDescent="0.35">
      <c r="B1865" s="421"/>
      <c r="C1865" s="422"/>
      <c r="D1865" s="422"/>
      <c r="E1865" s="422"/>
      <c r="F1865" s="423"/>
    </row>
    <row r="1866" spans="2:6" ht="18" x14ac:dyDescent="0.35">
      <c r="B1866" s="421"/>
      <c r="C1866" s="422"/>
      <c r="D1866" s="422"/>
      <c r="E1866" s="422"/>
      <c r="F1866" s="423"/>
    </row>
    <row r="1867" spans="2:6" ht="18" x14ac:dyDescent="0.35">
      <c r="B1867" s="421"/>
      <c r="C1867" s="422"/>
      <c r="D1867" s="422"/>
      <c r="E1867" s="422"/>
      <c r="F1867" s="423"/>
    </row>
    <row r="1868" spans="2:6" ht="18" x14ac:dyDescent="0.35">
      <c r="B1868" s="421"/>
      <c r="C1868" s="422"/>
      <c r="D1868" s="422"/>
      <c r="E1868" s="422"/>
      <c r="F1868" s="423"/>
    </row>
    <row r="1869" spans="2:6" ht="18" x14ac:dyDescent="0.35">
      <c r="B1869" s="421"/>
      <c r="C1869" s="422"/>
      <c r="D1869" s="422"/>
      <c r="E1869" s="422"/>
      <c r="F1869" s="423"/>
    </row>
    <row r="1870" spans="2:6" ht="18" x14ac:dyDescent="0.35">
      <c r="B1870" s="421"/>
      <c r="C1870" s="422"/>
      <c r="D1870" s="422"/>
      <c r="E1870" s="422"/>
      <c r="F1870" s="423"/>
    </row>
    <row r="1871" spans="2:6" ht="18" x14ac:dyDescent="0.35">
      <c r="B1871" s="421"/>
      <c r="C1871" s="422"/>
      <c r="D1871" s="422"/>
      <c r="E1871" s="422"/>
      <c r="F1871" s="423"/>
    </row>
    <row r="1872" spans="2:6" ht="18" x14ac:dyDescent="0.35">
      <c r="B1872" s="421"/>
      <c r="C1872" s="422"/>
      <c r="D1872" s="422"/>
      <c r="E1872" s="422"/>
      <c r="F1872" s="423"/>
    </row>
    <row r="1873" spans="2:6" ht="18" x14ac:dyDescent="0.35">
      <c r="B1873" s="421"/>
      <c r="C1873" s="422"/>
      <c r="D1873" s="422"/>
      <c r="E1873" s="422"/>
      <c r="F1873" s="423"/>
    </row>
    <row r="1874" spans="2:6" ht="18" x14ac:dyDescent="0.35">
      <c r="B1874" s="421"/>
      <c r="C1874" s="422"/>
      <c r="D1874" s="422"/>
      <c r="E1874" s="422"/>
      <c r="F1874" s="423"/>
    </row>
    <row r="1875" spans="2:6" ht="18" x14ac:dyDescent="0.35">
      <c r="B1875" s="421"/>
      <c r="C1875" s="422"/>
      <c r="D1875" s="422"/>
      <c r="E1875" s="422"/>
      <c r="F1875" s="423"/>
    </row>
    <row r="1876" spans="2:6" ht="18" x14ac:dyDescent="0.35">
      <c r="B1876" s="421"/>
      <c r="C1876" s="422"/>
      <c r="D1876" s="422"/>
      <c r="E1876" s="422"/>
      <c r="F1876" s="423"/>
    </row>
    <row r="1877" spans="2:6" ht="18" x14ac:dyDescent="0.35">
      <c r="B1877" s="421"/>
      <c r="C1877" s="422"/>
      <c r="D1877" s="422"/>
      <c r="E1877" s="422"/>
      <c r="F1877" s="423"/>
    </row>
    <row r="1878" spans="2:6" ht="18" x14ac:dyDescent="0.35">
      <c r="B1878" s="421"/>
      <c r="C1878" s="422"/>
      <c r="D1878" s="422"/>
      <c r="E1878" s="422"/>
      <c r="F1878" s="423"/>
    </row>
    <row r="1879" spans="2:6" ht="18" x14ac:dyDescent="0.35">
      <c r="B1879" s="421"/>
      <c r="C1879" s="422"/>
      <c r="D1879" s="422"/>
      <c r="E1879" s="422"/>
      <c r="F1879" s="423"/>
    </row>
    <row r="1880" spans="2:6" ht="18" x14ac:dyDescent="0.35">
      <c r="B1880" s="421"/>
      <c r="C1880" s="422"/>
      <c r="D1880" s="422"/>
      <c r="E1880" s="422"/>
      <c r="F1880" s="423"/>
    </row>
    <row r="1881" spans="2:6" ht="18" x14ac:dyDescent="0.35">
      <c r="B1881" s="421"/>
      <c r="C1881" s="422"/>
      <c r="D1881" s="422"/>
      <c r="E1881" s="422"/>
      <c r="F1881" s="423"/>
    </row>
    <row r="1882" spans="2:6" ht="18" x14ac:dyDescent="0.35">
      <c r="B1882" s="421"/>
      <c r="C1882" s="422"/>
      <c r="D1882" s="422"/>
      <c r="E1882" s="422"/>
      <c r="F1882" s="423"/>
    </row>
    <row r="1883" spans="2:6" ht="18" x14ac:dyDescent="0.35">
      <c r="B1883" s="421"/>
      <c r="C1883" s="422"/>
      <c r="D1883" s="422"/>
      <c r="E1883" s="422"/>
      <c r="F1883" s="423"/>
    </row>
    <row r="1884" spans="2:6" ht="18" x14ac:dyDescent="0.35">
      <c r="B1884" s="421"/>
      <c r="C1884" s="422"/>
      <c r="D1884" s="422"/>
      <c r="E1884" s="422"/>
      <c r="F1884" s="423"/>
    </row>
    <row r="1885" spans="2:6" ht="18" x14ac:dyDescent="0.35">
      <c r="B1885" s="421"/>
      <c r="C1885" s="422"/>
      <c r="D1885" s="422"/>
      <c r="E1885" s="422"/>
      <c r="F1885" s="423"/>
    </row>
    <row r="1886" spans="2:6" ht="18" x14ac:dyDescent="0.35">
      <c r="B1886" s="421"/>
      <c r="C1886" s="422"/>
      <c r="D1886" s="422"/>
      <c r="E1886" s="422"/>
      <c r="F1886" s="423"/>
    </row>
    <row r="1887" spans="2:6" ht="18" x14ac:dyDescent="0.35">
      <c r="B1887" s="421"/>
      <c r="C1887" s="422"/>
      <c r="D1887" s="422"/>
      <c r="E1887" s="422"/>
      <c r="F1887" s="423"/>
    </row>
    <row r="1888" spans="2:6" ht="18" x14ac:dyDescent="0.35">
      <c r="B1888" s="421"/>
      <c r="C1888" s="422"/>
      <c r="D1888" s="422"/>
      <c r="E1888" s="422"/>
      <c r="F1888" s="423"/>
    </row>
    <row r="1889" spans="2:6" ht="18" x14ac:dyDescent="0.35">
      <c r="B1889" s="421"/>
      <c r="C1889" s="422"/>
      <c r="D1889" s="422"/>
      <c r="E1889" s="422"/>
      <c r="F1889" s="423"/>
    </row>
    <row r="1890" spans="2:6" ht="18" x14ac:dyDescent="0.35">
      <c r="B1890" s="421"/>
      <c r="C1890" s="422"/>
      <c r="D1890" s="422"/>
      <c r="E1890" s="422"/>
      <c r="F1890" s="423"/>
    </row>
    <row r="1891" spans="2:6" ht="18" x14ac:dyDescent="0.35">
      <c r="B1891" s="421"/>
      <c r="C1891" s="422"/>
      <c r="D1891" s="422"/>
      <c r="E1891" s="422"/>
      <c r="F1891" s="423"/>
    </row>
    <row r="1892" spans="2:6" ht="18" x14ac:dyDescent="0.35">
      <c r="B1892" s="421"/>
      <c r="C1892" s="422"/>
      <c r="D1892" s="422"/>
      <c r="E1892" s="422"/>
      <c r="F1892" s="423"/>
    </row>
    <row r="1893" spans="2:6" ht="18" x14ac:dyDescent="0.35">
      <c r="B1893" s="421"/>
      <c r="C1893" s="422"/>
      <c r="D1893" s="422"/>
      <c r="E1893" s="422"/>
      <c r="F1893" s="423"/>
    </row>
    <row r="1894" spans="2:6" ht="18" x14ac:dyDescent="0.35">
      <c r="B1894" s="421"/>
      <c r="C1894" s="422"/>
      <c r="D1894" s="422"/>
      <c r="E1894" s="422"/>
      <c r="F1894" s="423"/>
    </row>
    <row r="1895" spans="2:6" ht="18" x14ac:dyDescent="0.35">
      <c r="B1895" s="421"/>
      <c r="C1895" s="422"/>
      <c r="D1895" s="422"/>
      <c r="E1895" s="422"/>
      <c r="F1895" s="423"/>
    </row>
    <row r="1896" spans="2:6" ht="18" x14ac:dyDescent="0.35">
      <c r="B1896" s="421"/>
      <c r="C1896" s="422"/>
      <c r="D1896" s="422"/>
      <c r="E1896" s="422"/>
      <c r="F1896" s="423"/>
    </row>
    <row r="1897" spans="2:6" ht="18" x14ac:dyDescent="0.35">
      <c r="B1897" s="421"/>
      <c r="C1897" s="422"/>
      <c r="D1897" s="422"/>
      <c r="E1897" s="422"/>
      <c r="F1897" s="423"/>
    </row>
    <row r="1898" spans="2:6" ht="18" x14ac:dyDescent="0.35">
      <c r="B1898" s="421"/>
      <c r="C1898" s="422"/>
      <c r="D1898" s="422"/>
      <c r="E1898" s="422"/>
      <c r="F1898" s="423"/>
    </row>
    <row r="1899" spans="2:6" ht="18" x14ac:dyDescent="0.35">
      <c r="B1899" s="421"/>
      <c r="C1899" s="422"/>
      <c r="D1899" s="422"/>
      <c r="E1899" s="422"/>
      <c r="F1899" s="423"/>
    </row>
    <row r="1900" spans="2:6" ht="18" x14ac:dyDescent="0.35">
      <c r="B1900" s="421"/>
      <c r="C1900" s="422"/>
      <c r="D1900" s="422"/>
      <c r="E1900" s="422"/>
      <c r="F1900" s="423"/>
    </row>
    <row r="1901" spans="2:6" ht="18" x14ac:dyDescent="0.35">
      <c r="B1901" s="421"/>
      <c r="C1901" s="422"/>
      <c r="D1901" s="422"/>
      <c r="E1901" s="422"/>
      <c r="F1901" s="423"/>
    </row>
    <row r="1902" spans="2:6" ht="18" x14ac:dyDescent="0.35">
      <c r="B1902" s="421"/>
      <c r="C1902" s="422"/>
      <c r="D1902" s="422"/>
      <c r="E1902" s="422"/>
      <c r="F1902" s="423"/>
    </row>
    <row r="1903" spans="2:6" ht="18" x14ac:dyDescent="0.35">
      <c r="B1903" s="421"/>
      <c r="C1903" s="422"/>
      <c r="D1903" s="422"/>
      <c r="E1903" s="422"/>
      <c r="F1903" s="423"/>
    </row>
    <row r="1904" spans="2:6" ht="18" x14ac:dyDescent="0.35">
      <c r="B1904" s="421"/>
      <c r="C1904" s="422"/>
      <c r="D1904" s="422"/>
      <c r="E1904" s="422"/>
      <c r="F1904" s="423"/>
    </row>
    <row r="1905" spans="2:6" ht="18" x14ac:dyDescent="0.35">
      <c r="B1905" s="421"/>
      <c r="C1905" s="422"/>
      <c r="D1905" s="422"/>
      <c r="E1905" s="422"/>
      <c r="F1905" s="423"/>
    </row>
    <row r="1906" spans="2:6" ht="18" x14ac:dyDescent="0.35">
      <c r="B1906" s="421"/>
      <c r="C1906" s="422"/>
      <c r="D1906" s="422"/>
      <c r="E1906" s="422"/>
      <c r="F1906" s="423"/>
    </row>
    <row r="1907" spans="2:6" ht="18" x14ac:dyDescent="0.35">
      <c r="B1907" s="421"/>
      <c r="C1907" s="422"/>
      <c r="D1907" s="422"/>
      <c r="E1907" s="422"/>
      <c r="F1907" s="423"/>
    </row>
    <row r="1908" spans="2:6" ht="18" x14ac:dyDescent="0.35">
      <c r="B1908" s="421"/>
      <c r="C1908" s="422"/>
      <c r="D1908" s="422"/>
      <c r="E1908" s="422"/>
      <c r="F1908" s="423"/>
    </row>
    <row r="1909" spans="2:6" ht="18" x14ac:dyDescent="0.35">
      <c r="B1909" s="421"/>
      <c r="C1909" s="422"/>
      <c r="D1909" s="422"/>
      <c r="E1909" s="422"/>
      <c r="F1909" s="423"/>
    </row>
    <row r="1910" spans="2:6" ht="18" x14ac:dyDescent="0.35">
      <c r="B1910" s="421"/>
      <c r="C1910" s="422"/>
      <c r="D1910" s="422"/>
      <c r="E1910" s="422"/>
      <c r="F1910" s="423"/>
    </row>
    <row r="1911" spans="2:6" ht="18" x14ac:dyDescent="0.35">
      <c r="B1911" s="421"/>
      <c r="C1911" s="422"/>
      <c r="D1911" s="422"/>
      <c r="E1911" s="422"/>
      <c r="F1911" s="423"/>
    </row>
    <row r="1912" spans="2:6" ht="18" x14ac:dyDescent="0.35">
      <c r="B1912" s="421"/>
      <c r="C1912" s="422"/>
      <c r="D1912" s="422"/>
      <c r="E1912" s="422"/>
      <c r="F1912" s="423"/>
    </row>
    <row r="1913" spans="2:6" ht="18" x14ac:dyDescent="0.35">
      <c r="B1913" s="421"/>
      <c r="C1913" s="422"/>
      <c r="D1913" s="422"/>
      <c r="E1913" s="422"/>
      <c r="F1913" s="423"/>
    </row>
    <row r="1914" spans="2:6" ht="18" x14ac:dyDescent="0.35">
      <c r="B1914" s="421"/>
      <c r="C1914" s="422"/>
      <c r="D1914" s="422"/>
      <c r="E1914" s="422"/>
      <c r="F1914" s="423"/>
    </row>
    <row r="1915" spans="2:6" ht="18" x14ac:dyDescent="0.35">
      <c r="B1915" s="421"/>
      <c r="C1915" s="422"/>
      <c r="D1915" s="422"/>
      <c r="E1915" s="422"/>
      <c r="F1915" s="423"/>
    </row>
    <row r="1916" spans="2:6" ht="18" x14ac:dyDescent="0.35">
      <c r="B1916" s="421"/>
      <c r="C1916" s="422"/>
      <c r="D1916" s="422"/>
      <c r="E1916" s="422"/>
      <c r="F1916" s="423"/>
    </row>
    <row r="1917" spans="2:6" ht="18" x14ac:dyDescent="0.35">
      <c r="B1917" s="421"/>
      <c r="C1917" s="422"/>
      <c r="D1917" s="422"/>
      <c r="E1917" s="422"/>
      <c r="F1917" s="423"/>
    </row>
    <row r="1918" spans="2:6" ht="18" x14ac:dyDescent="0.35">
      <c r="B1918" s="421"/>
      <c r="C1918" s="422"/>
      <c r="D1918" s="422"/>
      <c r="E1918" s="422"/>
      <c r="F1918" s="423"/>
    </row>
    <row r="1919" spans="2:6" ht="18" x14ac:dyDescent="0.35">
      <c r="B1919" s="421"/>
      <c r="C1919" s="422"/>
      <c r="D1919" s="422"/>
      <c r="E1919" s="422"/>
      <c r="F1919" s="423"/>
    </row>
    <row r="1920" spans="2:6" ht="18" x14ac:dyDescent="0.35">
      <c r="B1920" s="421"/>
      <c r="C1920" s="422"/>
      <c r="D1920" s="422"/>
      <c r="E1920" s="422"/>
      <c r="F1920" s="423"/>
    </row>
    <row r="1921" spans="2:6" ht="18" x14ac:dyDescent="0.35">
      <c r="B1921" s="421"/>
      <c r="C1921" s="422"/>
      <c r="D1921" s="422"/>
      <c r="E1921" s="422"/>
      <c r="F1921" s="423"/>
    </row>
    <row r="1922" spans="2:6" ht="18" x14ac:dyDescent="0.35">
      <c r="B1922" s="421"/>
      <c r="C1922" s="422"/>
      <c r="D1922" s="422"/>
      <c r="E1922" s="422"/>
      <c r="F1922" s="423"/>
    </row>
    <row r="1923" spans="2:6" ht="18" x14ac:dyDescent="0.35">
      <c r="B1923" s="421"/>
      <c r="C1923" s="422"/>
      <c r="D1923" s="422"/>
      <c r="E1923" s="422"/>
      <c r="F1923" s="423"/>
    </row>
    <row r="1924" spans="2:6" ht="18" x14ac:dyDescent="0.35">
      <c r="B1924" s="421"/>
      <c r="C1924" s="422"/>
      <c r="D1924" s="422"/>
      <c r="E1924" s="422"/>
      <c r="F1924" s="423"/>
    </row>
    <row r="1925" spans="2:6" ht="18" x14ac:dyDescent="0.35">
      <c r="B1925" s="421"/>
      <c r="C1925" s="422"/>
      <c r="D1925" s="422"/>
      <c r="E1925" s="422"/>
      <c r="F1925" s="423"/>
    </row>
    <row r="1926" spans="2:6" ht="18" x14ac:dyDescent="0.35">
      <c r="B1926" s="421"/>
      <c r="C1926" s="422"/>
      <c r="D1926" s="422"/>
      <c r="E1926" s="422"/>
      <c r="F1926" s="423"/>
    </row>
    <row r="1927" spans="2:6" ht="18" x14ac:dyDescent="0.35">
      <c r="B1927" s="421"/>
      <c r="C1927" s="422"/>
      <c r="D1927" s="422"/>
      <c r="E1927" s="422"/>
      <c r="F1927" s="423"/>
    </row>
    <row r="1928" spans="2:6" ht="18" x14ac:dyDescent="0.35">
      <c r="B1928" s="421"/>
      <c r="C1928" s="422"/>
      <c r="D1928" s="422"/>
      <c r="E1928" s="422"/>
      <c r="F1928" s="423"/>
    </row>
    <row r="1929" spans="2:6" ht="18" x14ac:dyDescent="0.35">
      <c r="B1929" s="421"/>
      <c r="C1929" s="422"/>
      <c r="D1929" s="422"/>
      <c r="E1929" s="422"/>
      <c r="F1929" s="423"/>
    </row>
    <row r="1930" spans="2:6" ht="18" x14ac:dyDescent="0.35">
      <c r="B1930" s="421"/>
      <c r="C1930" s="422"/>
      <c r="D1930" s="422"/>
      <c r="E1930" s="422"/>
      <c r="F1930" s="423"/>
    </row>
    <row r="1931" spans="2:6" ht="18" x14ac:dyDescent="0.35">
      <c r="B1931" s="421"/>
      <c r="C1931" s="422"/>
      <c r="D1931" s="422"/>
      <c r="E1931" s="422"/>
      <c r="F1931" s="423"/>
    </row>
    <row r="1932" spans="2:6" ht="18" x14ac:dyDescent="0.35">
      <c r="B1932" s="421"/>
      <c r="C1932" s="422"/>
      <c r="D1932" s="422"/>
      <c r="E1932" s="422"/>
      <c r="F1932" s="423"/>
    </row>
    <row r="1933" spans="2:6" ht="18" x14ac:dyDescent="0.35">
      <c r="B1933" s="421"/>
      <c r="C1933" s="422"/>
      <c r="D1933" s="422"/>
      <c r="E1933" s="422"/>
      <c r="F1933" s="423"/>
    </row>
    <row r="1934" spans="2:6" ht="18" x14ac:dyDescent="0.35">
      <c r="B1934" s="421"/>
      <c r="C1934" s="422"/>
      <c r="D1934" s="422"/>
      <c r="E1934" s="422"/>
      <c r="F1934" s="423"/>
    </row>
    <row r="1935" spans="2:6" ht="18" x14ac:dyDescent="0.35">
      <c r="B1935" s="421"/>
      <c r="C1935" s="422"/>
      <c r="D1935" s="422"/>
      <c r="E1935" s="422"/>
      <c r="F1935" s="423"/>
    </row>
    <row r="1936" spans="2:6" ht="18" x14ac:dyDescent="0.35">
      <c r="B1936" s="421"/>
      <c r="C1936" s="422"/>
      <c r="D1936" s="422"/>
      <c r="E1936" s="422"/>
      <c r="F1936" s="423"/>
    </row>
    <row r="1937" spans="2:6" ht="18" x14ac:dyDescent="0.35">
      <c r="B1937" s="421"/>
      <c r="C1937" s="422"/>
      <c r="D1937" s="422"/>
      <c r="E1937" s="422"/>
      <c r="F1937" s="423"/>
    </row>
    <row r="1938" spans="2:6" ht="18" x14ac:dyDescent="0.35">
      <c r="B1938" s="421"/>
      <c r="C1938" s="422"/>
      <c r="D1938" s="422"/>
      <c r="E1938" s="422"/>
      <c r="F1938" s="423"/>
    </row>
    <row r="1939" spans="2:6" ht="18" x14ac:dyDescent="0.35">
      <c r="B1939" s="421"/>
      <c r="C1939" s="422"/>
      <c r="D1939" s="422"/>
      <c r="E1939" s="422"/>
      <c r="F1939" s="423"/>
    </row>
    <row r="1940" spans="2:6" ht="18" x14ac:dyDescent="0.35">
      <c r="B1940" s="421"/>
      <c r="C1940" s="422"/>
      <c r="D1940" s="422"/>
      <c r="E1940" s="422"/>
      <c r="F1940" s="423"/>
    </row>
    <row r="1941" spans="2:6" ht="18" x14ac:dyDescent="0.35">
      <c r="B1941" s="421"/>
      <c r="C1941" s="422"/>
      <c r="D1941" s="422"/>
      <c r="E1941" s="422"/>
      <c r="F1941" s="423"/>
    </row>
    <row r="1942" spans="2:6" ht="18" x14ac:dyDescent="0.35">
      <c r="B1942" s="421"/>
      <c r="C1942" s="422"/>
      <c r="D1942" s="422"/>
      <c r="E1942" s="422"/>
      <c r="F1942" s="423"/>
    </row>
    <row r="1943" spans="2:6" ht="18" x14ac:dyDescent="0.35">
      <c r="B1943" s="421"/>
      <c r="C1943" s="422"/>
      <c r="D1943" s="422"/>
      <c r="E1943" s="422"/>
      <c r="F1943" s="423"/>
    </row>
    <row r="1944" spans="2:6" ht="18" x14ac:dyDescent="0.35">
      <c r="B1944" s="421"/>
      <c r="C1944" s="422"/>
      <c r="D1944" s="422"/>
      <c r="E1944" s="422"/>
      <c r="F1944" s="423"/>
    </row>
    <row r="1945" spans="2:6" ht="18" x14ac:dyDescent="0.35">
      <c r="B1945" s="421"/>
      <c r="C1945" s="422"/>
      <c r="D1945" s="422"/>
      <c r="E1945" s="422"/>
      <c r="F1945" s="423"/>
    </row>
    <row r="1946" spans="2:6" ht="18" x14ac:dyDescent="0.35">
      <c r="B1946" s="421"/>
      <c r="C1946" s="422"/>
      <c r="D1946" s="422"/>
      <c r="E1946" s="422"/>
      <c r="F1946" s="423"/>
    </row>
    <row r="1947" spans="2:6" ht="18" x14ac:dyDescent="0.35">
      <c r="B1947" s="421"/>
      <c r="C1947" s="422"/>
      <c r="D1947" s="422"/>
      <c r="E1947" s="422"/>
      <c r="F1947" s="423"/>
    </row>
    <row r="1948" spans="2:6" ht="18" x14ac:dyDescent="0.35">
      <c r="B1948" s="421"/>
      <c r="C1948" s="422"/>
      <c r="D1948" s="422"/>
      <c r="E1948" s="422"/>
      <c r="F1948" s="423"/>
    </row>
    <row r="1949" spans="2:6" ht="18" x14ac:dyDescent="0.35">
      <c r="B1949" s="421"/>
      <c r="C1949" s="422"/>
      <c r="D1949" s="422"/>
      <c r="E1949" s="422"/>
      <c r="F1949" s="423"/>
    </row>
    <row r="1950" spans="2:6" ht="18" x14ac:dyDescent="0.35">
      <c r="B1950" s="421"/>
      <c r="C1950" s="422"/>
      <c r="D1950" s="422"/>
      <c r="E1950" s="422"/>
      <c r="F1950" s="423"/>
    </row>
    <row r="1951" spans="2:6" ht="18" x14ac:dyDescent="0.35">
      <c r="B1951" s="421"/>
      <c r="C1951" s="422"/>
      <c r="D1951" s="422"/>
      <c r="E1951" s="422"/>
      <c r="F1951" s="423"/>
    </row>
    <row r="1952" spans="2:6" ht="18" x14ac:dyDescent="0.35">
      <c r="B1952" s="421"/>
      <c r="C1952" s="422"/>
      <c r="D1952" s="422"/>
      <c r="E1952" s="422"/>
      <c r="F1952" s="423"/>
    </row>
    <row r="1953" spans="2:6" ht="18" x14ac:dyDescent="0.35">
      <c r="B1953" s="421"/>
      <c r="C1953" s="422"/>
      <c r="D1953" s="422"/>
      <c r="E1953" s="422"/>
      <c r="F1953" s="423"/>
    </row>
    <row r="1954" spans="2:6" ht="18" x14ac:dyDescent="0.35">
      <c r="B1954" s="421"/>
      <c r="C1954" s="422"/>
      <c r="D1954" s="422"/>
      <c r="E1954" s="422"/>
      <c r="F1954" s="423"/>
    </row>
    <row r="1955" spans="2:6" ht="18" x14ac:dyDescent="0.35">
      <c r="B1955" s="421"/>
      <c r="C1955" s="422"/>
      <c r="D1955" s="422"/>
      <c r="E1955" s="422"/>
      <c r="F1955" s="423"/>
    </row>
    <row r="1956" spans="2:6" ht="18" x14ac:dyDescent="0.35">
      <c r="B1956" s="421"/>
      <c r="C1956" s="422"/>
      <c r="D1956" s="422"/>
      <c r="E1956" s="422"/>
      <c r="F1956" s="423"/>
    </row>
    <row r="1957" spans="2:6" ht="18" x14ac:dyDescent="0.35">
      <c r="B1957" s="421"/>
      <c r="C1957" s="422"/>
      <c r="D1957" s="422"/>
      <c r="E1957" s="422"/>
      <c r="F1957" s="423"/>
    </row>
    <row r="1958" spans="2:6" ht="18" x14ac:dyDescent="0.35">
      <c r="B1958" s="421"/>
      <c r="C1958" s="422"/>
      <c r="D1958" s="422"/>
      <c r="E1958" s="422"/>
      <c r="F1958" s="423"/>
    </row>
    <row r="1959" spans="2:6" ht="18" x14ac:dyDescent="0.35">
      <c r="B1959" s="421"/>
      <c r="C1959" s="422"/>
      <c r="D1959" s="422"/>
      <c r="E1959" s="422"/>
      <c r="F1959" s="423"/>
    </row>
    <row r="1960" spans="2:6" ht="18" x14ac:dyDescent="0.35">
      <c r="B1960" s="421"/>
      <c r="C1960" s="422"/>
      <c r="D1960" s="422"/>
      <c r="E1960" s="422"/>
      <c r="F1960" s="423"/>
    </row>
    <row r="1961" spans="2:6" ht="18" x14ac:dyDescent="0.35">
      <c r="B1961" s="421"/>
      <c r="C1961" s="422"/>
      <c r="D1961" s="422"/>
      <c r="E1961" s="422"/>
      <c r="F1961" s="423"/>
    </row>
    <row r="1962" spans="2:6" ht="18" x14ac:dyDescent="0.35">
      <c r="B1962" s="421"/>
      <c r="C1962" s="422"/>
      <c r="D1962" s="422"/>
      <c r="E1962" s="422"/>
      <c r="F1962" s="423"/>
    </row>
    <row r="1963" spans="2:6" ht="18" x14ac:dyDescent="0.35">
      <c r="B1963" s="421"/>
      <c r="C1963" s="422"/>
      <c r="D1963" s="422"/>
      <c r="E1963" s="422"/>
      <c r="F1963" s="423"/>
    </row>
    <row r="1964" spans="2:6" ht="18" x14ac:dyDescent="0.35">
      <c r="B1964" s="421"/>
      <c r="C1964" s="422"/>
      <c r="D1964" s="422"/>
      <c r="E1964" s="422"/>
      <c r="F1964" s="423"/>
    </row>
    <row r="1965" spans="2:6" ht="18" x14ac:dyDescent="0.35">
      <c r="B1965" s="421"/>
      <c r="C1965" s="422"/>
      <c r="D1965" s="422"/>
      <c r="E1965" s="422"/>
      <c r="F1965" s="423"/>
    </row>
    <row r="1966" spans="2:6" ht="18" x14ac:dyDescent="0.35">
      <c r="B1966" s="421"/>
      <c r="C1966" s="422"/>
      <c r="D1966" s="422"/>
      <c r="E1966" s="422"/>
      <c r="F1966" s="423"/>
    </row>
    <row r="1967" spans="2:6" ht="18" x14ac:dyDescent="0.35">
      <c r="B1967" s="421"/>
      <c r="C1967" s="422"/>
      <c r="D1967" s="422"/>
      <c r="E1967" s="422"/>
      <c r="F1967" s="423"/>
    </row>
    <row r="1968" spans="2:6" ht="18" x14ac:dyDescent="0.35">
      <c r="B1968" s="421"/>
      <c r="C1968" s="422"/>
      <c r="D1968" s="422"/>
      <c r="E1968" s="422"/>
      <c r="F1968" s="423"/>
    </row>
    <row r="1969" spans="2:6" ht="18" x14ac:dyDescent="0.35">
      <c r="B1969" s="421"/>
      <c r="C1969" s="422"/>
      <c r="D1969" s="422"/>
      <c r="E1969" s="422"/>
      <c r="F1969" s="423"/>
    </row>
    <row r="1970" spans="2:6" ht="18" x14ac:dyDescent="0.35">
      <c r="B1970" s="421"/>
      <c r="C1970" s="422"/>
      <c r="D1970" s="422"/>
      <c r="E1970" s="422"/>
      <c r="F1970" s="423"/>
    </row>
    <row r="1971" spans="2:6" ht="18" x14ac:dyDescent="0.35">
      <c r="B1971" s="421"/>
      <c r="C1971" s="422"/>
      <c r="D1971" s="422"/>
      <c r="E1971" s="422"/>
      <c r="F1971" s="423"/>
    </row>
    <row r="1972" spans="2:6" ht="18" x14ac:dyDescent="0.35">
      <c r="B1972" s="421"/>
      <c r="C1972" s="422"/>
      <c r="D1972" s="422"/>
      <c r="E1972" s="422"/>
      <c r="F1972" s="423"/>
    </row>
    <row r="1973" spans="2:6" ht="18" x14ac:dyDescent="0.35">
      <c r="B1973" s="421"/>
      <c r="C1973" s="422"/>
      <c r="D1973" s="422"/>
      <c r="E1973" s="422"/>
      <c r="F1973" s="423"/>
    </row>
    <row r="1974" spans="2:6" ht="18" x14ac:dyDescent="0.35">
      <c r="B1974" s="421"/>
      <c r="C1974" s="422"/>
      <c r="D1974" s="422"/>
      <c r="E1974" s="422"/>
      <c r="F1974" s="423"/>
    </row>
    <row r="1975" spans="2:6" ht="18" x14ac:dyDescent="0.35">
      <c r="B1975" s="421"/>
      <c r="C1975" s="422"/>
      <c r="D1975" s="422"/>
      <c r="E1975" s="422"/>
      <c r="F1975" s="423"/>
    </row>
    <row r="1976" spans="2:6" ht="18" x14ac:dyDescent="0.35">
      <c r="B1976" s="421"/>
      <c r="C1976" s="422"/>
      <c r="D1976" s="422"/>
      <c r="E1976" s="422"/>
      <c r="F1976" s="423"/>
    </row>
    <row r="1977" spans="2:6" ht="18" x14ac:dyDescent="0.35">
      <c r="B1977" s="421"/>
      <c r="C1977" s="422"/>
      <c r="D1977" s="422"/>
      <c r="E1977" s="422"/>
      <c r="F1977" s="423"/>
    </row>
    <row r="1978" spans="2:6" ht="18" x14ac:dyDescent="0.35">
      <c r="B1978" s="421"/>
      <c r="C1978" s="422"/>
      <c r="D1978" s="422"/>
      <c r="E1978" s="422"/>
      <c r="F1978" s="423"/>
    </row>
    <row r="1979" spans="2:6" ht="18" x14ac:dyDescent="0.35">
      <c r="B1979" s="421"/>
      <c r="C1979" s="422"/>
      <c r="D1979" s="422"/>
      <c r="E1979" s="422"/>
      <c r="F1979" s="423"/>
    </row>
    <row r="1980" spans="2:6" ht="18" x14ac:dyDescent="0.35">
      <c r="B1980" s="421"/>
      <c r="C1980" s="422"/>
      <c r="D1980" s="422"/>
      <c r="E1980" s="422"/>
      <c r="F1980" s="423"/>
    </row>
    <row r="1981" spans="2:6" ht="18" x14ac:dyDescent="0.35">
      <c r="B1981" s="421"/>
      <c r="C1981" s="422"/>
      <c r="D1981" s="422"/>
      <c r="E1981" s="422"/>
      <c r="F1981" s="423"/>
    </row>
    <row r="1982" spans="2:6" ht="18" x14ac:dyDescent="0.35">
      <c r="B1982" s="421"/>
      <c r="C1982" s="422"/>
      <c r="D1982" s="422"/>
      <c r="E1982" s="422"/>
      <c r="F1982" s="423"/>
    </row>
    <row r="1983" spans="2:6" ht="18" x14ac:dyDescent="0.35">
      <c r="B1983" s="421"/>
      <c r="C1983" s="422"/>
      <c r="D1983" s="422"/>
      <c r="E1983" s="422"/>
      <c r="F1983" s="423"/>
    </row>
    <row r="1984" spans="2:6" ht="18" x14ac:dyDescent="0.35">
      <c r="B1984" s="421"/>
      <c r="C1984" s="422"/>
      <c r="D1984" s="422"/>
      <c r="E1984" s="422"/>
      <c r="F1984" s="423"/>
    </row>
    <row r="1985" spans="2:6" ht="18" x14ac:dyDescent="0.35">
      <c r="B1985" s="421"/>
      <c r="C1985" s="422"/>
      <c r="D1985" s="422"/>
      <c r="E1985" s="422"/>
      <c r="F1985" s="423"/>
    </row>
    <row r="1986" spans="2:6" ht="18" x14ac:dyDescent="0.35">
      <c r="B1986" s="421"/>
      <c r="C1986" s="422"/>
      <c r="D1986" s="422"/>
      <c r="E1986" s="422"/>
      <c r="F1986" s="423"/>
    </row>
    <row r="1987" spans="2:6" ht="18" x14ac:dyDescent="0.35">
      <c r="B1987" s="421"/>
      <c r="C1987" s="422"/>
      <c r="D1987" s="422"/>
      <c r="E1987" s="422"/>
      <c r="F1987" s="423"/>
    </row>
    <row r="1988" spans="2:6" ht="18" x14ac:dyDescent="0.35">
      <c r="B1988" s="421"/>
      <c r="C1988" s="422"/>
      <c r="D1988" s="422"/>
      <c r="E1988" s="422"/>
      <c r="F1988" s="423"/>
    </row>
    <row r="1989" spans="2:6" ht="18" x14ac:dyDescent="0.35">
      <c r="B1989" s="421"/>
      <c r="C1989" s="422"/>
      <c r="D1989" s="422"/>
      <c r="E1989" s="422"/>
      <c r="F1989" s="423"/>
    </row>
    <row r="1990" spans="2:6" ht="18" x14ac:dyDescent="0.35">
      <c r="B1990" s="421"/>
      <c r="C1990" s="422"/>
      <c r="D1990" s="422"/>
      <c r="E1990" s="422"/>
      <c r="F1990" s="423"/>
    </row>
    <row r="1991" spans="2:6" ht="18" x14ac:dyDescent="0.35">
      <c r="B1991" s="421"/>
      <c r="C1991" s="422"/>
      <c r="D1991" s="422"/>
      <c r="E1991" s="422"/>
      <c r="F1991" s="423"/>
    </row>
    <row r="1992" spans="2:6" ht="18" x14ac:dyDescent="0.35">
      <c r="B1992" s="421"/>
      <c r="C1992" s="422"/>
      <c r="D1992" s="422"/>
      <c r="E1992" s="422"/>
      <c r="F1992" s="423"/>
    </row>
    <row r="1993" spans="2:6" ht="18" x14ac:dyDescent="0.35">
      <c r="B1993" s="421"/>
      <c r="C1993" s="422"/>
      <c r="D1993" s="422"/>
      <c r="E1993" s="422"/>
      <c r="F1993" s="423"/>
    </row>
    <row r="1994" spans="2:6" ht="18" x14ac:dyDescent="0.35">
      <c r="B1994" s="421"/>
      <c r="C1994" s="422"/>
      <c r="D1994" s="422"/>
      <c r="E1994" s="422"/>
      <c r="F1994" s="423"/>
    </row>
    <row r="1995" spans="2:6" ht="18" x14ac:dyDescent="0.35">
      <c r="B1995" s="421"/>
      <c r="C1995" s="422"/>
      <c r="D1995" s="422"/>
      <c r="E1995" s="422"/>
      <c r="F1995" s="423"/>
    </row>
    <row r="1996" spans="2:6" ht="18" x14ac:dyDescent="0.35">
      <c r="B1996" s="421"/>
      <c r="C1996" s="422"/>
      <c r="D1996" s="422"/>
      <c r="E1996" s="422"/>
      <c r="F1996" s="423"/>
    </row>
    <row r="1997" spans="2:6" ht="18" x14ac:dyDescent="0.35">
      <c r="B1997" s="421"/>
      <c r="C1997" s="422"/>
      <c r="D1997" s="422"/>
      <c r="E1997" s="422"/>
      <c r="F1997" s="423"/>
    </row>
    <row r="1998" spans="2:6" ht="18" x14ac:dyDescent="0.35">
      <c r="B1998" s="421"/>
      <c r="C1998" s="422"/>
      <c r="D1998" s="422"/>
      <c r="E1998" s="422"/>
      <c r="F1998" s="423"/>
    </row>
    <row r="1999" spans="2:6" ht="18" x14ac:dyDescent="0.35">
      <c r="B1999" s="421"/>
      <c r="C1999" s="422"/>
      <c r="D1999" s="422"/>
      <c r="E1999" s="422"/>
      <c r="F1999" s="423"/>
    </row>
    <row r="2000" spans="2:6" ht="18" x14ac:dyDescent="0.35">
      <c r="B2000" s="424"/>
      <c r="C2000" s="425"/>
      <c r="D2000" s="425"/>
      <c r="E2000" s="425"/>
      <c r="F2000" s="426"/>
    </row>
  </sheetData>
  <mergeCells count="1">
    <mergeCell ref="B1:F1"/>
  </mergeCells>
  <dataValidations count="3">
    <dataValidation type="list" allowBlank="1" showInputMessage="1" showErrorMessage="1" sqref="B4:B31 B35:B400" xr:uid="{00000000-0002-0000-0300-000000000000}">
      <formula1>Year</formula1>
    </dataValidation>
    <dataValidation type="list" allowBlank="1" showInputMessage="1" showErrorMessage="1" sqref="D4:E17 D36:E400 D20:E29" xr:uid="{00000000-0002-0000-0300-000001000000}">
      <formula1>P_LSub_Group</formula1>
    </dataValidation>
    <dataValidation type="list" allowBlank="1" showInputMessage="1" showErrorMessage="1" sqref="D18:E19 C36:C400 C30:E31 C4:C29" xr:uid="{00000000-0002-0000-0300-000002000000}">
      <formula1>P_LGroup</formula1>
    </dataValidation>
  </dataValidations>
  <pageMargins left="0.7" right="0.7" top="0.75" bottom="0.75" header="0.3" footer="0.3"/>
  <pageSetup orientation="portrait" r:id="rId1"/>
  <pictur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249977111117893"/>
  </sheetPr>
  <dimension ref="A1:F2000"/>
  <sheetViews>
    <sheetView showGridLines="0" showRowColHeaders="0" workbookViewId="0"/>
  </sheetViews>
  <sheetFormatPr defaultRowHeight="15" outlineLevelCol="1" x14ac:dyDescent="0.25"/>
  <cols>
    <col min="1" max="1" width="26.7109375" customWidth="1"/>
    <col min="2" max="2" width="25.85546875" customWidth="1" outlineLevel="1"/>
    <col min="3" max="3" width="26.140625" customWidth="1" outlineLevel="1"/>
    <col min="4" max="4" width="34.140625" customWidth="1" outlineLevel="1"/>
    <col min="5" max="5" width="33.85546875" customWidth="1" outlineLevel="1"/>
    <col min="6" max="6" width="24.85546875" customWidth="1" outlineLevel="1"/>
  </cols>
  <sheetData>
    <row r="1" spans="1:6" ht="34.5" customHeight="1" x14ac:dyDescent="0.25">
      <c r="B1" s="525" t="s">
        <v>551</v>
      </c>
      <c r="C1" s="526"/>
      <c r="D1" s="526"/>
      <c r="E1" s="526"/>
      <c r="F1" s="526"/>
    </row>
    <row r="5" spans="1:6" ht="15.75" x14ac:dyDescent="0.25">
      <c r="A5" s="430"/>
      <c r="B5" s="7" t="s">
        <v>22</v>
      </c>
      <c r="C5" s="8" t="s">
        <v>46</v>
      </c>
      <c r="D5" s="8" t="s">
        <v>47</v>
      </c>
      <c r="E5" s="8" t="s">
        <v>255</v>
      </c>
      <c r="F5" s="8" t="s">
        <v>254</v>
      </c>
    </row>
    <row r="6" spans="1:6" ht="15.75" x14ac:dyDescent="0.25">
      <c r="B6" s="2">
        <v>2020</v>
      </c>
      <c r="C6" s="23" t="s">
        <v>146</v>
      </c>
      <c r="D6" s="23" t="s">
        <v>146</v>
      </c>
      <c r="E6" s="23" t="s">
        <v>279</v>
      </c>
      <c r="F6" s="4">
        <v>400</v>
      </c>
    </row>
    <row r="7" spans="1:6" ht="15.75" x14ac:dyDescent="0.25">
      <c r="B7" s="2">
        <v>2020</v>
      </c>
      <c r="C7" s="23" t="s">
        <v>145</v>
      </c>
      <c r="D7" s="23" t="s">
        <v>207</v>
      </c>
      <c r="E7" s="23" t="s">
        <v>281</v>
      </c>
      <c r="F7" s="4">
        <v>4251074.3198246192</v>
      </c>
    </row>
    <row r="8" spans="1:6" ht="15.75" x14ac:dyDescent="0.25">
      <c r="B8" s="2">
        <v>2020</v>
      </c>
      <c r="C8" s="23" t="s">
        <v>145</v>
      </c>
      <c r="D8" s="23" t="s">
        <v>145</v>
      </c>
      <c r="E8" s="23" t="s">
        <v>279</v>
      </c>
      <c r="F8" s="4">
        <v>7601000.13510474</v>
      </c>
    </row>
    <row r="9" spans="1:6" ht="15.75" x14ac:dyDescent="0.25">
      <c r="B9" s="2">
        <v>2021</v>
      </c>
      <c r="C9" s="23" t="s">
        <v>146</v>
      </c>
      <c r="D9" s="23" t="s">
        <v>146</v>
      </c>
      <c r="E9" s="23" t="s">
        <v>280</v>
      </c>
      <c r="F9" s="4">
        <v>400</v>
      </c>
    </row>
    <row r="10" spans="1:6" ht="15.75" x14ac:dyDescent="0.25">
      <c r="B10" s="2">
        <v>2021</v>
      </c>
      <c r="C10" s="23" t="s">
        <v>145</v>
      </c>
      <c r="D10" s="23" t="s">
        <v>207</v>
      </c>
      <c r="E10" s="23" t="s">
        <v>282</v>
      </c>
      <c r="F10" s="4">
        <v>5833009.4228915265</v>
      </c>
    </row>
    <row r="11" spans="1:6" ht="15.75" x14ac:dyDescent="0.25">
      <c r="B11" s="2">
        <v>2021</v>
      </c>
      <c r="C11" s="23" t="s">
        <v>145</v>
      </c>
      <c r="D11" s="23" t="s">
        <v>145</v>
      </c>
      <c r="E11" s="23" t="s">
        <v>280</v>
      </c>
      <c r="F11" s="4">
        <f>SUM(F7:F8)</f>
        <v>11852074.454929359</v>
      </c>
    </row>
    <row r="12" spans="1:6" ht="15.75" x14ac:dyDescent="0.25">
      <c r="B12" s="2">
        <v>2021</v>
      </c>
      <c r="C12" s="23" t="s">
        <v>145</v>
      </c>
      <c r="D12" s="23" t="s">
        <v>253</v>
      </c>
      <c r="E12" s="23" t="s">
        <v>282</v>
      </c>
      <c r="F12" s="4">
        <v>-1000000</v>
      </c>
    </row>
    <row r="13" spans="1:6" ht="15.75" x14ac:dyDescent="0.25">
      <c r="B13" s="2"/>
      <c r="C13" s="23"/>
      <c r="D13" s="23"/>
      <c r="E13" s="23"/>
      <c r="F13" s="4"/>
    </row>
    <row r="14" spans="1:6" ht="15.75" x14ac:dyDescent="0.25">
      <c r="B14" s="2"/>
      <c r="C14" s="23"/>
      <c r="D14" s="23"/>
      <c r="E14" s="23"/>
      <c r="F14" s="4"/>
    </row>
    <row r="15" spans="1:6" ht="15.75" x14ac:dyDescent="0.25">
      <c r="B15" s="2"/>
      <c r="C15" s="23"/>
      <c r="D15" s="23"/>
      <c r="E15" s="23"/>
      <c r="F15" s="4"/>
    </row>
    <row r="16" spans="1:6" ht="15.75" x14ac:dyDescent="0.25">
      <c r="B16" s="2"/>
      <c r="C16" s="23"/>
      <c r="D16" s="23"/>
      <c r="E16" s="23"/>
      <c r="F16" s="4"/>
    </row>
    <row r="17" spans="2:6" ht="15.75" x14ac:dyDescent="0.25">
      <c r="B17" s="2"/>
      <c r="C17" s="23"/>
      <c r="D17" s="23"/>
      <c r="E17" s="23"/>
      <c r="F17" s="4"/>
    </row>
    <row r="18" spans="2:6" ht="15.75" x14ac:dyDescent="0.25">
      <c r="B18" s="2"/>
      <c r="C18" s="23"/>
      <c r="D18" s="23"/>
      <c r="E18" s="23"/>
      <c r="F18" s="4"/>
    </row>
    <row r="19" spans="2:6" ht="15.75" x14ac:dyDescent="0.25">
      <c r="B19" s="2"/>
      <c r="C19" s="23"/>
      <c r="D19" s="23"/>
      <c r="E19" s="23"/>
      <c r="F19" s="4"/>
    </row>
    <row r="20" spans="2:6" ht="15.75" x14ac:dyDescent="0.25">
      <c r="B20" s="2"/>
      <c r="C20" s="23"/>
      <c r="D20" s="23"/>
      <c r="E20" s="23"/>
      <c r="F20" s="4"/>
    </row>
    <row r="21" spans="2:6" ht="15.75" x14ac:dyDescent="0.25">
      <c r="B21" s="2"/>
      <c r="C21" s="23"/>
      <c r="D21" s="23"/>
      <c r="E21" s="23"/>
      <c r="F21" s="4"/>
    </row>
    <row r="22" spans="2:6" ht="15.75" x14ac:dyDescent="0.25">
      <c r="B22" s="2"/>
      <c r="C22" s="23"/>
      <c r="D22" s="23"/>
      <c r="E22" s="23"/>
      <c r="F22" s="4"/>
    </row>
    <row r="23" spans="2:6" ht="15.75" x14ac:dyDescent="0.25">
      <c r="B23" s="2"/>
      <c r="C23" s="23"/>
      <c r="D23" s="23"/>
      <c r="E23" s="23"/>
      <c r="F23" s="4"/>
    </row>
    <row r="24" spans="2:6" ht="15.75" x14ac:dyDescent="0.25">
      <c r="B24" s="2"/>
      <c r="C24" s="23"/>
      <c r="D24" s="23"/>
      <c r="E24" s="23"/>
      <c r="F24" s="4"/>
    </row>
    <row r="25" spans="2:6" ht="15.75" x14ac:dyDescent="0.25">
      <c r="B25" s="2"/>
      <c r="C25" s="23"/>
      <c r="D25" s="23"/>
      <c r="E25" s="23"/>
      <c r="F25" s="4"/>
    </row>
    <row r="26" spans="2:6" ht="15.75" x14ac:dyDescent="0.25">
      <c r="B26" s="2"/>
      <c r="C26" s="23"/>
      <c r="D26" s="23"/>
      <c r="E26" s="23"/>
      <c r="F26" s="4"/>
    </row>
    <row r="27" spans="2:6" ht="15.75" x14ac:dyDescent="0.25">
      <c r="B27" s="2"/>
      <c r="C27" s="23"/>
      <c r="D27" s="23"/>
      <c r="E27" s="23"/>
      <c r="F27" s="4"/>
    </row>
    <row r="28" spans="2:6" ht="15.75" x14ac:dyDescent="0.25">
      <c r="B28" s="2"/>
      <c r="C28" s="23"/>
      <c r="D28" s="23"/>
      <c r="E28" s="23"/>
      <c r="F28" s="4"/>
    </row>
    <row r="29" spans="2:6" ht="15.75" x14ac:dyDescent="0.25">
      <c r="B29" s="2"/>
      <c r="C29" s="23"/>
      <c r="D29" s="23"/>
      <c r="E29" s="23"/>
      <c r="F29" s="4"/>
    </row>
    <row r="30" spans="2:6" ht="15.75" x14ac:dyDescent="0.25">
      <c r="B30" s="2"/>
      <c r="C30" s="23"/>
      <c r="D30" s="23"/>
      <c r="E30" s="23"/>
      <c r="F30" s="4"/>
    </row>
    <row r="31" spans="2:6" ht="15.75" x14ac:dyDescent="0.25">
      <c r="B31" s="2"/>
      <c r="C31" s="23"/>
      <c r="D31" s="23"/>
      <c r="E31" s="23"/>
      <c r="F31" s="4"/>
    </row>
    <row r="32" spans="2:6" ht="15.75" x14ac:dyDescent="0.25">
      <c r="B32" s="2"/>
      <c r="C32" s="23"/>
      <c r="D32" s="23"/>
      <c r="E32" s="23"/>
      <c r="F32" s="4"/>
    </row>
    <row r="33" spans="2:6" ht="15.75" x14ac:dyDescent="0.25">
      <c r="B33" s="2"/>
      <c r="C33" s="23"/>
      <c r="D33" s="23"/>
      <c r="E33" s="23"/>
      <c r="F33" s="4"/>
    </row>
    <row r="34" spans="2:6" ht="15.75" x14ac:dyDescent="0.25">
      <c r="B34" s="2"/>
      <c r="C34" s="23"/>
      <c r="D34" s="23"/>
      <c r="E34" s="67"/>
      <c r="F34" s="4"/>
    </row>
    <row r="35" spans="2:6" ht="15.75" x14ac:dyDescent="0.25">
      <c r="B35" s="2"/>
      <c r="C35" s="23"/>
      <c r="D35" s="23"/>
      <c r="E35" s="67"/>
      <c r="F35" s="68"/>
    </row>
    <row r="36" spans="2:6" ht="15.75" x14ac:dyDescent="0.25">
      <c r="B36" s="2"/>
      <c r="C36" s="23"/>
      <c r="D36" s="23"/>
      <c r="E36" s="67"/>
      <c r="F36" s="68"/>
    </row>
    <row r="37" spans="2:6" ht="15.75" x14ac:dyDescent="0.25">
      <c r="B37" s="2"/>
      <c r="C37" s="23"/>
      <c r="D37" s="23"/>
      <c r="E37" s="67"/>
      <c r="F37" s="68"/>
    </row>
    <row r="38" spans="2:6" ht="15.75" x14ac:dyDescent="0.25">
      <c r="B38" s="2"/>
      <c r="C38" s="23"/>
      <c r="D38" s="23"/>
      <c r="E38" s="67"/>
      <c r="F38" s="68"/>
    </row>
    <row r="39" spans="2:6" ht="15.75" x14ac:dyDescent="0.25">
      <c r="B39" s="2"/>
      <c r="C39" s="23"/>
      <c r="D39" s="23"/>
      <c r="E39" s="67"/>
      <c r="F39" s="68"/>
    </row>
    <row r="40" spans="2:6" ht="15.75" x14ac:dyDescent="0.25">
      <c r="B40" s="2"/>
      <c r="C40" s="23"/>
      <c r="D40" s="23"/>
      <c r="E40" s="67"/>
      <c r="F40" s="4"/>
    </row>
    <row r="41" spans="2:6" ht="15.75" x14ac:dyDescent="0.25">
      <c r="B41" s="2"/>
      <c r="C41" s="23"/>
      <c r="D41" s="23"/>
      <c r="E41" s="23"/>
      <c r="F41" s="5"/>
    </row>
    <row r="42" spans="2:6" ht="15.75" x14ac:dyDescent="0.25">
      <c r="B42" s="2"/>
      <c r="C42" s="23"/>
      <c r="D42" s="23"/>
      <c r="E42" s="23"/>
      <c r="F42" s="5"/>
    </row>
    <row r="43" spans="2:6" ht="15.75" x14ac:dyDescent="0.25">
      <c r="B43" s="2"/>
      <c r="C43" s="23"/>
      <c r="D43" s="23"/>
      <c r="E43" s="67"/>
      <c r="F43" s="4"/>
    </row>
    <row r="44" spans="2:6" ht="15.75" x14ac:dyDescent="0.25">
      <c r="B44" s="2"/>
      <c r="C44" s="23"/>
      <c r="D44" s="23"/>
      <c r="E44" s="67"/>
      <c r="F44" s="68"/>
    </row>
    <row r="45" spans="2:6" ht="15.75" x14ac:dyDescent="0.25">
      <c r="B45" s="2"/>
      <c r="C45" s="23"/>
      <c r="D45" s="23"/>
      <c r="E45" s="67"/>
      <c r="F45" s="68"/>
    </row>
    <row r="46" spans="2:6" ht="15.75" x14ac:dyDescent="0.25">
      <c r="B46" s="2"/>
      <c r="C46" s="23"/>
      <c r="D46" s="23"/>
      <c r="E46" s="23"/>
      <c r="F46" s="4"/>
    </row>
    <row r="47" spans="2:6" ht="15.75" x14ac:dyDescent="0.25">
      <c r="B47" s="2"/>
      <c r="C47" s="23"/>
      <c r="D47" s="23"/>
      <c r="E47" s="23"/>
      <c r="F47" s="4"/>
    </row>
    <row r="48" spans="2:6" ht="15.75" x14ac:dyDescent="0.25">
      <c r="B48" s="2"/>
      <c r="C48" s="23"/>
      <c r="D48" s="23"/>
      <c r="E48" s="23"/>
      <c r="F48" s="4"/>
    </row>
    <row r="49" spans="2:6" ht="15.75" x14ac:dyDescent="0.25">
      <c r="B49" s="2"/>
      <c r="C49" s="23"/>
      <c r="D49" s="23"/>
      <c r="E49" s="23"/>
      <c r="F49" s="4"/>
    </row>
    <row r="50" spans="2:6" ht="15.75" x14ac:dyDescent="0.25">
      <c r="B50" s="2"/>
      <c r="C50" s="23"/>
      <c r="D50" s="23"/>
      <c r="E50" s="23"/>
      <c r="F50" s="4"/>
    </row>
    <row r="51" spans="2:6" ht="15.75" x14ac:dyDescent="0.25">
      <c r="B51" s="2"/>
      <c r="C51" s="23"/>
      <c r="D51" s="23"/>
      <c r="E51" s="23"/>
      <c r="F51" s="4"/>
    </row>
    <row r="52" spans="2:6" ht="15.75" x14ac:dyDescent="0.25">
      <c r="B52" s="2"/>
      <c r="C52" s="23"/>
      <c r="D52" s="23"/>
      <c r="E52" s="23"/>
      <c r="F52" s="4"/>
    </row>
    <row r="53" spans="2:6" ht="15.75" x14ac:dyDescent="0.25">
      <c r="B53" s="2"/>
      <c r="C53" s="23"/>
      <c r="D53" s="23"/>
      <c r="E53" s="23"/>
      <c r="F53" s="4"/>
    </row>
    <row r="54" spans="2:6" ht="15.75" x14ac:dyDescent="0.25">
      <c r="B54" s="2"/>
      <c r="C54" s="23"/>
      <c r="D54" s="23"/>
      <c r="E54" s="23"/>
      <c r="F54" s="4"/>
    </row>
    <row r="55" spans="2:6" ht="15.75" x14ac:dyDescent="0.25">
      <c r="B55" s="2"/>
      <c r="C55" s="23"/>
      <c r="D55" s="23"/>
      <c r="E55" s="23"/>
      <c r="F55" s="4"/>
    </row>
    <row r="56" spans="2:6" ht="15.75" x14ac:dyDescent="0.25">
      <c r="B56" s="2"/>
      <c r="C56" s="23"/>
      <c r="D56" s="23"/>
      <c r="E56" s="23"/>
      <c r="F56" s="4"/>
    </row>
    <row r="57" spans="2:6" ht="15.75" x14ac:dyDescent="0.25">
      <c r="B57" s="2"/>
      <c r="C57" s="23"/>
      <c r="D57" s="23"/>
      <c r="E57" s="23"/>
      <c r="F57" s="4"/>
    </row>
    <row r="58" spans="2:6" ht="15.75" x14ac:dyDescent="0.25">
      <c r="B58" s="2"/>
      <c r="C58" s="23"/>
      <c r="D58" s="23"/>
      <c r="E58" s="23"/>
      <c r="F58" s="4"/>
    </row>
    <row r="59" spans="2:6" ht="15.75" x14ac:dyDescent="0.25">
      <c r="B59" s="2"/>
      <c r="C59" s="23"/>
      <c r="D59" s="23"/>
      <c r="E59" s="23"/>
      <c r="F59" s="4"/>
    </row>
    <row r="60" spans="2:6" ht="15.75" x14ac:dyDescent="0.25">
      <c r="B60" s="2"/>
      <c r="C60" s="23"/>
      <c r="D60" s="23"/>
      <c r="E60" s="23"/>
      <c r="F60" s="4"/>
    </row>
    <row r="61" spans="2:6" ht="15.75" x14ac:dyDescent="0.25">
      <c r="B61" s="2"/>
      <c r="C61" s="23"/>
      <c r="D61" s="23"/>
      <c r="E61" s="23"/>
      <c r="F61" s="4"/>
    </row>
    <row r="62" spans="2:6" ht="15.75" x14ac:dyDescent="0.25">
      <c r="B62" s="2"/>
      <c r="C62" s="23"/>
      <c r="D62" s="23"/>
      <c r="E62" s="23"/>
      <c r="F62" s="4"/>
    </row>
    <row r="63" spans="2:6" ht="15.75" x14ac:dyDescent="0.25">
      <c r="B63" s="2"/>
      <c r="C63" s="23"/>
      <c r="D63" s="23"/>
      <c r="E63" s="23"/>
      <c r="F63" s="4"/>
    </row>
    <row r="64" spans="2:6" ht="15.75" x14ac:dyDescent="0.25">
      <c r="B64" s="2"/>
      <c r="C64" s="23"/>
      <c r="D64" s="23"/>
      <c r="E64" s="23"/>
      <c r="F64" s="4"/>
    </row>
    <row r="65" spans="2:6" ht="15.75" x14ac:dyDescent="0.25">
      <c r="B65" s="2"/>
      <c r="C65" s="23"/>
      <c r="D65" s="23"/>
      <c r="E65" s="23"/>
      <c r="F65" s="4"/>
    </row>
    <row r="66" spans="2:6" ht="15.75" x14ac:dyDescent="0.25">
      <c r="B66" s="2"/>
      <c r="C66" s="23"/>
      <c r="D66" s="23"/>
      <c r="E66" s="23"/>
      <c r="F66" s="4"/>
    </row>
    <row r="67" spans="2:6" ht="15.75" x14ac:dyDescent="0.25">
      <c r="B67" s="2"/>
      <c r="C67" s="23"/>
      <c r="D67" s="23"/>
      <c r="E67" s="23"/>
      <c r="F67" s="4"/>
    </row>
    <row r="68" spans="2:6" ht="15.75" x14ac:dyDescent="0.25">
      <c r="B68" s="2"/>
      <c r="C68" s="23"/>
      <c r="D68" s="23"/>
      <c r="E68" s="23"/>
      <c r="F68" s="4"/>
    </row>
    <row r="69" spans="2:6" ht="15.75" x14ac:dyDescent="0.25">
      <c r="B69" s="2"/>
      <c r="C69" s="23"/>
      <c r="D69" s="23"/>
      <c r="E69" s="23"/>
      <c r="F69" s="4"/>
    </row>
    <row r="70" spans="2:6" ht="15.75" x14ac:dyDescent="0.25">
      <c r="B70" s="2"/>
      <c r="C70" s="23"/>
      <c r="D70" s="23"/>
      <c r="E70" s="23"/>
      <c r="F70" s="4"/>
    </row>
    <row r="71" spans="2:6" ht="15.75" x14ac:dyDescent="0.25">
      <c r="B71" s="2"/>
      <c r="C71" s="23"/>
      <c r="D71" s="23"/>
      <c r="E71" s="23"/>
      <c r="F71" s="4"/>
    </row>
    <row r="72" spans="2:6" ht="15.75" x14ac:dyDescent="0.25">
      <c r="B72" s="2"/>
      <c r="C72" s="23"/>
      <c r="D72" s="23"/>
      <c r="E72" s="23"/>
      <c r="F72" s="4"/>
    </row>
    <row r="73" spans="2:6" ht="15.75" x14ac:dyDescent="0.25">
      <c r="B73" s="2"/>
      <c r="C73" s="23"/>
      <c r="D73" s="23"/>
      <c r="E73" s="23"/>
      <c r="F73" s="4"/>
    </row>
    <row r="74" spans="2:6" ht="15.75" x14ac:dyDescent="0.25">
      <c r="B74" s="2"/>
      <c r="C74" s="23"/>
      <c r="D74" s="23"/>
      <c r="E74" s="23"/>
      <c r="F74" s="4"/>
    </row>
    <row r="75" spans="2:6" ht="15.75" x14ac:dyDescent="0.25">
      <c r="B75" s="2"/>
      <c r="C75" s="23"/>
      <c r="D75" s="23"/>
      <c r="E75" s="23"/>
      <c r="F75" s="4"/>
    </row>
    <row r="76" spans="2:6" ht="15.75" x14ac:dyDescent="0.25">
      <c r="B76" s="2"/>
      <c r="C76" s="23"/>
      <c r="D76" s="23"/>
      <c r="E76" s="23"/>
      <c r="F76" s="4"/>
    </row>
    <row r="77" spans="2:6" ht="15.75" x14ac:dyDescent="0.25">
      <c r="B77" s="2"/>
      <c r="C77" s="23"/>
      <c r="D77" s="23"/>
      <c r="E77" s="23"/>
      <c r="F77" s="4"/>
    </row>
    <row r="78" spans="2:6" ht="15.75" x14ac:dyDescent="0.25">
      <c r="B78" s="2"/>
      <c r="C78" s="23"/>
      <c r="D78" s="23"/>
      <c r="E78" s="23"/>
      <c r="F78" s="4"/>
    </row>
    <row r="79" spans="2:6" ht="15.75" x14ac:dyDescent="0.25">
      <c r="B79" s="2"/>
      <c r="C79" s="23"/>
      <c r="D79" s="23"/>
      <c r="E79" s="23"/>
      <c r="F79" s="4"/>
    </row>
    <row r="80" spans="2:6" ht="15.75" x14ac:dyDescent="0.25">
      <c r="B80" s="2"/>
      <c r="C80" s="23"/>
      <c r="D80" s="23"/>
      <c r="E80" s="23"/>
      <c r="F80" s="4"/>
    </row>
    <row r="81" spans="2:6" ht="15.75" x14ac:dyDescent="0.25">
      <c r="B81" s="2"/>
      <c r="C81" s="23"/>
      <c r="D81" s="23"/>
      <c r="E81" s="23"/>
      <c r="F81" s="4"/>
    </row>
    <row r="82" spans="2:6" ht="15.75" x14ac:dyDescent="0.25">
      <c r="B82" s="2"/>
      <c r="C82" s="23"/>
      <c r="D82" s="23"/>
      <c r="E82" s="23"/>
      <c r="F82" s="4"/>
    </row>
    <row r="83" spans="2:6" ht="15.75" x14ac:dyDescent="0.25">
      <c r="B83" s="2"/>
      <c r="C83" s="23"/>
      <c r="D83" s="23"/>
      <c r="E83" s="23"/>
      <c r="F83" s="4"/>
    </row>
    <row r="84" spans="2:6" ht="15.75" x14ac:dyDescent="0.25">
      <c r="B84" s="2"/>
      <c r="C84" s="23"/>
      <c r="D84" s="23"/>
      <c r="E84" s="23"/>
      <c r="F84" s="4"/>
    </row>
    <row r="85" spans="2:6" ht="15.75" x14ac:dyDescent="0.25">
      <c r="B85" s="2"/>
      <c r="C85" s="23"/>
      <c r="D85" s="23"/>
      <c r="E85" s="23"/>
      <c r="F85" s="4"/>
    </row>
    <row r="86" spans="2:6" ht="15.75" x14ac:dyDescent="0.25">
      <c r="B86" s="2"/>
      <c r="C86" s="23"/>
      <c r="D86" s="23"/>
      <c r="E86" s="23"/>
      <c r="F86" s="4"/>
    </row>
    <row r="87" spans="2:6" ht="15.75" x14ac:dyDescent="0.25">
      <c r="B87" s="2"/>
      <c r="C87" s="23"/>
      <c r="D87" s="23"/>
      <c r="E87" s="23"/>
      <c r="F87" s="4"/>
    </row>
    <row r="88" spans="2:6" ht="15.75" x14ac:dyDescent="0.25">
      <c r="B88" s="2"/>
      <c r="C88" s="23"/>
      <c r="D88" s="23"/>
      <c r="E88" s="23"/>
      <c r="F88" s="4"/>
    </row>
    <row r="89" spans="2:6" ht="15.75" x14ac:dyDescent="0.25">
      <c r="B89" s="2"/>
      <c r="C89" s="23"/>
      <c r="D89" s="23"/>
      <c r="E89" s="23"/>
      <c r="F89" s="4"/>
    </row>
    <row r="90" spans="2:6" ht="15.75" x14ac:dyDescent="0.25">
      <c r="B90" s="2"/>
      <c r="C90" s="23"/>
      <c r="D90" s="23"/>
      <c r="E90" s="23"/>
      <c r="F90" s="4"/>
    </row>
    <row r="91" spans="2:6" ht="15.75" x14ac:dyDescent="0.25">
      <c r="B91" s="2"/>
      <c r="C91" s="23"/>
      <c r="D91" s="23"/>
      <c r="E91" s="23"/>
      <c r="F91" s="4"/>
    </row>
    <row r="92" spans="2:6" ht="15.75" x14ac:dyDescent="0.25">
      <c r="B92" s="2"/>
      <c r="C92" s="23"/>
      <c r="D92" s="23"/>
      <c r="E92" s="23"/>
      <c r="F92" s="4"/>
    </row>
    <row r="93" spans="2:6" ht="15.75" x14ac:dyDescent="0.25">
      <c r="B93" s="2"/>
      <c r="C93" s="23"/>
      <c r="D93" s="23"/>
      <c r="E93" s="23"/>
      <c r="F93" s="4"/>
    </row>
    <row r="94" spans="2:6" ht="15.75" x14ac:dyDescent="0.25">
      <c r="B94" s="2"/>
      <c r="C94" s="23"/>
      <c r="D94" s="23"/>
      <c r="E94" s="23"/>
      <c r="F94" s="4"/>
    </row>
    <row r="95" spans="2:6" ht="15.75" x14ac:dyDescent="0.25">
      <c r="B95" s="2"/>
      <c r="C95" s="23"/>
      <c r="D95" s="23"/>
      <c r="E95" s="23"/>
      <c r="F95" s="4"/>
    </row>
    <row r="96" spans="2:6" ht="15.75" x14ac:dyDescent="0.25">
      <c r="B96" s="2"/>
      <c r="C96" s="23"/>
      <c r="D96" s="23"/>
      <c r="E96" s="23"/>
      <c r="F96" s="4"/>
    </row>
    <row r="97" spans="2:6" ht="15.75" x14ac:dyDescent="0.25">
      <c r="B97" s="2"/>
      <c r="C97" s="23"/>
      <c r="D97" s="23"/>
      <c r="E97" s="23"/>
      <c r="F97" s="4"/>
    </row>
    <row r="98" spans="2:6" ht="15.75" x14ac:dyDescent="0.25">
      <c r="B98" s="2"/>
      <c r="C98" s="23"/>
      <c r="D98" s="23"/>
      <c r="E98" s="23"/>
      <c r="F98" s="4"/>
    </row>
    <row r="99" spans="2:6" ht="15.75" x14ac:dyDescent="0.25">
      <c r="B99" s="2"/>
      <c r="C99" s="23"/>
      <c r="D99" s="23"/>
      <c r="E99" s="23"/>
      <c r="F99" s="4"/>
    </row>
    <row r="100" spans="2:6" ht="15.75" x14ac:dyDescent="0.25">
      <c r="B100" s="2"/>
      <c r="C100" s="23"/>
      <c r="D100" s="23"/>
      <c r="E100" s="23"/>
      <c r="F100" s="4"/>
    </row>
    <row r="101" spans="2:6" ht="15.75" x14ac:dyDescent="0.25">
      <c r="B101" s="2"/>
      <c r="C101" s="23"/>
      <c r="D101" s="23"/>
      <c r="E101" s="23"/>
      <c r="F101" s="4"/>
    </row>
    <row r="102" spans="2:6" ht="15.75" x14ac:dyDescent="0.25">
      <c r="B102" s="2"/>
      <c r="C102" s="23"/>
      <c r="D102" s="23"/>
      <c r="E102" s="23"/>
      <c r="F102" s="4"/>
    </row>
    <row r="103" spans="2:6" ht="15.75" x14ac:dyDescent="0.25">
      <c r="B103" s="2"/>
      <c r="C103" s="23"/>
      <c r="D103" s="23"/>
      <c r="E103" s="23"/>
      <c r="F103" s="4"/>
    </row>
    <row r="104" spans="2:6" ht="15.75" x14ac:dyDescent="0.25">
      <c r="B104" s="2"/>
      <c r="C104" s="23"/>
      <c r="D104" s="23"/>
      <c r="E104" s="23"/>
      <c r="F104" s="4"/>
    </row>
    <row r="105" spans="2:6" ht="15.75" x14ac:dyDescent="0.25">
      <c r="B105" s="2"/>
      <c r="C105" s="23"/>
      <c r="D105" s="23"/>
      <c r="E105" s="23"/>
      <c r="F105" s="4"/>
    </row>
    <row r="106" spans="2:6" ht="15.75" x14ac:dyDescent="0.25">
      <c r="B106" s="2"/>
      <c r="C106" s="23"/>
      <c r="D106" s="23"/>
      <c r="E106" s="23"/>
      <c r="F106" s="4"/>
    </row>
    <row r="107" spans="2:6" ht="15.75" x14ac:dyDescent="0.25">
      <c r="B107" s="2"/>
      <c r="C107" s="23"/>
      <c r="D107" s="23"/>
      <c r="E107" s="23"/>
      <c r="F107" s="4"/>
    </row>
    <row r="108" spans="2:6" ht="15.75" x14ac:dyDescent="0.25">
      <c r="B108" s="2"/>
      <c r="C108" s="23"/>
      <c r="D108" s="23"/>
      <c r="E108" s="23"/>
      <c r="F108" s="4"/>
    </row>
    <row r="109" spans="2:6" ht="15.75" x14ac:dyDescent="0.25">
      <c r="B109" s="2"/>
      <c r="C109" s="23"/>
      <c r="D109" s="23"/>
      <c r="E109" s="23"/>
      <c r="F109" s="4"/>
    </row>
    <row r="110" spans="2:6" ht="15.75" x14ac:dyDescent="0.25">
      <c r="B110" s="2"/>
      <c r="C110" s="23"/>
      <c r="D110" s="23"/>
      <c r="E110" s="23"/>
      <c r="F110" s="4"/>
    </row>
    <row r="111" spans="2:6" ht="15.75" x14ac:dyDescent="0.25">
      <c r="B111" s="2"/>
      <c r="C111" s="23"/>
      <c r="D111" s="23"/>
      <c r="E111" s="23"/>
      <c r="F111" s="4"/>
    </row>
    <row r="112" spans="2:6" ht="15.75" x14ac:dyDescent="0.25">
      <c r="B112" s="2"/>
      <c r="C112" s="23"/>
      <c r="D112" s="23"/>
      <c r="E112" s="23"/>
      <c r="F112" s="4"/>
    </row>
    <row r="113" spans="2:6" ht="15.75" x14ac:dyDescent="0.25">
      <c r="B113" s="2"/>
      <c r="C113" s="23"/>
      <c r="D113" s="23"/>
      <c r="E113" s="23"/>
      <c r="F113" s="4"/>
    </row>
    <row r="114" spans="2:6" ht="15.75" x14ac:dyDescent="0.25">
      <c r="B114" s="2"/>
      <c r="C114" s="23"/>
      <c r="D114" s="23"/>
      <c r="E114" s="23"/>
      <c r="F114" s="4"/>
    </row>
    <row r="115" spans="2:6" ht="15.75" x14ac:dyDescent="0.25">
      <c r="B115" s="2"/>
      <c r="C115" s="23"/>
      <c r="D115" s="23"/>
      <c r="E115" s="23"/>
      <c r="F115" s="4"/>
    </row>
    <row r="116" spans="2:6" ht="15.75" x14ac:dyDescent="0.25">
      <c r="B116" s="2"/>
      <c r="C116" s="23"/>
      <c r="D116" s="23"/>
      <c r="E116" s="23"/>
      <c r="F116" s="4"/>
    </row>
    <row r="117" spans="2:6" ht="15.75" x14ac:dyDescent="0.25">
      <c r="B117" s="2"/>
      <c r="C117" s="23"/>
      <c r="D117" s="23"/>
      <c r="E117" s="23"/>
      <c r="F117" s="4"/>
    </row>
    <row r="118" spans="2:6" ht="15.75" x14ac:dyDescent="0.25">
      <c r="B118" s="2"/>
      <c r="C118" s="23"/>
      <c r="D118" s="23"/>
      <c r="E118" s="23"/>
      <c r="F118" s="4"/>
    </row>
    <row r="119" spans="2:6" ht="15.75" x14ac:dyDescent="0.25">
      <c r="B119" s="2"/>
      <c r="C119" s="23"/>
      <c r="D119" s="23"/>
      <c r="E119" s="23"/>
      <c r="F119" s="4"/>
    </row>
    <row r="120" spans="2:6" ht="15.75" x14ac:dyDescent="0.25">
      <c r="B120" s="2"/>
      <c r="C120" s="23"/>
      <c r="D120" s="23"/>
      <c r="E120" s="23"/>
      <c r="F120" s="4"/>
    </row>
    <row r="121" spans="2:6" ht="15.75" x14ac:dyDescent="0.25">
      <c r="B121" s="2"/>
      <c r="C121" s="23"/>
      <c r="D121" s="23"/>
      <c r="E121" s="23"/>
      <c r="F121" s="4"/>
    </row>
    <row r="122" spans="2:6" ht="15.75" x14ac:dyDescent="0.25">
      <c r="B122" s="2"/>
      <c r="C122" s="23"/>
      <c r="D122" s="23"/>
      <c r="E122" s="23"/>
      <c r="F122" s="4"/>
    </row>
    <row r="123" spans="2:6" ht="15.75" x14ac:dyDescent="0.25">
      <c r="B123" s="2"/>
      <c r="C123" s="23"/>
      <c r="D123" s="23"/>
      <c r="E123" s="23"/>
      <c r="F123" s="4"/>
    </row>
    <row r="124" spans="2:6" ht="15.75" x14ac:dyDescent="0.25">
      <c r="B124" s="2"/>
      <c r="C124" s="23"/>
      <c r="D124" s="23"/>
      <c r="E124" s="23"/>
      <c r="F124" s="4"/>
    </row>
    <row r="125" spans="2:6" ht="15.75" x14ac:dyDescent="0.25">
      <c r="B125" s="2"/>
      <c r="C125" s="23"/>
      <c r="D125" s="23"/>
      <c r="E125" s="23"/>
      <c r="F125" s="4"/>
    </row>
    <row r="126" spans="2:6" ht="15.75" x14ac:dyDescent="0.25">
      <c r="B126" s="2"/>
      <c r="C126" s="23"/>
      <c r="D126" s="23"/>
      <c r="E126" s="23"/>
      <c r="F126" s="4"/>
    </row>
    <row r="127" spans="2:6" ht="15.75" x14ac:dyDescent="0.25">
      <c r="B127" s="2"/>
      <c r="C127" s="23"/>
      <c r="D127" s="23"/>
      <c r="E127" s="23"/>
      <c r="F127" s="4"/>
    </row>
    <row r="128" spans="2:6" ht="15.75" x14ac:dyDescent="0.25">
      <c r="B128" s="2"/>
      <c r="C128" s="23"/>
      <c r="D128" s="23"/>
      <c r="E128" s="23"/>
      <c r="F128" s="4"/>
    </row>
    <row r="129" spans="2:6" ht="15.75" x14ac:dyDescent="0.25">
      <c r="B129" s="2"/>
      <c r="C129" s="23"/>
      <c r="D129" s="23"/>
      <c r="E129" s="23"/>
      <c r="F129" s="4"/>
    </row>
    <row r="130" spans="2:6" ht="15.75" x14ac:dyDescent="0.25">
      <c r="B130" s="2"/>
      <c r="C130" s="23"/>
      <c r="D130" s="23"/>
      <c r="E130" s="23"/>
      <c r="F130" s="4"/>
    </row>
    <row r="131" spans="2:6" ht="15.75" x14ac:dyDescent="0.25">
      <c r="B131" s="2"/>
      <c r="C131" s="23"/>
      <c r="D131" s="23"/>
      <c r="E131" s="23"/>
      <c r="F131" s="4"/>
    </row>
    <row r="132" spans="2:6" ht="15.75" x14ac:dyDescent="0.25">
      <c r="B132" s="2"/>
      <c r="C132" s="23"/>
      <c r="D132" s="23"/>
      <c r="E132" s="23"/>
      <c r="F132" s="4"/>
    </row>
    <row r="133" spans="2:6" ht="15.75" x14ac:dyDescent="0.25">
      <c r="B133" s="2"/>
      <c r="C133" s="23"/>
      <c r="D133" s="23"/>
      <c r="E133" s="23"/>
      <c r="F133" s="4"/>
    </row>
    <row r="134" spans="2:6" ht="15.75" x14ac:dyDescent="0.25">
      <c r="B134" s="2"/>
      <c r="C134" s="23"/>
      <c r="D134" s="23"/>
      <c r="E134" s="23"/>
      <c r="F134" s="4"/>
    </row>
    <row r="135" spans="2:6" ht="15.75" x14ac:dyDescent="0.25">
      <c r="B135" s="2"/>
      <c r="C135" s="23"/>
      <c r="D135" s="23"/>
      <c r="E135" s="23"/>
      <c r="F135" s="4"/>
    </row>
    <row r="136" spans="2:6" ht="15.75" x14ac:dyDescent="0.25">
      <c r="B136" s="2"/>
      <c r="C136" s="23"/>
      <c r="D136" s="23"/>
      <c r="E136" s="23"/>
      <c r="F136" s="4"/>
    </row>
    <row r="137" spans="2:6" ht="15.75" x14ac:dyDescent="0.25">
      <c r="B137" s="2"/>
      <c r="C137" s="23"/>
      <c r="D137" s="23"/>
      <c r="E137" s="23"/>
      <c r="F137" s="4"/>
    </row>
    <row r="138" spans="2:6" ht="15.75" x14ac:dyDescent="0.25">
      <c r="B138" s="2"/>
      <c r="C138" s="23"/>
      <c r="D138" s="23"/>
      <c r="E138" s="23"/>
      <c r="F138" s="4"/>
    </row>
    <row r="139" spans="2:6" ht="15.75" x14ac:dyDescent="0.25">
      <c r="B139" s="2"/>
      <c r="C139" s="23"/>
      <c r="D139" s="23"/>
      <c r="E139" s="23"/>
      <c r="F139" s="4"/>
    </row>
    <row r="140" spans="2:6" ht="15.75" x14ac:dyDescent="0.25">
      <c r="B140" s="2"/>
      <c r="C140" s="23"/>
      <c r="D140" s="23"/>
      <c r="E140" s="23"/>
      <c r="F140" s="4"/>
    </row>
    <row r="141" spans="2:6" ht="15.75" x14ac:dyDescent="0.25">
      <c r="B141" s="2"/>
      <c r="C141" s="23"/>
      <c r="D141" s="23"/>
      <c r="E141" s="23"/>
      <c r="F141" s="4"/>
    </row>
    <row r="142" spans="2:6" ht="15.75" x14ac:dyDescent="0.25">
      <c r="B142" s="2"/>
      <c r="C142" s="23"/>
      <c r="D142" s="23"/>
      <c r="E142" s="23"/>
      <c r="F142" s="4"/>
    </row>
    <row r="143" spans="2:6" ht="15.75" x14ac:dyDescent="0.25">
      <c r="B143" s="2"/>
      <c r="C143" s="23"/>
      <c r="D143" s="23"/>
      <c r="E143" s="23"/>
      <c r="F143" s="4"/>
    </row>
    <row r="144" spans="2:6" ht="15.75" x14ac:dyDescent="0.25">
      <c r="B144" s="2"/>
      <c r="C144" s="23"/>
      <c r="D144" s="23"/>
      <c r="E144" s="23"/>
      <c r="F144" s="4"/>
    </row>
    <row r="145" spans="2:6" ht="15.75" x14ac:dyDescent="0.25">
      <c r="B145" s="2"/>
      <c r="C145" s="23"/>
      <c r="D145" s="23"/>
      <c r="E145" s="23"/>
      <c r="F145" s="4"/>
    </row>
    <row r="146" spans="2:6" ht="15.75" x14ac:dyDescent="0.25">
      <c r="B146" s="2"/>
      <c r="C146" s="23"/>
      <c r="D146" s="23"/>
      <c r="E146" s="23"/>
      <c r="F146" s="4"/>
    </row>
    <row r="147" spans="2:6" ht="15.75" x14ac:dyDescent="0.25">
      <c r="B147" s="2"/>
      <c r="C147" s="23"/>
      <c r="D147" s="23"/>
      <c r="E147" s="23"/>
      <c r="F147" s="4"/>
    </row>
    <row r="148" spans="2:6" ht="15.75" x14ac:dyDescent="0.25">
      <c r="B148" s="2"/>
      <c r="C148" s="23"/>
      <c r="D148" s="23"/>
      <c r="E148" s="23"/>
      <c r="F148" s="4"/>
    </row>
    <row r="149" spans="2:6" ht="15.75" x14ac:dyDescent="0.25">
      <c r="B149" s="2"/>
      <c r="C149" s="23"/>
      <c r="D149" s="23"/>
      <c r="E149" s="23"/>
      <c r="F149" s="4"/>
    </row>
    <row r="150" spans="2:6" ht="15.75" x14ac:dyDescent="0.25">
      <c r="B150" s="2"/>
      <c r="C150" s="23"/>
      <c r="D150" s="23"/>
      <c r="E150" s="23"/>
      <c r="F150" s="4"/>
    </row>
    <row r="151" spans="2:6" ht="15.75" x14ac:dyDescent="0.25">
      <c r="B151" s="2"/>
      <c r="C151" s="23"/>
      <c r="D151" s="23"/>
      <c r="E151" s="23"/>
      <c r="F151" s="4"/>
    </row>
    <row r="152" spans="2:6" ht="15.75" x14ac:dyDescent="0.25">
      <c r="B152" s="2"/>
      <c r="C152" s="23"/>
      <c r="D152" s="23"/>
      <c r="E152" s="23"/>
      <c r="F152" s="4"/>
    </row>
    <row r="153" spans="2:6" ht="15.75" x14ac:dyDescent="0.25">
      <c r="B153" s="2"/>
      <c r="C153" s="23"/>
      <c r="D153" s="23"/>
      <c r="E153" s="23"/>
      <c r="F153" s="4"/>
    </row>
    <row r="154" spans="2:6" ht="15.75" x14ac:dyDescent="0.25">
      <c r="B154" s="2"/>
      <c r="C154" s="23"/>
      <c r="D154" s="23"/>
      <c r="E154" s="23"/>
      <c r="F154" s="4"/>
    </row>
    <row r="155" spans="2:6" ht="15.75" x14ac:dyDescent="0.25">
      <c r="B155" s="2"/>
      <c r="C155" s="23"/>
      <c r="D155" s="23"/>
      <c r="E155" s="23"/>
      <c r="F155" s="4"/>
    </row>
    <row r="156" spans="2:6" ht="15.75" x14ac:dyDescent="0.25">
      <c r="B156" s="2"/>
      <c r="C156" s="23"/>
      <c r="D156" s="23"/>
      <c r="E156" s="23"/>
      <c r="F156" s="4"/>
    </row>
    <row r="157" spans="2:6" ht="15.75" x14ac:dyDescent="0.25">
      <c r="B157" s="2"/>
      <c r="C157" s="23"/>
      <c r="D157" s="23"/>
      <c r="E157" s="23"/>
      <c r="F157" s="4"/>
    </row>
    <row r="158" spans="2:6" ht="15.75" x14ac:dyDescent="0.25">
      <c r="B158" s="2"/>
      <c r="C158" s="23"/>
      <c r="D158" s="23"/>
      <c r="E158" s="23"/>
      <c r="F158" s="4"/>
    </row>
    <row r="159" spans="2:6" ht="15.75" x14ac:dyDescent="0.25">
      <c r="B159" s="2"/>
      <c r="C159" s="23"/>
      <c r="D159" s="23"/>
      <c r="E159" s="23"/>
      <c r="F159" s="4"/>
    </row>
    <row r="160" spans="2:6" ht="15.75" x14ac:dyDescent="0.25">
      <c r="B160" s="2"/>
      <c r="C160" s="23"/>
      <c r="D160" s="23"/>
      <c r="E160" s="23"/>
      <c r="F160" s="4"/>
    </row>
    <row r="161" spans="2:6" ht="15.75" x14ac:dyDescent="0.25">
      <c r="B161" s="2"/>
      <c r="C161" s="23"/>
      <c r="D161" s="23"/>
      <c r="E161" s="23"/>
      <c r="F161" s="4"/>
    </row>
    <row r="162" spans="2:6" ht="15.75" x14ac:dyDescent="0.25">
      <c r="B162" s="2"/>
      <c r="C162" s="23"/>
      <c r="D162" s="23"/>
      <c r="E162" s="23"/>
      <c r="F162" s="4"/>
    </row>
    <row r="163" spans="2:6" ht="15.75" x14ac:dyDescent="0.25">
      <c r="B163" s="2"/>
      <c r="C163" s="23"/>
      <c r="D163" s="23"/>
      <c r="E163" s="23"/>
      <c r="F163" s="4"/>
    </row>
    <row r="164" spans="2:6" ht="15.75" x14ac:dyDescent="0.25">
      <c r="B164" s="2"/>
      <c r="C164" s="23"/>
      <c r="D164" s="23"/>
      <c r="E164" s="23"/>
      <c r="F164" s="4"/>
    </row>
    <row r="165" spans="2:6" ht="15.75" x14ac:dyDescent="0.25">
      <c r="B165" s="2"/>
      <c r="C165" s="23"/>
      <c r="D165" s="23"/>
      <c r="E165" s="23"/>
      <c r="F165" s="4"/>
    </row>
    <row r="166" spans="2:6" ht="15.75" x14ac:dyDescent="0.25">
      <c r="B166" s="2"/>
      <c r="C166" s="23"/>
      <c r="D166" s="23"/>
      <c r="E166" s="23"/>
      <c r="F166" s="4"/>
    </row>
    <row r="167" spans="2:6" ht="15.75" x14ac:dyDescent="0.25">
      <c r="B167" s="2"/>
      <c r="C167" s="23"/>
      <c r="D167" s="23"/>
      <c r="E167" s="23"/>
      <c r="F167" s="4"/>
    </row>
    <row r="168" spans="2:6" ht="15.75" x14ac:dyDescent="0.25">
      <c r="B168" s="2"/>
      <c r="C168" s="23"/>
      <c r="D168" s="23"/>
      <c r="E168" s="23"/>
      <c r="F168" s="4"/>
    </row>
    <row r="169" spans="2:6" ht="15.75" x14ac:dyDescent="0.25">
      <c r="B169" s="2"/>
      <c r="C169" s="23"/>
      <c r="D169" s="23"/>
      <c r="E169" s="23"/>
      <c r="F169" s="4"/>
    </row>
    <row r="170" spans="2:6" ht="15.75" x14ac:dyDescent="0.25">
      <c r="B170" s="2"/>
      <c r="C170" s="23"/>
      <c r="D170" s="23"/>
      <c r="E170" s="23"/>
      <c r="F170" s="4"/>
    </row>
    <row r="171" spans="2:6" ht="15.75" x14ac:dyDescent="0.25">
      <c r="B171" s="2"/>
      <c r="C171" s="23"/>
      <c r="D171" s="23"/>
      <c r="E171" s="23"/>
      <c r="F171" s="4"/>
    </row>
    <row r="172" spans="2:6" ht="15.75" x14ac:dyDescent="0.25">
      <c r="B172" s="2"/>
      <c r="C172" s="23"/>
      <c r="D172" s="23"/>
      <c r="E172" s="23"/>
      <c r="F172" s="4"/>
    </row>
    <row r="173" spans="2:6" ht="15.75" x14ac:dyDescent="0.25">
      <c r="B173" s="2"/>
      <c r="C173" s="23"/>
      <c r="D173" s="23"/>
      <c r="E173" s="23"/>
      <c r="F173" s="4"/>
    </row>
    <row r="174" spans="2:6" ht="15.75" x14ac:dyDescent="0.25">
      <c r="B174" s="2"/>
      <c r="C174" s="23"/>
      <c r="D174" s="23"/>
      <c r="E174" s="23"/>
      <c r="F174" s="4"/>
    </row>
    <row r="175" spans="2:6" ht="15.75" x14ac:dyDescent="0.25">
      <c r="B175" s="2"/>
      <c r="C175" s="23"/>
      <c r="D175" s="23"/>
      <c r="E175" s="23"/>
      <c r="F175" s="4"/>
    </row>
    <row r="176" spans="2:6" ht="15.75" x14ac:dyDescent="0.25">
      <c r="B176" s="2"/>
      <c r="C176" s="23"/>
      <c r="D176" s="23"/>
      <c r="E176" s="23"/>
      <c r="F176" s="4"/>
    </row>
    <row r="177" spans="2:6" ht="15.75" x14ac:dyDescent="0.25">
      <c r="B177" s="2"/>
      <c r="C177" s="23"/>
      <c r="D177" s="23"/>
      <c r="E177" s="23"/>
      <c r="F177" s="4"/>
    </row>
    <row r="178" spans="2:6" ht="15.75" x14ac:dyDescent="0.25">
      <c r="B178" s="2"/>
      <c r="C178" s="23"/>
      <c r="D178" s="23"/>
      <c r="E178" s="23"/>
      <c r="F178" s="4"/>
    </row>
    <row r="179" spans="2:6" ht="15.75" x14ac:dyDescent="0.25">
      <c r="B179" s="2"/>
      <c r="C179" s="23"/>
      <c r="D179" s="23"/>
      <c r="E179" s="23"/>
      <c r="F179" s="4"/>
    </row>
    <row r="180" spans="2:6" ht="15.75" x14ac:dyDescent="0.25">
      <c r="B180" s="2"/>
      <c r="C180" s="23"/>
      <c r="D180" s="23"/>
      <c r="E180" s="23"/>
      <c r="F180" s="4"/>
    </row>
    <row r="181" spans="2:6" ht="15.75" x14ac:dyDescent="0.25">
      <c r="B181" s="2"/>
      <c r="C181" s="23"/>
      <c r="D181" s="23"/>
      <c r="E181" s="23"/>
      <c r="F181" s="4"/>
    </row>
    <row r="182" spans="2:6" ht="15.75" x14ac:dyDescent="0.25">
      <c r="B182" s="2"/>
      <c r="C182" s="23"/>
      <c r="D182" s="23"/>
      <c r="E182" s="23"/>
      <c r="F182" s="4"/>
    </row>
    <row r="183" spans="2:6" ht="15.75" x14ac:dyDescent="0.25">
      <c r="B183" s="2"/>
      <c r="C183" s="23"/>
      <c r="D183" s="23"/>
      <c r="E183" s="23"/>
      <c r="F183" s="4"/>
    </row>
    <row r="184" spans="2:6" ht="15.75" x14ac:dyDescent="0.25">
      <c r="B184" s="2"/>
      <c r="C184" s="23"/>
      <c r="D184" s="23"/>
      <c r="E184" s="23"/>
      <c r="F184" s="4"/>
    </row>
    <row r="185" spans="2:6" ht="15.75" x14ac:dyDescent="0.25">
      <c r="B185" s="2"/>
      <c r="C185" s="23"/>
      <c r="D185" s="23"/>
      <c r="E185" s="23"/>
      <c r="F185" s="4"/>
    </row>
    <row r="186" spans="2:6" ht="15.75" x14ac:dyDescent="0.25">
      <c r="B186" s="2"/>
      <c r="C186" s="23"/>
      <c r="D186" s="23"/>
      <c r="E186" s="23"/>
      <c r="F186" s="4"/>
    </row>
    <row r="187" spans="2:6" ht="15.75" x14ac:dyDescent="0.25">
      <c r="B187" s="2"/>
      <c r="C187" s="23"/>
      <c r="D187" s="23"/>
      <c r="E187" s="23"/>
      <c r="F187" s="4"/>
    </row>
    <row r="188" spans="2:6" ht="15.75" x14ac:dyDescent="0.25">
      <c r="B188" s="2"/>
      <c r="C188" s="23"/>
      <c r="D188" s="23"/>
      <c r="E188" s="23"/>
      <c r="F188" s="4"/>
    </row>
    <row r="189" spans="2:6" ht="15.75" x14ac:dyDescent="0.25">
      <c r="B189" s="2"/>
      <c r="C189" s="23"/>
      <c r="D189" s="23"/>
      <c r="E189" s="23"/>
      <c r="F189" s="4"/>
    </row>
    <row r="190" spans="2:6" ht="15.75" x14ac:dyDescent="0.25">
      <c r="B190" s="2"/>
      <c r="C190" s="23"/>
      <c r="D190" s="23"/>
      <c r="E190" s="23"/>
      <c r="F190" s="4"/>
    </row>
    <row r="191" spans="2:6" ht="15.75" x14ac:dyDescent="0.25">
      <c r="B191" s="2"/>
      <c r="C191" s="23"/>
      <c r="D191" s="23"/>
      <c r="E191" s="23"/>
      <c r="F191" s="4"/>
    </row>
    <row r="192" spans="2:6" ht="15.75" x14ac:dyDescent="0.25">
      <c r="B192" s="2"/>
      <c r="C192" s="23"/>
      <c r="D192" s="23"/>
      <c r="E192" s="23"/>
      <c r="F192" s="4"/>
    </row>
    <row r="193" spans="2:6" ht="15.75" x14ac:dyDescent="0.25">
      <c r="B193" s="2"/>
      <c r="C193" s="23"/>
      <c r="D193" s="23"/>
      <c r="E193" s="23"/>
      <c r="F193" s="4"/>
    </row>
    <row r="194" spans="2:6" ht="15.75" x14ac:dyDescent="0.25">
      <c r="B194" s="2"/>
      <c r="C194" s="23"/>
      <c r="D194" s="23"/>
      <c r="E194" s="23"/>
      <c r="F194" s="4"/>
    </row>
    <row r="195" spans="2:6" ht="15.75" x14ac:dyDescent="0.25">
      <c r="B195" s="2"/>
      <c r="C195" s="23"/>
      <c r="D195" s="23"/>
      <c r="E195" s="23"/>
      <c r="F195" s="4"/>
    </row>
    <row r="196" spans="2:6" ht="15.75" x14ac:dyDescent="0.25">
      <c r="B196" s="2"/>
      <c r="C196" s="23"/>
      <c r="D196" s="23"/>
      <c r="E196" s="23"/>
      <c r="F196" s="4"/>
    </row>
    <row r="197" spans="2:6" ht="15.75" x14ac:dyDescent="0.25">
      <c r="B197" s="2"/>
      <c r="C197" s="23"/>
      <c r="D197" s="23"/>
      <c r="E197" s="23"/>
      <c r="F197" s="4"/>
    </row>
    <row r="198" spans="2:6" ht="15.75" x14ac:dyDescent="0.25">
      <c r="B198" s="2"/>
      <c r="C198" s="23"/>
      <c r="D198" s="23"/>
      <c r="E198" s="23"/>
      <c r="F198" s="4"/>
    </row>
    <row r="199" spans="2:6" ht="15.75" x14ac:dyDescent="0.25">
      <c r="B199" s="2"/>
      <c r="C199" s="23"/>
      <c r="D199" s="23"/>
      <c r="E199" s="23"/>
      <c r="F199" s="4"/>
    </row>
    <row r="200" spans="2:6" ht="15.75" x14ac:dyDescent="0.25">
      <c r="B200" s="2"/>
      <c r="C200" s="23"/>
      <c r="D200" s="23"/>
      <c r="E200" s="23"/>
      <c r="F200" s="4"/>
    </row>
    <row r="201" spans="2:6" ht="15.75" x14ac:dyDescent="0.25">
      <c r="B201" s="2"/>
      <c r="C201" s="23"/>
      <c r="D201" s="23"/>
      <c r="E201" s="23"/>
      <c r="F201" s="4"/>
    </row>
    <row r="202" spans="2:6" ht="15.75" x14ac:dyDescent="0.25">
      <c r="B202" s="2"/>
      <c r="C202" s="23"/>
      <c r="D202" s="23"/>
      <c r="E202" s="23"/>
      <c r="F202" s="4"/>
    </row>
    <row r="203" spans="2:6" ht="15.75" x14ac:dyDescent="0.25">
      <c r="B203" s="2"/>
      <c r="C203" s="23"/>
      <c r="D203" s="23"/>
      <c r="E203" s="23"/>
      <c r="F203" s="4"/>
    </row>
    <row r="204" spans="2:6" ht="15.75" x14ac:dyDescent="0.25">
      <c r="B204" s="2"/>
      <c r="C204" s="23"/>
      <c r="D204" s="23"/>
      <c r="E204" s="23"/>
      <c r="F204" s="4"/>
    </row>
    <row r="205" spans="2:6" ht="15.75" x14ac:dyDescent="0.25">
      <c r="B205" s="2"/>
      <c r="C205" s="23"/>
      <c r="D205" s="23"/>
      <c r="E205" s="23"/>
      <c r="F205" s="4"/>
    </row>
    <row r="206" spans="2:6" ht="15.75" x14ac:dyDescent="0.25">
      <c r="B206" s="2"/>
      <c r="C206" s="23"/>
      <c r="D206" s="23"/>
      <c r="E206" s="23"/>
      <c r="F206" s="4"/>
    </row>
    <row r="207" spans="2:6" ht="15.75" x14ac:dyDescent="0.25">
      <c r="B207" s="2"/>
      <c r="C207" s="23"/>
      <c r="D207" s="23"/>
      <c r="E207" s="23"/>
      <c r="F207" s="4"/>
    </row>
    <row r="208" spans="2:6" ht="15.75" x14ac:dyDescent="0.25">
      <c r="B208" s="2"/>
      <c r="C208" s="23"/>
      <c r="D208" s="23"/>
      <c r="E208" s="23"/>
      <c r="F208" s="4"/>
    </row>
    <row r="209" spans="2:6" ht="15.75" x14ac:dyDescent="0.25">
      <c r="B209" s="2"/>
      <c r="C209" s="23"/>
      <c r="D209" s="23"/>
      <c r="E209" s="23"/>
      <c r="F209" s="4"/>
    </row>
    <row r="210" spans="2:6" ht="15.75" x14ac:dyDescent="0.25">
      <c r="B210" s="2"/>
      <c r="C210" s="23"/>
      <c r="D210" s="23"/>
      <c r="E210" s="23"/>
      <c r="F210" s="4"/>
    </row>
    <row r="211" spans="2:6" ht="15.75" x14ac:dyDescent="0.25">
      <c r="B211" s="2"/>
      <c r="C211" s="23"/>
      <c r="D211" s="23"/>
      <c r="E211" s="23"/>
      <c r="F211" s="4"/>
    </row>
    <row r="212" spans="2:6" ht="15.75" x14ac:dyDescent="0.25">
      <c r="B212" s="2"/>
      <c r="C212" s="23"/>
      <c r="D212" s="23"/>
      <c r="E212" s="23"/>
      <c r="F212" s="4"/>
    </row>
    <row r="213" spans="2:6" ht="15.75" x14ac:dyDescent="0.25">
      <c r="B213" s="2"/>
      <c r="C213" s="23"/>
      <c r="D213" s="23"/>
      <c r="E213" s="23"/>
      <c r="F213" s="4"/>
    </row>
    <row r="214" spans="2:6" ht="15.75" x14ac:dyDescent="0.25">
      <c r="B214" s="2"/>
      <c r="C214" s="23"/>
      <c r="D214" s="23"/>
      <c r="E214" s="23"/>
      <c r="F214" s="4"/>
    </row>
    <row r="215" spans="2:6" ht="15.75" x14ac:dyDescent="0.25">
      <c r="B215" s="2"/>
      <c r="C215" s="23"/>
      <c r="D215" s="23"/>
      <c r="E215" s="23"/>
      <c r="F215" s="4"/>
    </row>
    <row r="216" spans="2:6" ht="15.75" x14ac:dyDescent="0.25">
      <c r="B216" s="2"/>
      <c r="C216" s="23"/>
      <c r="D216" s="23"/>
      <c r="E216" s="23"/>
      <c r="F216" s="4"/>
    </row>
    <row r="217" spans="2:6" ht="15.75" x14ac:dyDescent="0.25">
      <c r="B217" s="2"/>
      <c r="C217" s="23"/>
      <c r="D217" s="23"/>
      <c r="E217" s="23"/>
      <c r="F217" s="4"/>
    </row>
    <row r="218" spans="2:6" ht="15.75" x14ac:dyDescent="0.25">
      <c r="B218" s="2"/>
      <c r="C218" s="23"/>
      <c r="D218" s="23"/>
      <c r="E218" s="23"/>
      <c r="F218" s="4"/>
    </row>
    <row r="219" spans="2:6" ht="15.75" x14ac:dyDescent="0.25">
      <c r="B219" s="2"/>
      <c r="C219" s="23"/>
      <c r="D219" s="23"/>
      <c r="E219" s="23"/>
      <c r="F219" s="4"/>
    </row>
    <row r="220" spans="2:6" ht="15.75" x14ac:dyDescent="0.25">
      <c r="B220" s="2"/>
      <c r="C220" s="23"/>
      <c r="D220" s="23"/>
      <c r="E220" s="23"/>
      <c r="F220" s="4"/>
    </row>
    <row r="221" spans="2:6" ht="15.75" x14ac:dyDescent="0.25">
      <c r="B221" s="2"/>
      <c r="C221" s="23"/>
      <c r="D221" s="23"/>
      <c r="E221" s="23"/>
      <c r="F221" s="4"/>
    </row>
    <row r="222" spans="2:6" ht="15.75" x14ac:dyDescent="0.25">
      <c r="B222" s="2"/>
      <c r="C222" s="23"/>
      <c r="D222" s="23"/>
      <c r="E222" s="23"/>
      <c r="F222" s="4"/>
    </row>
    <row r="223" spans="2:6" ht="15.75" x14ac:dyDescent="0.25">
      <c r="B223" s="2"/>
      <c r="C223" s="23"/>
      <c r="D223" s="23"/>
      <c r="E223" s="23"/>
      <c r="F223" s="4"/>
    </row>
    <row r="224" spans="2:6" ht="15.75" x14ac:dyDescent="0.25">
      <c r="B224" s="2"/>
      <c r="C224" s="23"/>
      <c r="D224" s="23"/>
      <c r="E224" s="23"/>
      <c r="F224" s="4"/>
    </row>
    <row r="225" spans="2:6" ht="15.75" x14ac:dyDescent="0.25">
      <c r="B225" s="2"/>
      <c r="C225" s="23"/>
      <c r="D225" s="23"/>
      <c r="E225" s="23"/>
      <c r="F225" s="4"/>
    </row>
    <row r="226" spans="2:6" ht="15.75" x14ac:dyDescent="0.25">
      <c r="B226" s="2"/>
      <c r="C226" s="23"/>
      <c r="D226" s="23"/>
      <c r="E226" s="23"/>
      <c r="F226" s="4"/>
    </row>
    <row r="227" spans="2:6" ht="15.75" x14ac:dyDescent="0.25">
      <c r="B227" s="2"/>
      <c r="C227" s="23"/>
      <c r="D227" s="23"/>
      <c r="E227" s="23"/>
      <c r="F227" s="4"/>
    </row>
    <row r="228" spans="2:6" ht="15.75" x14ac:dyDescent="0.25">
      <c r="B228" s="2"/>
      <c r="C228" s="23"/>
      <c r="D228" s="23"/>
      <c r="E228" s="23"/>
      <c r="F228" s="4"/>
    </row>
    <row r="229" spans="2:6" ht="15.75" x14ac:dyDescent="0.25">
      <c r="B229" s="2"/>
      <c r="C229" s="23"/>
      <c r="D229" s="23"/>
      <c r="E229" s="23"/>
      <c r="F229" s="4"/>
    </row>
    <row r="230" spans="2:6" ht="15.75" x14ac:dyDescent="0.25">
      <c r="B230" s="2"/>
      <c r="C230" s="23"/>
      <c r="D230" s="23"/>
      <c r="E230" s="23"/>
      <c r="F230" s="4"/>
    </row>
    <row r="231" spans="2:6" ht="15.75" x14ac:dyDescent="0.25">
      <c r="B231" s="2"/>
      <c r="C231" s="23"/>
      <c r="D231" s="23"/>
      <c r="E231" s="23"/>
      <c r="F231" s="4"/>
    </row>
    <row r="232" spans="2:6" ht="15.75" x14ac:dyDescent="0.25">
      <c r="B232" s="2"/>
      <c r="C232" s="23"/>
      <c r="D232" s="23"/>
      <c r="E232" s="23"/>
      <c r="F232" s="4"/>
    </row>
    <row r="233" spans="2:6" ht="15.75" x14ac:dyDescent="0.25">
      <c r="B233" s="2"/>
      <c r="C233" s="23"/>
      <c r="D233" s="23"/>
      <c r="E233" s="23"/>
      <c r="F233" s="4"/>
    </row>
    <row r="234" spans="2:6" ht="15.75" x14ac:dyDescent="0.25">
      <c r="B234" s="2"/>
      <c r="C234" s="23"/>
      <c r="D234" s="23"/>
      <c r="E234" s="23"/>
      <c r="F234" s="4"/>
    </row>
    <row r="235" spans="2:6" ht="15.75" x14ac:dyDescent="0.25">
      <c r="B235" s="2"/>
      <c r="C235" s="23"/>
      <c r="D235" s="23"/>
      <c r="E235" s="23"/>
      <c r="F235" s="4"/>
    </row>
    <row r="236" spans="2:6" ht="15.75" x14ac:dyDescent="0.25">
      <c r="B236" s="2"/>
      <c r="C236" s="23"/>
      <c r="D236" s="23"/>
      <c r="E236" s="23"/>
      <c r="F236" s="4"/>
    </row>
    <row r="237" spans="2:6" ht="15.75" x14ac:dyDescent="0.25">
      <c r="B237" s="2"/>
      <c r="C237" s="23"/>
      <c r="D237" s="23"/>
      <c r="E237" s="23"/>
      <c r="F237" s="4"/>
    </row>
    <row r="238" spans="2:6" ht="15.75" x14ac:dyDescent="0.25">
      <c r="B238" s="2"/>
      <c r="C238" s="23"/>
      <c r="D238" s="23"/>
      <c r="E238" s="23"/>
      <c r="F238" s="4"/>
    </row>
    <row r="239" spans="2:6" ht="15.75" x14ac:dyDescent="0.25">
      <c r="B239" s="2"/>
      <c r="C239" s="23"/>
      <c r="D239" s="23"/>
      <c r="E239" s="23"/>
      <c r="F239" s="4"/>
    </row>
    <row r="240" spans="2:6" ht="15.75" x14ac:dyDescent="0.25">
      <c r="B240" s="2"/>
      <c r="C240" s="23"/>
      <c r="D240" s="23"/>
      <c r="E240" s="23"/>
      <c r="F240" s="4"/>
    </row>
    <row r="241" spans="2:6" ht="15.75" x14ac:dyDescent="0.25">
      <c r="B241" s="2"/>
      <c r="C241" s="23"/>
      <c r="D241" s="23"/>
      <c r="E241" s="23"/>
      <c r="F241" s="4"/>
    </row>
    <row r="242" spans="2:6" ht="15.75" x14ac:dyDescent="0.25">
      <c r="B242" s="2"/>
      <c r="C242" s="23"/>
      <c r="D242" s="23"/>
      <c r="E242" s="23"/>
      <c r="F242" s="4"/>
    </row>
    <row r="243" spans="2:6" ht="15.75" x14ac:dyDescent="0.25">
      <c r="B243" s="2"/>
      <c r="C243" s="23"/>
      <c r="D243" s="23"/>
      <c r="E243" s="23"/>
      <c r="F243" s="4"/>
    </row>
    <row r="244" spans="2:6" ht="15.75" x14ac:dyDescent="0.25">
      <c r="B244" s="2"/>
      <c r="C244" s="23"/>
      <c r="D244" s="23"/>
      <c r="E244" s="23"/>
      <c r="F244" s="4"/>
    </row>
    <row r="245" spans="2:6" ht="15.75" x14ac:dyDescent="0.25">
      <c r="B245" s="2"/>
      <c r="C245" s="23"/>
      <c r="D245" s="23"/>
      <c r="E245" s="23"/>
      <c r="F245" s="4"/>
    </row>
    <row r="246" spans="2:6" ht="15.75" x14ac:dyDescent="0.25">
      <c r="B246" s="2"/>
      <c r="C246" s="23"/>
      <c r="D246" s="23"/>
      <c r="E246" s="23"/>
      <c r="F246" s="4"/>
    </row>
    <row r="247" spans="2:6" ht="15.75" x14ac:dyDescent="0.25">
      <c r="B247" s="2"/>
      <c r="C247" s="23"/>
      <c r="D247" s="23"/>
      <c r="E247" s="23"/>
      <c r="F247" s="4"/>
    </row>
    <row r="248" spans="2:6" ht="15.75" x14ac:dyDescent="0.25">
      <c r="B248" s="2"/>
      <c r="C248" s="23"/>
      <c r="D248" s="23"/>
      <c r="E248" s="23"/>
      <c r="F248" s="4"/>
    </row>
    <row r="249" spans="2:6" ht="15.75" x14ac:dyDescent="0.25">
      <c r="B249" s="2"/>
      <c r="C249" s="23"/>
      <c r="D249" s="23"/>
      <c r="E249" s="23"/>
      <c r="F249" s="4"/>
    </row>
    <row r="250" spans="2:6" ht="15.75" x14ac:dyDescent="0.25">
      <c r="B250" s="2"/>
      <c r="C250" s="23"/>
      <c r="D250" s="23"/>
      <c r="E250" s="23"/>
      <c r="F250" s="4"/>
    </row>
    <row r="251" spans="2:6" ht="15.75" x14ac:dyDescent="0.25">
      <c r="B251" s="2"/>
      <c r="C251" s="23"/>
      <c r="D251" s="23"/>
      <c r="E251" s="23"/>
      <c r="F251" s="4"/>
    </row>
    <row r="252" spans="2:6" ht="15.75" x14ac:dyDescent="0.25">
      <c r="B252" s="2"/>
      <c r="C252" s="23"/>
      <c r="D252" s="23"/>
      <c r="E252" s="23"/>
      <c r="F252" s="4"/>
    </row>
    <row r="253" spans="2:6" ht="15.75" x14ac:dyDescent="0.25">
      <c r="B253" s="2"/>
      <c r="C253" s="23"/>
      <c r="D253" s="23"/>
      <c r="E253" s="23"/>
      <c r="F253" s="4"/>
    </row>
    <row r="254" spans="2:6" ht="15.75" x14ac:dyDescent="0.25">
      <c r="B254" s="2"/>
      <c r="C254" s="23"/>
      <c r="D254" s="23"/>
      <c r="E254" s="23"/>
      <c r="F254" s="4"/>
    </row>
    <row r="255" spans="2:6" ht="15.75" x14ac:dyDescent="0.25">
      <c r="B255" s="2"/>
      <c r="C255" s="23"/>
      <c r="D255" s="23"/>
      <c r="E255" s="23"/>
      <c r="F255" s="4"/>
    </row>
    <row r="256" spans="2:6" ht="15.75" x14ac:dyDescent="0.25">
      <c r="B256" s="2"/>
      <c r="C256" s="23"/>
      <c r="D256" s="23"/>
      <c r="E256" s="23"/>
      <c r="F256" s="4"/>
    </row>
    <row r="257" spans="2:6" ht="15.75" x14ac:dyDescent="0.25">
      <c r="B257" s="2"/>
      <c r="C257" s="23"/>
      <c r="D257" s="23"/>
      <c r="E257" s="23"/>
      <c r="F257" s="4"/>
    </row>
    <row r="258" spans="2:6" ht="15.75" x14ac:dyDescent="0.25">
      <c r="B258" s="2"/>
      <c r="C258" s="23"/>
      <c r="D258" s="23"/>
      <c r="E258" s="23"/>
      <c r="F258" s="4"/>
    </row>
    <row r="259" spans="2:6" ht="15.75" x14ac:dyDescent="0.25">
      <c r="B259" s="2"/>
      <c r="C259" s="23"/>
      <c r="D259" s="23"/>
      <c r="E259" s="23"/>
      <c r="F259" s="4"/>
    </row>
    <row r="260" spans="2:6" ht="15.75" x14ac:dyDescent="0.25">
      <c r="B260" s="2"/>
      <c r="C260" s="23"/>
      <c r="D260" s="23"/>
      <c r="E260" s="23"/>
      <c r="F260" s="4"/>
    </row>
    <row r="261" spans="2:6" ht="15.75" x14ac:dyDescent="0.25">
      <c r="B261" s="2"/>
      <c r="C261" s="23"/>
      <c r="D261" s="23"/>
      <c r="E261" s="23"/>
      <c r="F261" s="4"/>
    </row>
    <row r="262" spans="2:6" ht="15.75" x14ac:dyDescent="0.25">
      <c r="B262" s="2"/>
      <c r="C262" s="23"/>
      <c r="D262" s="23"/>
      <c r="E262" s="23"/>
      <c r="F262" s="4"/>
    </row>
    <row r="263" spans="2:6" ht="15.75" x14ac:dyDescent="0.25">
      <c r="B263" s="2"/>
      <c r="C263" s="23"/>
      <c r="D263" s="23"/>
      <c r="E263" s="23"/>
      <c r="F263" s="4"/>
    </row>
    <row r="264" spans="2:6" ht="15.75" x14ac:dyDescent="0.25">
      <c r="B264" s="2"/>
      <c r="C264" s="23"/>
      <c r="D264" s="23"/>
      <c r="E264" s="23"/>
      <c r="F264" s="4"/>
    </row>
    <row r="265" spans="2:6" ht="15.75" x14ac:dyDescent="0.25">
      <c r="B265" s="2"/>
      <c r="C265" s="23"/>
      <c r="D265" s="23"/>
      <c r="E265" s="23"/>
      <c r="F265" s="4"/>
    </row>
    <row r="266" spans="2:6" ht="15.75" x14ac:dyDescent="0.25">
      <c r="B266" s="2"/>
      <c r="C266" s="23"/>
      <c r="D266" s="23"/>
      <c r="E266" s="23"/>
      <c r="F266" s="4"/>
    </row>
    <row r="267" spans="2:6" ht="15.75" x14ac:dyDescent="0.25">
      <c r="B267" s="2"/>
      <c r="C267" s="23"/>
      <c r="D267" s="23"/>
      <c r="E267" s="23"/>
      <c r="F267" s="4"/>
    </row>
    <row r="268" spans="2:6" ht="15.75" x14ac:dyDescent="0.25">
      <c r="B268" s="2"/>
      <c r="C268" s="23"/>
      <c r="D268" s="23"/>
      <c r="E268" s="23"/>
      <c r="F268" s="4"/>
    </row>
    <row r="269" spans="2:6" ht="15.75" x14ac:dyDescent="0.25">
      <c r="B269" s="2"/>
      <c r="C269" s="23"/>
      <c r="D269" s="23"/>
      <c r="E269" s="23"/>
      <c r="F269" s="4"/>
    </row>
    <row r="270" spans="2:6" ht="15.75" x14ac:dyDescent="0.25">
      <c r="B270" s="2"/>
      <c r="C270" s="23"/>
      <c r="D270" s="23"/>
      <c r="E270" s="23"/>
      <c r="F270" s="4"/>
    </row>
    <row r="271" spans="2:6" ht="15.75" x14ac:dyDescent="0.25">
      <c r="B271" s="2"/>
      <c r="C271" s="23"/>
      <c r="D271" s="23"/>
      <c r="E271" s="23"/>
      <c r="F271" s="4"/>
    </row>
    <row r="272" spans="2:6" ht="15.75" x14ac:dyDescent="0.25">
      <c r="B272" s="2"/>
      <c r="C272" s="23"/>
      <c r="D272" s="23"/>
      <c r="E272" s="23"/>
      <c r="F272" s="4"/>
    </row>
    <row r="273" spans="2:6" ht="15.75" x14ac:dyDescent="0.25">
      <c r="B273" s="2"/>
      <c r="C273" s="23"/>
      <c r="D273" s="23"/>
      <c r="E273" s="23"/>
      <c r="F273" s="4"/>
    </row>
    <row r="274" spans="2:6" ht="15.75" x14ac:dyDescent="0.25">
      <c r="B274" s="2"/>
      <c r="C274" s="23"/>
      <c r="D274" s="23"/>
      <c r="E274" s="23"/>
      <c r="F274" s="4"/>
    </row>
    <row r="275" spans="2:6" ht="15.75" x14ac:dyDescent="0.25">
      <c r="B275" s="2"/>
      <c r="C275" s="23"/>
      <c r="D275" s="23"/>
      <c r="E275" s="23"/>
      <c r="F275" s="4"/>
    </row>
    <row r="276" spans="2:6" ht="15.75" x14ac:dyDescent="0.25">
      <c r="B276" s="2"/>
      <c r="C276" s="23"/>
      <c r="D276" s="23"/>
      <c r="E276" s="23"/>
      <c r="F276" s="4"/>
    </row>
    <row r="277" spans="2:6" ht="15.75" x14ac:dyDescent="0.25">
      <c r="B277" s="2"/>
      <c r="C277" s="23"/>
      <c r="D277" s="23"/>
      <c r="E277" s="23"/>
      <c r="F277" s="4"/>
    </row>
    <row r="278" spans="2:6" ht="15.75" x14ac:dyDescent="0.25">
      <c r="B278" s="2"/>
      <c r="C278" s="23"/>
      <c r="D278" s="23"/>
      <c r="E278" s="23"/>
      <c r="F278" s="4"/>
    </row>
    <row r="279" spans="2:6" ht="15.75" x14ac:dyDescent="0.25">
      <c r="B279" s="2"/>
      <c r="C279" s="23"/>
      <c r="D279" s="23"/>
      <c r="E279" s="23"/>
      <c r="F279" s="4"/>
    </row>
    <row r="280" spans="2:6" ht="15.75" x14ac:dyDescent="0.25">
      <c r="B280" s="2"/>
      <c r="C280" s="23"/>
      <c r="D280" s="23"/>
      <c r="E280" s="23"/>
      <c r="F280" s="4"/>
    </row>
    <row r="281" spans="2:6" ht="15.75" x14ac:dyDescent="0.25">
      <c r="B281" s="2"/>
      <c r="C281" s="23"/>
      <c r="D281" s="23"/>
      <c r="E281" s="23"/>
      <c r="F281" s="4"/>
    </row>
    <row r="282" spans="2:6" ht="15.75" x14ac:dyDescent="0.25">
      <c r="B282" s="2"/>
      <c r="C282" s="23"/>
      <c r="D282" s="23"/>
      <c r="E282" s="23"/>
      <c r="F282" s="4"/>
    </row>
    <row r="283" spans="2:6" ht="15.75" x14ac:dyDescent="0.25">
      <c r="B283" s="2"/>
      <c r="C283" s="23"/>
      <c r="D283" s="23"/>
      <c r="E283" s="23"/>
      <c r="F283" s="4"/>
    </row>
    <row r="284" spans="2:6" ht="15.75" x14ac:dyDescent="0.25">
      <c r="B284" s="2"/>
      <c r="C284" s="23"/>
      <c r="D284" s="23"/>
      <c r="E284" s="23"/>
      <c r="F284" s="4"/>
    </row>
    <row r="285" spans="2:6" ht="15.75" x14ac:dyDescent="0.25">
      <c r="B285" s="2"/>
      <c r="C285" s="23"/>
      <c r="D285" s="23"/>
      <c r="E285" s="23"/>
      <c r="F285" s="4"/>
    </row>
    <row r="286" spans="2:6" ht="15.75" x14ac:dyDescent="0.25">
      <c r="B286" s="2"/>
      <c r="C286" s="23"/>
      <c r="D286" s="23"/>
      <c r="E286" s="23"/>
      <c r="F286" s="4"/>
    </row>
    <row r="287" spans="2:6" ht="15.75" x14ac:dyDescent="0.25">
      <c r="B287" s="2"/>
      <c r="C287" s="23"/>
      <c r="D287" s="23"/>
      <c r="E287" s="23"/>
      <c r="F287" s="4"/>
    </row>
    <row r="288" spans="2:6" ht="15.75" x14ac:dyDescent="0.25">
      <c r="B288" s="2"/>
      <c r="C288" s="23"/>
      <c r="D288" s="23"/>
      <c r="E288" s="23"/>
      <c r="F288" s="4"/>
    </row>
    <row r="289" spans="2:6" ht="15.75" x14ac:dyDescent="0.25">
      <c r="B289" s="2"/>
      <c r="C289" s="23"/>
      <c r="D289" s="23"/>
      <c r="E289" s="23"/>
      <c r="F289" s="4"/>
    </row>
    <row r="290" spans="2:6" ht="15.75" x14ac:dyDescent="0.25">
      <c r="B290" s="2"/>
      <c r="C290" s="23"/>
      <c r="D290" s="23"/>
      <c r="E290" s="23"/>
      <c r="F290" s="4"/>
    </row>
    <row r="291" spans="2:6" ht="15.75" x14ac:dyDescent="0.25">
      <c r="B291" s="2"/>
      <c r="C291" s="23"/>
      <c r="D291" s="23"/>
      <c r="E291" s="23"/>
      <c r="F291" s="4"/>
    </row>
    <row r="292" spans="2:6" ht="15.75" x14ac:dyDescent="0.25">
      <c r="B292" s="2"/>
      <c r="C292" s="23"/>
      <c r="D292" s="23"/>
      <c r="E292" s="23"/>
      <c r="F292" s="4"/>
    </row>
    <row r="293" spans="2:6" ht="15.75" x14ac:dyDescent="0.25">
      <c r="B293" s="2"/>
      <c r="C293" s="23"/>
      <c r="D293" s="23"/>
      <c r="E293" s="23"/>
      <c r="F293" s="4"/>
    </row>
    <row r="294" spans="2:6" ht="15.75" x14ac:dyDescent="0.25">
      <c r="B294" s="2"/>
      <c r="C294" s="23"/>
      <c r="D294" s="23"/>
      <c r="E294" s="23"/>
      <c r="F294" s="4"/>
    </row>
    <row r="295" spans="2:6" ht="15.75" x14ac:dyDescent="0.25">
      <c r="B295" s="2"/>
      <c r="C295" s="23"/>
      <c r="D295" s="23"/>
      <c r="E295" s="23"/>
      <c r="F295" s="4"/>
    </row>
    <row r="296" spans="2:6" ht="15.75" x14ac:dyDescent="0.25">
      <c r="B296" s="2"/>
      <c r="C296" s="23"/>
      <c r="D296" s="23"/>
      <c r="E296" s="23"/>
      <c r="F296" s="4"/>
    </row>
    <row r="297" spans="2:6" ht="15.75" x14ac:dyDescent="0.25">
      <c r="B297" s="2"/>
      <c r="C297" s="23"/>
      <c r="D297" s="23"/>
      <c r="E297" s="23"/>
      <c r="F297" s="4"/>
    </row>
    <row r="298" spans="2:6" ht="15.75" x14ac:dyDescent="0.25">
      <c r="B298" s="2"/>
      <c r="C298" s="23"/>
      <c r="D298" s="23"/>
      <c r="E298" s="23"/>
      <c r="F298" s="4"/>
    </row>
    <row r="299" spans="2:6" ht="15.75" x14ac:dyDescent="0.25">
      <c r="B299" s="2"/>
      <c r="C299" s="23"/>
      <c r="D299" s="23"/>
      <c r="E299" s="23"/>
      <c r="F299" s="4"/>
    </row>
    <row r="300" spans="2:6" ht="15.75" x14ac:dyDescent="0.25">
      <c r="B300" s="2"/>
      <c r="C300" s="23"/>
      <c r="D300" s="23"/>
      <c r="E300" s="23"/>
      <c r="F300" s="4"/>
    </row>
    <row r="301" spans="2:6" ht="15.75" x14ac:dyDescent="0.25">
      <c r="B301" s="2"/>
      <c r="C301" s="23"/>
      <c r="D301" s="23"/>
      <c r="E301" s="23"/>
      <c r="F301" s="4"/>
    </row>
    <row r="302" spans="2:6" ht="15.75" x14ac:dyDescent="0.25">
      <c r="B302" s="2"/>
      <c r="C302" s="23"/>
      <c r="D302" s="23"/>
      <c r="E302" s="23"/>
      <c r="F302" s="4"/>
    </row>
    <row r="303" spans="2:6" ht="15.75" x14ac:dyDescent="0.25">
      <c r="B303" s="2"/>
      <c r="C303" s="23"/>
      <c r="D303" s="23"/>
      <c r="E303" s="23"/>
      <c r="F303" s="4"/>
    </row>
    <row r="304" spans="2:6" ht="15.75" x14ac:dyDescent="0.25">
      <c r="B304" s="2"/>
      <c r="C304" s="23"/>
      <c r="D304" s="23"/>
      <c r="E304" s="23"/>
      <c r="F304" s="4"/>
    </row>
    <row r="305" spans="2:6" ht="15.75" x14ac:dyDescent="0.25">
      <c r="B305" s="2"/>
      <c r="C305" s="23"/>
      <c r="D305" s="23"/>
      <c r="E305" s="23"/>
      <c r="F305" s="4"/>
    </row>
    <row r="306" spans="2:6" ht="15.75" x14ac:dyDescent="0.25">
      <c r="B306" s="2"/>
      <c r="C306" s="23"/>
      <c r="D306" s="23"/>
      <c r="E306" s="23"/>
      <c r="F306" s="4"/>
    </row>
    <row r="307" spans="2:6" ht="15.75" x14ac:dyDescent="0.25">
      <c r="B307" s="2"/>
      <c r="C307" s="23"/>
      <c r="D307" s="23"/>
      <c r="E307" s="23"/>
      <c r="F307" s="4"/>
    </row>
    <row r="308" spans="2:6" ht="15.75" x14ac:dyDescent="0.25">
      <c r="B308" s="2"/>
      <c r="C308" s="23"/>
      <c r="D308" s="23"/>
      <c r="E308" s="23"/>
      <c r="F308" s="4"/>
    </row>
    <row r="309" spans="2:6" ht="15.75" x14ac:dyDescent="0.25">
      <c r="B309" s="2"/>
      <c r="C309" s="23"/>
      <c r="D309" s="23"/>
      <c r="E309" s="23"/>
      <c r="F309" s="4"/>
    </row>
    <row r="310" spans="2:6" ht="15.75" x14ac:dyDescent="0.25">
      <c r="B310" s="2"/>
      <c r="C310" s="23"/>
      <c r="D310" s="23"/>
      <c r="E310" s="23"/>
      <c r="F310" s="4"/>
    </row>
    <row r="311" spans="2:6" ht="15.75" x14ac:dyDescent="0.25">
      <c r="B311" s="2"/>
      <c r="C311" s="23"/>
      <c r="D311" s="23"/>
      <c r="E311" s="23"/>
      <c r="F311" s="4"/>
    </row>
    <row r="312" spans="2:6" ht="15.75" x14ac:dyDescent="0.25">
      <c r="B312" s="2"/>
      <c r="C312" s="23"/>
      <c r="D312" s="23"/>
      <c r="E312" s="23"/>
      <c r="F312" s="4"/>
    </row>
    <row r="313" spans="2:6" ht="15.75" x14ac:dyDescent="0.25">
      <c r="B313" s="2"/>
      <c r="C313" s="23"/>
      <c r="D313" s="23"/>
      <c r="E313" s="23"/>
      <c r="F313" s="4"/>
    </row>
    <row r="314" spans="2:6" ht="15.75" x14ac:dyDescent="0.25">
      <c r="B314" s="2"/>
      <c r="C314" s="23"/>
      <c r="D314" s="23"/>
      <c r="E314" s="23"/>
      <c r="F314" s="4"/>
    </row>
    <row r="315" spans="2:6" ht="15.75" x14ac:dyDescent="0.25">
      <c r="B315" s="2"/>
      <c r="C315" s="23"/>
      <c r="D315" s="23"/>
      <c r="E315" s="23"/>
      <c r="F315" s="4"/>
    </row>
    <row r="316" spans="2:6" ht="15.75" x14ac:dyDescent="0.25">
      <c r="B316" s="2"/>
      <c r="C316" s="23"/>
      <c r="D316" s="23"/>
      <c r="E316" s="23"/>
      <c r="F316" s="4"/>
    </row>
    <row r="317" spans="2:6" ht="15.75" x14ac:dyDescent="0.25">
      <c r="B317" s="2"/>
      <c r="C317" s="23"/>
      <c r="D317" s="23"/>
      <c r="E317" s="23"/>
      <c r="F317" s="4"/>
    </row>
    <row r="318" spans="2:6" ht="15.75" x14ac:dyDescent="0.25">
      <c r="B318" s="2"/>
      <c r="C318" s="23"/>
      <c r="D318" s="23"/>
      <c r="E318" s="23"/>
      <c r="F318" s="4"/>
    </row>
    <row r="319" spans="2:6" ht="15.75" x14ac:dyDescent="0.25">
      <c r="B319" s="2"/>
      <c r="C319" s="23"/>
      <c r="D319" s="23"/>
      <c r="E319" s="23"/>
      <c r="F319" s="4"/>
    </row>
    <row r="320" spans="2:6" ht="15.75" x14ac:dyDescent="0.25">
      <c r="B320" s="2"/>
      <c r="C320" s="23"/>
      <c r="D320" s="23"/>
      <c r="E320" s="23"/>
      <c r="F320" s="4"/>
    </row>
    <row r="321" spans="2:6" ht="15.75" x14ac:dyDescent="0.25">
      <c r="B321" s="2"/>
      <c r="C321" s="23"/>
      <c r="D321" s="23"/>
      <c r="E321" s="23"/>
      <c r="F321" s="4"/>
    </row>
    <row r="322" spans="2:6" ht="15.75" x14ac:dyDescent="0.25">
      <c r="B322" s="2"/>
      <c r="C322" s="23"/>
      <c r="D322" s="23"/>
      <c r="E322" s="23"/>
      <c r="F322" s="4"/>
    </row>
    <row r="323" spans="2:6" ht="15.75" x14ac:dyDescent="0.25">
      <c r="B323" s="2"/>
      <c r="C323" s="23"/>
      <c r="D323" s="23"/>
      <c r="E323" s="23"/>
      <c r="F323" s="4"/>
    </row>
    <row r="324" spans="2:6" ht="15.75" x14ac:dyDescent="0.25">
      <c r="B324" s="2"/>
      <c r="C324" s="23"/>
      <c r="D324" s="23"/>
      <c r="E324" s="23"/>
      <c r="F324" s="4"/>
    </row>
    <row r="325" spans="2:6" ht="15.75" x14ac:dyDescent="0.25">
      <c r="B325" s="2"/>
      <c r="C325" s="23"/>
      <c r="D325" s="23"/>
      <c r="E325" s="23"/>
      <c r="F325" s="4"/>
    </row>
    <row r="326" spans="2:6" ht="15.75" x14ac:dyDescent="0.25">
      <c r="B326" s="2"/>
      <c r="C326" s="23"/>
      <c r="D326" s="23"/>
      <c r="E326" s="23"/>
      <c r="F326" s="4"/>
    </row>
    <row r="327" spans="2:6" ht="15.75" x14ac:dyDescent="0.25">
      <c r="B327" s="2"/>
      <c r="C327" s="23"/>
      <c r="D327" s="23"/>
      <c r="E327" s="23"/>
      <c r="F327" s="4"/>
    </row>
    <row r="328" spans="2:6" ht="15.75" x14ac:dyDescent="0.25">
      <c r="B328" s="2"/>
      <c r="C328" s="23"/>
      <c r="D328" s="23"/>
      <c r="E328" s="23"/>
      <c r="F328" s="4"/>
    </row>
    <row r="329" spans="2:6" ht="15.75" x14ac:dyDescent="0.25">
      <c r="B329" s="2"/>
      <c r="C329" s="23"/>
      <c r="D329" s="23"/>
      <c r="E329" s="23"/>
      <c r="F329" s="4"/>
    </row>
    <row r="330" spans="2:6" ht="15.75" x14ac:dyDescent="0.25">
      <c r="B330" s="2"/>
      <c r="C330" s="23"/>
      <c r="D330" s="23"/>
      <c r="E330" s="23"/>
      <c r="F330" s="4"/>
    </row>
    <row r="331" spans="2:6" ht="15.75" x14ac:dyDescent="0.25">
      <c r="B331" s="2"/>
      <c r="C331" s="23"/>
      <c r="D331" s="23"/>
      <c r="E331" s="23"/>
      <c r="F331" s="4"/>
    </row>
    <row r="332" spans="2:6" ht="15.75" x14ac:dyDescent="0.25">
      <c r="B332" s="2"/>
      <c r="C332" s="23"/>
      <c r="D332" s="23"/>
      <c r="E332" s="23"/>
      <c r="F332" s="4"/>
    </row>
    <row r="333" spans="2:6" ht="15.75" x14ac:dyDescent="0.25">
      <c r="B333" s="2"/>
      <c r="C333" s="23"/>
      <c r="D333" s="23"/>
      <c r="E333" s="23"/>
      <c r="F333" s="4"/>
    </row>
    <row r="334" spans="2:6" ht="15.75" x14ac:dyDescent="0.25">
      <c r="B334" s="2"/>
      <c r="C334" s="23"/>
      <c r="D334" s="23"/>
      <c r="E334" s="23"/>
      <c r="F334" s="4"/>
    </row>
    <row r="335" spans="2:6" ht="15.75" x14ac:dyDescent="0.25">
      <c r="B335" s="2"/>
      <c r="C335" s="23"/>
      <c r="D335" s="23"/>
      <c r="E335" s="23"/>
      <c r="F335" s="4"/>
    </row>
    <row r="336" spans="2:6" ht="15.75" x14ac:dyDescent="0.25">
      <c r="B336" s="2"/>
      <c r="C336" s="23"/>
      <c r="D336" s="23"/>
      <c r="E336" s="23"/>
      <c r="F336" s="4"/>
    </row>
    <row r="337" spans="2:6" ht="15.75" x14ac:dyDescent="0.25">
      <c r="B337" s="2"/>
      <c r="C337" s="23"/>
      <c r="D337" s="23"/>
      <c r="E337" s="23"/>
      <c r="F337" s="4"/>
    </row>
    <row r="338" spans="2:6" ht="15.75" x14ac:dyDescent="0.25">
      <c r="B338" s="2"/>
      <c r="C338" s="23"/>
      <c r="D338" s="23"/>
      <c r="E338" s="23"/>
      <c r="F338" s="4"/>
    </row>
    <row r="339" spans="2:6" ht="15.75" x14ac:dyDescent="0.25">
      <c r="B339" s="2"/>
      <c r="C339" s="23"/>
      <c r="D339" s="23"/>
      <c r="E339" s="23"/>
      <c r="F339" s="4"/>
    </row>
    <row r="340" spans="2:6" ht="15.75" x14ac:dyDescent="0.25">
      <c r="B340" s="2"/>
      <c r="C340" s="23"/>
      <c r="D340" s="23"/>
      <c r="E340" s="23"/>
      <c r="F340" s="4"/>
    </row>
    <row r="341" spans="2:6" ht="15.75" x14ac:dyDescent="0.25">
      <c r="B341" s="2"/>
      <c r="C341" s="23"/>
      <c r="D341" s="23"/>
      <c r="E341" s="23"/>
      <c r="F341" s="4"/>
    </row>
    <row r="342" spans="2:6" ht="15.75" x14ac:dyDescent="0.25">
      <c r="B342" s="2"/>
      <c r="C342" s="23"/>
      <c r="D342" s="23"/>
      <c r="E342" s="23"/>
      <c r="F342" s="4"/>
    </row>
    <row r="343" spans="2:6" ht="15.75" x14ac:dyDescent="0.25">
      <c r="B343" s="2"/>
      <c r="C343" s="23"/>
      <c r="D343" s="23"/>
      <c r="E343" s="23"/>
      <c r="F343" s="4"/>
    </row>
    <row r="344" spans="2:6" ht="15.75" x14ac:dyDescent="0.25">
      <c r="B344" s="2"/>
      <c r="C344" s="23"/>
      <c r="D344" s="23"/>
      <c r="E344" s="23"/>
      <c r="F344" s="4"/>
    </row>
    <row r="345" spans="2:6" ht="15.75" x14ac:dyDescent="0.25">
      <c r="B345" s="2"/>
      <c r="C345" s="23"/>
      <c r="D345" s="23"/>
      <c r="E345" s="23"/>
      <c r="F345" s="4"/>
    </row>
    <row r="346" spans="2:6" ht="15.75" x14ac:dyDescent="0.25">
      <c r="B346" s="2"/>
      <c r="C346" s="23"/>
      <c r="D346" s="23"/>
      <c r="E346" s="23"/>
      <c r="F346" s="4"/>
    </row>
    <row r="347" spans="2:6" ht="15.75" x14ac:dyDescent="0.25">
      <c r="B347" s="2"/>
      <c r="C347" s="23"/>
      <c r="D347" s="23"/>
      <c r="E347" s="23"/>
      <c r="F347" s="4"/>
    </row>
    <row r="348" spans="2:6" ht="15.75" x14ac:dyDescent="0.25">
      <c r="B348" s="2"/>
      <c r="C348" s="23"/>
      <c r="D348" s="23"/>
      <c r="E348" s="23"/>
      <c r="F348" s="4"/>
    </row>
    <row r="349" spans="2:6" ht="15.75" x14ac:dyDescent="0.25">
      <c r="B349" s="2"/>
      <c r="C349" s="23"/>
      <c r="D349" s="23"/>
      <c r="E349" s="23"/>
      <c r="F349" s="4"/>
    </row>
    <row r="350" spans="2:6" ht="15.75" x14ac:dyDescent="0.25">
      <c r="B350" s="2"/>
      <c r="C350" s="23"/>
      <c r="D350" s="23"/>
      <c r="E350" s="23"/>
      <c r="F350" s="4"/>
    </row>
    <row r="351" spans="2:6" ht="15.75" x14ac:dyDescent="0.25">
      <c r="B351" s="2"/>
      <c r="C351" s="23"/>
      <c r="D351" s="23"/>
      <c r="E351" s="23"/>
      <c r="F351" s="4"/>
    </row>
    <row r="352" spans="2:6" ht="15.75" x14ac:dyDescent="0.25">
      <c r="B352" s="2"/>
      <c r="C352" s="23"/>
      <c r="D352" s="23"/>
      <c r="E352" s="23"/>
      <c r="F352" s="4"/>
    </row>
    <row r="353" spans="2:6" ht="15.75" x14ac:dyDescent="0.25">
      <c r="B353" s="2"/>
      <c r="C353" s="23"/>
      <c r="D353" s="23"/>
      <c r="E353" s="23"/>
      <c r="F353" s="4"/>
    </row>
    <row r="354" spans="2:6" ht="15.75" x14ac:dyDescent="0.25">
      <c r="B354" s="2"/>
      <c r="C354" s="23"/>
      <c r="D354" s="23"/>
      <c r="E354" s="23"/>
      <c r="F354" s="4"/>
    </row>
    <row r="355" spans="2:6" ht="15.75" x14ac:dyDescent="0.25">
      <c r="B355" s="2"/>
      <c r="C355" s="23"/>
      <c r="D355" s="23"/>
      <c r="E355" s="23"/>
      <c r="F355" s="4"/>
    </row>
    <row r="356" spans="2:6" ht="15.75" x14ac:dyDescent="0.25">
      <c r="B356" s="2"/>
      <c r="C356" s="23"/>
      <c r="D356" s="23"/>
      <c r="E356" s="23"/>
      <c r="F356" s="4"/>
    </row>
    <row r="357" spans="2:6" ht="15.75" x14ac:dyDescent="0.25">
      <c r="B357" s="2"/>
      <c r="C357" s="23"/>
      <c r="D357" s="23"/>
      <c r="E357" s="23"/>
      <c r="F357" s="4"/>
    </row>
    <row r="358" spans="2:6" ht="15.75" x14ac:dyDescent="0.25">
      <c r="B358" s="2"/>
      <c r="C358" s="23"/>
      <c r="D358" s="23"/>
      <c r="E358" s="23"/>
      <c r="F358" s="4"/>
    </row>
    <row r="359" spans="2:6" ht="15.75" x14ac:dyDescent="0.25">
      <c r="B359" s="2"/>
      <c r="C359" s="23"/>
      <c r="D359" s="23"/>
      <c r="E359" s="23"/>
      <c r="F359" s="4"/>
    </row>
    <row r="360" spans="2:6" ht="15.75" x14ac:dyDescent="0.25">
      <c r="B360" s="2"/>
      <c r="C360" s="23"/>
      <c r="D360" s="23"/>
      <c r="E360" s="23"/>
      <c r="F360" s="4"/>
    </row>
    <row r="361" spans="2:6" ht="15.75" x14ac:dyDescent="0.25">
      <c r="B361" s="2"/>
      <c r="C361" s="23"/>
      <c r="D361" s="23"/>
      <c r="E361" s="23"/>
      <c r="F361" s="4"/>
    </row>
    <row r="362" spans="2:6" ht="15.75" x14ac:dyDescent="0.25">
      <c r="B362" s="2"/>
      <c r="C362" s="23"/>
      <c r="D362" s="23"/>
      <c r="E362" s="23"/>
      <c r="F362" s="4"/>
    </row>
    <row r="363" spans="2:6" ht="15.75" x14ac:dyDescent="0.25">
      <c r="B363" s="2"/>
      <c r="C363" s="23"/>
      <c r="D363" s="23"/>
      <c r="E363" s="23"/>
      <c r="F363" s="4"/>
    </row>
    <row r="364" spans="2:6" ht="15.75" x14ac:dyDescent="0.25">
      <c r="B364" s="2"/>
      <c r="C364" s="23"/>
      <c r="D364" s="23"/>
      <c r="E364" s="23"/>
      <c r="F364" s="4"/>
    </row>
    <row r="365" spans="2:6" ht="15.75" x14ac:dyDescent="0.25">
      <c r="B365" s="2"/>
      <c r="C365" s="23"/>
      <c r="D365" s="23"/>
      <c r="E365" s="23"/>
      <c r="F365" s="4"/>
    </row>
    <row r="366" spans="2:6" ht="15.75" x14ac:dyDescent="0.25">
      <c r="B366" s="2"/>
      <c r="C366" s="23"/>
      <c r="D366" s="23"/>
      <c r="E366" s="23"/>
      <c r="F366" s="4"/>
    </row>
    <row r="367" spans="2:6" ht="15.75" x14ac:dyDescent="0.25">
      <c r="B367" s="2"/>
      <c r="C367" s="23"/>
      <c r="D367" s="23"/>
      <c r="E367" s="23"/>
      <c r="F367" s="4"/>
    </row>
    <row r="368" spans="2:6" ht="15.75" x14ac:dyDescent="0.25">
      <c r="B368" s="2"/>
      <c r="C368" s="23"/>
      <c r="D368" s="23"/>
      <c r="E368" s="23"/>
      <c r="F368" s="4"/>
    </row>
    <row r="369" spans="2:6" ht="15.75" x14ac:dyDescent="0.25">
      <c r="B369" s="2"/>
      <c r="C369" s="23"/>
      <c r="D369" s="23"/>
      <c r="E369" s="23"/>
      <c r="F369" s="4"/>
    </row>
    <row r="370" spans="2:6" ht="15.75" x14ac:dyDescent="0.25">
      <c r="B370" s="2"/>
      <c r="C370" s="23"/>
      <c r="D370" s="23"/>
      <c r="E370" s="23"/>
      <c r="F370" s="4"/>
    </row>
    <row r="371" spans="2:6" ht="15.75" x14ac:dyDescent="0.25">
      <c r="B371" s="2"/>
      <c r="C371" s="23"/>
      <c r="D371" s="23"/>
      <c r="E371" s="23"/>
      <c r="F371" s="4"/>
    </row>
    <row r="372" spans="2:6" ht="15.75" x14ac:dyDescent="0.25">
      <c r="B372" s="2"/>
      <c r="C372" s="23"/>
      <c r="D372" s="23"/>
      <c r="E372" s="23"/>
      <c r="F372" s="4"/>
    </row>
    <row r="373" spans="2:6" ht="15.75" x14ac:dyDescent="0.25">
      <c r="B373" s="2"/>
      <c r="C373" s="23"/>
      <c r="D373" s="23"/>
      <c r="E373" s="23"/>
      <c r="F373" s="4"/>
    </row>
    <row r="374" spans="2:6" ht="15.75" x14ac:dyDescent="0.25">
      <c r="B374" s="2"/>
      <c r="C374" s="23"/>
      <c r="D374" s="23"/>
      <c r="E374" s="23"/>
      <c r="F374" s="4"/>
    </row>
    <row r="375" spans="2:6" ht="15.75" x14ac:dyDescent="0.25">
      <c r="B375" s="2"/>
      <c r="C375" s="23"/>
      <c r="D375" s="23"/>
      <c r="E375" s="23"/>
      <c r="F375" s="4"/>
    </row>
    <row r="376" spans="2:6" ht="15.75" x14ac:dyDescent="0.25">
      <c r="B376" s="2"/>
      <c r="C376" s="23"/>
      <c r="D376" s="23"/>
      <c r="E376" s="23"/>
      <c r="F376" s="4"/>
    </row>
    <row r="377" spans="2:6" ht="15.75" x14ac:dyDescent="0.25">
      <c r="B377" s="2"/>
      <c r="C377" s="23"/>
      <c r="D377" s="23"/>
      <c r="E377" s="23"/>
      <c r="F377" s="4"/>
    </row>
    <row r="378" spans="2:6" ht="15.75" x14ac:dyDescent="0.25">
      <c r="B378" s="2"/>
      <c r="C378" s="23"/>
      <c r="D378" s="23"/>
      <c r="E378" s="23"/>
      <c r="F378" s="4"/>
    </row>
    <row r="379" spans="2:6" ht="15.75" x14ac:dyDescent="0.25">
      <c r="B379" s="2"/>
      <c r="C379" s="23"/>
      <c r="D379" s="23"/>
      <c r="E379" s="23"/>
      <c r="F379" s="4"/>
    </row>
    <row r="380" spans="2:6" ht="15.75" x14ac:dyDescent="0.25">
      <c r="B380" s="2"/>
      <c r="C380" s="23"/>
      <c r="D380" s="23"/>
      <c r="E380" s="23"/>
      <c r="F380" s="4"/>
    </row>
    <row r="381" spans="2:6" ht="15.75" x14ac:dyDescent="0.25">
      <c r="B381" s="2"/>
      <c r="C381" s="23"/>
      <c r="D381" s="23"/>
      <c r="E381" s="23"/>
      <c r="F381" s="4"/>
    </row>
    <row r="382" spans="2:6" ht="15.75" x14ac:dyDescent="0.25">
      <c r="B382" s="2"/>
      <c r="C382" s="23"/>
      <c r="D382" s="23"/>
      <c r="E382" s="23"/>
      <c r="F382" s="4"/>
    </row>
    <row r="383" spans="2:6" ht="15.75" x14ac:dyDescent="0.25">
      <c r="B383" s="2"/>
      <c r="C383" s="23"/>
      <c r="D383" s="23"/>
      <c r="E383" s="23"/>
      <c r="F383" s="4"/>
    </row>
    <row r="384" spans="2:6" ht="15.75" x14ac:dyDescent="0.25">
      <c r="B384" s="2"/>
      <c r="C384" s="23"/>
      <c r="D384" s="23"/>
      <c r="E384" s="23"/>
      <c r="F384" s="4"/>
    </row>
    <row r="385" spans="2:6" ht="15.75" x14ac:dyDescent="0.25">
      <c r="B385" s="2"/>
      <c r="C385" s="23"/>
      <c r="D385" s="23"/>
      <c r="E385" s="23"/>
      <c r="F385" s="4"/>
    </row>
    <row r="386" spans="2:6" ht="15.75" x14ac:dyDescent="0.25">
      <c r="B386" s="2"/>
      <c r="C386" s="23"/>
      <c r="D386" s="23"/>
      <c r="E386" s="23"/>
      <c r="F386" s="4"/>
    </row>
    <row r="387" spans="2:6" ht="15.75" x14ac:dyDescent="0.25">
      <c r="B387" s="2"/>
      <c r="C387" s="23"/>
      <c r="D387" s="23"/>
      <c r="E387" s="23"/>
      <c r="F387" s="4"/>
    </row>
    <row r="388" spans="2:6" ht="15.75" x14ac:dyDescent="0.25">
      <c r="B388" s="2"/>
      <c r="C388" s="23"/>
      <c r="D388" s="23"/>
      <c r="E388" s="23"/>
      <c r="F388" s="4"/>
    </row>
    <row r="389" spans="2:6" ht="15.75" x14ac:dyDescent="0.25">
      <c r="B389" s="2"/>
      <c r="C389" s="23"/>
      <c r="D389" s="23"/>
      <c r="E389" s="23"/>
      <c r="F389" s="4"/>
    </row>
    <row r="390" spans="2:6" ht="15.75" x14ac:dyDescent="0.25">
      <c r="B390" s="2"/>
      <c r="C390" s="23"/>
      <c r="D390" s="23"/>
      <c r="E390" s="23"/>
      <c r="F390" s="4"/>
    </row>
    <row r="391" spans="2:6" ht="15.75" x14ac:dyDescent="0.25">
      <c r="B391" s="2"/>
      <c r="C391" s="23"/>
      <c r="D391" s="23"/>
      <c r="E391" s="23"/>
      <c r="F391" s="4"/>
    </row>
    <row r="392" spans="2:6" ht="15.75" x14ac:dyDescent="0.25">
      <c r="B392" s="2"/>
      <c r="C392" s="23"/>
      <c r="D392" s="23"/>
      <c r="E392" s="23"/>
      <c r="F392" s="4"/>
    </row>
    <row r="393" spans="2:6" ht="15.75" x14ac:dyDescent="0.25">
      <c r="B393" s="2"/>
      <c r="C393" s="23"/>
      <c r="D393" s="23"/>
      <c r="E393" s="23"/>
      <c r="F393" s="4"/>
    </row>
    <row r="394" spans="2:6" ht="15.75" x14ac:dyDescent="0.25">
      <c r="B394" s="2"/>
      <c r="C394" s="23"/>
      <c r="D394" s="23"/>
      <c r="E394" s="23"/>
      <c r="F394" s="4"/>
    </row>
    <row r="395" spans="2:6" ht="15.75" x14ac:dyDescent="0.25">
      <c r="B395" s="2"/>
      <c r="C395" s="23"/>
      <c r="D395" s="23"/>
      <c r="E395" s="23"/>
      <c r="F395" s="4"/>
    </row>
    <row r="396" spans="2:6" ht="15.75" x14ac:dyDescent="0.25">
      <c r="B396" s="2"/>
      <c r="C396" s="23"/>
      <c r="D396" s="23"/>
      <c r="E396" s="23"/>
      <c r="F396" s="4"/>
    </row>
    <row r="397" spans="2:6" ht="15.75" x14ac:dyDescent="0.25">
      <c r="B397" s="2"/>
      <c r="C397" s="23"/>
      <c r="D397" s="23"/>
      <c r="E397" s="23"/>
      <c r="F397" s="4"/>
    </row>
    <row r="398" spans="2:6" ht="15.75" x14ac:dyDescent="0.25">
      <c r="B398" s="2"/>
      <c r="C398" s="23"/>
      <c r="D398" s="23"/>
      <c r="E398" s="23"/>
      <c r="F398" s="4"/>
    </row>
    <row r="399" spans="2:6" ht="15.75" x14ac:dyDescent="0.25">
      <c r="B399" s="2"/>
      <c r="C399" s="23"/>
      <c r="D399" s="23"/>
      <c r="E399" s="23"/>
      <c r="F399" s="4"/>
    </row>
    <row r="400" spans="2:6" ht="15.75" x14ac:dyDescent="0.25">
      <c r="B400" s="2"/>
      <c r="C400" s="23"/>
      <c r="D400" s="23"/>
      <c r="E400" s="23"/>
      <c r="F400" s="4"/>
    </row>
    <row r="401" spans="2:6" ht="15.75" x14ac:dyDescent="0.25">
      <c r="B401" s="2"/>
      <c r="C401" s="23"/>
      <c r="D401" s="23"/>
      <c r="E401" s="23"/>
      <c r="F401" s="4"/>
    </row>
    <row r="402" spans="2:6" ht="15.75" x14ac:dyDescent="0.25">
      <c r="B402" s="2"/>
      <c r="C402" s="23"/>
      <c r="D402" s="23"/>
      <c r="E402" s="23"/>
      <c r="F402" s="4"/>
    </row>
    <row r="403" spans="2:6" ht="15.75" x14ac:dyDescent="0.25">
      <c r="B403" s="2"/>
      <c r="C403" s="23"/>
      <c r="D403" s="23"/>
      <c r="E403" s="23"/>
      <c r="F403" s="4"/>
    </row>
    <row r="404" spans="2:6" ht="15.75" x14ac:dyDescent="0.25">
      <c r="B404" s="2"/>
      <c r="C404" s="23"/>
      <c r="D404" s="23"/>
      <c r="E404" s="23"/>
      <c r="F404" s="4"/>
    </row>
    <row r="405" spans="2:6" ht="15.75" x14ac:dyDescent="0.25">
      <c r="B405" s="2"/>
      <c r="C405" s="23"/>
      <c r="D405" s="23"/>
      <c r="E405" s="25"/>
      <c r="F405" s="6"/>
    </row>
    <row r="406" spans="2:6" ht="15.75" x14ac:dyDescent="0.25">
      <c r="B406" s="2"/>
      <c r="C406" s="23"/>
      <c r="D406" s="23"/>
      <c r="E406" s="25"/>
      <c r="F406" s="6"/>
    </row>
    <row r="407" spans="2:6" ht="15.75" x14ac:dyDescent="0.25">
      <c r="B407" s="418"/>
      <c r="C407" s="67"/>
      <c r="D407" s="419"/>
      <c r="E407" s="419"/>
      <c r="F407" s="420"/>
    </row>
    <row r="408" spans="2:6" ht="15.75" x14ac:dyDescent="0.25">
      <c r="B408" s="427"/>
      <c r="C408" s="67"/>
      <c r="D408" s="428"/>
      <c r="E408" s="428"/>
      <c r="F408" s="429"/>
    </row>
    <row r="409" spans="2:6" ht="15.75" x14ac:dyDescent="0.25">
      <c r="B409" s="427"/>
      <c r="C409" s="67"/>
      <c r="D409" s="428"/>
      <c r="E409" s="428"/>
      <c r="F409" s="429"/>
    </row>
    <row r="410" spans="2:6" ht="15.75" x14ac:dyDescent="0.25">
      <c r="B410" s="427"/>
      <c r="C410" s="67"/>
      <c r="D410" s="428"/>
      <c r="E410" s="428"/>
      <c r="F410" s="429"/>
    </row>
    <row r="411" spans="2:6" ht="15.75" x14ac:dyDescent="0.25">
      <c r="B411" s="427"/>
      <c r="C411" s="67"/>
      <c r="D411" s="428"/>
      <c r="E411" s="428"/>
      <c r="F411" s="429"/>
    </row>
    <row r="412" spans="2:6" ht="15.75" x14ac:dyDescent="0.25">
      <c r="B412" s="427"/>
      <c r="C412" s="67"/>
      <c r="D412" s="428"/>
      <c r="E412" s="428"/>
      <c r="F412" s="429"/>
    </row>
    <row r="413" spans="2:6" ht="15.75" x14ac:dyDescent="0.25">
      <c r="B413" s="427"/>
      <c r="C413" s="67"/>
      <c r="D413" s="428"/>
      <c r="E413" s="428"/>
      <c r="F413" s="429"/>
    </row>
    <row r="414" spans="2:6" ht="15.75" x14ac:dyDescent="0.25">
      <c r="B414" s="427"/>
      <c r="C414" s="67"/>
      <c r="D414" s="428"/>
      <c r="E414" s="428"/>
      <c r="F414" s="429"/>
    </row>
    <row r="415" spans="2:6" ht="15.75" x14ac:dyDescent="0.25">
      <c r="B415" s="427"/>
      <c r="C415" s="67"/>
      <c r="D415" s="428"/>
      <c r="E415" s="428"/>
      <c r="F415" s="429"/>
    </row>
    <row r="416" spans="2:6" ht="15.75" x14ac:dyDescent="0.25">
      <c r="B416" s="427"/>
      <c r="C416" s="67"/>
      <c r="D416" s="428"/>
      <c r="E416" s="428"/>
      <c r="F416" s="429"/>
    </row>
    <row r="417" spans="2:6" ht="15.75" x14ac:dyDescent="0.25">
      <c r="B417" s="427"/>
      <c r="C417" s="67"/>
      <c r="D417" s="428"/>
      <c r="E417" s="428"/>
      <c r="F417" s="429"/>
    </row>
    <row r="418" spans="2:6" ht="15.75" x14ac:dyDescent="0.25">
      <c r="B418" s="427"/>
      <c r="C418" s="67"/>
      <c r="D418" s="428"/>
      <c r="E418" s="428"/>
      <c r="F418" s="429"/>
    </row>
    <row r="419" spans="2:6" ht="15.75" x14ac:dyDescent="0.25">
      <c r="B419" s="427"/>
      <c r="C419" s="67"/>
      <c r="D419" s="428"/>
      <c r="E419" s="428"/>
      <c r="F419" s="429"/>
    </row>
    <row r="420" spans="2:6" ht="15.75" x14ac:dyDescent="0.25">
      <c r="B420" s="427"/>
      <c r="C420" s="67"/>
      <c r="D420" s="428"/>
      <c r="E420" s="428"/>
      <c r="F420" s="429"/>
    </row>
    <row r="421" spans="2:6" ht="15.75" x14ac:dyDescent="0.25">
      <c r="B421" s="427"/>
      <c r="C421" s="67"/>
      <c r="D421" s="428"/>
      <c r="E421" s="428"/>
      <c r="F421" s="429"/>
    </row>
    <row r="422" spans="2:6" ht="15.75" x14ac:dyDescent="0.25">
      <c r="B422" s="427"/>
      <c r="C422" s="67"/>
      <c r="D422" s="428"/>
      <c r="E422" s="428"/>
      <c r="F422" s="429"/>
    </row>
    <row r="423" spans="2:6" ht="15.75" x14ac:dyDescent="0.25">
      <c r="B423" s="427"/>
      <c r="C423" s="67"/>
      <c r="D423" s="428"/>
      <c r="E423" s="428"/>
      <c r="F423" s="429"/>
    </row>
    <row r="424" spans="2:6" ht="15.75" x14ac:dyDescent="0.25">
      <c r="B424" s="427"/>
      <c r="C424" s="67"/>
      <c r="D424" s="428"/>
      <c r="E424" s="428"/>
      <c r="F424" s="429"/>
    </row>
    <row r="425" spans="2:6" ht="15.75" x14ac:dyDescent="0.25">
      <c r="B425" s="427"/>
      <c r="C425" s="67"/>
      <c r="D425" s="428"/>
      <c r="E425" s="428"/>
      <c r="F425" s="429"/>
    </row>
    <row r="426" spans="2:6" ht="15.75" x14ac:dyDescent="0.25">
      <c r="B426" s="427"/>
      <c r="C426" s="67"/>
      <c r="D426" s="428"/>
      <c r="E426" s="428"/>
      <c r="F426" s="429"/>
    </row>
    <row r="427" spans="2:6" ht="15.75" x14ac:dyDescent="0.25">
      <c r="B427" s="427"/>
      <c r="C427" s="67"/>
      <c r="D427" s="428"/>
      <c r="E427" s="428"/>
      <c r="F427" s="429"/>
    </row>
    <row r="428" spans="2:6" ht="15.75" x14ac:dyDescent="0.25">
      <c r="B428" s="427"/>
      <c r="C428" s="67"/>
      <c r="D428" s="428"/>
      <c r="E428" s="428"/>
      <c r="F428" s="429"/>
    </row>
    <row r="429" spans="2:6" ht="15.75" x14ac:dyDescent="0.25">
      <c r="B429" s="427"/>
      <c r="C429" s="67"/>
      <c r="D429" s="428"/>
      <c r="E429" s="428"/>
      <c r="F429" s="429"/>
    </row>
    <row r="430" spans="2:6" ht="15.75" x14ac:dyDescent="0.25">
      <c r="B430" s="427"/>
      <c r="C430" s="67"/>
      <c r="D430" s="428"/>
      <c r="E430" s="428"/>
      <c r="F430" s="429"/>
    </row>
    <row r="431" spans="2:6" ht="15.75" x14ac:dyDescent="0.25">
      <c r="B431" s="427"/>
      <c r="C431" s="67"/>
      <c r="D431" s="428"/>
      <c r="E431" s="428"/>
      <c r="F431" s="429"/>
    </row>
    <row r="432" spans="2:6" ht="15.75" x14ac:dyDescent="0.25">
      <c r="B432" s="427"/>
      <c r="C432" s="67"/>
      <c r="D432" s="428"/>
      <c r="E432" s="428"/>
      <c r="F432" s="429"/>
    </row>
    <row r="433" spans="2:6" ht="15.75" x14ac:dyDescent="0.25">
      <c r="B433" s="427"/>
      <c r="C433" s="67"/>
      <c r="D433" s="428"/>
      <c r="E433" s="428"/>
      <c r="F433" s="429"/>
    </row>
    <row r="434" spans="2:6" ht="15.75" x14ac:dyDescent="0.25">
      <c r="B434" s="427"/>
      <c r="C434" s="67"/>
      <c r="D434" s="428"/>
      <c r="E434" s="428"/>
      <c r="F434" s="429"/>
    </row>
    <row r="435" spans="2:6" ht="15.75" x14ac:dyDescent="0.25">
      <c r="B435" s="427"/>
      <c r="C435" s="67"/>
      <c r="D435" s="428"/>
      <c r="E435" s="428"/>
      <c r="F435" s="429"/>
    </row>
    <row r="436" spans="2:6" ht="15.75" x14ac:dyDescent="0.25">
      <c r="B436" s="427"/>
      <c r="C436" s="67"/>
      <c r="D436" s="428"/>
      <c r="E436" s="428"/>
      <c r="F436" s="429"/>
    </row>
    <row r="437" spans="2:6" ht="15.75" x14ac:dyDescent="0.25">
      <c r="B437" s="427"/>
      <c r="C437" s="67"/>
      <c r="D437" s="428"/>
      <c r="E437" s="428"/>
      <c r="F437" s="429"/>
    </row>
    <row r="438" spans="2:6" ht="15.75" x14ac:dyDescent="0.25">
      <c r="B438" s="427"/>
      <c r="C438" s="67"/>
      <c r="D438" s="428"/>
      <c r="E438" s="428"/>
      <c r="F438" s="429"/>
    </row>
    <row r="439" spans="2:6" ht="15.75" x14ac:dyDescent="0.25">
      <c r="B439" s="427"/>
      <c r="C439" s="67"/>
      <c r="D439" s="428"/>
      <c r="E439" s="428"/>
      <c r="F439" s="429"/>
    </row>
    <row r="440" spans="2:6" ht="15.75" x14ac:dyDescent="0.25">
      <c r="B440" s="427"/>
      <c r="C440" s="67"/>
      <c r="D440" s="428"/>
      <c r="E440" s="428"/>
      <c r="F440" s="429"/>
    </row>
    <row r="441" spans="2:6" ht="15.75" x14ac:dyDescent="0.25">
      <c r="B441" s="427"/>
      <c r="C441" s="67"/>
      <c r="D441" s="428"/>
      <c r="E441" s="428"/>
      <c r="F441" s="429"/>
    </row>
    <row r="442" spans="2:6" ht="15.75" x14ac:dyDescent="0.25">
      <c r="B442" s="427"/>
      <c r="C442" s="67"/>
      <c r="D442" s="428"/>
      <c r="E442" s="428"/>
      <c r="F442" s="429"/>
    </row>
    <row r="443" spans="2:6" ht="15.75" x14ac:dyDescent="0.25">
      <c r="B443" s="427"/>
      <c r="C443" s="67"/>
      <c r="D443" s="428"/>
      <c r="E443" s="428"/>
      <c r="F443" s="429"/>
    </row>
    <row r="444" spans="2:6" ht="15.75" x14ac:dyDescent="0.25">
      <c r="B444" s="427"/>
      <c r="C444" s="67"/>
      <c r="D444" s="428"/>
      <c r="E444" s="428"/>
      <c r="F444" s="429"/>
    </row>
    <row r="445" spans="2:6" ht="15.75" x14ac:dyDescent="0.25">
      <c r="B445" s="427"/>
      <c r="C445" s="67"/>
      <c r="D445" s="428"/>
      <c r="E445" s="428"/>
      <c r="F445" s="429"/>
    </row>
    <row r="446" spans="2:6" ht="15.75" x14ac:dyDescent="0.25">
      <c r="B446" s="427"/>
      <c r="C446" s="67"/>
      <c r="D446" s="428"/>
      <c r="E446" s="428"/>
      <c r="F446" s="429"/>
    </row>
    <row r="447" spans="2:6" ht="15.75" x14ac:dyDescent="0.25">
      <c r="B447" s="427"/>
      <c r="C447" s="67"/>
      <c r="D447" s="428"/>
      <c r="E447" s="428"/>
      <c r="F447" s="429"/>
    </row>
    <row r="448" spans="2:6" ht="15.75" x14ac:dyDescent="0.25">
      <c r="B448" s="427"/>
      <c r="C448" s="67"/>
      <c r="D448" s="428"/>
      <c r="E448" s="428"/>
      <c r="F448" s="429"/>
    </row>
    <row r="449" spans="2:6" ht="15.75" x14ac:dyDescent="0.25">
      <c r="B449" s="427"/>
      <c r="C449" s="67"/>
      <c r="D449" s="428"/>
      <c r="E449" s="428"/>
      <c r="F449" s="429"/>
    </row>
    <row r="450" spans="2:6" ht="15.75" x14ac:dyDescent="0.25">
      <c r="B450" s="427"/>
      <c r="C450" s="67"/>
      <c r="D450" s="428"/>
      <c r="E450" s="428"/>
      <c r="F450" s="429"/>
    </row>
    <row r="451" spans="2:6" ht="15.75" x14ac:dyDescent="0.25">
      <c r="B451" s="427"/>
      <c r="C451" s="67"/>
      <c r="D451" s="428"/>
      <c r="E451" s="428"/>
      <c r="F451" s="429"/>
    </row>
    <row r="452" spans="2:6" ht="15.75" x14ac:dyDescent="0.25">
      <c r="B452" s="427"/>
      <c r="C452" s="67"/>
      <c r="D452" s="428"/>
      <c r="E452" s="428"/>
      <c r="F452" s="429"/>
    </row>
    <row r="453" spans="2:6" ht="15.75" x14ac:dyDescent="0.25">
      <c r="B453" s="427"/>
      <c r="C453" s="67"/>
      <c r="D453" s="428"/>
      <c r="E453" s="428"/>
      <c r="F453" s="429"/>
    </row>
    <row r="454" spans="2:6" ht="15.75" x14ac:dyDescent="0.25">
      <c r="B454" s="427"/>
      <c r="C454" s="67"/>
      <c r="D454" s="428"/>
      <c r="E454" s="428"/>
      <c r="F454" s="429"/>
    </row>
    <row r="455" spans="2:6" ht="15.75" x14ac:dyDescent="0.25">
      <c r="B455" s="427"/>
      <c r="C455" s="67"/>
      <c r="D455" s="428"/>
      <c r="E455" s="428"/>
      <c r="F455" s="429"/>
    </row>
    <row r="456" spans="2:6" ht="15.75" x14ac:dyDescent="0.25">
      <c r="B456" s="427"/>
      <c r="C456" s="67"/>
      <c r="D456" s="428"/>
      <c r="E456" s="428"/>
      <c r="F456" s="429"/>
    </row>
    <row r="457" spans="2:6" ht="15.75" x14ac:dyDescent="0.25">
      <c r="B457" s="427"/>
      <c r="C457" s="67"/>
      <c r="D457" s="428"/>
      <c r="E457" s="428"/>
      <c r="F457" s="429"/>
    </row>
    <row r="458" spans="2:6" ht="15.75" x14ac:dyDescent="0.25">
      <c r="B458" s="427"/>
      <c r="C458" s="67"/>
      <c r="D458" s="428"/>
      <c r="E458" s="428"/>
      <c r="F458" s="429"/>
    </row>
    <row r="459" spans="2:6" ht="15.75" x14ac:dyDescent="0.25">
      <c r="B459" s="427"/>
      <c r="C459" s="67"/>
      <c r="D459" s="428"/>
      <c r="E459" s="428"/>
      <c r="F459" s="429"/>
    </row>
    <row r="460" spans="2:6" ht="15.75" x14ac:dyDescent="0.25">
      <c r="B460" s="427"/>
      <c r="C460" s="67"/>
      <c r="D460" s="428"/>
      <c r="E460" s="428"/>
      <c r="F460" s="429"/>
    </row>
    <row r="461" spans="2:6" ht="15.75" x14ac:dyDescent="0.25">
      <c r="B461" s="427"/>
      <c r="C461" s="67"/>
      <c r="D461" s="428"/>
      <c r="E461" s="428"/>
      <c r="F461" s="429"/>
    </row>
    <row r="462" spans="2:6" ht="15.75" x14ac:dyDescent="0.25">
      <c r="B462" s="427"/>
      <c r="C462" s="67"/>
      <c r="D462" s="428"/>
      <c r="E462" s="428"/>
      <c r="F462" s="429"/>
    </row>
    <row r="463" spans="2:6" ht="15.75" x14ac:dyDescent="0.25">
      <c r="B463" s="427"/>
      <c r="C463" s="67"/>
      <c r="D463" s="428"/>
      <c r="E463" s="428"/>
      <c r="F463" s="429"/>
    </row>
    <row r="464" spans="2:6" ht="15.75" x14ac:dyDescent="0.25">
      <c r="B464" s="427"/>
      <c r="C464" s="67"/>
      <c r="D464" s="428"/>
      <c r="E464" s="428"/>
      <c r="F464" s="429"/>
    </row>
    <row r="465" spans="2:6" ht="15.75" x14ac:dyDescent="0.25">
      <c r="B465" s="427"/>
      <c r="C465" s="67"/>
      <c r="D465" s="428"/>
      <c r="E465" s="428"/>
      <c r="F465" s="429"/>
    </row>
    <row r="466" spans="2:6" ht="15.75" x14ac:dyDescent="0.25">
      <c r="B466" s="427"/>
      <c r="C466" s="67"/>
      <c r="D466" s="428"/>
      <c r="E466" s="428"/>
      <c r="F466" s="429"/>
    </row>
    <row r="467" spans="2:6" ht="15.75" x14ac:dyDescent="0.25">
      <c r="B467" s="427"/>
      <c r="C467" s="67"/>
      <c r="D467" s="428"/>
      <c r="E467" s="428"/>
      <c r="F467" s="429"/>
    </row>
    <row r="468" spans="2:6" ht="15.75" x14ac:dyDescent="0.25">
      <c r="B468" s="427"/>
      <c r="C468" s="67"/>
      <c r="D468" s="428"/>
      <c r="E468" s="428"/>
      <c r="F468" s="429"/>
    </row>
    <row r="469" spans="2:6" ht="15.75" x14ac:dyDescent="0.25">
      <c r="B469" s="427"/>
      <c r="C469" s="67"/>
      <c r="D469" s="428"/>
      <c r="E469" s="428"/>
      <c r="F469" s="429"/>
    </row>
    <row r="470" spans="2:6" ht="15.75" x14ac:dyDescent="0.25">
      <c r="B470" s="427"/>
      <c r="C470" s="67"/>
      <c r="D470" s="428"/>
      <c r="E470" s="428"/>
      <c r="F470" s="429"/>
    </row>
    <row r="471" spans="2:6" ht="15.75" x14ac:dyDescent="0.25">
      <c r="B471" s="427"/>
      <c r="C471" s="67"/>
      <c r="D471" s="428"/>
      <c r="E471" s="428"/>
      <c r="F471" s="429"/>
    </row>
    <row r="472" spans="2:6" ht="15.75" x14ac:dyDescent="0.25">
      <c r="B472" s="427"/>
      <c r="C472" s="67"/>
      <c r="D472" s="428"/>
      <c r="E472" s="428"/>
      <c r="F472" s="429"/>
    </row>
    <row r="473" spans="2:6" ht="15.75" x14ac:dyDescent="0.25">
      <c r="B473" s="427"/>
      <c r="C473" s="67"/>
      <c r="D473" s="428"/>
      <c r="E473" s="428"/>
      <c r="F473" s="429"/>
    </row>
    <row r="474" spans="2:6" ht="15.75" x14ac:dyDescent="0.25">
      <c r="B474" s="427"/>
      <c r="C474" s="67"/>
      <c r="D474" s="428"/>
      <c r="E474" s="428"/>
      <c r="F474" s="429"/>
    </row>
    <row r="475" spans="2:6" ht="15.75" x14ac:dyDescent="0.25">
      <c r="B475" s="427"/>
      <c r="C475" s="67"/>
      <c r="D475" s="428"/>
      <c r="E475" s="428"/>
      <c r="F475" s="429"/>
    </row>
    <row r="476" spans="2:6" ht="15.75" x14ac:dyDescent="0.25">
      <c r="B476" s="427"/>
      <c r="C476" s="67"/>
      <c r="D476" s="428"/>
      <c r="E476" s="428"/>
      <c r="F476" s="429"/>
    </row>
    <row r="477" spans="2:6" ht="15.75" x14ac:dyDescent="0.25">
      <c r="B477" s="427"/>
      <c r="C477" s="67"/>
      <c r="D477" s="428"/>
      <c r="E477" s="428"/>
      <c r="F477" s="429"/>
    </row>
    <row r="478" spans="2:6" ht="15.75" x14ac:dyDescent="0.25">
      <c r="B478" s="427"/>
      <c r="C478" s="67"/>
      <c r="D478" s="428"/>
      <c r="E478" s="428"/>
      <c r="F478" s="429"/>
    </row>
    <row r="479" spans="2:6" ht="15.75" x14ac:dyDescent="0.25">
      <c r="B479" s="427"/>
      <c r="C479" s="67"/>
      <c r="D479" s="428"/>
      <c r="E479" s="428"/>
      <c r="F479" s="429"/>
    </row>
    <row r="480" spans="2:6" ht="15.75" x14ac:dyDescent="0.25">
      <c r="B480" s="427"/>
      <c r="C480" s="67"/>
      <c r="D480" s="428"/>
      <c r="E480" s="428"/>
      <c r="F480" s="429"/>
    </row>
    <row r="481" spans="2:6" ht="15.75" x14ac:dyDescent="0.25">
      <c r="B481" s="427"/>
      <c r="C481" s="67"/>
      <c r="D481" s="428"/>
      <c r="E481" s="428"/>
      <c r="F481" s="429"/>
    </row>
    <row r="482" spans="2:6" ht="15.75" x14ac:dyDescent="0.25">
      <c r="B482" s="427"/>
      <c r="C482" s="67"/>
      <c r="D482" s="428"/>
      <c r="E482" s="428"/>
      <c r="F482" s="429"/>
    </row>
    <row r="483" spans="2:6" ht="15.75" x14ac:dyDescent="0.25">
      <c r="B483" s="427"/>
      <c r="C483" s="67"/>
      <c r="D483" s="428"/>
      <c r="E483" s="428"/>
      <c r="F483" s="429"/>
    </row>
    <row r="484" spans="2:6" ht="15.75" x14ac:dyDescent="0.25">
      <c r="B484" s="427"/>
      <c r="C484" s="67"/>
      <c r="D484" s="428"/>
      <c r="E484" s="428"/>
      <c r="F484" s="429"/>
    </row>
    <row r="485" spans="2:6" ht="15.75" x14ac:dyDescent="0.25">
      <c r="B485" s="427"/>
      <c r="C485" s="67"/>
      <c r="D485" s="428"/>
      <c r="E485" s="428"/>
      <c r="F485" s="429"/>
    </row>
    <row r="486" spans="2:6" ht="15.75" x14ac:dyDescent="0.25">
      <c r="B486" s="427"/>
      <c r="C486" s="67"/>
      <c r="D486" s="428"/>
      <c r="E486" s="428"/>
      <c r="F486" s="429"/>
    </row>
    <row r="487" spans="2:6" ht="15.75" x14ac:dyDescent="0.25">
      <c r="B487" s="427"/>
      <c r="C487" s="67"/>
      <c r="D487" s="428"/>
      <c r="E487" s="428"/>
      <c r="F487" s="429"/>
    </row>
    <row r="488" spans="2:6" ht="15.75" x14ac:dyDescent="0.25">
      <c r="B488" s="427"/>
      <c r="C488" s="67"/>
      <c r="D488" s="428"/>
      <c r="E488" s="428"/>
      <c r="F488" s="429"/>
    </row>
    <row r="489" spans="2:6" ht="15.75" x14ac:dyDescent="0.25">
      <c r="B489" s="427"/>
      <c r="C489" s="67"/>
      <c r="D489" s="428"/>
      <c r="E489" s="428"/>
      <c r="F489" s="429"/>
    </row>
    <row r="490" spans="2:6" ht="15.75" x14ac:dyDescent="0.25">
      <c r="B490" s="427"/>
      <c r="C490" s="67"/>
      <c r="D490" s="428"/>
      <c r="E490" s="428"/>
      <c r="F490" s="429"/>
    </row>
    <row r="491" spans="2:6" ht="15.75" x14ac:dyDescent="0.25">
      <c r="B491" s="427"/>
      <c r="C491" s="67"/>
      <c r="D491" s="428"/>
      <c r="E491" s="428"/>
      <c r="F491" s="429"/>
    </row>
    <row r="492" spans="2:6" ht="15.75" x14ac:dyDescent="0.25">
      <c r="B492" s="427"/>
      <c r="C492" s="67"/>
      <c r="D492" s="428"/>
      <c r="E492" s="428"/>
      <c r="F492" s="429"/>
    </row>
    <row r="493" spans="2:6" ht="15.75" x14ac:dyDescent="0.25">
      <c r="B493" s="427"/>
      <c r="C493" s="67"/>
      <c r="D493" s="428"/>
      <c r="E493" s="428"/>
      <c r="F493" s="429"/>
    </row>
    <row r="494" spans="2:6" ht="15.75" x14ac:dyDescent="0.25">
      <c r="B494" s="427"/>
      <c r="C494" s="67"/>
      <c r="D494" s="428"/>
      <c r="E494" s="428"/>
      <c r="F494" s="429"/>
    </row>
    <row r="495" spans="2:6" ht="15.75" x14ac:dyDescent="0.25">
      <c r="B495" s="427"/>
      <c r="C495" s="67"/>
      <c r="D495" s="428"/>
      <c r="E495" s="428"/>
      <c r="F495" s="429"/>
    </row>
    <row r="496" spans="2:6" ht="15.75" x14ac:dyDescent="0.25">
      <c r="B496" s="427"/>
      <c r="C496" s="67"/>
      <c r="D496" s="428"/>
      <c r="E496" s="428"/>
      <c r="F496" s="429"/>
    </row>
    <row r="497" spans="2:6" ht="15.75" x14ac:dyDescent="0.25">
      <c r="B497" s="427"/>
      <c r="C497" s="67"/>
      <c r="D497" s="428"/>
      <c r="E497" s="428"/>
      <c r="F497" s="429"/>
    </row>
    <row r="498" spans="2:6" ht="15.75" x14ac:dyDescent="0.25">
      <c r="B498" s="427"/>
      <c r="C498" s="67"/>
      <c r="D498" s="428"/>
      <c r="E498" s="428"/>
      <c r="F498" s="429"/>
    </row>
    <row r="499" spans="2:6" ht="15.75" x14ac:dyDescent="0.25">
      <c r="B499" s="427"/>
      <c r="C499" s="67"/>
      <c r="D499" s="428"/>
      <c r="E499" s="428"/>
      <c r="F499" s="429"/>
    </row>
    <row r="500" spans="2:6" ht="15.75" x14ac:dyDescent="0.25">
      <c r="B500" s="427"/>
      <c r="C500" s="67"/>
      <c r="D500" s="428"/>
      <c r="E500" s="428"/>
      <c r="F500" s="429"/>
    </row>
    <row r="501" spans="2:6" ht="15.75" x14ac:dyDescent="0.25">
      <c r="B501" s="427"/>
      <c r="C501" s="67"/>
      <c r="D501" s="428"/>
      <c r="E501" s="428"/>
      <c r="F501" s="429"/>
    </row>
    <row r="502" spans="2:6" ht="15.75" x14ac:dyDescent="0.25">
      <c r="B502" s="427"/>
      <c r="C502" s="67"/>
      <c r="D502" s="428"/>
      <c r="E502" s="428"/>
      <c r="F502" s="429"/>
    </row>
    <row r="503" spans="2:6" ht="15.75" x14ac:dyDescent="0.25">
      <c r="B503" s="427"/>
      <c r="C503" s="67"/>
      <c r="D503" s="428"/>
      <c r="E503" s="428"/>
      <c r="F503" s="429"/>
    </row>
    <row r="504" spans="2:6" ht="15.75" x14ac:dyDescent="0.25">
      <c r="B504" s="427"/>
      <c r="C504" s="67"/>
      <c r="D504" s="428"/>
      <c r="E504" s="428"/>
      <c r="F504" s="429"/>
    </row>
    <row r="505" spans="2:6" ht="15.75" x14ac:dyDescent="0.25">
      <c r="B505" s="427"/>
      <c r="C505" s="67"/>
      <c r="D505" s="428"/>
      <c r="E505" s="428"/>
      <c r="F505" s="429"/>
    </row>
    <row r="506" spans="2:6" ht="15.75" x14ac:dyDescent="0.25">
      <c r="B506" s="427"/>
      <c r="C506" s="67"/>
      <c r="D506" s="428"/>
      <c r="E506" s="428"/>
      <c r="F506" s="429"/>
    </row>
    <row r="507" spans="2:6" ht="15.75" x14ac:dyDescent="0.25">
      <c r="B507" s="427"/>
      <c r="C507" s="67"/>
      <c r="D507" s="428"/>
      <c r="E507" s="428"/>
      <c r="F507" s="429"/>
    </row>
    <row r="508" spans="2:6" ht="15.75" x14ac:dyDescent="0.25">
      <c r="B508" s="427"/>
      <c r="C508" s="67"/>
      <c r="D508" s="428"/>
      <c r="E508" s="428"/>
      <c r="F508" s="429"/>
    </row>
    <row r="509" spans="2:6" ht="15.75" x14ac:dyDescent="0.25">
      <c r="B509" s="427"/>
      <c r="C509" s="67"/>
      <c r="D509" s="428"/>
      <c r="E509" s="428"/>
      <c r="F509" s="429"/>
    </row>
    <row r="510" spans="2:6" ht="15.75" x14ac:dyDescent="0.25">
      <c r="B510" s="427"/>
      <c r="C510" s="67"/>
      <c r="D510" s="428"/>
      <c r="E510" s="428"/>
      <c r="F510" s="429"/>
    </row>
    <row r="511" spans="2:6" ht="15.75" x14ac:dyDescent="0.25">
      <c r="B511" s="427"/>
      <c r="C511" s="67"/>
      <c r="D511" s="428"/>
      <c r="E511" s="428"/>
      <c r="F511" s="429"/>
    </row>
    <row r="512" spans="2:6" ht="15.75" x14ac:dyDescent="0.25">
      <c r="B512" s="427"/>
      <c r="C512" s="67"/>
      <c r="D512" s="428"/>
      <c r="E512" s="428"/>
      <c r="F512" s="429"/>
    </row>
    <row r="513" spans="2:6" ht="15.75" x14ac:dyDescent="0.25">
      <c r="B513" s="427"/>
      <c r="C513" s="67"/>
      <c r="D513" s="428"/>
      <c r="E513" s="428"/>
      <c r="F513" s="429"/>
    </row>
    <row r="514" spans="2:6" ht="15.75" x14ac:dyDescent="0.25">
      <c r="B514" s="427"/>
      <c r="C514" s="67"/>
      <c r="D514" s="428"/>
      <c r="E514" s="428"/>
      <c r="F514" s="429"/>
    </row>
    <row r="515" spans="2:6" ht="15.75" x14ac:dyDescent="0.25">
      <c r="B515" s="427"/>
      <c r="C515" s="67"/>
      <c r="D515" s="428"/>
      <c r="E515" s="428"/>
      <c r="F515" s="429"/>
    </row>
    <row r="516" spans="2:6" ht="15.75" x14ac:dyDescent="0.25">
      <c r="B516" s="427"/>
      <c r="C516" s="67"/>
      <c r="D516" s="428"/>
      <c r="E516" s="428"/>
      <c r="F516" s="429"/>
    </row>
    <row r="517" spans="2:6" ht="15.75" x14ac:dyDescent="0.25">
      <c r="B517" s="427"/>
      <c r="C517" s="67"/>
      <c r="D517" s="428"/>
      <c r="E517" s="428"/>
      <c r="F517" s="429"/>
    </row>
    <row r="518" spans="2:6" ht="15.75" x14ac:dyDescent="0.25">
      <c r="B518" s="427"/>
      <c r="C518" s="67"/>
      <c r="D518" s="428"/>
      <c r="E518" s="428"/>
      <c r="F518" s="429"/>
    </row>
    <row r="519" spans="2:6" ht="15.75" x14ac:dyDescent="0.25">
      <c r="B519" s="427"/>
      <c r="C519" s="67"/>
      <c r="D519" s="428"/>
      <c r="E519" s="428"/>
      <c r="F519" s="429"/>
    </row>
    <row r="520" spans="2:6" ht="15.75" x14ac:dyDescent="0.25">
      <c r="B520" s="427"/>
      <c r="C520" s="67"/>
      <c r="D520" s="428"/>
      <c r="E520" s="428"/>
      <c r="F520" s="429"/>
    </row>
    <row r="521" spans="2:6" ht="15.75" x14ac:dyDescent="0.25">
      <c r="B521" s="427"/>
      <c r="C521" s="67"/>
      <c r="D521" s="428"/>
      <c r="E521" s="428"/>
      <c r="F521" s="429"/>
    </row>
    <row r="522" spans="2:6" ht="15.75" x14ac:dyDescent="0.25">
      <c r="B522" s="427"/>
      <c r="C522" s="67"/>
      <c r="D522" s="428"/>
      <c r="E522" s="428"/>
      <c r="F522" s="429"/>
    </row>
    <row r="523" spans="2:6" ht="15.75" x14ac:dyDescent="0.25">
      <c r="B523" s="427"/>
      <c r="C523" s="67"/>
      <c r="D523" s="428"/>
      <c r="E523" s="428"/>
      <c r="F523" s="429"/>
    </row>
    <row r="524" spans="2:6" ht="15.75" x14ac:dyDescent="0.25">
      <c r="B524" s="427"/>
      <c r="C524" s="67"/>
      <c r="D524" s="428"/>
      <c r="E524" s="428"/>
      <c r="F524" s="429"/>
    </row>
    <row r="525" spans="2:6" ht="15.75" x14ac:dyDescent="0.25">
      <c r="B525" s="427"/>
      <c r="C525" s="67"/>
      <c r="D525" s="428"/>
      <c r="E525" s="428"/>
      <c r="F525" s="429"/>
    </row>
    <row r="526" spans="2:6" ht="15.75" x14ac:dyDescent="0.25">
      <c r="B526" s="427"/>
      <c r="C526" s="67"/>
      <c r="D526" s="428"/>
      <c r="E526" s="428"/>
      <c r="F526" s="429"/>
    </row>
    <row r="527" spans="2:6" ht="15.75" x14ac:dyDescent="0.25">
      <c r="B527" s="427"/>
      <c r="C527" s="67"/>
      <c r="D527" s="428"/>
      <c r="E527" s="428"/>
      <c r="F527" s="429"/>
    </row>
    <row r="528" spans="2:6" ht="15.75" x14ac:dyDescent="0.25">
      <c r="B528" s="427"/>
      <c r="C528" s="67"/>
      <c r="D528" s="428"/>
      <c r="E528" s="428"/>
      <c r="F528" s="429"/>
    </row>
    <row r="529" spans="2:6" ht="15.75" x14ac:dyDescent="0.25">
      <c r="B529" s="427"/>
      <c r="C529" s="67"/>
      <c r="D529" s="428"/>
      <c r="E529" s="428"/>
      <c r="F529" s="429"/>
    </row>
    <row r="530" spans="2:6" ht="15.75" x14ac:dyDescent="0.25">
      <c r="B530" s="427"/>
      <c r="C530" s="67"/>
      <c r="D530" s="428"/>
      <c r="E530" s="428"/>
      <c r="F530" s="429"/>
    </row>
    <row r="531" spans="2:6" ht="15.75" x14ac:dyDescent="0.25">
      <c r="B531" s="427"/>
      <c r="C531" s="67"/>
      <c r="D531" s="428"/>
      <c r="E531" s="428"/>
      <c r="F531" s="429"/>
    </row>
    <row r="532" spans="2:6" ht="15.75" x14ac:dyDescent="0.25">
      <c r="B532" s="427"/>
      <c r="C532" s="67"/>
      <c r="D532" s="428"/>
      <c r="E532" s="428"/>
      <c r="F532" s="429"/>
    </row>
    <row r="533" spans="2:6" ht="15.75" x14ac:dyDescent="0.25">
      <c r="B533" s="427"/>
      <c r="C533" s="67"/>
      <c r="D533" s="428"/>
      <c r="E533" s="428"/>
      <c r="F533" s="429"/>
    </row>
    <row r="534" spans="2:6" ht="15.75" x14ac:dyDescent="0.25">
      <c r="B534" s="427"/>
      <c r="C534" s="67"/>
      <c r="D534" s="428"/>
      <c r="E534" s="428"/>
      <c r="F534" s="429"/>
    </row>
    <row r="535" spans="2:6" ht="15.75" x14ac:dyDescent="0.25">
      <c r="B535" s="427"/>
      <c r="C535" s="67"/>
      <c r="D535" s="428"/>
      <c r="E535" s="428"/>
      <c r="F535" s="429"/>
    </row>
    <row r="536" spans="2:6" ht="15.75" x14ac:dyDescent="0.25">
      <c r="B536" s="427"/>
      <c r="C536" s="67"/>
      <c r="D536" s="428"/>
      <c r="E536" s="428"/>
      <c r="F536" s="429"/>
    </row>
    <row r="537" spans="2:6" ht="15.75" x14ac:dyDescent="0.25">
      <c r="B537" s="427"/>
      <c r="C537" s="67"/>
      <c r="D537" s="428"/>
      <c r="E537" s="428"/>
      <c r="F537" s="429"/>
    </row>
    <row r="538" spans="2:6" ht="15.75" x14ac:dyDescent="0.25">
      <c r="B538" s="427"/>
      <c r="C538" s="67"/>
      <c r="D538" s="428"/>
      <c r="E538" s="428"/>
      <c r="F538" s="429"/>
    </row>
    <row r="539" spans="2:6" ht="15.75" x14ac:dyDescent="0.25">
      <c r="B539" s="427"/>
      <c r="C539" s="67"/>
      <c r="D539" s="428"/>
      <c r="E539" s="428"/>
      <c r="F539" s="429"/>
    </row>
    <row r="540" spans="2:6" ht="15.75" x14ac:dyDescent="0.25">
      <c r="B540" s="427"/>
      <c r="C540" s="67"/>
      <c r="D540" s="428"/>
      <c r="E540" s="428"/>
      <c r="F540" s="429"/>
    </row>
    <row r="541" spans="2:6" ht="15.75" x14ac:dyDescent="0.25">
      <c r="B541" s="427"/>
      <c r="C541" s="67"/>
      <c r="D541" s="428"/>
      <c r="E541" s="428"/>
      <c r="F541" s="429"/>
    </row>
    <row r="542" spans="2:6" ht="15.75" x14ac:dyDescent="0.25">
      <c r="B542" s="427"/>
      <c r="C542" s="67"/>
      <c r="D542" s="428"/>
      <c r="E542" s="428"/>
      <c r="F542" s="429"/>
    </row>
    <row r="543" spans="2:6" ht="15.75" x14ac:dyDescent="0.25">
      <c r="B543" s="427"/>
      <c r="C543" s="67"/>
      <c r="D543" s="428"/>
      <c r="E543" s="428"/>
      <c r="F543" s="429"/>
    </row>
    <row r="544" spans="2:6" ht="15.75" x14ac:dyDescent="0.25">
      <c r="B544" s="427"/>
      <c r="C544" s="67"/>
      <c r="D544" s="428"/>
      <c r="E544" s="428"/>
      <c r="F544" s="429"/>
    </row>
    <row r="545" spans="2:6" ht="15.75" x14ac:dyDescent="0.25">
      <c r="B545" s="427"/>
      <c r="C545" s="67"/>
      <c r="D545" s="428"/>
      <c r="E545" s="428"/>
      <c r="F545" s="429"/>
    </row>
    <row r="546" spans="2:6" ht="15.75" x14ac:dyDescent="0.25">
      <c r="B546" s="427"/>
      <c r="C546" s="67"/>
      <c r="D546" s="428"/>
      <c r="E546" s="428"/>
      <c r="F546" s="429"/>
    </row>
    <row r="547" spans="2:6" ht="15.75" x14ac:dyDescent="0.25">
      <c r="B547" s="427"/>
      <c r="C547" s="67"/>
      <c r="D547" s="428"/>
      <c r="E547" s="428"/>
      <c r="F547" s="429"/>
    </row>
    <row r="548" spans="2:6" ht="15.75" x14ac:dyDescent="0.25">
      <c r="B548" s="427"/>
      <c r="C548" s="67"/>
      <c r="D548" s="428"/>
      <c r="E548" s="428"/>
      <c r="F548" s="429"/>
    </row>
    <row r="549" spans="2:6" ht="15.75" x14ac:dyDescent="0.25">
      <c r="B549" s="427"/>
      <c r="C549" s="67"/>
      <c r="D549" s="428"/>
      <c r="E549" s="428"/>
      <c r="F549" s="429"/>
    </row>
    <row r="550" spans="2:6" ht="15.75" x14ac:dyDescent="0.25">
      <c r="B550" s="427"/>
      <c r="C550" s="67"/>
      <c r="D550" s="428"/>
      <c r="E550" s="428"/>
      <c r="F550" s="429"/>
    </row>
    <row r="551" spans="2:6" ht="15.75" x14ac:dyDescent="0.25">
      <c r="B551" s="427"/>
      <c r="C551" s="67"/>
      <c r="D551" s="428"/>
      <c r="E551" s="428"/>
      <c r="F551" s="429"/>
    </row>
    <row r="552" spans="2:6" ht="15.75" x14ac:dyDescent="0.25">
      <c r="B552" s="427"/>
      <c r="C552" s="67"/>
      <c r="D552" s="428"/>
      <c r="E552" s="428"/>
      <c r="F552" s="429"/>
    </row>
    <row r="553" spans="2:6" ht="15.75" x14ac:dyDescent="0.25">
      <c r="B553" s="427"/>
      <c r="C553" s="67"/>
      <c r="D553" s="428"/>
      <c r="E553" s="428"/>
      <c r="F553" s="429"/>
    </row>
    <row r="554" spans="2:6" ht="15.75" x14ac:dyDescent="0.25">
      <c r="B554" s="427"/>
      <c r="C554" s="67"/>
      <c r="D554" s="428"/>
      <c r="E554" s="428"/>
      <c r="F554" s="429"/>
    </row>
    <row r="555" spans="2:6" ht="15.75" x14ac:dyDescent="0.25">
      <c r="B555" s="427"/>
      <c r="C555" s="67"/>
      <c r="D555" s="428"/>
      <c r="E555" s="428"/>
      <c r="F555" s="429"/>
    </row>
    <row r="556" spans="2:6" ht="15.75" x14ac:dyDescent="0.25">
      <c r="B556" s="427"/>
      <c r="C556" s="67"/>
      <c r="D556" s="428"/>
      <c r="E556" s="428"/>
      <c r="F556" s="429"/>
    </row>
    <row r="557" spans="2:6" ht="15.75" x14ac:dyDescent="0.25">
      <c r="B557" s="427"/>
      <c r="C557" s="67"/>
      <c r="D557" s="428"/>
      <c r="E557" s="428"/>
      <c r="F557" s="429"/>
    </row>
    <row r="558" spans="2:6" ht="15.75" x14ac:dyDescent="0.25">
      <c r="B558" s="427"/>
      <c r="C558" s="67"/>
      <c r="D558" s="428"/>
      <c r="E558" s="428"/>
      <c r="F558" s="429"/>
    </row>
    <row r="559" spans="2:6" ht="15.75" x14ac:dyDescent="0.25">
      <c r="B559" s="427"/>
      <c r="C559" s="67"/>
      <c r="D559" s="428"/>
      <c r="E559" s="428"/>
      <c r="F559" s="429"/>
    </row>
    <row r="560" spans="2:6" ht="15.75" x14ac:dyDescent="0.25">
      <c r="B560" s="427"/>
      <c r="C560" s="67"/>
      <c r="D560" s="428"/>
      <c r="E560" s="428"/>
      <c r="F560" s="429"/>
    </row>
    <row r="561" spans="2:6" ht="15.75" x14ac:dyDescent="0.25">
      <c r="B561" s="427"/>
      <c r="C561" s="67"/>
      <c r="D561" s="428"/>
      <c r="E561" s="428"/>
      <c r="F561" s="429"/>
    </row>
    <row r="562" spans="2:6" ht="15.75" x14ac:dyDescent="0.25">
      <c r="B562" s="427"/>
      <c r="C562" s="67"/>
      <c r="D562" s="428"/>
      <c r="E562" s="428"/>
      <c r="F562" s="429"/>
    </row>
    <row r="563" spans="2:6" ht="15.75" x14ac:dyDescent="0.25">
      <c r="B563" s="427"/>
      <c r="C563" s="67"/>
      <c r="D563" s="428"/>
      <c r="E563" s="428"/>
      <c r="F563" s="429"/>
    </row>
    <row r="564" spans="2:6" ht="15.75" x14ac:dyDescent="0.25">
      <c r="B564" s="427"/>
      <c r="C564" s="67"/>
      <c r="D564" s="428"/>
      <c r="E564" s="428"/>
      <c r="F564" s="429"/>
    </row>
    <row r="565" spans="2:6" ht="15.75" x14ac:dyDescent="0.25">
      <c r="B565" s="427"/>
      <c r="C565" s="67"/>
      <c r="D565" s="428"/>
      <c r="E565" s="428"/>
      <c r="F565" s="429"/>
    </row>
    <row r="566" spans="2:6" ht="15.75" x14ac:dyDescent="0.25">
      <c r="B566" s="427"/>
      <c r="C566" s="67"/>
      <c r="D566" s="428"/>
      <c r="E566" s="428"/>
      <c r="F566" s="429"/>
    </row>
    <row r="567" spans="2:6" ht="15.75" x14ac:dyDescent="0.25">
      <c r="B567" s="427"/>
      <c r="C567" s="67"/>
      <c r="D567" s="428"/>
      <c r="E567" s="428"/>
      <c r="F567" s="429"/>
    </row>
    <row r="568" spans="2:6" ht="15.75" x14ac:dyDescent="0.25">
      <c r="B568" s="427"/>
      <c r="C568" s="67"/>
      <c r="D568" s="428"/>
      <c r="E568" s="428"/>
      <c r="F568" s="429"/>
    </row>
    <row r="569" spans="2:6" ht="15.75" x14ac:dyDescent="0.25">
      <c r="B569" s="427"/>
      <c r="C569" s="67"/>
      <c r="D569" s="428"/>
      <c r="E569" s="428"/>
      <c r="F569" s="429"/>
    </row>
    <row r="570" spans="2:6" ht="15.75" x14ac:dyDescent="0.25">
      <c r="B570" s="427"/>
      <c r="C570" s="67"/>
      <c r="D570" s="428"/>
      <c r="E570" s="428"/>
      <c r="F570" s="429"/>
    </row>
    <row r="571" spans="2:6" ht="15.75" x14ac:dyDescent="0.25">
      <c r="B571" s="427"/>
      <c r="C571" s="67"/>
      <c r="D571" s="428"/>
      <c r="E571" s="428"/>
      <c r="F571" s="429"/>
    </row>
    <row r="572" spans="2:6" ht="15.75" x14ac:dyDescent="0.25">
      <c r="B572" s="427"/>
      <c r="C572" s="67"/>
      <c r="D572" s="428"/>
      <c r="E572" s="428"/>
      <c r="F572" s="429"/>
    </row>
    <row r="573" spans="2:6" ht="15.75" x14ac:dyDescent="0.25">
      <c r="B573" s="427"/>
      <c r="C573" s="67"/>
      <c r="D573" s="428"/>
      <c r="E573" s="428"/>
      <c r="F573" s="429"/>
    </row>
    <row r="574" spans="2:6" ht="15.75" x14ac:dyDescent="0.25">
      <c r="B574" s="427"/>
      <c r="C574" s="67"/>
      <c r="D574" s="428"/>
      <c r="E574" s="428"/>
      <c r="F574" s="429"/>
    </row>
    <row r="575" spans="2:6" ht="15.75" x14ac:dyDescent="0.25">
      <c r="B575" s="427"/>
      <c r="C575" s="67"/>
      <c r="D575" s="428"/>
      <c r="E575" s="428"/>
      <c r="F575" s="429"/>
    </row>
    <row r="576" spans="2:6" ht="15.75" x14ac:dyDescent="0.25">
      <c r="B576" s="427"/>
      <c r="C576" s="67"/>
      <c r="D576" s="428"/>
      <c r="E576" s="428"/>
      <c r="F576" s="429"/>
    </row>
    <row r="577" spans="2:6" ht="15.75" x14ac:dyDescent="0.25">
      <c r="B577" s="427"/>
      <c r="C577" s="67"/>
      <c r="D577" s="428"/>
      <c r="E577" s="428"/>
      <c r="F577" s="429"/>
    </row>
    <row r="578" spans="2:6" ht="15.75" x14ac:dyDescent="0.25">
      <c r="B578" s="427"/>
      <c r="C578" s="67"/>
      <c r="D578" s="428"/>
      <c r="E578" s="428"/>
      <c r="F578" s="429"/>
    </row>
    <row r="579" spans="2:6" ht="15.75" x14ac:dyDescent="0.25">
      <c r="B579" s="427"/>
      <c r="C579" s="67"/>
      <c r="D579" s="428"/>
      <c r="E579" s="428"/>
      <c r="F579" s="429"/>
    </row>
    <row r="580" spans="2:6" ht="15.75" x14ac:dyDescent="0.25">
      <c r="B580" s="427"/>
      <c r="C580" s="67"/>
      <c r="D580" s="428"/>
      <c r="E580" s="428"/>
      <c r="F580" s="429"/>
    </row>
    <row r="581" spans="2:6" ht="15.75" x14ac:dyDescent="0.25">
      <c r="B581" s="427"/>
      <c r="C581" s="67"/>
      <c r="D581" s="428"/>
      <c r="E581" s="428"/>
      <c r="F581" s="429"/>
    </row>
    <row r="582" spans="2:6" ht="15.75" x14ac:dyDescent="0.25">
      <c r="B582" s="427"/>
      <c r="C582" s="67"/>
      <c r="D582" s="428"/>
      <c r="E582" s="428"/>
      <c r="F582" s="429"/>
    </row>
    <row r="583" spans="2:6" ht="15.75" x14ac:dyDescent="0.25">
      <c r="B583" s="427"/>
      <c r="C583" s="67"/>
      <c r="D583" s="428"/>
      <c r="E583" s="428"/>
      <c r="F583" s="429"/>
    </row>
    <row r="584" spans="2:6" ht="15.75" x14ac:dyDescent="0.25">
      <c r="B584" s="427"/>
      <c r="C584" s="67"/>
      <c r="D584" s="428"/>
      <c r="E584" s="428"/>
      <c r="F584" s="429"/>
    </row>
    <row r="585" spans="2:6" ht="15.75" x14ac:dyDescent="0.25">
      <c r="B585" s="427"/>
      <c r="C585" s="67"/>
      <c r="D585" s="428"/>
      <c r="E585" s="428"/>
      <c r="F585" s="429"/>
    </row>
    <row r="586" spans="2:6" ht="15.75" x14ac:dyDescent="0.25">
      <c r="B586" s="427"/>
      <c r="C586" s="67"/>
      <c r="D586" s="428"/>
      <c r="E586" s="428"/>
      <c r="F586" s="429"/>
    </row>
    <row r="587" spans="2:6" ht="15.75" x14ac:dyDescent="0.25">
      <c r="B587" s="427"/>
      <c r="C587" s="67"/>
      <c r="D587" s="428"/>
      <c r="E587" s="428"/>
      <c r="F587" s="429"/>
    </row>
    <row r="588" spans="2:6" ht="15.75" x14ac:dyDescent="0.25">
      <c r="B588" s="427"/>
      <c r="C588" s="67"/>
      <c r="D588" s="428"/>
      <c r="E588" s="428"/>
      <c r="F588" s="429"/>
    </row>
    <row r="589" spans="2:6" ht="15.75" x14ac:dyDescent="0.25">
      <c r="B589" s="427"/>
      <c r="C589" s="67"/>
      <c r="D589" s="428"/>
      <c r="E589" s="428"/>
      <c r="F589" s="429"/>
    </row>
    <row r="590" spans="2:6" ht="15.75" x14ac:dyDescent="0.25">
      <c r="B590" s="427"/>
      <c r="C590" s="67"/>
      <c r="D590" s="428"/>
      <c r="E590" s="428"/>
      <c r="F590" s="429"/>
    </row>
    <row r="591" spans="2:6" ht="15.75" x14ac:dyDescent="0.25">
      <c r="B591" s="427"/>
      <c r="C591" s="67"/>
      <c r="D591" s="428"/>
      <c r="E591" s="428"/>
      <c r="F591" s="429"/>
    </row>
    <row r="592" spans="2:6" ht="15.75" x14ac:dyDescent="0.25">
      <c r="B592" s="427"/>
      <c r="C592" s="67"/>
      <c r="D592" s="428"/>
      <c r="E592" s="428"/>
      <c r="F592" s="429"/>
    </row>
    <row r="593" spans="2:6" ht="15.75" x14ac:dyDescent="0.25">
      <c r="B593" s="427"/>
      <c r="C593" s="67"/>
      <c r="D593" s="428"/>
      <c r="E593" s="428"/>
      <c r="F593" s="429"/>
    </row>
    <row r="594" spans="2:6" ht="15.75" x14ac:dyDescent="0.25">
      <c r="B594" s="427"/>
      <c r="C594" s="67"/>
      <c r="D594" s="428"/>
      <c r="E594" s="428"/>
      <c r="F594" s="429"/>
    </row>
    <row r="595" spans="2:6" ht="15.75" x14ac:dyDescent="0.25">
      <c r="B595" s="427"/>
      <c r="C595" s="67"/>
      <c r="D595" s="428"/>
      <c r="E595" s="428"/>
      <c r="F595" s="429"/>
    </row>
    <row r="596" spans="2:6" ht="15.75" x14ac:dyDescent="0.25">
      <c r="B596" s="427"/>
      <c r="C596" s="67"/>
      <c r="D596" s="428"/>
      <c r="E596" s="428"/>
      <c r="F596" s="429"/>
    </row>
    <row r="597" spans="2:6" ht="15.75" x14ac:dyDescent="0.25">
      <c r="B597" s="427"/>
      <c r="C597" s="67"/>
      <c r="D597" s="428"/>
      <c r="E597" s="428"/>
      <c r="F597" s="429"/>
    </row>
    <row r="598" spans="2:6" ht="15.75" x14ac:dyDescent="0.25">
      <c r="B598" s="427"/>
      <c r="C598" s="67"/>
      <c r="D598" s="428"/>
      <c r="E598" s="428"/>
      <c r="F598" s="429"/>
    </row>
    <row r="599" spans="2:6" ht="15.75" x14ac:dyDescent="0.25">
      <c r="B599" s="427"/>
      <c r="C599" s="67"/>
      <c r="D599" s="428"/>
      <c r="E599" s="428"/>
      <c r="F599" s="429"/>
    </row>
    <row r="600" spans="2:6" ht="15.75" x14ac:dyDescent="0.25">
      <c r="B600" s="427"/>
      <c r="C600" s="67"/>
      <c r="D600" s="428"/>
      <c r="E600" s="428"/>
      <c r="F600" s="429"/>
    </row>
    <row r="601" spans="2:6" ht="15.75" x14ac:dyDescent="0.25">
      <c r="B601" s="427"/>
      <c r="C601" s="67"/>
      <c r="D601" s="428"/>
      <c r="E601" s="428"/>
      <c r="F601" s="429"/>
    </row>
    <row r="602" spans="2:6" ht="15.75" x14ac:dyDescent="0.25">
      <c r="B602" s="427"/>
      <c r="C602" s="67"/>
      <c r="D602" s="428"/>
      <c r="E602" s="428"/>
      <c r="F602" s="429"/>
    </row>
    <row r="603" spans="2:6" ht="15.75" x14ac:dyDescent="0.25">
      <c r="B603" s="427"/>
      <c r="C603" s="67"/>
      <c r="D603" s="428"/>
      <c r="E603" s="428"/>
      <c r="F603" s="429"/>
    </row>
    <row r="604" spans="2:6" ht="15.75" x14ac:dyDescent="0.25">
      <c r="B604" s="427"/>
      <c r="C604" s="67"/>
      <c r="D604" s="428"/>
      <c r="E604" s="428"/>
      <c r="F604" s="429"/>
    </row>
    <row r="605" spans="2:6" ht="15.75" x14ac:dyDescent="0.25">
      <c r="B605" s="427"/>
      <c r="C605" s="67"/>
      <c r="D605" s="428"/>
      <c r="E605" s="428"/>
      <c r="F605" s="429"/>
    </row>
    <row r="606" spans="2:6" ht="15.75" x14ac:dyDescent="0.25">
      <c r="B606" s="427"/>
      <c r="C606" s="67"/>
      <c r="D606" s="428"/>
      <c r="E606" s="428"/>
      <c r="F606" s="429"/>
    </row>
    <row r="607" spans="2:6" ht="15.75" x14ac:dyDescent="0.25">
      <c r="B607" s="427"/>
      <c r="C607" s="67"/>
      <c r="D607" s="428"/>
      <c r="E607" s="428"/>
      <c r="F607" s="429"/>
    </row>
    <row r="608" spans="2:6" ht="15.75" x14ac:dyDescent="0.25">
      <c r="B608" s="427"/>
      <c r="C608" s="67"/>
      <c r="D608" s="428"/>
      <c r="E608" s="428"/>
      <c r="F608" s="429"/>
    </row>
    <row r="609" spans="2:6" ht="15.75" x14ac:dyDescent="0.25">
      <c r="B609" s="427"/>
      <c r="C609" s="67"/>
      <c r="D609" s="428"/>
      <c r="E609" s="428"/>
      <c r="F609" s="429"/>
    </row>
    <row r="610" spans="2:6" ht="15.75" x14ac:dyDescent="0.25">
      <c r="B610" s="427"/>
      <c r="C610" s="67"/>
      <c r="D610" s="428"/>
      <c r="E610" s="428"/>
      <c r="F610" s="429"/>
    </row>
    <row r="611" spans="2:6" ht="15.75" x14ac:dyDescent="0.25">
      <c r="B611" s="427"/>
      <c r="C611" s="67"/>
      <c r="D611" s="428"/>
      <c r="E611" s="428"/>
      <c r="F611" s="429"/>
    </row>
    <row r="612" spans="2:6" ht="15.75" x14ac:dyDescent="0.25">
      <c r="B612" s="427"/>
      <c r="C612" s="67"/>
      <c r="D612" s="428"/>
      <c r="E612" s="428"/>
      <c r="F612" s="429"/>
    </row>
    <row r="613" spans="2:6" ht="15.75" x14ac:dyDescent="0.25">
      <c r="B613" s="427"/>
      <c r="C613" s="67"/>
      <c r="D613" s="428"/>
      <c r="E613" s="428"/>
      <c r="F613" s="429"/>
    </row>
    <row r="614" spans="2:6" ht="15.75" x14ac:dyDescent="0.25">
      <c r="B614" s="427"/>
      <c r="C614" s="67"/>
      <c r="D614" s="428"/>
      <c r="E614" s="428"/>
      <c r="F614" s="429"/>
    </row>
    <row r="615" spans="2:6" ht="15.75" x14ac:dyDescent="0.25">
      <c r="B615" s="427"/>
      <c r="C615" s="67"/>
      <c r="D615" s="428"/>
      <c r="E615" s="428"/>
      <c r="F615" s="429"/>
    </row>
    <row r="616" spans="2:6" ht="15.75" x14ac:dyDescent="0.25">
      <c r="B616" s="427"/>
      <c r="C616" s="67"/>
      <c r="D616" s="428"/>
      <c r="E616" s="428"/>
      <c r="F616" s="429"/>
    </row>
    <row r="617" spans="2:6" ht="15.75" x14ac:dyDescent="0.25">
      <c r="B617" s="427"/>
      <c r="C617" s="67"/>
      <c r="D617" s="428"/>
      <c r="E617" s="428"/>
      <c r="F617" s="429"/>
    </row>
    <row r="618" spans="2:6" ht="15.75" x14ac:dyDescent="0.25">
      <c r="B618" s="427"/>
      <c r="C618" s="67"/>
      <c r="D618" s="428"/>
      <c r="E618" s="428"/>
      <c r="F618" s="429"/>
    </row>
    <row r="619" spans="2:6" ht="15.75" x14ac:dyDescent="0.25">
      <c r="B619" s="427"/>
      <c r="C619" s="67"/>
      <c r="D619" s="428"/>
      <c r="E619" s="428"/>
      <c r="F619" s="429"/>
    </row>
    <row r="620" spans="2:6" ht="15.75" x14ac:dyDescent="0.25">
      <c r="B620" s="427"/>
      <c r="C620" s="67"/>
      <c r="D620" s="428"/>
      <c r="E620" s="428"/>
      <c r="F620" s="429"/>
    </row>
    <row r="621" spans="2:6" ht="15.75" x14ac:dyDescent="0.25">
      <c r="B621" s="427"/>
      <c r="C621" s="67"/>
      <c r="D621" s="428"/>
      <c r="E621" s="428"/>
      <c r="F621" s="429"/>
    </row>
    <row r="622" spans="2:6" ht="15.75" x14ac:dyDescent="0.25">
      <c r="B622" s="427"/>
      <c r="C622" s="67"/>
      <c r="D622" s="428"/>
      <c r="E622" s="428"/>
      <c r="F622" s="429"/>
    </row>
    <row r="623" spans="2:6" ht="15.75" x14ac:dyDescent="0.25">
      <c r="B623" s="427"/>
      <c r="C623" s="67"/>
      <c r="D623" s="428"/>
      <c r="E623" s="428"/>
      <c r="F623" s="429"/>
    </row>
    <row r="624" spans="2:6" ht="15.75" x14ac:dyDescent="0.25">
      <c r="B624" s="427"/>
      <c r="C624" s="67"/>
      <c r="D624" s="428"/>
      <c r="E624" s="428"/>
      <c r="F624" s="429"/>
    </row>
    <row r="625" spans="2:6" ht="15.75" x14ac:dyDescent="0.25">
      <c r="B625" s="427"/>
      <c r="C625" s="67"/>
      <c r="D625" s="428"/>
      <c r="E625" s="428"/>
      <c r="F625" s="429"/>
    </row>
    <row r="626" spans="2:6" ht="15.75" x14ac:dyDescent="0.25">
      <c r="B626" s="427"/>
      <c r="C626" s="67"/>
      <c r="D626" s="428"/>
      <c r="E626" s="428"/>
      <c r="F626" s="429"/>
    </row>
    <row r="627" spans="2:6" ht="15.75" x14ac:dyDescent="0.25">
      <c r="B627" s="427"/>
      <c r="C627" s="67"/>
      <c r="D627" s="428"/>
      <c r="E627" s="428"/>
      <c r="F627" s="429"/>
    </row>
    <row r="628" spans="2:6" ht="15.75" x14ac:dyDescent="0.25">
      <c r="B628" s="427"/>
      <c r="C628" s="67"/>
      <c r="D628" s="428"/>
      <c r="E628" s="428"/>
      <c r="F628" s="429"/>
    </row>
    <row r="629" spans="2:6" ht="15.75" x14ac:dyDescent="0.25">
      <c r="B629" s="427"/>
      <c r="C629" s="67"/>
      <c r="D629" s="428"/>
      <c r="E629" s="428"/>
      <c r="F629" s="429"/>
    </row>
    <row r="630" spans="2:6" ht="15.75" x14ac:dyDescent="0.25">
      <c r="B630" s="427"/>
      <c r="C630" s="67"/>
      <c r="D630" s="428"/>
      <c r="E630" s="428"/>
      <c r="F630" s="429"/>
    </row>
    <row r="631" spans="2:6" ht="15.75" x14ac:dyDescent="0.25">
      <c r="B631" s="427"/>
      <c r="C631" s="67"/>
      <c r="D631" s="428"/>
      <c r="E631" s="428"/>
      <c r="F631" s="429"/>
    </row>
    <row r="632" spans="2:6" ht="15.75" x14ac:dyDescent="0.25">
      <c r="B632" s="427"/>
      <c r="C632" s="67"/>
      <c r="D632" s="428"/>
      <c r="E632" s="428"/>
      <c r="F632" s="429"/>
    </row>
    <row r="633" spans="2:6" ht="15.75" x14ac:dyDescent="0.25">
      <c r="B633" s="427"/>
      <c r="C633" s="67"/>
      <c r="D633" s="428"/>
      <c r="E633" s="428"/>
      <c r="F633" s="429"/>
    </row>
    <row r="634" spans="2:6" ht="15.75" x14ac:dyDescent="0.25">
      <c r="B634" s="427"/>
      <c r="C634" s="67"/>
      <c r="D634" s="428"/>
      <c r="E634" s="428"/>
      <c r="F634" s="429"/>
    </row>
    <row r="635" spans="2:6" ht="15.75" x14ac:dyDescent="0.25">
      <c r="B635" s="427"/>
      <c r="C635" s="67"/>
      <c r="D635" s="428"/>
      <c r="E635" s="428"/>
      <c r="F635" s="429"/>
    </row>
    <row r="636" spans="2:6" ht="15.75" x14ac:dyDescent="0.25">
      <c r="B636" s="427"/>
      <c r="C636" s="67"/>
      <c r="D636" s="428"/>
      <c r="E636" s="428"/>
      <c r="F636" s="429"/>
    </row>
    <row r="637" spans="2:6" ht="15.75" x14ac:dyDescent="0.25">
      <c r="B637" s="427"/>
      <c r="C637" s="67"/>
      <c r="D637" s="428"/>
      <c r="E637" s="428"/>
      <c r="F637" s="429"/>
    </row>
    <row r="638" spans="2:6" ht="15.75" x14ac:dyDescent="0.25">
      <c r="B638" s="427"/>
      <c r="C638" s="67"/>
      <c r="D638" s="428"/>
      <c r="E638" s="428"/>
      <c r="F638" s="429"/>
    </row>
    <row r="639" spans="2:6" ht="15.75" x14ac:dyDescent="0.25">
      <c r="B639" s="427"/>
      <c r="C639" s="67"/>
      <c r="D639" s="428"/>
      <c r="E639" s="428"/>
      <c r="F639" s="429"/>
    </row>
    <row r="640" spans="2:6" ht="15.75" x14ac:dyDescent="0.25">
      <c r="B640" s="427"/>
      <c r="C640" s="67"/>
      <c r="D640" s="428"/>
      <c r="E640" s="428"/>
      <c r="F640" s="429"/>
    </row>
    <row r="641" spans="2:6" ht="15.75" x14ac:dyDescent="0.25">
      <c r="B641" s="427"/>
      <c r="C641" s="67"/>
      <c r="D641" s="428"/>
      <c r="E641" s="428"/>
      <c r="F641" s="429"/>
    </row>
    <row r="642" spans="2:6" ht="15.75" x14ac:dyDescent="0.25">
      <c r="B642" s="427"/>
      <c r="C642" s="67"/>
      <c r="D642" s="428"/>
      <c r="E642" s="428"/>
      <c r="F642" s="429"/>
    </row>
    <row r="643" spans="2:6" ht="15.75" x14ac:dyDescent="0.25">
      <c r="B643" s="427"/>
      <c r="C643" s="67"/>
      <c r="D643" s="428"/>
      <c r="E643" s="428"/>
      <c r="F643" s="429"/>
    </row>
    <row r="644" spans="2:6" ht="15.75" x14ac:dyDescent="0.25">
      <c r="B644" s="427"/>
      <c r="C644" s="67"/>
      <c r="D644" s="428"/>
      <c r="E644" s="428"/>
      <c r="F644" s="429"/>
    </row>
    <row r="645" spans="2:6" ht="15.75" x14ac:dyDescent="0.25">
      <c r="B645" s="427"/>
      <c r="C645" s="67"/>
      <c r="D645" s="428"/>
      <c r="E645" s="428"/>
      <c r="F645" s="429"/>
    </row>
    <row r="646" spans="2:6" ht="15.75" x14ac:dyDescent="0.25">
      <c r="B646" s="427"/>
      <c r="C646" s="67"/>
      <c r="D646" s="428"/>
      <c r="E646" s="428"/>
      <c r="F646" s="429"/>
    </row>
    <row r="647" spans="2:6" ht="15.75" x14ac:dyDescent="0.25">
      <c r="B647" s="427"/>
      <c r="C647" s="67"/>
      <c r="D647" s="428"/>
      <c r="E647" s="428"/>
      <c r="F647" s="429"/>
    </row>
    <row r="648" spans="2:6" ht="15.75" x14ac:dyDescent="0.25">
      <c r="B648" s="427"/>
      <c r="C648" s="67"/>
      <c r="D648" s="428"/>
      <c r="E648" s="428"/>
      <c r="F648" s="429"/>
    </row>
    <row r="649" spans="2:6" ht="15.75" x14ac:dyDescent="0.25">
      <c r="B649" s="427"/>
      <c r="C649" s="67"/>
      <c r="D649" s="428"/>
      <c r="E649" s="428"/>
      <c r="F649" s="429"/>
    </row>
    <row r="650" spans="2:6" ht="15.75" x14ac:dyDescent="0.25">
      <c r="B650" s="427"/>
      <c r="C650" s="67"/>
      <c r="D650" s="428"/>
      <c r="E650" s="428"/>
      <c r="F650" s="429"/>
    </row>
    <row r="651" spans="2:6" ht="15.75" x14ac:dyDescent="0.25">
      <c r="B651" s="427"/>
      <c r="C651" s="67"/>
      <c r="D651" s="428"/>
      <c r="E651" s="428"/>
      <c r="F651" s="429"/>
    </row>
    <row r="652" spans="2:6" ht="15.75" x14ac:dyDescent="0.25">
      <c r="B652" s="427"/>
      <c r="C652" s="67"/>
      <c r="D652" s="428"/>
      <c r="E652" s="428"/>
      <c r="F652" s="429"/>
    </row>
    <row r="653" spans="2:6" ht="15.75" x14ac:dyDescent="0.25">
      <c r="B653" s="427"/>
      <c r="C653" s="67"/>
      <c r="D653" s="428"/>
      <c r="E653" s="428"/>
      <c r="F653" s="429"/>
    </row>
    <row r="654" spans="2:6" ht="15.75" x14ac:dyDescent="0.25">
      <c r="B654" s="427"/>
      <c r="C654" s="67"/>
      <c r="D654" s="428"/>
      <c r="E654" s="428"/>
      <c r="F654" s="429"/>
    </row>
    <row r="655" spans="2:6" ht="15.75" x14ac:dyDescent="0.25">
      <c r="B655" s="427"/>
      <c r="C655" s="67"/>
      <c r="D655" s="428"/>
      <c r="E655" s="428"/>
      <c r="F655" s="429"/>
    </row>
    <row r="656" spans="2:6" ht="15.75" x14ac:dyDescent="0.25">
      <c r="B656" s="427"/>
      <c r="C656" s="67"/>
      <c r="D656" s="428"/>
      <c r="E656" s="428"/>
      <c r="F656" s="429"/>
    </row>
    <row r="657" spans="2:6" ht="15.75" x14ac:dyDescent="0.25">
      <c r="B657" s="427"/>
      <c r="C657" s="67"/>
      <c r="D657" s="428"/>
      <c r="E657" s="428"/>
      <c r="F657" s="429"/>
    </row>
    <row r="658" spans="2:6" ht="15.75" x14ac:dyDescent="0.25">
      <c r="B658" s="427"/>
      <c r="C658" s="67"/>
      <c r="D658" s="428"/>
      <c r="E658" s="428"/>
      <c r="F658" s="429"/>
    </row>
    <row r="659" spans="2:6" ht="15.75" x14ac:dyDescent="0.25">
      <c r="B659" s="427"/>
      <c r="C659" s="67"/>
      <c r="D659" s="428"/>
      <c r="E659" s="428"/>
      <c r="F659" s="429"/>
    </row>
    <row r="660" spans="2:6" ht="15.75" x14ac:dyDescent="0.25">
      <c r="B660" s="427"/>
      <c r="C660" s="67"/>
      <c r="D660" s="428"/>
      <c r="E660" s="428"/>
      <c r="F660" s="429"/>
    </row>
    <row r="661" spans="2:6" ht="15.75" x14ac:dyDescent="0.25">
      <c r="B661" s="427"/>
      <c r="C661" s="67"/>
      <c r="D661" s="428"/>
      <c r="E661" s="428"/>
      <c r="F661" s="429"/>
    </row>
    <row r="662" spans="2:6" ht="15.75" x14ac:dyDescent="0.25">
      <c r="B662" s="427"/>
      <c r="C662" s="67"/>
      <c r="D662" s="428"/>
      <c r="E662" s="428"/>
      <c r="F662" s="429"/>
    </row>
    <row r="663" spans="2:6" ht="15.75" x14ac:dyDescent="0.25">
      <c r="B663" s="427"/>
      <c r="C663" s="67"/>
      <c r="D663" s="428"/>
      <c r="E663" s="428"/>
      <c r="F663" s="429"/>
    </row>
    <row r="664" spans="2:6" ht="15.75" x14ac:dyDescent="0.25">
      <c r="B664" s="427"/>
      <c r="C664" s="67"/>
      <c r="D664" s="428"/>
      <c r="E664" s="428"/>
      <c r="F664" s="429"/>
    </row>
    <row r="665" spans="2:6" ht="15.75" x14ac:dyDescent="0.25">
      <c r="B665" s="427"/>
      <c r="C665" s="67"/>
      <c r="D665" s="428"/>
      <c r="E665" s="428"/>
      <c r="F665" s="429"/>
    </row>
    <row r="666" spans="2:6" ht="15.75" x14ac:dyDescent="0.25">
      <c r="B666" s="427"/>
      <c r="C666" s="67"/>
      <c r="D666" s="428"/>
      <c r="E666" s="428"/>
      <c r="F666" s="429"/>
    </row>
    <row r="667" spans="2:6" ht="15.75" x14ac:dyDescent="0.25">
      <c r="B667" s="427"/>
      <c r="C667" s="67"/>
      <c r="D667" s="428"/>
      <c r="E667" s="428"/>
      <c r="F667" s="429"/>
    </row>
    <row r="668" spans="2:6" ht="15.75" x14ac:dyDescent="0.25">
      <c r="B668" s="427"/>
      <c r="C668" s="67"/>
      <c r="D668" s="428"/>
      <c r="E668" s="428"/>
      <c r="F668" s="429"/>
    </row>
    <row r="669" spans="2:6" ht="15.75" x14ac:dyDescent="0.25">
      <c r="B669" s="427"/>
      <c r="C669" s="67"/>
      <c r="D669" s="428"/>
      <c r="E669" s="428"/>
      <c r="F669" s="429"/>
    </row>
    <row r="670" spans="2:6" ht="15.75" x14ac:dyDescent="0.25">
      <c r="B670" s="427"/>
      <c r="C670" s="67"/>
      <c r="D670" s="428"/>
      <c r="E670" s="428"/>
      <c r="F670" s="429"/>
    </row>
    <row r="671" spans="2:6" ht="15.75" x14ac:dyDescent="0.25">
      <c r="B671" s="427"/>
      <c r="C671" s="67"/>
      <c r="D671" s="428"/>
      <c r="E671" s="428"/>
      <c r="F671" s="429"/>
    </row>
    <row r="672" spans="2:6" ht="15.75" x14ac:dyDescent="0.25">
      <c r="B672" s="427"/>
      <c r="C672" s="67"/>
      <c r="D672" s="428"/>
      <c r="E672" s="428"/>
      <c r="F672" s="429"/>
    </row>
    <row r="673" spans="2:6" ht="15.75" x14ac:dyDescent="0.25">
      <c r="B673" s="427"/>
      <c r="C673" s="67"/>
      <c r="D673" s="428"/>
      <c r="E673" s="428"/>
      <c r="F673" s="429"/>
    </row>
    <row r="674" spans="2:6" ht="15.75" x14ac:dyDescent="0.25">
      <c r="B674" s="427"/>
      <c r="C674" s="67"/>
      <c r="D674" s="428"/>
      <c r="E674" s="428"/>
      <c r="F674" s="429"/>
    </row>
    <row r="675" spans="2:6" ht="15.75" x14ac:dyDescent="0.25">
      <c r="B675" s="427"/>
      <c r="C675" s="67"/>
      <c r="D675" s="428"/>
      <c r="E675" s="428"/>
      <c r="F675" s="429"/>
    </row>
    <row r="676" spans="2:6" ht="15.75" x14ac:dyDescent="0.25">
      <c r="B676" s="427"/>
      <c r="C676" s="67"/>
      <c r="D676" s="428"/>
      <c r="E676" s="428"/>
      <c r="F676" s="429"/>
    </row>
    <row r="677" spans="2:6" ht="15.75" x14ac:dyDescent="0.25">
      <c r="B677" s="427"/>
      <c r="C677" s="67"/>
      <c r="D677" s="428"/>
      <c r="E677" s="428"/>
      <c r="F677" s="429"/>
    </row>
    <row r="678" spans="2:6" ht="15.75" x14ac:dyDescent="0.25">
      <c r="B678" s="427"/>
      <c r="C678" s="67"/>
      <c r="D678" s="428"/>
      <c r="E678" s="428"/>
      <c r="F678" s="429"/>
    </row>
    <row r="679" spans="2:6" ht="15.75" x14ac:dyDescent="0.25">
      <c r="B679" s="427"/>
      <c r="C679" s="67"/>
      <c r="D679" s="428"/>
      <c r="E679" s="428"/>
      <c r="F679" s="429"/>
    </row>
    <row r="680" spans="2:6" ht="15.75" x14ac:dyDescent="0.25">
      <c r="B680" s="427"/>
      <c r="C680" s="67"/>
      <c r="D680" s="428"/>
      <c r="E680" s="428"/>
      <c r="F680" s="429"/>
    </row>
    <row r="681" spans="2:6" ht="15.75" x14ac:dyDescent="0.25">
      <c r="B681" s="427"/>
      <c r="C681" s="67"/>
      <c r="D681" s="428"/>
      <c r="E681" s="428"/>
      <c r="F681" s="429"/>
    </row>
    <row r="682" spans="2:6" ht="15.75" x14ac:dyDescent="0.25">
      <c r="B682" s="427"/>
      <c r="C682" s="67"/>
      <c r="D682" s="428"/>
      <c r="E682" s="428"/>
      <c r="F682" s="429"/>
    </row>
    <row r="683" spans="2:6" ht="15.75" x14ac:dyDescent="0.25">
      <c r="B683" s="427"/>
      <c r="C683" s="67"/>
      <c r="D683" s="428"/>
      <c r="E683" s="428"/>
      <c r="F683" s="429"/>
    </row>
    <row r="684" spans="2:6" ht="15.75" x14ac:dyDescent="0.25">
      <c r="B684" s="427"/>
      <c r="C684" s="67"/>
      <c r="D684" s="428"/>
      <c r="E684" s="428"/>
      <c r="F684" s="429"/>
    </row>
    <row r="685" spans="2:6" ht="15.75" x14ac:dyDescent="0.25">
      <c r="B685" s="427"/>
      <c r="C685" s="67"/>
      <c r="D685" s="428"/>
      <c r="E685" s="428"/>
      <c r="F685" s="429"/>
    </row>
    <row r="686" spans="2:6" ht="15.75" x14ac:dyDescent="0.25">
      <c r="B686" s="427"/>
      <c r="C686" s="67"/>
      <c r="D686" s="428"/>
      <c r="E686" s="428"/>
      <c r="F686" s="429"/>
    </row>
    <row r="687" spans="2:6" ht="15.75" x14ac:dyDescent="0.25">
      <c r="B687" s="427"/>
      <c r="C687" s="67"/>
      <c r="D687" s="428"/>
      <c r="E687" s="428"/>
      <c r="F687" s="429"/>
    </row>
    <row r="688" spans="2:6" ht="15.75" x14ac:dyDescent="0.25">
      <c r="B688" s="427"/>
      <c r="C688" s="67"/>
      <c r="D688" s="428"/>
      <c r="E688" s="428"/>
      <c r="F688" s="429"/>
    </row>
    <row r="689" spans="2:6" ht="15.75" x14ac:dyDescent="0.25">
      <c r="B689" s="427"/>
      <c r="C689" s="67"/>
      <c r="D689" s="428"/>
      <c r="E689" s="428"/>
      <c r="F689" s="429"/>
    </row>
    <row r="690" spans="2:6" ht="15.75" x14ac:dyDescent="0.25">
      <c r="B690" s="427"/>
      <c r="C690" s="67"/>
      <c r="D690" s="428"/>
      <c r="E690" s="428"/>
      <c r="F690" s="429"/>
    </row>
    <row r="691" spans="2:6" ht="15.75" x14ac:dyDescent="0.25">
      <c r="B691" s="427"/>
      <c r="C691" s="67"/>
      <c r="D691" s="428"/>
      <c r="E691" s="428"/>
      <c r="F691" s="429"/>
    </row>
    <row r="692" spans="2:6" ht="15.75" x14ac:dyDescent="0.25">
      <c r="B692" s="427"/>
      <c r="C692" s="67"/>
      <c r="D692" s="428"/>
      <c r="E692" s="428"/>
      <c r="F692" s="429"/>
    </row>
    <row r="693" spans="2:6" ht="15.75" x14ac:dyDescent="0.25">
      <c r="B693" s="427"/>
      <c r="C693" s="67"/>
      <c r="D693" s="428"/>
      <c r="E693" s="428"/>
      <c r="F693" s="429"/>
    </row>
    <row r="694" spans="2:6" ht="15.75" x14ac:dyDescent="0.25">
      <c r="B694" s="427"/>
      <c r="C694" s="67"/>
      <c r="D694" s="428"/>
      <c r="E694" s="428"/>
      <c r="F694" s="429"/>
    </row>
    <row r="695" spans="2:6" ht="15.75" x14ac:dyDescent="0.25">
      <c r="B695" s="427"/>
      <c r="C695" s="67"/>
      <c r="D695" s="428"/>
      <c r="E695" s="428"/>
      <c r="F695" s="429"/>
    </row>
    <row r="696" spans="2:6" ht="15.75" x14ac:dyDescent="0.25">
      <c r="B696" s="427"/>
      <c r="C696" s="67"/>
      <c r="D696" s="428"/>
      <c r="E696" s="428"/>
      <c r="F696" s="429"/>
    </row>
    <row r="697" spans="2:6" ht="15.75" x14ac:dyDescent="0.25">
      <c r="B697" s="427"/>
      <c r="C697" s="67"/>
      <c r="D697" s="428"/>
      <c r="E697" s="428"/>
      <c r="F697" s="429"/>
    </row>
    <row r="698" spans="2:6" ht="15.75" x14ac:dyDescent="0.25">
      <c r="B698" s="427"/>
      <c r="C698" s="67"/>
      <c r="D698" s="428"/>
      <c r="E698" s="428"/>
      <c r="F698" s="429"/>
    </row>
    <row r="699" spans="2:6" ht="15.75" x14ac:dyDescent="0.25">
      <c r="B699" s="427"/>
      <c r="C699" s="67"/>
      <c r="D699" s="428"/>
      <c r="E699" s="428"/>
      <c r="F699" s="429"/>
    </row>
    <row r="700" spans="2:6" ht="15.75" x14ac:dyDescent="0.25">
      <c r="B700" s="427"/>
      <c r="C700" s="67"/>
      <c r="D700" s="428"/>
      <c r="E700" s="428"/>
      <c r="F700" s="429"/>
    </row>
    <row r="701" spans="2:6" ht="15.75" x14ac:dyDescent="0.25">
      <c r="B701" s="427"/>
      <c r="C701" s="67"/>
      <c r="D701" s="428"/>
      <c r="E701" s="428"/>
      <c r="F701" s="429"/>
    </row>
    <row r="702" spans="2:6" ht="15.75" x14ac:dyDescent="0.25">
      <c r="B702" s="427"/>
      <c r="C702" s="67"/>
      <c r="D702" s="428"/>
      <c r="E702" s="428"/>
      <c r="F702" s="429"/>
    </row>
    <row r="703" spans="2:6" ht="15.75" x14ac:dyDescent="0.25">
      <c r="B703" s="427"/>
      <c r="C703" s="67"/>
      <c r="D703" s="428"/>
      <c r="E703" s="428"/>
      <c r="F703" s="429"/>
    </row>
    <row r="704" spans="2:6" ht="15.75" x14ac:dyDescent="0.25">
      <c r="B704" s="427"/>
      <c r="C704" s="67"/>
      <c r="D704" s="428"/>
      <c r="E704" s="428"/>
      <c r="F704" s="429"/>
    </row>
    <row r="705" spans="2:6" ht="15.75" x14ac:dyDescent="0.25">
      <c r="B705" s="427"/>
      <c r="C705" s="67"/>
      <c r="D705" s="428"/>
      <c r="E705" s="428"/>
      <c r="F705" s="429"/>
    </row>
    <row r="706" spans="2:6" ht="15.75" x14ac:dyDescent="0.25">
      <c r="B706" s="427"/>
      <c r="C706" s="67"/>
      <c r="D706" s="428"/>
      <c r="E706" s="428"/>
      <c r="F706" s="429"/>
    </row>
    <row r="707" spans="2:6" ht="15.75" x14ac:dyDescent="0.25">
      <c r="B707" s="427"/>
      <c r="C707" s="67"/>
      <c r="D707" s="428"/>
      <c r="E707" s="428"/>
      <c r="F707" s="429"/>
    </row>
    <row r="708" spans="2:6" ht="15.75" x14ac:dyDescent="0.25">
      <c r="B708" s="427"/>
      <c r="C708" s="67"/>
      <c r="D708" s="428"/>
      <c r="E708" s="428"/>
      <c r="F708" s="429"/>
    </row>
    <row r="709" spans="2:6" ht="15.75" x14ac:dyDescent="0.25">
      <c r="B709" s="427"/>
      <c r="C709" s="67"/>
      <c r="D709" s="428"/>
      <c r="E709" s="428"/>
      <c r="F709" s="429"/>
    </row>
    <row r="710" spans="2:6" ht="15.75" x14ac:dyDescent="0.25">
      <c r="B710" s="427"/>
      <c r="C710" s="67"/>
      <c r="D710" s="428"/>
      <c r="E710" s="428"/>
      <c r="F710" s="429"/>
    </row>
    <row r="711" spans="2:6" ht="15.75" x14ac:dyDescent="0.25">
      <c r="B711" s="427"/>
      <c r="C711" s="67"/>
      <c r="D711" s="428"/>
      <c r="E711" s="428"/>
      <c r="F711" s="429"/>
    </row>
    <row r="712" spans="2:6" ht="15.75" x14ac:dyDescent="0.25">
      <c r="B712" s="427"/>
      <c r="C712" s="67"/>
      <c r="D712" s="428"/>
      <c r="E712" s="428"/>
      <c r="F712" s="429"/>
    </row>
    <row r="713" spans="2:6" ht="15.75" x14ac:dyDescent="0.25">
      <c r="B713" s="427"/>
      <c r="C713" s="67"/>
      <c r="D713" s="428"/>
      <c r="E713" s="428"/>
      <c r="F713" s="429"/>
    </row>
    <row r="714" spans="2:6" ht="15.75" x14ac:dyDescent="0.25">
      <c r="B714" s="427"/>
      <c r="C714" s="67"/>
      <c r="D714" s="428"/>
      <c r="E714" s="428"/>
      <c r="F714" s="429"/>
    </row>
    <row r="715" spans="2:6" ht="15.75" x14ac:dyDescent="0.25">
      <c r="B715" s="427"/>
      <c r="C715" s="67"/>
      <c r="D715" s="428"/>
      <c r="E715" s="428"/>
      <c r="F715" s="429"/>
    </row>
    <row r="716" spans="2:6" ht="15.75" x14ac:dyDescent="0.25">
      <c r="B716" s="427"/>
      <c r="C716" s="67"/>
      <c r="D716" s="428"/>
      <c r="E716" s="428"/>
      <c r="F716" s="429"/>
    </row>
    <row r="717" spans="2:6" ht="15.75" x14ac:dyDescent="0.25">
      <c r="B717" s="427"/>
      <c r="C717" s="67"/>
      <c r="D717" s="428"/>
      <c r="E717" s="428"/>
      <c r="F717" s="429"/>
    </row>
    <row r="718" spans="2:6" ht="15.75" x14ac:dyDescent="0.25">
      <c r="B718" s="427"/>
      <c r="C718" s="67"/>
      <c r="D718" s="428"/>
      <c r="E718" s="428"/>
      <c r="F718" s="429"/>
    </row>
    <row r="719" spans="2:6" ht="15.75" x14ac:dyDescent="0.25">
      <c r="B719" s="427"/>
      <c r="C719" s="67"/>
      <c r="D719" s="428"/>
      <c r="E719" s="428"/>
      <c r="F719" s="429"/>
    </row>
    <row r="720" spans="2:6" ht="15.75" x14ac:dyDescent="0.25">
      <c r="B720" s="427"/>
      <c r="C720" s="67"/>
      <c r="D720" s="428"/>
      <c r="E720" s="428"/>
      <c r="F720" s="429"/>
    </row>
    <row r="721" spans="2:6" ht="15.75" x14ac:dyDescent="0.25">
      <c r="B721" s="427"/>
      <c r="C721" s="67"/>
      <c r="D721" s="428"/>
      <c r="E721" s="428"/>
      <c r="F721" s="429"/>
    </row>
    <row r="722" spans="2:6" ht="15.75" x14ac:dyDescent="0.25">
      <c r="B722" s="427"/>
      <c r="C722" s="67"/>
      <c r="D722" s="428"/>
      <c r="E722" s="428"/>
      <c r="F722" s="429"/>
    </row>
    <row r="723" spans="2:6" ht="15.75" x14ac:dyDescent="0.25">
      <c r="B723" s="427"/>
      <c r="C723" s="67"/>
      <c r="D723" s="428"/>
      <c r="E723" s="428"/>
      <c r="F723" s="429"/>
    </row>
    <row r="724" spans="2:6" ht="15.75" x14ac:dyDescent="0.25">
      <c r="B724" s="427"/>
      <c r="C724" s="67"/>
      <c r="D724" s="428"/>
      <c r="E724" s="428"/>
      <c r="F724" s="429"/>
    </row>
    <row r="725" spans="2:6" ht="15.75" x14ac:dyDescent="0.25">
      <c r="B725" s="427"/>
      <c r="C725" s="67"/>
      <c r="D725" s="428"/>
      <c r="E725" s="428"/>
      <c r="F725" s="429"/>
    </row>
    <row r="726" spans="2:6" ht="15.75" x14ac:dyDescent="0.25">
      <c r="B726" s="427"/>
      <c r="C726" s="67"/>
      <c r="D726" s="428"/>
      <c r="E726" s="428"/>
      <c r="F726" s="429"/>
    </row>
    <row r="727" spans="2:6" ht="15.75" x14ac:dyDescent="0.25">
      <c r="B727" s="427"/>
      <c r="C727" s="67"/>
      <c r="D727" s="428"/>
      <c r="E727" s="428"/>
      <c r="F727" s="429"/>
    </row>
    <row r="728" spans="2:6" ht="15.75" x14ac:dyDescent="0.25">
      <c r="B728" s="427"/>
      <c r="C728" s="67"/>
      <c r="D728" s="428"/>
      <c r="E728" s="428"/>
      <c r="F728" s="429"/>
    </row>
    <row r="729" spans="2:6" ht="15.75" x14ac:dyDescent="0.25">
      <c r="B729" s="427"/>
      <c r="C729" s="67"/>
      <c r="D729" s="428"/>
      <c r="E729" s="428"/>
      <c r="F729" s="429"/>
    </row>
    <row r="730" spans="2:6" ht="15.75" x14ac:dyDescent="0.25">
      <c r="B730" s="427"/>
      <c r="C730" s="67"/>
      <c r="D730" s="428"/>
      <c r="E730" s="428"/>
      <c r="F730" s="429"/>
    </row>
    <row r="731" spans="2:6" ht="15.75" x14ac:dyDescent="0.25">
      <c r="B731" s="427"/>
      <c r="C731" s="67"/>
      <c r="D731" s="428"/>
      <c r="E731" s="428"/>
      <c r="F731" s="429"/>
    </row>
    <row r="732" spans="2:6" ht="15.75" x14ac:dyDescent="0.25">
      <c r="B732" s="427"/>
      <c r="C732" s="67"/>
      <c r="D732" s="428"/>
      <c r="E732" s="428"/>
      <c r="F732" s="429"/>
    </row>
    <row r="733" spans="2:6" ht="15.75" x14ac:dyDescent="0.25">
      <c r="B733" s="427"/>
      <c r="C733" s="67"/>
      <c r="D733" s="428"/>
      <c r="E733" s="428"/>
      <c r="F733" s="429"/>
    </row>
    <row r="734" spans="2:6" ht="15.75" x14ac:dyDescent="0.25">
      <c r="B734" s="427"/>
      <c r="C734" s="67"/>
      <c r="D734" s="428"/>
      <c r="E734" s="428"/>
      <c r="F734" s="429"/>
    </row>
    <row r="735" spans="2:6" ht="15.75" x14ac:dyDescent="0.25">
      <c r="B735" s="427"/>
      <c r="C735" s="67"/>
      <c r="D735" s="428"/>
      <c r="E735" s="428"/>
      <c r="F735" s="429"/>
    </row>
    <row r="736" spans="2:6" ht="15.75" x14ac:dyDescent="0.25">
      <c r="B736" s="427"/>
      <c r="C736" s="67"/>
      <c r="D736" s="428"/>
      <c r="E736" s="428"/>
      <c r="F736" s="429"/>
    </row>
    <row r="737" spans="2:6" ht="15.75" x14ac:dyDescent="0.25">
      <c r="B737" s="427"/>
      <c r="C737" s="67"/>
      <c r="D737" s="428"/>
      <c r="E737" s="428"/>
      <c r="F737" s="429"/>
    </row>
    <row r="738" spans="2:6" ht="15.75" x14ac:dyDescent="0.25">
      <c r="B738" s="427"/>
      <c r="C738" s="67"/>
      <c r="D738" s="428"/>
      <c r="E738" s="428"/>
      <c r="F738" s="429"/>
    </row>
    <row r="739" spans="2:6" ht="15.75" x14ac:dyDescent="0.25">
      <c r="B739" s="427"/>
      <c r="C739" s="67"/>
      <c r="D739" s="428"/>
      <c r="E739" s="428"/>
      <c r="F739" s="429"/>
    </row>
    <row r="740" spans="2:6" ht="15.75" x14ac:dyDescent="0.25">
      <c r="B740" s="427"/>
      <c r="C740" s="67"/>
      <c r="D740" s="428"/>
      <c r="E740" s="428"/>
      <c r="F740" s="429"/>
    </row>
    <row r="741" spans="2:6" ht="15.75" x14ac:dyDescent="0.25">
      <c r="B741" s="427"/>
      <c r="C741" s="67"/>
      <c r="D741" s="428"/>
      <c r="E741" s="428"/>
      <c r="F741" s="429"/>
    </row>
    <row r="742" spans="2:6" ht="15.75" x14ac:dyDescent="0.25">
      <c r="B742" s="427"/>
      <c r="C742" s="67"/>
      <c r="D742" s="428"/>
      <c r="E742" s="428"/>
      <c r="F742" s="429"/>
    </row>
    <row r="743" spans="2:6" ht="15.75" x14ac:dyDescent="0.25">
      <c r="B743" s="427"/>
      <c r="C743" s="67"/>
      <c r="D743" s="428"/>
      <c r="E743" s="428"/>
      <c r="F743" s="429"/>
    </row>
    <row r="744" spans="2:6" ht="15.75" x14ac:dyDescent="0.25">
      <c r="B744" s="427"/>
      <c r="C744" s="67"/>
      <c r="D744" s="428"/>
      <c r="E744" s="428"/>
      <c r="F744" s="429"/>
    </row>
    <row r="745" spans="2:6" ht="15.75" x14ac:dyDescent="0.25">
      <c r="B745" s="427"/>
      <c r="C745" s="67"/>
      <c r="D745" s="428"/>
      <c r="E745" s="428"/>
      <c r="F745" s="429"/>
    </row>
    <row r="746" spans="2:6" ht="15.75" x14ac:dyDescent="0.25">
      <c r="B746" s="427"/>
      <c r="C746" s="67"/>
      <c r="D746" s="428"/>
      <c r="E746" s="428"/>
      <c r="F746" s="429"/>
    </row>
    <row r="747" spans="2:6" ht="15.75" x14ac:dyDescent="0.25">
      <c r="B747" s="427"/>
      <c r="C747" s="67"/>
      <c r="D747" s="428"/>
      <c r="E747" s="428"/>
      <c r="F747" s="429"/>
    </row>
    <row r="748" spans="2:6" ht="15.75" x14ac:dyDescent="0.25">
      <c r="B748" s="427"/>
      <c r="C748" s="67"/>
      <c r="D748" s="428"/>
      <c r="E748" s="428"/>
      <c r="F748" s="429"/>
    </row>
    <row r="749" spans="2:6" ht="15.75" x14ac:dyDescent="0.25">
      <c r="B749" s="427"/>
      <c r="C749" s="67"/>
      <c r="D749" s="428"/>
      <c r="E749" s="428"/>
      <c r="F749" s="429"/>
    </row>
    <row r="750" spans="2:6" ht="15.75" x14ac:dyDescent="0.25">
      <c r="B750" s="427"/>
      <c r="C750" s="67"/>
      <c r="D750" s="428"/>
      <c r="E750" s="428"/>
      <c r="F750" s="429"/>
    </row>
    <row r="751" spans="2:6" ht="15.75" x14ac:dyDescent="0.25">
      <c r="B751" s="427"/>
      <c r="C751" s="67"/>
      <c r="D751" s="428"/>
      <c r="E751" s="428"/>
      <c r="F751" s="429"/>
    </row>
    <row r="752" spans="2:6" ht="15.75" x14ac:dyDescent="0.25">
      <c r="B752" s="427"/>
      <c r="C752" s="67"/>
      <c r="D752" s="428"/>
      <c r="E752" s="428"/>
      <c r="F752" s="429"/>
    </row>
    <row r="753" spans="2:6" ht="15.75" x14ac:dyDescent="0.25">
      <c r="B753" s="427"/>
      <c r="C753" s="67"/>
      <c r="D753" s="428"/>
      <c r="E753" s="428"/>
      <c r="F753" s="429"/>
    </row>
    <row r="754" spans="2:6" ht="15.75" x14ac:dyDescent="0.25">
      <c r="B754" s="427"/>
      <c r="C754" s="67"/>
      <c r="D754" s="428"/>
      <c r="E754" s="428"/>
      <c r="F754" s="429"/>
    </row>
    <row r="755" spans="2:6" ht="15.75" x14ac:dyDescent="0.25">
      <c r="B755" s="427"/>
      <c r="C755" s="67"/>
      <c r="D755" s="428"/>
      <c r="E755" s="428"/>
      <c r="F755" s="429"/>
    </row>
    <row r="756" spans="2:6" ht="15.75" x14ac:dyDescent="0.25">
      <c r="B756" s="427"/>
      <c r="C756" s="67"/>
      <c r="D756" s="428"/>
      <c r="E756" s="428"/>
      <c r="F756" s="429"/>
    </row>
    <row r="757" spans="2:6" ht="15.75" x14ac:dyDescent="0.25">
      <c r="B757" s="427"/>
      <c r="C757" s="67"/>
      <c r="D757" s="428"/>
      <c r="E757" s="428"/>
      <c r="F757" s="429"/>
    </row>
    <row r="758" spans="2:6" ht="15.75" x14ac:dyDescent="0.25">
      <c r="B758" s="427"/>
      <c r="C758" s="67"/>
      <c r="D758" s="428"/>
      <c r="E758" s="428"/>
      <c r="F758" s="429"/>
    </row>
    <row r="759" spans="2:6" ht="15.75" x14ac:dyDescent="0.25">
      <c r="B759" s="427"/>
      <c r="C759" s="67"/>
      <c r="D759" s="428"/>
      <c r="E759" s="428"/>
      <c r="F759" s="429"/>
    </row>
    <row r="760" spans="2:6" ht="15.75" x14ac:dyDescent="0.25">
      <c r="B760" s="427"/>
      <c r="C760" s="67"/>
      <c r="D760" s="428"/>
      <c r="E760" s="428"/>
      <c r="F760" s="429"/>
    </row>
    <row r="761" spans="2:6" ht="15.75" x14ac:dyDescent="0.25">
      <c r="B761" s="427"/>
      <c r="C761" s="67"/>
      <c r="D761" s="428"/>
      <c r="E761" s="428"/>
      <c r="F761" s="429"/>
    </row>
    <row r="762" spans="2:6" ht="15.75" x14ac:dyDescent="0.25">
      <c r="B762" s="427"/>
      <c r="C762" s="67"/>
      <c r="D762" s="428"/>
      <c r="E762" s="428"/>
      <c r="F762" s="429"/>
    </row>
    <row r="763" spans="2:6" ht="15.75" x14ac:dyDescent="0.25">
      <c r="B763" s="427"/>
      <c r="C763" s="67"/>
      <c r="D763" s="428"/>
      <c r="E763" s="428"/>
      <c r="F763" s="429"/>
    </row>
    <row r="764" spans="2:6" ht="15.75" x14ac:dyDescent="0.25">
      <c r="B764" s="427"/>
      <c r="C764" s="67"/>
      <c r="D764" s="428"/>
      <c r="E764" s="428"/>
      <c r="F764" s="429"/>
    </row>
    <row r="765" spans="2:6" ht="15.75" x14ac:dyDescent="0.25">
      <c r="B765" s="427"/>
      <c r="C765" s="67"/>
      <c r="D765" s="428"/>
      <c r="E765" s="428"/>
      <c r="F765" s="429"/>
    </row>
    <row r="766" spans="2:6" ht="15.75" x14ac:dyDescent="0.25">
      <c r="B766" s="427"/>
      <c r="C766" s="67"/>
      <c r="D766" s="428"/>
      <c r="E766" s="428"/>
      <c r="F766" s="429"/>
    </row>
    <row r="767" spans="2:6" ht="15.75" x14ac:dyDescent="0.25">
      <c r="B767" s="427"/>
      <c r="C767" s="67"/>
      <c r="D767" s="428"/>
      <c r="E767" s="428"/>
      <c r="F767" s="429"/>
    </row>
    <row r="768" spans="2:6" ht="15.75" x14ac:dyDescent="0.25">
      <c r="B768" s="427"/>
      <c r="C768" s="67"/>
      <c r="D768" s="428"/>
      <c r="E768" s="428"/>
      <c r="F768" s="429"/>
    </row>
    <row r="769" spans="2:6" ht="15.75" x14ac:dyDescent="0.25">
      <c r="B769" s="427"/>
      <c r="C769" s="67"/>
      <c r="D769" s="428"/>
      <c r="E769" s="428"/>
      <c r="F769" s="429"/>
    </row>
    <row r="770" spans="2:6" ht="15.75" x14ac:dyDescent="0.25">
      <c r="B770" s="427"/>
      <c r="C770" s="67"/>
      <c r="D770" s="428"/>
      <c r="E770" s="428"/>
      <c r="F770" s="429"/>
    </row>
    <row r="771" spans="2:6" ht="15.75" x14ac:dyDescent="0.25">
      <c r="B771" s="427"/>
      <c r="C771" s="67"/>
      <c r="D771" s="428"/>
      <c r="E771" s="428"/>
      <c r="F771" s="429"/>
    </row>
    <row r="772" spans="2:6" ht="15.75" x14ac:dyDescent="0.25">
      <c r="B772" s="427"/>
      <c r="C772" s="67"/>
      <c r="D772" s="428"/>
      <c r="E772" s="428"/>
      <c r="F772" s="429"/>
    </row>
    <row r="773" spans="2:6" ht="15.75" x14ac:dyDescent="0.25">
      <c r="B773" s="427"/>
      <c r="C773" s="67"/>
      <c r="D773" s="428"/>
      <c r="E773" s="428"/>
      <c r="F773" s="429"/>
    </row>
    <row r="774" spans="2:6" ht="15.75" x14ac:dyDescent="0.25">
      <c r="B774" s="427"/>
      <c r="C774" s="67"/>
      <c r="D774" s="428"/>
      <c r="E774" s="428"/>
      <c r="F774" s="429"/>
    </row>
    <row r="775" spans="2:6" ht="15.75" x14ac:dyDescent="0.25">
      <c r="B775" s="427"/>
      <c r="C775" s="67"/>
      <c r="D775" s="428"/>
      <c r="E775" s="428"/>
      <c r="F775" s="429"/>
    </row>
    <row r="776" spans="2:6" ht="15.75" x14ac:dyDescent="0.25">
      <c r="B776" s="427"/>
      <c r="C776" s="67"/>
      <c r="D776" s="428"/>
      <c r="E776" s="428"/>
      <c r="F776" s="429"/>
    </row>
    <row r="777" spans="2:6" ht="15.75" x14ac:dyDescent="0.25">
      <c r="B777" s="427"/>
      <c r="C777" s="67"/>
      <c r="D777" s="428"/>
      <c r="E777" s="428"/>
      <c r="F777" s="429"/>
    </row>
    <row r="778" spans="2:6" ht="15.75" x14ac:dyDescent="0.25">
      <c r="B778" s="427"/>
      <c r="C778" s="67"/>
      <c r="D778" s="428"/>
      <c r="E778" s="428"/>
      <c r="F778" s="429"/>
    </row>
    <row r="779" spans="2:6" ht="15.75" x14ac:dyDescent="0.25">
      <c r="B779" s="427"/>
      <c r="C779" s="67"/>
      <c r="D779" s="428"/>
      <c r="E779" s="428"/>
      <c r="F779" s="429"/>
    </row>
    <row r="780" spans="2:6" ht="15.75" x14ac:dyDescent="0.25">
      <c r="B780" s="427"/>
      <c r="C780" s="67"/>
      <c r="D780" s="428"/>
      <c r="E780" s="428"/>
      <c r="F780" s="429"/>
    </row>
    <row r="781" spans="2:6" ht="15.75" x14ac:dyDescent="0.25">
      <c r="B781" s="427"/>
      <c r="C781" s="67"/>
      <c r="D781" s="428"/>
      <c r="E781" s="428"/>
      <c r="F781" s="429"/>
    </row>
    <row r="782" spans="2:6" ht="15.75" x14ac:dyDescent="0.25">
      <c r="B782" s="427"/>
      <c r="C782" s="67"/>
      <c r="D782" s="428"/>
      <c r="E782" s="428"/>
      <c r="F782" s="429"/>
    </row>
    <row r="783" spans="2:6" ht="15.75" x14ac:dyDescent="0.25">
      <c r="B783" s="427"/>
      <c r="C783" s="67"/>
      <c r="D783" s="428"/>
      <c r="E783" s="428"/>
      <c r="F783" s="429"/>
    </row>
    <row r="784" spans="2:6" ht="15.75" x14ac:dyDescent="0.25">
      <c r="B784" s="427"/>
      <c r="C784" s="67"/>
      <c r="D784" s="428"/>
      <c r="E784" s="428"/>
      <c r="F784" s="429"/>
    </row>
    <row r="785" spans="2:6" ht="15.75" x14ac:dyDescent="0.25">
      <c r="B785" s="427"/>
      <c r="C785" s="67"/>
      <c r="D785" s="428"/>
      <c r="E785" s="428"/>
      <c r="F785" s="429"/>
    </row>
    <row r="786" spans="2:6" ht="15.75" x14ac:dyDescent="0.25">
      <c r="B786" s="427"/>
      <c r="C786" s="67"/>
      <c r="D786" s="428"/>
      <c r="E786" s="428"/>
      <c r="F786" s="429"/>
    </row>
    <row r="787" spans="2:6" ht="15.75" x14ac:dyDescent="0.25">
      <c r="B787" s="427"/>
      <c r="C787" s="67"/>
      <c r="D787" s="428"/>
      <c r="E787" s="428"/>
      <c r="F787" s="429"/>
    </row>
    <row r="788" spans="2:6" ht="15.75" x14ac:dyDescent="0.25">
      <c r="B788" s="427"/>
      <c r="C788" s="67"/>
      <c r="D788" s="428"/>
      <c r="E788" s="428"/>
      <c r="F788" s="429"/>
    </row>
    <row r="789" spans="2:6" ht="15.75" x14ac:dyDescent="0.25">
      <c r="B789" s="427"/>
      <c r="C789" s="67"/>
      <c r="D789" s="428"/>
      <c r="E789" s="428"/>
      <c r="F789" s="429"/>
    </row>
    <row r="790" spans="2:6" ht="15.75" x14ac:dyDescent="0.25">
      <c r="B790" s="427"/>
      <c r="C790" s="67"/>
      <c r="D790" s="428"/>
      <c r="E790" s="428"/>
      <c r="F790" s="429"/>
    </row>
    <row r="791" spans="2:6" ht="15.75" x14ac:dyDescent="0.25">
      <c r="B791" s="427"/>
      <c r="C791" s="67"/>
      <c r="D791" s="428"/>
      <c r="E791" s="428"/>
      <c r="F791" s="429"/>
    </row>
    <row r="792" spans="2:6" ht="15.75" x14ac:dyDescent="0.25">
      <c r="B792" s="427"/>
      <c r="C792" s="67"/>
      <c r="D792" s="428"/>
      <c r="E792" s="428"/>
      <c r="F792" s="429"/>
    </row>
    <row r="793" spans="2:6" ht="15.75" x14ac:dyDescent="0.25">
      <c r="B793" s="427"/>
      <c r="C793" s="67"/>
      <c r="D793" s="428"/>
      <c r="E793" s="428"/>
      <c r="F793" s="429"/>
    </row>
    <row r="794" spans="2:6" ht="15.75" x14ac:dyDescent="0.25">
      <c r="B794" s="427"/>
      <c r="C794" s="67"/>
      <c r="D794" s="428"/>
      <c r="E794" s="428"/>
      <c r="F794" s="429"/>
    </row>
    <row r="795" spans="2:6" ht="15.75" x14ac:dyDescent="0.25">
      <c r="B795" s="427"/>
      <c r="C795" s="67"/>
      <c r="D795" s="428"/>
      <c r="E795" s="428"/>
      <c r="F795" s="429"/>
    </row>
    <row r="796" spans="2:6" ht="15.75" x14ac:dyDescent="0.25">
      <c r="B796" s="427"/>
      <c r="C796" s="67"/>
      <c r="D796" s="428"/>
      <c r="E796" s="428"/>
      <c r="F796" s="429"/>
    </row>
    <row r="797" spans="2:6" ht="15.75" x14ac:dyDescent="0.25">
      <c r="B797" s="427"/>
      <c r="C797" s="67"/>
      <c r="D797" s="428"/>
      <c r="E797" s="428"/>
      <c r="F797" s="429"/>
    </row>
    <row r="798" spans="2:6" ht="15.75" x14ac:dyDescent="0.25">
      <c r="B798" s="427"/>
      <c r="C798" s="67"/>
      <c r="D798" s="428"/>
      <c r="E798" s="428"/>
      <c r="F798" s="429"/>
    </row>
    <row r="799" spans="2:6" ht="15.75" x14ac:dyDescent="0.25">
      <c r="B799" s="427"/>
      <c r="C799" s="67"/>
      <c r="D799" s="428"/>
      <c r="E799" s="428"/>
      <c r="F799" s="429"/>
    </row>
    <row r="800" spans="2:6" ht="15.75" x14ac:dyDescent="0.25">
      <c r="B800" s="427"/>
      <c r="C800" s="67"/>
      <c r="D800" s="428"/>
      <c r="E800" s="428"/>
      <c r="F800" s="429"/>
    </row>
    <row r="801" spans="2:6" ht="15.75" x14ac:dyDescent="0.25">
      <c r="B801" s="427"/>
      <c r="C801" s="67"/>
      <c r="D801" s="428"/>
      <c r="E801" s="428"/>
      <c r="F801" s="429"/>
    </row>
    <row r="802" spans="2:6" ht="15.75" x14ac:dyDescent="0.25">
      <c r="B802" s="427"/>
      <c r="C802" s="67"/>
      <c r="D802" s="428"/>
      <c r="E802" s="428"/>
      <c r="F802" s="429"/>
    </row>
    <row r="803" spans="2:6" ht="15.75" x14ac:dyDescent="0.25">
      <c r="B803" s="427"/>
      <c r="C803" s="67"/>
      <c r="D803" s="428"/>
      <c r="E803" s="428"/>
      <c r="F803" s="429"/>
    </row>
    <row r="804" spans="2:6" ht="15.75" x14ac:dyDescent="0.25">
      <c r="B804" s="427"/>
      <c r="C804" s="67"/>
      <c r="D804" s="428"/>
      <c r="E804" s="428"/>
      <c r="F804" s="429"/>
    </row>
    <row r="805" spans="2:6" ht="15.75" x14ac:dyDescent="0.25">
      <c r="B805" s="427"/>
      <c r="C805" s="67"/>
      <c r="D805" s="428"/>
      <c r="E805" s="428"/>
      <c r="F805" s="429"/>
    </row>
    <row r="806" spans="2:6" ht="15.75" x14ac:dyDescent="0.25">
      <c r="B806" s="427"/>
      <c r="C806" s="67"/>
      <c r="D806" s="428"/>
      <c r="E806" s="428"/>
      <c r="F806" s="429"/>
    </row>
    <row r="807" spans="2:6" ht="15.75" x14ac:dyDescent="0.25">
      <c r="B807" s="427"/>
      <c r="C807" s="67"/>
      <c r="D807" s="428"/>
      <c r="E807" s="428"/>
      <c r="F807" s="429"/>
    </row>
    <row r="808" spans="2:6" ht="15.75" x14ac:dyDescent="0.25">
      <c r="B808" s="427"/>
      <c r="C808" s="67"/>
      <c r="D808" s="428"/>
      <c r="E808" s="428"/>
      <c r="F808" s="429"/>
    </row>
    <row r="809" spans="2:6" ht="15.75" x14ac:dyDescent="0.25">
      <c r="B809" s="427"/>
      <c r="C809" s="67"/>
      <c r="D809" s="428"/>
      <c r="E809" s="428"/>
      <c r="F809" s="429"/>
    </row>
    <row r="810" spans="2:6" ht="15.75" x14ac:dyDescent="0.25">
      <c r="B810" s="427"/>
      <c r="C810" s="67"/>
      <c r="D810" s="428"/>
      <c r="E810" s="428"/>
      <c r="F810" s="429"/>
    </row>
    <row r="811" spans="2:6" ht="15.75" x14ac:dyDescent="0.25">
      <c r="B811" s="427"/>
      <c r="C811" s="67"/>
      <c r="D811" s="428"/>
      <c r="E811" s="428"/>
      <c r="F811" s="429"/>
    </row>
    <row r="812" spans="2:6" ht="15.75" x14ac:dyDescent="0.25">
      <c r="B812" s="427"/>
      <c r="C812" s="67"/>
      <c r="D812" s="428"/>
      <c r="E812" s="428"/>
      <c r="F812" s="429"/>
    </row>
    <row r="813" spans="2:6" ht="15.75" x14ac:dyDescent="0.25">
      <c r="B813" s="427"/>
      <c r="C813" s="67"/>
      <c r="D813" s="428"/>
      <c r="E813" s="428"/>
      <c r="F813" s="429"/>
    </row>
    <row r="814" spans="2:6" ht="15.75" x14ac:dyDescent="0.25">
      <c r="B814" s="427"/>
      <c r="C814" s="67"/>
      <c r="D814" s="428"/>
      <c r="E814" s="428"/>
      <c r="F814" s="429"/>
    </row>
    <row r="815" spans="2:6" ht="15.75" x14ac:dyDescent="0.25">
      <c r="B815" s="427"/>
      <c r="C815" s="67"/>
      <c r="D815" s="428"/>
      <c r="E815" s="428"/>
      <c r="F815" s="429"/>
    </row>
    <row r="816" spans="2:6" ht="15.75" x14ac:dyDescent="0.25">
      <c r="B816" s="427"/>
      <c r="C816" s="67"/>
      <c r="D816" s="428"/>
      <c r="E816" s="428"/>
      <c r="F816" s="429"/>
    </row>
    <row r="817" spans="2:6" ht="15.75" x14ac:dyDescent="0.25">
      <c r="B817" s="427"/>
      <c r="C817" s="67"/>
      <c r="D817" s="428"/>
      <c r="E817" s="428"/>
      <c r="F817" s="429"/>
    </row>
    <row r="818" spans="2:6" ht="15.75" x14ac:dyDescent="0.25">
      <c r="B818" s="427"/>
      <c r="C818" s="67"/>
      <c r="D818" s="428"/>
      <c r="E818" s="428"/>
      <c r="F818" s="429"/>
    </row>
    <row r="819" spans="2:6" ht="15.75" x14ac:dyDescent="0.25">
      <c r="B819" s="427"/>
      <c r="C819" s="67"/>
      <c r="D819" s="428"/>
      <c r="E819" s="428"/>
      <c r="F819" s="429"/>
    </row>
    <row r="820" spans="2:6" ht="15.75" x14ac:dyDescent="0.25">
      <c r="B820" s="427"/>
      <c r="C820" s="67"/>
      <c r="D820" s="428"/>
      <c r="E820" s="428"/>
      <c r="F820" s="429"/>
    </row>
    <row r="821" spans="2:6" ht="15.75" x14ac:dyDescent="0.25">
      <c r="B821" s="427"/>
      <c r="C821" s="67"/>
      <c r="D821" s="428"/>
      <c r="E821" s="428"/>
      <c r="F821" s="429"/>
    </row>
    <row r="822" spans="2:6" ht="15.75" x14ac:dyDescent="0.25">
      <c r="B822" s="427"/>
      <c r="C822" s="67"/>
      <c r="D822" s="428"/>
      <c r="E822" s="428"/>
      <c r="F822" s="429"/>
    </row>
    <row r="823" spans="2:6" ht="15.75" x14ac:dyDescent="0.25">
      <c r="B823" s="427"/>
      <c r="C823" s="67"/>
      <c r="D823" s="428"/>
      <c r="E823" s="428"/>
      <c r="F823" s="429"/>
    </row>
    <row r="824" spans="2:6" ht="15.75" x14ac:dyDescent="0.25">
      <c r="B824" s="427"/>
      <c r="C824" s="67"/>
      <c r="D824" s="428"/>
      <c r="E824" s="428"/>
      <c r="F824" s="429"/>
    </row>
    <row r="825" spans="2:6" ht="15.75" x14ac:dyDescent="0.25">
      <c r="B825" s="427"/>
      <c r="C825" s="67"/>
      <c r="D825" s="428"/>
      <c r="E825" s="428"/>
      <c r="F825" s="429"/>
    </row>
    <row r="826" spans="2:6" ht="15.75" x14ac:dyDescent="0.25">
      <c r="B826" s="427"/>
      <c r="C826" s="67"/>
      <c r="D826" s="428"/>
      <c r="E826" s="428"/>
      <c r="F826" s="429"/>
    </row>
    <row r="827" spans="2:6" ht="15.75" x14ac:dyDescent="0.25">
      <c r="B827" s="427"/>
      <c r="C827" s="67"/>
      <c r="D827" s="428"/>
      <c r="E827" s="428"/>
      <c r="F827" s="429"/>
    </row>
    <row r="828" spans="2:6" ht="15.75" x14ac:dyDescent="0.25">
      <c r="B828" s="427"/>
      <c r="C828" s="67"/>
      <c r="D828" s="428"/>
      <c r="E828" s="428"/>
      <c r="F828" s="429"/>
    </row>
    <row r="829" spans="2:6" ht="15.75" x14ac:dyDescent="0.25">
      <c r="B829" s="427"/>
      <c r="C829" s="67"/>
      <c r="D829" s="428"/>
      <c r="E829" s="428"/>
      <c r="F829" s="429"/>
    </row>
    <row r="830" spans="2:6" ht="15.75" x14ac:dyDescent="0.25">
      <c r="B830" s="427"/>
      <c r="C830" s="67"/>
      <c r="D830" s="428"/>
      <c r="E830" s="428"/>
      <c r="F830" s="429"/>
    </row>
    <row r="831" spans="2:6" ht="15.75" x14ac:dyDescent="0.25">
      <c r="B831" s="427"/>
      <c r="C831" s="67"/>
      <c r="D831" s="428"/>
      <c r="E831" s="428"/>
      <c r="F831" s="429"/>
    </row>
    <row r="832" spans="2:6" ht="15.75" x14ac:dyDescent="0.25">
      <c r="B832" s="427"/>
      <c r="C832" s="67"/>
      <c r="D832" s="428"/>
      <c r="E832" s="428"/>
      <c r="F832" s="429"/>
    </row>
    <row r="833" spans="2:6" ht="15.75" x14ac:dyDescent="0.25">
      <c r="B833" s="427"/>
      <c r="C833" s="67"/>
      <c r="D833" s="428"/>
      <c r="E833" s="428"/>
      <c r="F833" s="429"/>
    </row>
    <row r="834" spans="2:6" ht="15.75" x14ac:dyDescent="0.25">
      <c r="B834" s="427"/>
      <c r="C834" s="67"/>
      <c r="D834" s="428"/>
      <c r="E834" s="428"/>
      <c r="F834" s="429"/>
    </row>
    <row r="835" spans="2:6" ht="15.75" x14ac:dyDescent="0.25">
      <c r="B835" s="427"/>
      <c r="C835" s="67"/>
      <c r="D835" s="428"/>
      <c r="E835" s="428"/>
      <c r="F835" s="429"/>
    </row>
    <row r="836" spans="2:6" ht="15.75" x14ac:dyDescent="0.25">
      <c r="B836" s="427"/>
      <c r="C836" s="67"/>
      <c r="D836" s="428"/>
      <c r="E836" s="428"/>
      <c r="F836" s="429"/>
    </row>
    <row r="837" spans="2:6" ht="15.75" x14ac:dyDescent="0.25">
      <c r="B837" s="427"/>
      <c r="C837" s="67"/>
      <c r="D837" s="428"/>
      <c r="E837" s="428"/>
      <c r="F837" s="429"/>
    </row>
    <row r="838" spans="2:6" ht="15.75" x14ac:dyDescent="0.25">
      <c r="B838" s="427"/>
      <c r="C838" s="67"/>
      <c r="D838" s="428"/>
      <c r="E838" s="428"/>
      <c r="F838" s="429"/>
    </row>
    <row r="839" spans="2:6" ht="15.75" x14ac:dyDescent="0.25">
      <c r="B839" s="427"/>
      <c r="C839" s="67"/>
      <c r="D839" s="428"/>
      <c r="E839" s="428"/>
      <c r="F839" s="429"/>
    </row>
    <row r="840" spans="2:6" ht="15.75" x14ac:dyDescent="0.25">
      <c r="B840" s="427"/>
      <c r="C840" s="67"/>
      <c r="D840" s="428"/>
      <c r="E840" s="428"/>
      <c r="F840" s="429"/>
    </row>
    <row r="841" spans="2:6" ht="15.75" x14ac:dyDescent="0.25">
      <c r="B841" s="427"/>
      <c r="C841" s="67"/>
      <c r="D841" s="428"/>
      <c r="E841" s="428"/>
      <c r="F841" s="429"/>
    </row>
    <row r="842" spans="2:6" ht="15.75" x14ac:dyDescent="0.25">
      <c r="B842" s="427"/>
      <c r="C842" s="67"/>
      <c r="D842" s="428"/>
      <c r="E842" s="428"/>
      <c r="F842" s="429"/>
    </row>
    <row r="843" spans="2:6" ht="15.75" x14ac:dyDescent="0.25">
      <c r="B843" s="427"/>
      <c r="C843" s="67"/>
      <c r="D843" s="428"/>
      <c r="E843" s="428"/>
      <c r="F843" s="429"/>
    </row>
    <row r="844" spans="2:6" ht="15.75" x14ac:dyDescent="0.25">
      <c r="B844" s="427"/>
      <c r="C844" s="67"/>
      <c r="D844" s="428"/>
      <c r="E844" s="428"/>
      <c r="F844" s="429"/>
    </row>
    <row r="845" spans="2:6" ht="15.75" x14ac:dyDescent="0.25">
      <c r="B845" s="427"/>
      <c r="C845" s="67"/>
      <c r="D845" s="428"/>
      <c r="E845" s="428"/>
      <c r="F845" s="429"/>
    </row>
    <row r="846" spans="2:6" ht="15.75" x14ac:dyDescent="0.25">
      <c r="B846" s="427"/>
      <c r="C846" s="67"/>
      <c r="D846" s="428"/>
      <c r="E846" s="428"/>
      <c r="F846" s="429"/>
    </row>
    <row r="847" spans="2:6" ht="15.75" x14ac:dyDescent="0.25">
      <c r="B847" s="427"/>
      <c r="C847" s="67"/>
      <c r="D847" s="428"/>
      <c r="E847" s="428"/>
      <c r="F847" s="429"/>
    </row>
    <row r="848" spans="2:6" ht="15.75" x14ac:dyDescent="0.25">
      <c r="B848" s="427"/>
      <c r="C848" s="67"/>
      <c r="D848" s="428"/>
      <c r="E848" s="428"/>
      <c r="F848" s="429"/>
    </row>
    <row r="849" spans="2:6" ht="15.75" x14ac:dyDescent="0.25">
      <c r="B849" s="427"/>
      <c r="C849" s="67"/>
      <c r="D849" s="428"/>
      <c r="E849" s="428"/>
      <c r="F849" s="429"/>
    </row>
    <row r="850" spans="2:6" ht="15.75" x14ac:dyDescent="0.25">
      <c r="B850" s="427"/>
      <c r="C850" s="67"/>
      <c r="D850" s="428"/>
      <c r="E850" s="428"/>
      <c r="F850" s="429"/>
    </row>
    <row r="851" spans="2:6" ht="15.75" x14ac:dyDescent="0.25">
      <c r="B851" s="427"/>
      <c r="C851" s="67"/>
      <c r="D851" s="428"/>
      <c r="E851" s="428"/>
      <c r="F851" s="429"/>
    </row>
    <row r="852" spans="2:6" ht="15.75" x14ac:dyDescent="0.25">
      <c r="B852" s="427"/>
      <c r="C852" s="67"/>
      <c r="D852" s="428"/>
      <c r="E852" s="428"/>
      <c r="F852" s="429"/>
    </row>
    <row r="853" spans="2:6" ht="15.75" x14ac:dyDescent="0.25">
      <c r="B853" s="427"/>
      <c r="C853" s="67"/>
      <c r="D853" s="428"/>
      <c r="E853" s="428"/>
      <c r="F853" s="429"/>
    </row>
    <row r="854" spans="2:6" ht="15.75" x14ac:dyDescent="0.25">
      <c r="B854" s="427"/>
      <c r="C854" s="67"/>
      <c r="D854" s="428"/>
      <c r="E854" s="428"/>
      <c r="F854" s="429"/>
    </row>
    <row r="855" spans="2:6" ht="15.75" x14ac:dyDescent="0.25">
      <c r="B855" s="427"/>
      <c r="C855" s="67"/>
      <c r="D855" s="428"/>
      <c r="E855" s="428"/>
      <c r="F855" s="429"/>
    </row>
    <row r="856" spans="2:6" ht="15.75" x14ac:dyDescent="0.25">
      <c r="B856" s="427"/>
      <c r="C856" s="67"/>
      <c r="D856" s="428"/>
      <c r="E856" s="428"/>
      <c r="F856" s="429"/>
    </row>
    <row r="857" spans="2:6" ht="15.75" x14ac:dyDescent="0.25">
      <c r="B857" s="427"/>
      <c r="C857" s="67"/>
      <c r="D857" s="428"/>
      <c r="E857" s="428"/>
      <c r="F857" s="429"/>
    </row>
    <row r="858" spans="2:6" ht="15.75" x14ac:dyDescent="0.25">
      <c r="B858" s="427"/>
      <c r="C858" s="67"/>
      <c r="D858" s="428"/>
      <c r="E858" s="428"/>
      <c r="F858" s="429"/>
    </row>
    <row r="859" spans="2:6" ht="15.75" x14ac:dyDescent="0.25">
      <c r="B859" s="427"/>
      <c r="C859" s="67"/>
      <c r="D859" s="428"/>
      <c r="E859" s="428"/>
      <c r="F859" s="429"/>
    </row>
    <row r="860" spans="2:6" ht="15.75" x14ac:dyDescent="0.25">
      <c r="B860" s="427"/>
      <c r="C860" s="67"/>
      <c r="D860" s="428"/>
      <c r="E860" s="428"/>
      <c r="F860" s="429"/>
    </row>
    <row r="861" spans="2:6" ht="15.75" x14ac:dyDescent="0.25">
      <c r="B861" s="427"/>
      <c r="C861" s="67"/>
      <c r="D861" s="428"/>
      <c r="E861" s="428"/>
      <c r="F861" s="429"/>
    </row>
    <row r="862" spans="2:6" ht="15.75" x14ac:dyDescent="0.25">
      <c r="B862" s="427"/>
      <c r="C862" s="67"/>
      <c r="D862" s="428"/>
      <c r="E862" s="428"/>
      <c r="F862" s="429"/>
    </row>
    <row r="863" spans="2:6" ht="15.75" x14ac:dyDescent="0.25">
      <c r="B863" s="427"/>
      <c r="C863" s="67"/>
      <c r="D863" s="428"/>
      <c r="E863" s="428"/>
      <c r="F863" s="429"/>
    </row>
    <row r="864" spans="2:6" ht="15.75" x14ac:dyDescent="0.25">
      <c r="B864" s="427"/>
      <c r="C864" s="67"/>
      <c r="D864" s="428"/>
      <c r="E864" s="428"/>
      <c r="F864" s="429"/>
    </row>
    <row r="865" spans="2:6" ht="15.75" x14ac:dyDescent="0.25">
      <c r="B865" s="427"/>
      <c r="C865" s="67"/>
      <c r="D865" s="428"/>
      <c r="E865" s="428"/>
      <c r="F865" s="429"/>
    </row>
    <row r="866" spans="2:6" ht="15.75" x14ac:dyDescent="0.25">
      <c r="B866" s="427"/>
      <c r="C866" s="67"/>
      <c r="D866" s="428"/>
      <c r="E866" s="428"/>
      <c r="F866" s="429"/>
    </row>
    <row r="867" spans="2:6" ht="15.75" x14ac:dyDescent="0.25">
      <c r="B867" s="427"/>
      <c r="C867" s="67"/>
      <c r="D867" s="428"/>
      <c r="E867" s="428"/>
      <c r="F867" s="429"/>
    </row>
    <row r="868" spans="2:6" ht="15.75" x14ac:dyDescent="0.25">
      <c r="B868" s="427"/>
      <c r="C868" s="67"/>
      <c r="D868" s="428"/>
      <c r="E868" s="428"/>
      <c r="F868" s="429"/>
    </row>
    <row r="869" spans="2:6" ht="15.75" x14ac:dyDescent="0.25">
      <c r="B869" s="427"/>
      <c r="C869" s="67"/>
      <c r="D869" s="428"/>
      <c r="E869" s="428"/>
      <c r="F869" s="429"/>
    </row>
    <row r="870" spans="2:6" ht="15.75" x14ac:dyDescent="0.25">
      <c r="B870" s="427"/>
      <c r="C870" s="67"/>
      <c r="D870" s="428"/>
      <c r="E870" s="428"/>
      <c r="F870" s="429"/>
    </row>
    <row r="871" spans="2:6" ht="15.75" x14ac:dyDescent="0.25">
      <c r="B871" s="427"/>
      <c r="C871" s="67"/>
      <c r="D871" s="428"/>
      <c r="E871" s="428"/>
      <c r="F871" s="429"/>
    </row>
    <row r="872" spans="2:6" ht="15.75" x14ac:dyDescent="0.25">
      <c r="B872" s="427"/>
      <c r="C872" s="67"/>
      <c r="D872" s="428"/>
      <c r="E872" s="428"/>
      <c r="F872" s="429"/>
    </row>
    <row r="873" spans="2:6" ht="15.75" x14ac:dyDescent="0.25">
      <c r="B873" s="427"/>
      <c r="C873" s="67"/>
      <c r="D873" s="428"/>
      <c r="E873" s="428"/>
      <c r="F873" s="429"/>
    </row>
    <row r="874" spans="2:6" ht="15.75" x14ac:dyDescent="0.25">
      <c r="B874" s="427"/>
      <c r="C874" s="67"/>
      <c r="D874" s="428"/>
      <c r="E874" s="428"/>
      <c r="F874" s="429"/>
    </row>
    <row r="875" spans="2:6" ht="15.75" x14ac:dyDescent="0.25">
      <c r="B875" s="427"/>
      <c r="C875" s="67"/>
      <c r="D875" s="428"/>
      <c r="E875" s="428"/>
      <c r="F875" s="429"/>
    </row>
    <row r="876" spans="2:6" ht="15.75" x14ac:dyDescent="0.25">
      <c r="B876" s="427"/>
      <c r="C876" s="67"/>
      <c r="D876" s="428"/>
      <c r="E876" s="428"/>
      <c r="F876" s="429"/>
    </row>
    <row r="877" spans="2:6" ht="15.75" x14ac:dyDescent="0.25">
      <c r="B877" s="427"/>
      <c r="C877" s="67"/>
      <c r="D877" s="428"/>
      <c r="E877" s="428"/>
      <c r="F877" s="429"/>
    </row>
    <row r="878" spans="2:6" ht="15.75" x14ac:dyDescent="0.25">
      <c r="B878" s="427"/>
      <c r="C878" s="67"/>
      <c r="D878" s="428"/>
      <c r="E878" s="428"/>
      <c r="F878" s="429"/>
    </row>
    <row r="879" spans="2:6" ht="15.75" x14ac:dyDescent="0.25">
      <c r="B879" s="427"/>
      <c r="C879" s="67"/>
      <c r="D879" s="428"/>
      <c r="E879" s="428"/>
      <c r="F879" s="429"/>
    </row>
    <row r="880" spans="2:6" ht="15.75" x14ac:dyDescent="0.25">
      <c r="B880" s="427"/>
      <c r="C880" s="67"/>
      <c r="D880" s="428"/>
      <c r="E880" s="428"/>
      <c r="F880" s="429"/>
    </row>
    <row r="881" spans="2:6" ht="15.75" x14ac:dyDescent="0.25">
      <c r="B881" s="427"/>
      <c r="C881" s="67"/>
      <c r="D881" s="428"/>
      <c r="E881" s="428"/>
      <c r="F881" s="429"/>
    </row>
    <row r="882" spans="2:6" ht="15.75" x14ac:dyDescent="0.25">
      <c r="B882" s="427"/>
      <c r="C882" s="67"/>
      <c r="D882" s="428"/>
      <c r="E882" s="428"/>
      <c r="F882" s="429"/>
    </row>
    <row r="883" spans="2:6" ht="15.75" x14ac:dyDescent="0.25">
      <c r="B883" s="427"/>
      <c r="C883" s="67"/>
      <c r="D883" s="428"/>
      <c r="E883" s="428"/>
      <c r="F883" s="429"/>
    </row>
    <row r="884" spans="2:6" ht="15.75" x14ac:dyDescent="0.25">
      <c r="B884" s="427"/>
      <c r="C884" s="67"/>
      <c r="D884" s="428"/>
      <c r="E884" s="428"/>
      <c r="F884" s="429"/>
    </row>
    <row r="885" spans="2:6" ht="15.75" x14ac:dyDescent="0.25">
      <c r="B885" s="427"/>
      <c r="C885" s="67"/>
      <c r="D885" s="428"/>
      <c r="E885" s="428"/>
      <c r="F885" s="429"/>
    </row>
    <row r="886" spans="2:6" ht="15.75" x14ac:dyDescent="0.25">
      <c r="B886" s="427"/>
      <c r="C886" s="67"/>
      <c r="D886" s="428"/>
      <c r="E886" s="428"/>
      <c r="F886" s="429"/>
    </row>
    <row r="887" spans="2:6" ht="15.75" x14ac:dyDescent="0.25">
      <c r="B887" s="427"/>
      <c r="C887" s="67"/>
      <c r="D887" s="428"/>
      <c r="E887" s="428"/>
      <c r="F887" s="429"/>
    </row>
    <row r="888" spans="2:6" ht="15.75" x14ac:dyDescent="0.25">
      <c r="B888" s="427"/>
      <c r="C888" s="67"/>
      <c r="D888" s="428"/>
      <c r="E888" s="428"/>
      <c r="F888" s="429"/>
    </row>
    <row r="889" spans="2:6" ht="15.75" x14ac:dyDescent="0.25">
      <c r="B889" s="427"/>
      <c r="C889" s="67"/>
      <c r="D889" s="428"/>
      <c r="E889" s="428"/>
      <c r="F889" s="429"/>
    </row>
    <row r="890" spans="2:6" ht="15.75" x14ac:dyDescent="0.25">
      <c r="B890" s="427"/>
      <c r="C890" s="67"/>
      <c r="D890" s="428"/>
      <c r="E890" s="428"/>
      <c r="F890" s="429"/>
    </row>
    <row r="891" spans="2:6" ht="15.75" x14ac:dyDescent="0.25">
      <c r="B891" s="427"/>
      <c r="C891" s="67"/>
      <c r="D891" s="428"/>
      <c r="E891" s="428"/>
      <c r="F891" s="429"/>
    </row>
    <row r="892" spans="2:6" ht="15.75" x14ac:dyDescent="0.25">
      <c r="B892" s="427"/>
      <c r="C892" s="67"/>
      <c r="D892" s="428"/>
      <c r="E892" s="428"/>
      <c r="F892" s="429"/>
    </row>
    <row r="893" spans="2:6" ht="15.75" x14ac:dyDescent="0.25">
      <c r="B893" s="427"/>
      <c r="C893" s="67"/>
      <c r="D893" s="428"/>
      <c r="E893" s="428"/>
      <c r="F893" s="429"/>
    </row>
    <row r="894" spans="2:6" ht="15.75" x14ac:dyDescent="0.25">
      <c r="B894" s="427"/>
      <c r="C894" s="67"/>
      <c r="D894" s="428"/>
      <c r="E894" s="428"/>
      <c r="F894" s="429"/>
    </row>
    <row r="895" spans="2:6" ht="15.75" x14ac:dyDescent="0.25">
      <c r="B895" s="427"/>
      <c r="C895" s="67"/>
      <c r="D895" s="428"/>
      <c r="E895" s="428"/>
      <c r="F895" s="429"/>
    </row>
    <row r="896" spans="2:6" ht="15.75" x14ac:dyDescent="0.25">
      <c r="B896" s="427"/>
      <c r="C896" s="67"/>
      <c r="D896" s="428"/>
      <c r="E896" s="428"/>
      <c r="F896" s="429"/>
    </row>
    <row r="897" spans="2:6" ht="15.75" x14ac:dyDescent="0.25">
      <c r="B897" s="427"/>
      <c r="C897" s="67"/>
      <c r="D897" s="428"/>
      <c r="E897" s="428"/>
      <c r="F897" s="429"/>
    </row>
    <row r="898" spans="2:6" ht="15.75" x14ac:dyDescent="0.25">
      <c r="B898" s="427"/>
      <c r="C898" s="67"/>
      <c r="D898" s="428"/>
      <c r="E898" s="428"/>
      <c r="F898" s="429"/>
    </row>
    <row r="899" spans="2:6" ht="15.75" x14ac:dyDescent="0.25">
      <c r="B899" s="427"/>
      <c r="C899" s="67"/>
      <c r="D899" s="428"/>
      <c r="E899" s="428"/>
      <c r="F899" s="429"/>
    </row>
    <row r="900" spans="2:6" ht="15.75" x14ac:dyDescent="0.25">
      <c r="B900" s="427"/>
      <c r="C900" s="67"/>
      <c r="D900" s="428"/>
      <c r="E900" s="428"/>
      <c r="F900" s="429"/>
    </row>
    <row r="901" spans="2:6" ht="15.75" x14ac:dyDescent="0.25">
      <c r="B901" s="427"/>
      <c r="C901" s="67"/>
      <c r="D901" s="428"/>
      <c r="E901" s="428"/>
      <c r="F901" s="429"/>
    </row>
    <row r="902" spans="2:6" ht="15.75" x14ac:dyDescent="0.25">
      <c r="B902" s="427"/>
      <c r="C902" s="67"/>
      <c r="D902" s="428"/>
      <c r="E902" s="428"/>
      <c r="F902" s="429"/>
    </row>
    <row r="903" spans="2:6" ht="15.75" x14ac:dyDescent="0.25">
      <c r="B903" s="427"/>
      <c r="C903" s="67"/>
      <c r="D903" s="428"/>
      <c r="E903" s="428"/>
      <c r="F903" s="429"/>
    </row>
    <row r="904" spans="2:6" ht="15.75" x14ac:dyDescent="0.25">
      <c r="B904" s="427"/>
      <c r="C904" s="67"/>
      <c r="D904" s="428"/>
      <c r="E904" s="428"/>
      <c r="F904" s="429"/>
    </row>
    <row r="905" spans="2:6" ht="15.75" x14ac:dyDescent="0.25">
      <c r="B905" s="427"/>
      <c r="C905" s="67"/>
      <c r="D905" s="428"/>
      <c r="E905" s="428"/>
      <c r="F905" s="429"/>
    </row>
    <row r="906" spans="2:6" ht="15.75" x14ac:dyDescent="0.25">
      <c r="B906" s="427"/>
      <c r="C906" s="67"/>
      <c r="D906" s="428"/>
      <c r="E906" s="428"/>
      <c r="F906" s="429"/>
    </row>
    <row r="907" spans="2:6" ht="15.75" x14ac:dyDescent="0.25">
      <c r="B907" s="427"/>
      <c r="C907" s="67"/>
      <c r="D907" s="428"/>
      <c r="E907" s="428"/>
      <c r="F907" s="429"/>
    </row>
    <row r="908" spans="2:6" ht="15.75" x14ac:dyDescent="0.25">
      <c r="B908" s="427"/>
      <c r="C908" s="67"/>
      <c r="D908" s="428"/>
      <c r="E908" s="428"/>
      <c r="F908" s="429"/>
    </row>
    <row r="909" spans="2:6" ht="15.75" x14ac:dyDescent="0.25">
      <c r="B909" s="427"/>
      <c r="C909" s="67"/>
      <c r="D909" s="428"/>
      <c r="E909" s="428"/>
      <c r="F909" s="429"/>
    </row>
    <row r="910" spans="2:6" ht="15.75" x14ac:dyDescent="0.25">
      <c r="B910" s="427"/>
      <c r="C910" s="67"/>
      <c r="D910" s="428"/>
      <c r="E910" s="428"/>
      <c r="F910" s="429"/>
    </row>
    <row r="911" spans="2:6" ht="15.75" x14ac:dyDescent="0.25">
      <c r="B911" s="427"/>
      <c r="C911" s="67"/>
      <c r="D911" s="428"/>
      <c r="E911" s="428"/>
      <c r="F911" s="429"/>
    </row>
    <row r="912" spans="2:6" ht="15.75" x14ac:dyDescent="0.25">
      <c r="B912" s="427"/>
      <c r="C912" s="67"/>
      <c r="D912" s="428"/>
      <c r="E912" s="428"/>
      <c r="F912" s="429"/>
    </row>
    <row r="913" spans="2:6" ht="15.75" x14ac:dyDescent="0.25">
      <c r="B913" s="427"/>
      <c r="C913" s="67"/>
      <c r="D913" s="428"/>
      <c r="E913" s="428"/>
      <c r="F913" s="429"/>
    </row>
    <row r="914" spans="2:6" ht="15.75" x14ac:dyDescent="0.25">
      <c r="B914" s="427"/>
      <c r="C914" s="67"/>
      <c r="D914" s="428"/>
      <c r="E914" s="428"/>
      <c r="F914" s="429"/>
    </row>
    <row r="915" spans="2:6" ht="15.75" x14ac:dyDescent="0.25">
      <c r="B915" s="427"/>
      <c r="C915" s="67"/>
      <c r="D915" s="428"/>
      <c r="E915" s="428"/>
      <c r="F915" s="429"/>
    </row>
    <row r="916" spans="2:6" ht="15.75" x14ac:dyDescent="0.25">
      <c r="B916" s="427"/>
      <c r="C916" s="67"/>
      <c r="D916" s="428"/>
      <c r="E916" s="428"/>
      <c r="F916" s="429"/>
    </row>
    <row r="917" spans="2:6" ht="15.75" x14ac:dyDescent="0.25">
      <c r="B917" s="427"/>
      <c r="C917" s="67"/>
      <c r="D917" s="428"/>
      <c r="E917" s="428"/>
      <c r="F917" s="429"/>
    </row>
    <row r="918" spans="2:6" ht="15.75" x14ac:dyDescent="0.25">
      <c r="B918" s="427"/>
      <c r="C918" s="67"/>
      <c r="D918" s="428"/>
      <c r="E918" s="428"/>
      <c r="F918" s="429"/>
    </row>
    <row r="919" spans="2:6" ht="15.75" x14ac:dyDescent="0.25">
      <c r="B919" s="427"/>
      <c r="C919" s="67"/>
      <c r="D919" s="428"/>
      <c r="E919" s="428"/>
      <c r="F919" s="429"/>
    </row>
    <row r="920" spans="2:6" ht="15.75" x14ac:dyDescent="0.25">
      <c r="B920" s="427"/>
      <c r="C920" s="67"/>
      <c r="D920" s="428"/>
      <c r="E920" s="428"/>
      <c r="F920" s="429"/>
    </row>
    <row r="921" spans="2:6" ht="15.75" x14ac:dyDescent="0.25">
      <c r="B921" s="427"/>
      <c r="C921" s="67"/>
      <c r="D921" s="428"/>
      <c r="E921" s="428"/>
      <c r="F921" s="429"/>
    </row>
    <row r="922" spans="2:6" ht="15.75" x14ac:dyDescent="0.25">
      <c r="B922" s="427"/>
      <c r="C922" s="67"/>
      <c r="D922" s="428"/>
      <c r="E922" s="428"/>
      <c r="F922" s="429"/>
    </row>
    <row r="923" spans="2:6" ht="15.75" x14ac:dyDescent="0.25">
      <c r="B923" s="427"/>
      <c r="C923" s="67"/>
      <c r="D923" s="428"/>
      <c r="E923" s="428"/>
      <c r="F923" s="429"/>
    </row>
    <row r="924" spans="2:6" ht="15.75" x14ac:dyDescent="0.25">
      <c r="B924" s="427"/>
      <c r="C924" s="67"/>
      <c r="D924" s="428"/>
      <c r="E924" s="428"/>
      <c r="F924" s="429"/>
    </row>
    <row r="925" spans="2:6" ht="15.75" x14ac:dyDescent="0.25">
      <c r="B925" s="427"/>
      <c r="C925" s="67"/>
      <c r="D925" s="428"/>
      <c r="E925" s="428"/>
      <c r="F925" s="429"/>
    </row>
    <row r="926" spans="2:6" ht="15.75" x14ac:dyDescent="0.25">
      <c r="B926" s="427"/>
      <c r="C926" s="67"/>
      <c r="D926" s="428"/>
      <c r="E926" s="428"/>
      <c r="F926" s="429"/>
    </row>
    <row r="927" spans="2:6" ht="15.75" x14ac:dyDescent="0.25">
      <c r="B927" s="427"/>
      <c r="C927" s="67"/>
      <c r="D927" s="428"/>
      <c r="E927" s="428"/>
      <c r="F927" s="429"/>
    </row>
    <row r="928" spans="2:6" ht="15.75" x14ac:dyDescent="0.25">
      <c r="B928" s="427"/>
      <c r="C928" s="67"/>
      <c r="D928" s="428"/>
      <c r="E928" s="428"/>
      <c r="F928" s="429"/>
    </row>
    <row r="929" spans="2:6" ht="15.75" x14ac:dyDescent="0.25">
      <c r="B929" s="427"/>
      <c r="C929" s="67"/>
      <c r="D929" s="428"/>
      <c r="E929" s="428"/>
      <c r="F929" s="429"/>
    </row>
    <row r="930" spans="2:6" ht="15.75" x14ac:dyDescent="0.25">
      <c r="B930" s="427"/>
      <c r="C930" s="67"/>
      <c r="D930" s="428"/>
      <c r="E930" s="428"/>
      <c r="F930" s="429"/>
    </row>
    <row r="931" spans="2:6" ht="15.75" x14ac:dyDescent="0.25">
      <c r="B931" s="427"/>
      <c r="C931" s="67"/>
      <c r="D931" s="428"/>
      <c r="E931" s="428"/>
      <c r="F931" s="429"/>
    </row>
    <row r="932" spans="2:6" ht="15.75" x14ac:dyDescent="0.25">
      <c r="B932" s="427"/>
      <c r="C932" s="67"/>
      <c r="D932" s="428"/>
      <c r="E932" s="428"/>
      <c r="F932" s="429"/>
    </row>
    <row r="933" spans="2:6" ht="15.75" x14ac:dyDescent="0.25">
      <c r="B933" s="427"/>
      <c r="C933" s="67"/>
      <c r="D933" s="428"/>
      <c r="E933" s="428"/>
      <c r="F933" s="429"/>
    </row>
    <row r="934" spans="2:6" ht="15.75" x14ac:dyDescent="0.25">
      <c r="B934" s="427"/>
      <c r="C934" s="67"/>
      <c r="D934" s="428"/>
      <c r="E934" s="428"/>
      <c r="F934" s="429"/>
    </row>
    <row r="935" spans="2:6" ht="15.75" x14ac:dyDescent="0.25">
      <c r="B935" s="427"/>
      <c r="C935" s="67"/>
      <c r="D935" s="428"/>
      <c r="E935" s="428"/>
      <c r="F935" s="429"/>
    </row>
    <row r="936" spans="2:6" ht="15.75" x14ac:dyDescent="0.25">
      <c r="B936" s="427"/>
      <c r="C936" s="67"/>
      <c r="D936" s="428"/>
      <c r="E936" s="428"/>
      <c r="F936" s="429"/>
    </row>
    <row r="937" spans="2:6" ht="15.75" x14ac:dyDescent="0.25">
      <c r="B937" s="427"/>
      <c r="C937" s="67"/>
      <c r="D937" s="428"/>
      <c r="E937" s="428"/>
      <c r="F937" s="429"/>
    </row>
    <row r="938" spans="2:6" ht="15.75" x14ac:dyDescent="0.25">
      <c r="B938" s="427"/>
      <c r="C938" s="67"/>
      <c r="D938" s="428"/>
      <c r="E938" s="428"/>
      <c r="F938" s="429"/>
    </row>
    <row r="939" spans="2:6" ht="15.75" x14ac:dyDescent="0.25">
      <c r="B939" s="427"/>
      <c r="C939" s="67"/>
      <c r="D939" s="428"/>
      <c r="E939" s="428"/>
      <c r="F939" s="429"/>
    </row>
    <row r="940" spans="2:6" ht="15.75" x14ac:dyDescent="0.25">
      <c r="B940" s="427"/>
      <c r="C940" s="67"/>
      <c r="D940" s="428"/>
      <c r="E940" s="428"/>
      <c r="F940" s="429"/>
    </row>
    <row r="941" spans="2:6" ht="15.75" x14ac:dyDescent="0.25">
      <c r="B941" s="427"/>
      <c r="C941" s="67"/>
      <c r="D941" s="428"/>
      <c r="E941" s="428"/>
      <c r="F941" s="429"/>
    </row>
    <row r="942" spans="2:6" ht="15.75" x14ac:dyDescent="0.25">
      <c r="B942" s="427"/>
      <c r="C942" s="67"/>
      <c r="D942" s="428"/>
      <c r="E942" s="428"/>
      <c r="F942" s="429"/>
    </row>
    <row r="943" spans="2:6" ht="15.75" x14ac:dyDescent="0.25">
      <c r="B943" s="427"/>
      <c r="C943" s="67"/>
      <c r="D943" s="428"/>
      <c r="E943" s="428"/>
      <c r="F943" s="429"/>
    </row>
    <row r="944" spans="2:6" ht="15.75" x14ac:dyDescent="0.25">
      <c r="B944" s="427"/>
      <c r="C944" s="67"/>
      <c r="D944" s="428"/>
      <c r="E944" s="428"/>
      <c r="F944" s="429"/>
    </row>
    <row r="945" spans="2:6" ht="15.75" x14ac:dyDescent="0.25">
      <c r="B945" s="427"/>
      <c r="C945" s="67"/>
      <c r="D945" s="428"/>
      <c r="E945" s="428"/>
      <c r="F945" s="429"/>
    </row>
    <row r="946" spans="2:6" ht="15.75" x14ac:dyDescent="0.25">
      <c r="B946" s="427"/>
      <c r="C946" s="67"/>
      <c r="D946" s="428"/>
      <c r="E946" s="428"/>
      <c r="F946" s="429"/>
    </row>
    <row r="947" spans="2:6" ht="15.75" x14ac:dyDescent="0.25">
      <c r="B947" s="427"/>
      <c r="C947" s="67"/>
      <c r="D947" s="428"/>
      <c r="E947" s="428"/>
      <c r="F947" s="429"/>
    </row>
    <row r="948" spans="2:6" ht="15.75" x14ac:dyDescent="0.25">
      <c r="B948" s="427"/>
      <c r="C948" s="67"/>
      <c r="D948" s="428"/>
      <c r="E948" s="428"/>
      <c r="F948" s="429"/>
    </row>
    <row r="949" spans="2:6" ht="15.75" x14ac:dyDescent="0.25">
      <c r="B949" s="427"/>
      <c r="C949" s="67"/>
      <c r="D949" s="428"/>
      <c r="E949" s="428"/>
      <c r="F949" s="429"/>
    </row>
    <row r="950" spans="2:6" ht="15.75" x14ac:dyDescent="0.25">
      <c r="B950" s="427"/>
      <c r="C950" s="67"/>
      <c r="D950" s="428"/>
      <c r="E950" s="428"/>
      <c r="F950" s="429"/>
    </row>
    <row r="951" spans="2:6" ht="15.75" x14ac:dyDescent="0.25">
      <c r="B951" s="427"/>
      <c r="C951" s="67"/>
      <c r="D951" s="428"/>
      <c r="E951" s="428"/>
      <c r="F951" s="429"/>
    </row>
    <row r="952" spans="2:6" ht="15.75" x14ac:dyDescent="0.25">
      <c r="B952" s="427"/>
      <c r="C952" s="67"/>
      <c r="D952" s="428"/>
      <c r="E952" s="428"/>
      <c r="F952" s="429"/>
    </row>
    <row r="953" spans="2:6" ht="15.75" x14ac:dyDescent="0.25">
      <c r="B953" s="427"/>
      <c r="C953" s="67"/>
      <c r="D953" s="428"/>
      <c r="E953" s="428"/>
      <c r="F953" s="429"/>
    </row>
    <row r="954" spans="2:6" ht="15.75" x14ac:dyDescent="0.25">
      <c r="B954" s="427"/>
      <c r="C954" s="67"/>
      <c r="D954" s="428"/>
      <c r="E954" s="428"/>
      <c r="F954" s="429"/>
    </row>
    <row r="955" spans="2:6" ht="15.75" x14ac:dyDescent="0.25">
      <c r="B955" s="427"/>
      <c r="C955" s="67"/>
      <c r="D955" s="428"/>
      <c r="E955" s="428"/>
      <c r="F955" s="429"/>
    </row>
    <row r="956" spans="2:6" ht="15.75" x14ac:dyDescent="0.25">
      <c r="B956" s="427"/>
      <c r="C956" s="67"/>
      <c r="D956" s="428"/>
      <c r="E956" s="428"/>
      <c r="F956" s="429"/>
    </row>
    <row r="957" spans="2:6" ht="15.75" x14ac:dyDescent="0.25">
      <c r="B957" s="427"/>
      <c r="C957" s="67"/>
      <c r="D957" s="428"/>
      <c r="E957" s="428"/>
      <c r="F957" s="429"/>
    </row>
    <row r="958" spans="2:6" ht="15.75" x14ac:dyDescent="0.25">
      <c r="B958" s="427"/>
      <c r="C958" s="67"/>
      <c r="D958" s="428"/>
      <c r="E958" s="428"/>
      <c r="F958" s="429"/>
    </row>
    <row r="959" spans="2:6" ht="15.75" x14ac:dyDescent="0.25">
      <c r="B959" s="427"/>
      <c r="C959" s="67"/>
      <c r="D959" s="428"/>
      <c r="E959" s="428"/>
      <c r="F959" s="429"/>
    </row>
    <row r="960" spans="2:6" ht="15.75" x14ac:dyDescent="0.25">
      <c r="B960" s="427"/>
      <c r="C960" s="67"/>
      <c r="D960" s="428"/>
      <c r="E960" s="428"/>
      <c r="F960" s="429"/>
    </row>
    <row r="961" spans="2:6" ht="15.75" x14ac:dyDescent="0.25">
      <c r="B961" s="427"/>
      <c r="C961" s="67"/>
      <c r="D961" s="428"/>
      <c r="E961" s="428"/>
      <c r="F961" s="429"/>
    </row>
    <row r="962" spans="2:6" ht="15.75" x14ac:dyDescent="0.25">
      <c r="B962" s="427"/>
      <c r="C962" s="67"/>
      <c r="D962" s="428"/>
      <c r="E962" s="428"/>
      <c r="F962" s="429"/>
    </row>
    <row r="963" spans="2:6" ht="15.75" x14ac:dyDescent="0.25">
      <c r="B963" s="427"/>
      <c r="C963" s="67"/>
      <c r="D963" s="428"/>
      <c r="E963" s="428"/>
      <c r="F963" s="429"/>
    </row>
    <row r="964" spans="2:6" ht="15.75" x14ac:dyDescent="0.25">
      <c r="B964" s="427"/>
      <c r="C964" s="67"/>
      <c r="D964" s="428"/>
      <c r="E964" s="428"/>
      <c r="F964" s="429"/>
    </row>
    <row r="965" spans="2:6" ht="15.75" x14ac:dyDescent="0.25">
      <c r="B965" s="427"/>
      <c r="C965" s="67"/>
      <c r="D965" s="428"/>
      <c r="E965" s="428"/>
      <c r="F965" s="429"/>
    </row>
    <row r="966" spans="2:6" ht="15.75" x14ac:dyDescent="0.25">
      <c r="B966" s="427"/>
      <c r="C966" s="67"/>
      <c r="D966" s="428"/>
      <c r="E966" s="428"/>
      <c r="F966" s="429"/>
    </row>
    <row r="967" spans="2:6" ht="15.75" x14ac:dyDescent="0.25">
      <c r="B967" s="427"/>
      <c r="C967" s="67"/>
      <c r="D967" s="428"/>
      <c r="E967" s="428"/>
      <c r="F967" s="429"/>
    </row>
    <row r="968" spans="2:6" ht="15.75" x14ac:dyDescent="0.25">
      <c r="B968" s="427"/>
      <c r="C968" s="67"/>
      <c r="D968" s="428"/>
      <c r="E968" s="428"/>
      <c r="F968" s="429"/>
    </row>
    <row r="969" spans="2:6" ht="15.75" x14ac:dyDescent="0.25">
      <c r="B969" s="427"/>
      <c r="C969" s="67"/>
      <c r="D969" s="428"/>
      <c r="E969" s="428"/>
      <c r="F969" s="429"/>
    </row>
    <row r="970" spans="2:6" ht="15.75" x14ac:dyDescent="0.25">
      <c r="B970" s="427"/>
      <c r="C970" s="67"/>
      <c r="D970" s="428"/>
      <c r="E970" s="428"/>
      <c r="F970" s="429"/>
    </row>
    <row r="971" spans="2:6" ht="15.75" x14ac:dyDescent="0.25">
      <c r="B971" s="427"/>
      <c r="C971" s="67"/>
      <c r="D971" s="428"/>
      <c r="E971" s="428"/>
      <c r="F971" s="429"/>
    </row>
    <row r="972" spans="2:6" ht="15.75" x14ac:dyDescent="0.25">
      <c r="B972" s="427"/>
      <c r="C972" s="67"/>
      <c r="D972" s="428"/>
      <c r="E972" s="428"/>
      <c r="F972" s="429"/>
    </row>
    <row r="973" spans="2:6" ht="15.75" x14ac:dyDescent="0.25">
      <c r="B973" s="427"/>
      <c r="C973" s="67"/>
      <c r="D973" s="428"/>
      <c r="E973" s="428"/>
      <c r="F973" s="429"/>
    </row>
    <row r="974" spans="2:6" ht="15.75" x14ac:dyDescent="0.25">
      <c r="B974" s="427"/>
      <c r="C974" s="67"/>
      <c r="D974" s="428"/>
      <c r="E974" s="428"/>
      <c r="F974" s="429"/>
    </row>
    <row r="975" spans="2:6" ht="15.75" x14ac:dyDescent="0.25">
      <c r="B975" s="427"/>
      <c r="C975" s="67"/>
      <c r="D975" s="428"/>
      <c r="E975" s="428"/>
      <c r="F975" s="429"/>
    </row>
    <row r="976" spans="2:6" ht="15.75" x14ac:dyDescent="0.25">
      <c r="B976" s="427"/>
      <c r="C976" s="67"/>
      <c r="D976" s="428"/>
      <c r="E976" s="428"/>
      <c r="F976" s="429"/>
    </row>
    <row r="977" spans="2:6" ht="15.75" x14ac:dyDescent="0.25">
      <c r="B977" s="427"/>
      <c r="C977" s="67"/>
      <c r="D977" s="428"/>
      <c r="E977" s="428"/>
      <c r="F977" s="429"/>
    </row>
    <row r="978" spans="2:6" ht="15.75" x14ac:dyDescent="0.25">
      <c r="B978" s="427"/>
      <c r="C978" s="67"/>
      <c r="D978" s="428"/>
      <c r="E978" s="428"/>
      <c r="F978" s="429"/>
    </row>
    <row r="979" spans="2:6" ht="15.75" x14ac:dyDescent="0.25">
      <c r="B979" s="427"/>
      <c r="C979" s="67"/>
      <c r="D979" s="428"/>
      <c r="E979" s="428"/>
      <c r="F979" s="429"/>
    </row>
    <row r="980" spans="2:6" ht="15.75" x14ac:dyDescent="0.25">
      <c r="B980" s="427"/>
      <c r="C980" s="67"/>
      <c r="D980" s="428"/>
      <c r="E980" s="428"/>
      <c r="F980" s="429"/>
    </row>
    <row r="981" spans="2:6" ht="15.75" x14ac:dyDescent="0.25">
      <c r="B981" s="427"/>
      <c r="C981" s="67"/>
      <c r="D981" s="428"/>
      <c r="E981" s="428"/>
      <c r="F981" s="429"/>
    </row>
    <row r="982" spans="2:6" ht="15.75" x14ac:dyDescent="0.25">
      <c r="B982" s="427"/>
      <c r="C982" s="67"/>
      <c r="D982" s="428"/>
      <c r="E982" s="428"/>
      <c r="F982" s="429"/>
    </row>
    <row r="983" spans="2:6" ht="15.75" x14ac:dyDescent="0.25">
      <c r="B983" s="427"/>
      <c r="C983" s="67"/>
      <c r="D983" s="428"/>
      <c r="E983" s="428"/>
      <c r="F983" s="429"/>
    </row>
    <row r="984" spans="2:6" ht="15.75" x14ac:dyDescent="0.25">
      <c r="B984" s="427"/>
      <c r="C984" s="67"/>
      <c r="D984" s="428"/>
      <c r="E984" s="428"/>
      <c r="F984" s="429"/>
    </row>
    <row r="985" spans="2:6" ht="15.75" x14ac:dyDescent="0.25">
      <c r="B985" s="427"/>
      <c r="C985" s="67"/>
      <c r="D985" s="428"/>
      <c r="E985" s="428"/>
      <c r="F985" s="429"/>
    </row>
    <row r="986" spans="2:6" ht="15.75" x14ac:dyDescent="0.25">
      <c r="B986" s="427"/>
      <c r="C986" s="67"/>
      <c r="D986" s="428"/>
      <c r="E986" s="428"/>
      <c r="F986" s="429"/>
    </row>
    <row r="987" spans="2:6" ht="15.75" x14ac:dyDescent="0.25">
      <c r="B987" s="427"/>
      <c r="C987" s="67"/>
      <c r="D987" s="428"/>
      <c r="E987" s="428"/>
      <c r="F987" s="429"/>
    </row>
    <row r="988" spans="2:6" ht="15.75" x14ac:dyDescent="0.25">
      <c r="B988" s="427"/>
      <c r="C988" s="67"/>
      <c r="D988" s="428"/>
      <c r="E988" s="428"/>
      <c r="F988" s="429"/>
    </row>
    <row r="989" spans="2:6" ht="15.75" x14ac:dyDescent="0.25">
      <c r="B989" s="427"/>
      <c r="C989" s="67"/>
      <c r="D989" s="428"/>
      <c r="E989" s="428"/>
      <c r="F989" s="429"/>
    </row>
    <row r="990" spans="2:6" ht="15.75" x14ac:dyDescent="0.25">
      <c r="B990" s="427"/>
      <c r="C990" s="67"/>
      <c r="D990" s="428"/>
      <c r="E990" s="428"/>
      <c r="F990" s="429"/>
    </row>
    <row r="991" spans="2:6" ht="15.75" x14ac:dyDescent="0.25">
      <c r="B991" s="427"/>
      <c r="C991" s="67"/>
      <c r="D991" s="428"/>
      <c r="E991" s="428"/>
      <c r="F991" s="429"/>
    </row>
    <row r="992" spans="2:6" ht="15.75" x14ac:dyDescent="0.25">
      <c r="B992" s="427"/>
      <c r="C992" s="67"/>
      <c r="D992" s="428"/>
      <c r="E992" s="428"/>
      <c r="F992" s="429"/>
    </row>
    <row r="993" spans="2:6" ht="15.75" x14ac:dyDescent="0.25">
      <c r="B993" s="427"/>
      <c r="C993" s="67"/>
      <c r="D993" s="428"/>
      <c r="E993" s="428"/>
      <c r="F993" s="429"/>
    </row>
    <row r="994" spans="2:6" ht="15.75" x14ac:dyDescent="0.25">
      <c r="B994" s="427"/>
      <c r="C994" s="67"/>
      <c r="D994" s="428"/>
      <c r="E994" s="428"/>
      <c r="F994" s="429"/>
    </row>
    <row r="995" spans="2:6" ht="15.75" x14ac:dyDescent="0.25">
      <c r="B995" s="427"/>
      <c r="C995" s="67"/>
      <c r="D995" s="428"/>
      <c r="E995" s="428"/>
      <c r="F995" s="429"/>
    </row>
    <row r="996" spans="2:6" ht="15.75" x14ac:dyDescent="0.25">
      <c r="B996" s="427"/>
      <c r="C996" s="67"/>
      <c r="D996" s="428"/>
      <c r="E996" s="428"/>
      <c r="F996" s="429"/>
    </row>
    <row r="997" spans="2:6" ht="15.75" x14ac:dyDescent="0.25">
      <c r="B997" s="427"/>
      <c r="C997" s="67"/>
      <c r="D997" s="428"/>
      <c r="E997" s="428"/>
      <c r="F997" s="429"/>
    </row>
    <row r="998" spans="2:6" ht="15.75" x14ac:dyDescent="0.25">
      <c r="B998" s="427"/>
      <c r="C998" s="67"/>
      <c r="D998" s="428"/>
      <c r="E998" s="428"/>
      <c r="F998" s="429"/>
    </row>
    <row r="999" spans="2:6" ht="15.75" x14ac:dyDescent="0.25">
      <c r="B999" s="427"/>
      <c r="C999" s="67"/>
      <c r="D999" s="428"/>
      <c r="E999" s="428"/>
      <c r="F999" s="429"/>
    </row>
    <row r="1000" spans="2:6" ht="15.75" x14ac:dyDescent="0.25">
      <c r="B1000" s="427"/>
      <c r="C1000" s="67"/>
      <c r="D1000" s="428"/>
      <c r="E1000" s="428"/>
      <c r="F1000" s="429"/>
    </row>
    <row r="1001" spans="2:6" ht="15.75" x14ac:dyDescent="0.25">
      <c r="B1001" s="427"/>
      <c r="C1001" s="67"/>
      <c r="D1001" s="428"/>
      <c r="E1001" s="428"/>
      <c r="F1001" s="429"/>
    </row>
    <row r="1002" spans="2:6" ht="15.75" x14ac:dyDescent="0.25">
      <c r="B1002" s="427"/>
      <c r="C1002" s="67"/>
      <c r="D1002" s="428"/>
      <c r="E1002" s="428"/>
      <c r="F1002" s="429"/>
    </row>
    <row r="1003" spans="2:6" ht="15.75" x14ac:dyDescent="0.25">
      <c r="B1003" s="427"/>
      <c r="C1003" s="67"/>
      <c r="D1003" s="428"/>
      <c r="E1003" s="428"/>
      <c r="F1003" s="429"/>
    </row>
    <row r="1004" spans="2:6" ht="15.75" x14ac:dyDescent="0.25">
      <c r="B1004" s="427"/>
      <c r="C1004" s="67"/>
      <c r="D1004" s="428"/>
      <c r="E1004" s="428"/>
      <c r="F1004" s="429"/>
    </row>
    <row r="1005" spans="2:6" ht="15.75" x14ac:dyDescent="0.25">
      <c r="B1005" s="427"/>
      <c r="C1005" s="67"/>
      <c r="D1005" s="428"/>
      <c r="E1005" s="428"/>
      <c r="F1005" s="429"/>
    </row>
    <row r="1006" spans="2:6" ht="15.75" x14ac:dyDescent="0.25">
      <c r="B1006" s="427"/>
      <c r="C1006" s="67"/>
      <c r="D1006" s="428"/>
      <c r="E1006" s="428"/>
      <c r="F1006" s="429"/>
    </row>
    <row r="1007" spans="2:6" ht="15.75" x14ac:dyDescent="0.25">
      <c r="B1007" s="427"/>
      <c r="C1007" s="67"/>
      <c r="D1007" s="428"/>
      <c r="E1007" s="428"/>
      <c r="F1007" s="429"/>
    </row>
    <row r="1008" spans="2:6" ht="15.75" x14ac:dyDescent="0.25">
      <c r="B1008" s="427"/>
      <c r="C1008" s="67"/>
      <c r="D1008" s="428"/>
      <c r="E1008" s="428"/>
      <c r="F1008" s="429"/>
    </row>
    <row r="1009" spans="2:6" ht="15.75" x14ac:dyDescent="0.25">
      <c r="B1009" s="427"/>
      <c r="C1009" s="67"/>
      <c r="D1009" s="428"/>
      <c r="E1009" s="428"/>
      <c r="F1009" s="429"/>
    </row>
    <row r="1010" spans="2:6" ht="15.75" x14ac:dyDescent="0.25">
      <c r="B1010" s="427"/>
      <c r="C1010" s="67"/>
      <c r="D1010" s="428"/>
      <c r="E1010" s="428"/>
      <c r="F1010" s="429"/>
    </row>
    <row r="1011" spans="2:6" ht="15.75" x14ac:dyDescent="0.25">
      <c r="B1011" s="427"/>
      <c r="C1011" s="67"/>
      <c r="D1011" s="428"/>
      <c r="E1011" s="428"/>
      <c r="F1011" s="429"/>
    </row>
    <row r="1012" spans="2:6" ht="15.75" x14ac:dyDescent="0.25">
      <c r="B1012" s="427"/>
      <c r="C1012" s="67"/>
      <c r="D1012" s="428"/>
      <c r="E1012" s="428"/>
      <c r="F1012" s="429"/>
    </row>
    <row r="1013" spans="2:6" ht="15.75" x14ac:dyDescent="0.25">
      <c r="B1013" s="427"/>
      <c r="C1013" s="67"/>
      <c r="D1013" s="428"/>
      <c r="E1013" s="428"/>
      <c r="F1013" s="429"/>
    </row>
    <row r="1014" spans="2:6" ht="15.75" x14ac:dyDescent="0.25">
      <c r="B1014" s="427"/>
      <c r="C1014" s="67"/>
      <c r="D1014" s="428"/>
      <c r="E1014" s="428"/>
      <c r="F1014" s="429"/>
    </row>
    <row r="1015" spans="2:6" ht="15.75" x14ac:dyDescent="0.25">
      <c r="B1015" s="427"/>
      <c r="C1015" s="67"/>
      <c r="D1015" s="428"/>
      <c r="E1015" s="428"/>
      <c r="F1015" s="429"/>
    </row>
    <row r="1016" spans="2:6" ht="15.75" x14ac:dyDescent="0.25">
      <c r="B1016" s="427"/>
      <c r="C1016" s="67"/>
      <c r="D1016" s="428"/>
      <c r="E1016" s="428"/>
      <c r="F1016" s="429"/>
    </row>
    <row r="1017" spans="2:6" ht="15.75" x14ac:dyDescent="0.25">
      <c r="B1017" s="427"/>
      <c r="C1017" s="67"/>
      <c r="D1017" s="428"/>
      <c r="E1017" s="428"/>
      <c r="F1017" s="429"/>
    </row>
    <row r="1018" spans="2:6" ht="15.75" x14ac:dyDescent="0.25">
      <c r="B1018" s="427"/>
      <c r="C1018" s="67"/>
      <c r="D1018" s="428"/>
      <c r="E1018" s="428"/>
      <c r="F1018" s="429"/>
    </row>
    <row r="1019" spans="2:6" ht="15.75" x14ac:dyDescent="0.25">
      <c r="B1019" s="427"/>
      <c r="C1019" s="67"/>
      <c r="D1019" s="428"/>
      <c r="E1019" s="428"/>
      <c r="F1019" s="429"/>
    </row>
    <row r="1020" spans="2:6" ht="15.75" x14ac:dyDescent="0.25">
      <c r="B1020" s="427"/>
      <c r="C1020" s="67"/>
      <c r="D1020" s="428"/>
      <c r="E1020" s="428"/>
      <c r="F1020" s="429"/>
    </row>
    <row r="1021" spans="2:6" ht="15.75" x14ac:dyDescent="0.25">
      <c r="B1021" s="427"/>
      <c r="C1021" s="67"/>
      <c r="D1021" s="428"/>
      <c r="E1021" s="428"/>
      <c r="F1021" s="429"/>
    </row>
    <row r="1022" spans="2:6" ht="15.75" x14ac:dyDescent="0.25">
      <c r="B1022" s="427"/>
      <c r="C1022" s="67"/>
      <c r="D1022" s="428"/>
      <c r="E1022" s="428"/>
      <c r="F1022" s="429"/>
    </row>
    <row r="1023" spans="2:6" ht="15.75" x14ac:dyDescent="0.25">
      <c r="B1023" s="427"/>
      <c r="C1023" s="67"/>
      <c r="D1023" s="428"/>
      <c r="E1023" s="428"/>
      <c r="F1023" s="429"/>
    </row>
    <row r="1024" spans="2:6" ht="15.75" x14ac:dyDescent="0.25">
      <c r="B1024" s="427"/>
      <c r="C1024" s="67"/>
      <c r="D1024" s="428"/>
      <c r="E1024" s="428"/>
      <c r="F1024" s="429"/>
    </row>
    <row r="1025" spans="2:6" ht="15.75" x14ac:dyDescent="0.25">
      <c r="B1025" s="427"/>
      <c r="C1025" s="67"/>
      <c r="D1025" s="428"/>
      <c r="E1025" s="428"/>
      <c r="F1025" s="429"/>
    </row>
    <row r="1026" spans="2:6" ht="15.75" x14ac:dyDescent="0.25">
      <c r="B1026" s="427"/>
      <c r="C1026" s="67"/>
      <c r="D1026" s="428"/>
      <c r="E1026" s="428"/>
      <c r="F1026" s="429"/>
    </row>
    <row r="1027" spans="2:6" ht="15.75" x14ac:dyDescent="0.25">
      <c r="B1027" s="427"/>
      <c r="C1027" s="67"/>
      <c r="D1027" s="428"/>
      <c r="E1027" s="428"/>
      <c r="F1027" s="429"/>
    </row>
    <row r="1028" spans="2:6" ht="15.75" x14ac:dyDescent="0.25">
      <c r="B1028" s="427"/>
      <c r="C1028" s="67"/>
      <c r="D1028" s="428"/>
      <c r="E1028" s="428"/>
      <c r="F1028" s="429"/>
    </row>
    <row r="1029" spans="2:6" ht="15.75" x14ac:dyDescent="0.25">
      <c r="B1029" s="427"/>
      <c r="C1029" s="67"/>
      <c r="D1029" s="428"/>
      <c r="E1029" s="428"/>
      <c r="F1029" s="429"/>
    </row>
    <row r="1030" spans="2:6" ht="15.75" x14ac:dyDescent="0.25">
      <c r="B1030" s="427"/>
      <c r="C1030" s="67"/>
      <c r="D1030" s="428"/>
      <c r="E1030" s="428"/>
      <c r="F1030" s="429"/>
    </row>
    <row r="1031" spans="2:6" ht="15.75" x14ac:dyDescent="0.25">
      <c r="B1031" s="427"/>
      <c r="C1031" s="67"/>
      <c r="D1031" s="428"/>
      <c r="E1031" s="428"/>
      <c r="F1031" s="429"/>
    </row>
    <row r="1032" spans="2:6" ht="15.75" x14ac:dyDescent="0.25">
      <c r="B1032" s="427"/>
      <c r="C1032" s="67"/>
      <c r="D1032" s="428"/>
      <c r="E1032" s="428"/>
      <c r="F1032" s="429"/>
    </row>
    <row r="1033" spans="2:6" ht="15.75" x14ac:dyDescent="0.25">
      <c r="B1033" s="427"/>
      <c r="C1033" s="67"/>
      <c r="D1033" s="428"/>
      <c r="E1033" s="428"/>
      <c r="F1033" s="429"/>
    </row>
    <row r="1034" spans="2:6" ht="15.75" x14ac:dyDescent="0.25">
      <c r="B1034" s="427"/>
      <c r="C1034" s="67"/>
      <c r="D1034" s="428"/>
      <c r="E1034" s="428"/>
      <c r="F1034" s="429"/>
    </row>
    <row r="1035" spans="2:6" ht="15.75" x14ac:dyDescent="0.25">
      <c r="B1035" s="427"/>
      <c r="C1035" s="67"/>
      <c r="D1035" s="428"/>
      <c r="E1035" s="428"/>
      <c r="F1035" s="429"/>
    </row>
    <row r="1036" spans="2:6" ht="15.75" x14ac:dyDescent="0.25">
      <c r="B1036" s="427"/>
      <c r="C1036" s="67"/>
      <c r="D1036" s="428"/>
      <c r="E1036" s="428"/>
      <c r="F1036" s="429"/>
    </row>
    <row r="1037" spans="2:6" ht="15.75" x14ac:dyDescent="0.25">
      <c r="B1037" s="427"/>
      <c r="C1037" s="67"/>
      <c r="D1037" s="428"/>
      <c r="E1037" s="428"/>
      <c r="F1037" s="429"/>
    </row>
    <row r="1038" spans="2:6" ht="15.75" x14ac:dyDescent="0.25">
      <c r="B1038" s="427"/>
      <c r="C1038" s="67"/>
      <c r="D1038" s="428"/>
      <c r="E1038" s="428"/>
      <c r="F1038" s="429"/>
    </row>
    <row r="1039" spans="2:6" ht="15.75" x14ac:dyDescent="0.25">
      <c r="B1039" s="427"/>
      <c r="C1039" s="67"/>
      <c r="D1039" s="428"/>
      <c r="E1039" s="428"/>
      <c r="F1039" s="429"/>
    </row>
    <row r="1040" spans="2:6" ht="15.75" x14ac:dyDescent="0.25">
      <c r="B1040" s="427"/>
      <c r="C1040" s="67"/>
      <c r="D1040" s="428"/>
      <c r="E1040" s="428"/>
      <c r="F1040" s="429"/>
    </row>
    <row r="1041" spans="2:6" ht="15.75" x14ac:dyDescent="0.25">
      <c r="B1041" s="427"/>
      <c r="C1041" s="67"/>
      <c r="D1041" s="428"/>
      <c r="E1041" s="428"/>
      <c r="F1041" s="429"/>
    </row>
    <row r="1042" spans="2:6" ht="15.75" x14ac:dyDescent="0.25">
      <c r="B1042" s="427"/>
      <c r="C1042" s="67"/>
      <c r="D1042" s="428"/>
      <c r="E1042" s="428"/>
      <c r="F1042" s="429"/>
    </row>
    <row r="1043" spans="2:6" ht="15.75" x14ac:dyDescent="0.25">
      <c r="B1043" s="427"/>
      <c r="C1043" s="67"/>
      <c r="D1043" s="428"/>
      <c r="E1043" s="428"/>
      <c r="F1043" s="429"/>
    </row>
    <row r="1044" spans="2:6" ht="15.75" x14ac:dyDescent="0.25">
      <c r="B1044" s="427"/>
      <c r="C1044" s="67"/>
      <c r="D1044" s="428"/>
      <c r="E1044" s="428"/>
      <c r="F1044" s="429"/>
    </row>
    <row r="1045" spans="2:6" ht="15.75" x14ac:dyDescent="0.25">
      <c r="B1045" s="427"/>
      <c r="C1045" s="67"/>
      <c r="D1045" s="428"/>
      <c r="E1045" s="428"/>
      <c r="F1045" s="429"/>
    </row>
    <row r="1046" spans="2:6" ht="15.75" x14ac:dyDescent="0.25">
      <c r="B1046" s="427"/>
      <c r="C1046" s="67"/>
      <c r="D1046" s="428"/>
      <c r="E1046" s="428"/>
      <c r="F1046" s="429"/>
    </row>
    <row r="1047" spans="2:6" ht="15.75" x14ac:dyDescent="0.25">
      <c r="B1047" s="427"/>
      <c r="C1047" s="67"/>
      <c r="D1047" s="428"/>
      <c r="E1047" s="428"/>
      <c r="F1047" s="429"/>
    </row>
    <row r="1048" spans="2:6" ht="15.75" x14ac:dyDescent="0.25">
      <c r="B1048" s="427"/>
      <c r="C1048" s="67"/>
      <c r="D1048" s="428"/>
      <c r="E1048" s="428"/>
      <c r="F1048" s="429"/>
    </row>
    <row r="1049" spans="2:6" ht="15.75" x14ac:dyDescent="0.25">
      <c r="B1049" s="427"/>
      <c r="C1049" s="67"/>
      <c r="D1049" s="428"/>
      <c r="E1049" s="428"/>
      <c r="F1049" s="429"/>
    </row>
    <row r="1050" spans="2:6" ht="15.75" x14ac:dyDescent="0.25">
      <c r="B1050" s="427"/>
      <c r="C1050" s="67"/>
      <c r="D1050" s="428"/>
      <c r="E1050" s="428"/>
      <c r="F1050" s="429"/>
    </row>
    <row r="1051" spans="2:6" ht="15.75" x14ac:dyDescent="0.25">
      <c r="B1051" s="427"/>
      <c r="C1051" s="67"/>
      <c r="D1051" s="428"/>
      <c r="E1051" s="428"/>
      <c r="F1051" s="429"/>
    </row>
    <row r="1052" spans="2:6" ht="15.75" x14ac:dyDescent="0.25">
      <c r="B1052" s="427"/>
      <c r="C1052" s="67"/>
      <c r="D1052" s="428"/>
      <c r="E1052" s="428"/>
      <c r="F1052" s="429"/>
    </row>
    <row r="1053" spans="2:6" ht="15.75" x14ac:dyDescent="0.25">
      <c r="B1053" s="427"/>
      <c r="C1053" s="67"/>
      <c r="D1053" s="428"/>
      <c r="E1053" s="428"/>
      <c r="F1053" s="429"/>
    </row>
    <row r="1054" spans="2:6" ht="15.75" x14ac:dyDescent="0.25">
      <c r="B1054" s="427"/>
      <c r="C1054" s="67"/>
      <c r="D1054" s="428"/>
      <c r="E1054" s="428"/>
      <c r="F1054" s="429"/>
    </row>
    <row r="1055" spans="2:6" ht="15.75" x14ac:dyDescent="0.25">
      <c r="B1055" s="427"/>
      <c r="C1055" s="67"/>
      <c r="D1055" s="428"/>
      <c r="E1055" s="428"/>
      <c r="F1055" s="429"/>
    </row>
    <row r="1056" spans="2:6" ht="15.75" x14ac:dyDescent="0.25">
      <c r="B1056" s="427"/>
      <c r="C1056" s="67"/>
      <c r="D1056" s="428"/>
      <c r="E1056" s="428"/>
      <c r="F1056" s="429"/>
    </row>
    <row r="1057" spans="2:6" ht="15.75" x14ac:dyDescent="0.25">
      <c r="B1057" s="427"/>
      <c r="C1057" s="67"/>
      <c r="D1057" s="428"/>
      <c r="E1057" s="428"/>
      <c r="F1057" s="429"/>
    </row>
    <row r="1058" spans="2:6" ht="15.75" x14ac:dyDescent="0.25">
      <c r="B1058" s="427"/>
      <c r="C1058" s="67"/>
      <c r="D1058" s="428"/>
      <c r="E1058" s="428"/>
      <c r="F1058" s="429"/>
    </row>
    <row r="1059" spans="2:6" ht="15.75" x14ac:dyDescent="0.25">
      <c r="B1059" s="427"/>
      <c r="C1059" s="67"/>
      <c r="D1059" s="428"/>
      <c r="E1059" s="428"/>
      <c r="F1059" s="429"/>
    </row>
    <row r="1060" spans="2:6" ht="15.75" x14ac:dyDescent="0.25">
      <c r="B1060" s="427"/>
      <c r="C1060" s="67"/>
      <c r="D1060" s="428"/>
      <c r="E1060" s="428"/>
      <c r="F1060" s="429"/>
    </row>
    <row r="1061" spans="2:6" ht="15.75" x14ac:dyDescent="0.25">
      <c r="B1061" s="427"/>
      <c r="C1061" s="67"/>
      <c r="D1061" s="428"/>
      <c r="E1061" s="428"/>
      <c r="F1061" s="429"/>
    </row>
    <row r="1062" spans="2:6" ht="15.75" x14ac:dyDescent="0.25">
      <c r="B1062" s="427"/>
      <c r="C1062" s="67"/>
      <c r="D1062" s="428"/>
      <c r="E1062" s="428"/>
      <c r="F1062" s="429"/>
    </row>
    <row r="1063" spans="2:6" ht="15.75" x14ac:dyDescent="0.25">
      <c r="B1063" s="427"/>
      <c r="C1063" s="67"/>
      <c r="D1063" s="428"/>
      <c r="E1063" s="428"/>
      <c r="F1063" s="429"/>
    </row>
    <row r="1064" spans="2:6" ht="15.75" x14ac:dyDescent="0.25">
      <c r="B1064" s="427"/>
      <c r="C1064" s="67"/>
      <c r="D1064" s="428"/>
      <c r="E1064" s="428"/>
      <c r="F1064" s="429"/>
    </row>
    <row r="1065" spans="2:6" ht="15.75" x14ac:dyDescent="0.25">
      <c r="B1065" s="427"/>
      <c r="C1065" s="67"/>
      <c r="D1065" s="428"/>
      <c r="E1065" s="428"/>
      <c r="F1065" s="429"/>
    </row>
    <row r="1066" spans="2:6" ht="15.75" x14ac:dyDescent="0.25">
      <c r="B1066" s="427"/>
      <c r="C1066" s="67"/>
      <c r="D1066" s="428"/>
      <c r="E1066" s="428"/>
      <c r="F1066" s="429"/>
    </row>
    <row r="1067" spans="2:6" ht="15.75" x14ac:dyDescent="0.25">
      <c r="B1067" s="427"/>
      <c r="C1067" s="67"/>
      <c r="D1067" s="428"/>
      <c r="E1067" s="428"/>
      <c r="F1067" s="429"/>
    </row>
    <row r="1068" spans="2:6" ht="15.75" x14ac:dyDescent="0.25">
      <c r="B1068" s="427"/>
      <c r="C1068" s="67"/>
      <c r="D1068" s="428"/>
      <c r="E1068" s="428"/>
      <c r="F1068" s="429"/>
    </row>
    <row r="1069" spans="2:6" ht="15.75" x14ac:dyDescent="0.25">
      <c r="B1069" s="427"/>
      <c r="C1069" s="67"/>
      <c r="D1069" s="428"/>
      <c r="E1069" s="428"/>
      <c r="F1069" s="429"/>
    </row>
    <row r="1070" spans="2:6" ht="15.75" x14ac:dyDescent="0.25">
      <c r="B1070" s="427"/>
      <c r="C1070" s="67"/>
      <c r="D1070" s="428"/>
      <c r="E1070" s="428"/>
      <c r="F1070" s="429"/>
    </row>
    <row r="1071" spans="2:6" ht="15.75" x14ac:dyDescent="0.25">
      <c r="B1071" s="427"/>
      <c r="C1071" s="67"/>
      <c r="D1071" s="428"/>
      <c r="E1071" s="428"/>
      <c r="F1071" s="429"/>
    </row>
    <row r="1072" spans="2:6" ht="15.75" x14ac:dyDescent="0.25">
      <c r="B1072" s="427"/>
      <c r="C1072" s="67"/>
      <c r="D1072" s="428"/>
      <c r="E1072" s="428"/>
      <c r="F1072" s="429"/>
    </row>
    <row r="1073" spans="2:6" ht="15.75" x14ac:dyDescent="0.25">
      <c r="B1073" s="427"/>
      <c r="C1073" s="67"/>
      <c r="D1073" s="428"/>
      <c r="E1073" s="428"/>
      <c r="F1073" s="429"/>
    </row>
    <row r="1074" spans="2:6" ht="15.75" x14ac:dyDescent="0.25">
      <c r="B1074" s="427"/>
      <c r="C1074" s="67"/>
      <c r="D1074" s="428"/>
      <c r="E1074" s="428"/>
      <c r="F1074" s="429"/>
    </row>
    <row r="1075" spans="2:6" ht="15.75" x14ac:dyDescent="0.25">
      <c r="B1075" s="427"/>
      <c r="C1075" s="67"/>
      <c r="D1075" s="428"/>
      <c r="E1075" s="428"/>
      <c r="F1075" s="429"/>
    </row>
    <row r="1076" spans="2:6" ht="15.75" x14ac:dyDescent="0.25">
      <c r="B1076" s="427"/>
      <c r="C1076" s="67"/>
      <c r="D1076" s="428"/>
      <c r="E1076" s="428"/>
      <c r="F1076" s="429"/>
    </row>
    <row r="1077" spans="2:6" ht="15.75" x14ac:dyDescent="0.25">
      <c r="B1077" s="427"/>
      <c r="C1077" s="67"/>
      <c r="D1077" s="428"/>
      <c r="E1077" s="428"/>
      <c r="F1077" s="429"/>
    </row>
    <row r="1078" spans="2:6" ht="15.75" x14ac:dyDescent="0.25">
      <c r="B1078" s="427"/>
      <c r="C1078" s="67"/>
      <c r="D1078" s="428"/>
      <c r="E1078" s="428"/>
      <c r="F1078" s="429"/>
    </row>
    <row r="1079" spans="2:6" ht="15.75" x14ac:dyDescent="0.25">
      <c r="B1079" s="427"/>
      <c r="C1079" s="67"/>
      <c r="D1079" s="428"/>
      <c r="E1079" s="428"/>
      <c r="F1079" s="429"/>
    </row>
    <row r="1080" spans="2:6" ht="15.75" x14ac:dyDescent="0.25">
      <c r="B1080" s="427"/>
      <c r="C1080" s="67"/>
      <c r="D1080" s="428"/>
      <c r="E1080" s="428"/>
      <c r="F1080" s="429"/>
    </row>
    <row r="1081" spans="2:6" ht="15.75" x14ac:dyDescent="0.25">
      <c r="B1081" s="427"/>
      <c r="C1081" s="67"/>
      <c r="D1081" s="428"/>
      <c r="E1081" s="428"/>
      <c r="F1081" s="429"/>
    </row>
    <row r="1082" spans="2:6" ht="15.75" x14ac:dyDescent="0.25">
      <c r="B1082" s="427"/>
      <c r="C1082" s="67"/>
      <c r="D1082" s="428"/>
      <c r="E1082" s="428"/>
      <c r="F1082" s="429"/>
    </row>
    <row r="1083" spans="2:6" ht="15.75" x14ac:dyDescent="0.25">
      <c r="B1083" s="427"/>
      <c r="C1083" s="67"/>
      <c r="D1083" s="428"/>
      <c r="E1083" s="428"/>
      <c r="F1083" s="429"/>
    </row>
    <row r="1084" spans="2:6" ht="15.75" x14ac:dyDescent="0.25">
      <c r="B1084" s="427"/>
      <c r="C1084" s="67"/>
      <c r="D1084" s="428"/>
      <c r="E1084" s="428"/>
      <c r="F1084" s="429"/>
    </row>
    <row r="1085" spans="2:6" ht="15.75" x14ac:dyDescent="0.25">
      <c r="B1085" s="427"/>
      <c r="C1085" s="67"/>
      <c r="D1085" s="428"/>
      <c r="E1085" s="428"/>
      <c r="F1085" s="429"/>
    </row>
    <row r="1086" spans="2:6" ht="15.75" x14ac:dyDescent="0.25">
      <c r="B1086" s="427"/>
      <c r="C1086" s="67"/>
      <c r="D1086" s="428"/>
      <c r="E1086" s="428"/>
      <c r="F1086" s="429"/>
    </row>
    <row r="1087" spans="2:6" ht="15.75" x14ac:dyDescent="0.25">
      <c r="B1087" s="427"/>
      <c r="C1087" s="67"/>
      <c r="D1087" s="428"/>
      <c r="E1087" s="428"/>
      <c r="F1087" s="429"/>
    </row>
    <row r="1088" spans="2:6" ht="15.75" x14ac:dyDescent="0.25">
      <c r="B1088" s="427"/>
      <c r="C1088" s="67"/>
      <c r="D1088" s="428"/>
      <c r="E1088" s="428"/>
      <c r="F1088" s="429"/>
    </row>
    <row r="1089" spans="2:6" ht="15.75" x14ac:dyDescent="0.25">
      <c r="B1089" s="427"/>
      <c r="C1089" s="67"/>
      <c r="D1089" s="428"/>
      <c r="E1089" s="428"/>
      <c r="F1089" s="429"/>
    </row>
    <row r="1090" spans="2:6" ht="15.75" x14ac:dyDescent="0.25">
      <c r="B1090" s="427"/>
      <c r="C1090" s="67"/>
      <c r="D1090" s="428"/>
      <c r="E1090" s="428"/>
      <c r="F1090" s="429"/>
    </row>
    <row r="1091" spans="2:6" ht="15.75" x14ac:dyDescent="0.25">
      <c r="B1091" s="427"/>
      <c r="C1091" s="67"/>
      <c r="D1091" s="428"/>
      <c r="E1091" s="428"/>
      <c r="F1091" s="429"/>
    </row>
    <row r="1092" spans="2:6" ht="15.75" x14ac:dyDescent="0.25">
      <c r="B1092" s="427"/>
      <c r="C1092" s="67"/>
      <c r="D1092" s="428"/>
      <c r="E1092" s="428"/>
      <c r="F1092" s="429"/>
    </row>
    <row r="1093" spans="2:6" ht="15.75" x14ac:dyDescent="0.25">
      <c r="B1093" s="427"/>
      <c r="C1093" s="67"/>
      <c r="D1093" s="428"/>
      <c r="E1093" s="428"/>
      <c r="F1093" s="429"/>
    </row>
    <row r="1094" spans="2:6" ht="15.75" x14ac:dyDescent="0.25">
      <c r="B1094" s="427"/>
      <c r="C1094" s="67"/>
      <c r="D1094" s="428"/>
      <c r="E1094" s="428"/>
      <c r="F1094" s="429"/>
    </row>
    <row r="1095" spans="2:6" ht="15.75" x14ac:dyDescent="0.25">
      <c r="B1095" s="427"/>
      <c r="C1095" s="67"/>
      <c r="D1095" s="428"/>
      <c r="E1095" s="428"/>
      <c r="F1095" s="429"/>
    </row>
    <row r="1096" spans="2:6" ht="15.75" x14ac:dyDescent="0.25">
      <c r="B1096" s="427"/>
      <c r="C1096" s="67"/>
      <c r="D1096" s="428"/>
      <c r="E1096" s="428"/>
      <c r="F1096" s="429"/>
    </row>
    <row r="1097" spans="2:6" ht="15.75" x14ac:dyDescent="0.25">
      <c r="B1097" s="427"/>
      <c r="C1097" s="67"/>
      <c r="D1097" s="428"/>
      <c r="E1097" s="428"/>
      <c r="F1097" s="429"/>
    </row>
    <row r="1098" spans="2:6" ht="15.75" x14ac:dyDescent="0.25">
      <c r="B1098" s="427"/>
      <c r="C1098" s="67"/>
      <c r="D1098" s="428"/>
      <c r="E1098" s="428"/>
      <c r="F1098" s="429"/>
    </row>
    <row r="1099" spans="2:6" ht="15.75" x14ac:dyDescent="0.25">
      <c r="B1099" s="427"/>
      <c r="C1099" s="67"/>
      <c r="D1099" s="428"/>
      <c r="E1099" s="428"/>
      <c r="F1099" s="429"/>
    </row>
    <row r="1100" spans="2:6" ht="15.75" x14ac:dyDescent="0.25">
      <c r="B1100" s="427"/>
      <c r="C1100" s="67"/>
      <c r="D1100" s="428"/>
      <c r="E1100" s="428"/>
      <c r="F1100" s="429"/>
    </row>
    <row r="1101" spans="2:6" ht="15.75" x14ac:dyDescent="0.25">
      <c r="B1101" s="427"/>
      <c r="C1101" s="67"/>
      <c r="D1101" s="428"/>
      <c r="E1101" s="428"/>
      <c r="F1101" s="429"/>
    </row>
    <row r="1102" spans="2:6" ht="15.75" x14ac:dyDescent="0.25">
      <c r="B1102" s="427"/>
      <c r="C1102" s="67"/>
      <c r="D1102" s="428"/>
      <c r="E1102" s="428"/>
      <c r="F1102" s="429"/>
    </row>
    <row r="1103" spans="2:6" ht="15.75" x14ac:dyDescent="0.25">
      <c r="B1103" s="427"/>
      <c r="C1103" s="67"/>
      <c r="D1103" s="428"/>
      <c r="E1103" s="428"/>
      <c r="F1103" s="429"/>
    </row>
    <row r="1104" spans="2:6" ht="15.75" x14ac:dyDescent="0.25">
      <c r="B1104" s="427"/>
      <c r="C1104" s="67"/>
      <c r="D1104" s="428"/>
      <c r="E1104" s="428"/>
      <c r="F1104" s="429"/>
    </row>
    <row r="1105" spans="2:6" ht="15.75" x14ac:dyDescent="0.25">
      <c r="B1105" s="427"/>
      <c r="C1105" s="67"/>
      <c r="D1105" s="428"/>
      <c r="E1105" s="428"/>
      <c r="F1105" s="429"/>
    </row>
    <row r="1106" spans="2:6" ht="15.75" x14ac:dyDescent="0.25">
      <c r="B1106" s="427"/>
      <c r="C1106" s="67"/>
      <c r="D1106" s="428"/>
      <c r="E1106" s="428"/>
      <c r="F1106" s="429"/>
    </row>
    <row r="1107" spans="2:6" ht="15.75" x14ac:dyDescent="0.25">
      <c r="B1107" s="427"/>
      <c r="C1107" s="67"/>
      <c r="D1107" s="428"/>
      <c r="E1107" s="428"/>
      <c r="F1107" s="429"/>
    </row>
    <row r="1108" spans="2:6" ht="15.75" x14ac:dyDescent="0.25">
      <c r="B1108" s="427"/>
      <c r="C1108" s="67"/>
      <c r="D1108" s="428"/>
      <c r="E1108" s="428"/>
      <c r="F1108" s="429"/>
    </row>
    <row r="1109" spans="2:6" ht="15.75" x14ac:dyDescent="0.25">
      <c r="B1109" s="427"/>
      <c r="C1109" s="67"/>
      <c r="D1109" s="428"/>
      <c r="E1109" s="428"/>
      <c r="F1109" s="429"/>
    </row>
    <row r="1110" spans="2:6" ht="15.75" x14ac:dyDescent="0.25">
      <c r="B1110" s="427"/>
      <c r="C1110" s="67"/>
      <c r="D1110" s="428"/>
      <c r="E1110" s="428"/>
      <c r="F1110" s="429"/>
    </row>
    <row r="1111" spans="2:6" ht="15.75" x14ac:dyDescent="0.25">
      <c r="B1111" s="427"/>
      <c r="C1111" s="67"/>
      <c r="D1111" s="428"/>
      <c r="E1111" s="428"/>
      <c r="F1111" s="429"/>
    </row>
    <row r="1112" spans="2:6" ht="15.75" x14ac:dyDescent="0.25">
      <c r="B1112" s="427"/>
      <c r="C1112" s="67"/>
      <c r="D1112" s="428"/>
      <c r="E1112" s="428"/>
      <c r="F1112" s="429"/>
    </row>
    <row r="1113" spans="2:6" ht="15.75" x14ac:dyDescent="0.25">
      <c r="B1113" s="427"/>
      <c r="C1113" s="67"/>
      <c r="D1113" s="428"/>
      <c r="E1113" s="428"/>
      <c r="F1113" s="429"/>
    </row>
    <row r="1114" spans="2:6" ht="15.75" x14ac:dyDescent="0.25">
      <c r="B1114" s="427"/>
      <c r="C1114" s="67"/>
      <c r="D1114" s="428"/>
      <c r="E1114" s="428"/>
      <c r="F1114" s="429"/>
    </row>
    <row r="1115" spans="2:6" ht="15.75" x14ac:dyDescent="0.25">
      <c r="B1115" s="427"/>
      <c r="C1115" s="67"/>
      <c r="D1115" s="428"/>
      <c r="E1115" s="428"/>
      <c r="F1115" s="429"/>
    </row>
    <row r="1116" spans="2:6" ht="15.75" x14ac:dyDescent="0.25">
      <c r="B1116" s="427"/>
      <c r="C1116" s="67"/>
      <c r="D1116" s="428"/>
      <c r="E1116" s="428"/>
      <c r="F1116" s="429"/>
    </row>
    <row r="1117" spans="2:6" ht="15.75" x14ac:dyDescent="0.25">
      <c r="B1117" s="427"/>
      <c r="C1117" s="67"/>
      <c r="D1117" s="428"/>
      <c r="E1117" s="428"/>
      <c r="F1117" s="429"/>
    </row>
    <row r="1118" spans="2:6" ht="15.75" x14ac:dyDescent="0.25">
      <c r="B1118" s="427"/>
      <c r="C1118" s="67"/>
      <c r="D1118" s="428"/>
      <c r="E1118" s="428"/>
      <c r="F1118" s="429"/>
    </row>
    <row r="1119" spans="2:6" ht="15.75" x14ac:dyDescent="0.25">
      <c r="B1119" s="427"/>
      <c r="C1119" s="67"/>
      <c r="D1119" s="428"/>
      <c r="E1119" s="428"/>
      <c r="F1119" s="429"/>
    </row>
    <row r="1120" spans="2:6" ht="15.75" x14ac:dyDescent="0.25">
      <c r="B1120" s="427"/>
      <c r="C1120" s="67"/>
      <c r="D1120" s="428"/>
      <c r="E1120" s="428"/>
      <c r="F1120" s="429"/>
    </row>
    <row r="1121" spans="2:6" ht="15.75" x14ac:dyDescent="0.25">
      <c r="B1121" s="427"/>
      <c r="C1121" s="67"/>
      <c r="D1121" s="428"/>
      <c r="E1121" s="428"/>
      <c r="F1121" s="429"/>
    </row>
    <row r="1122" spans="2:6" ht="15.75" x14ac:dyDescent="0.25">
      <c r="B1122" s="427"/>
      <c r="C1122" s="67"/>
      <c r="D1122" s="428"/>
      <c r="E1122" s="428"/>
      <c r="F1122" s="429"/>
    </row>
    <row r="1123" spans="2:6" ht="15.75" x14ac:dyDescent="0.25">
      <c r="B1123" s="427"/>
      <c r="C1123" s="67"/>
      <c r="D1123" s="428"/>
      <c r="E1123" s="428"/>
      <c r="F1123" s="429"/>
    </row>
    <row r="1124" spans="2:6" ht="15.75" x14ac:dyDescent="0.25">
      <c r="B1124" s="427"/>
      <c r="C1124" s="67"/>
      <c r="D1124" s="428"/>
      <c r="E1124" s="428"/>
      <c r="F1124" s="429"/>
    </row>
    <row r="1125" spans="2:6" ht="15.75" x14ac:dyDescent="0.25">
      <c r="B1125" s="427"/>
      <c r="C1125" s="67"/>
      <c r="D1125" s="428"/>
      <c r="E1125" s="428"/>
      <c r="F1125" s="429"/>
    </row>
    <row r="1126" spans="2:6" ht="15.75" x14ac:dyDescent="0.25">
      <c r="B1126" s="427"/>
      <c r="C1126" s="67"/>
      <c r="D1126" s="428"/>
      <c r="E1126" s="428"/>
      <c r="F1126" s="429"/>
    </row>
    <row r="1127" spans="2:6" ht="15.75" x14ac:dyDescent="0.25">
      <c r="B1127" s="427"/>
      <c r="C1127" s="67"/>
      <c r="D1127" s="428"/>
      <c r="E1127" s="428"/>
      <c r="F1127" s="429"/>
    </row>
    <row r="1128" spans="2:6" ht="15.75" x14ac:dyDescent="0.25">
      <c r="B1128" s="427"/>
      <c r="C1128" s="67"/>
      <c r="D1128" s="428"/>
      <c r="E1128" s="428"/>
      <c r="F1128" s="429"/>
    </row>
    <row r="1129" spans="2:6" ht="15.75" x14ac:dyDescent="0.25">
      <c r="B1129" s="427"/>
      <c r="C1129" s="67"/>
      <c r="D1129" s="428"/>
      <c r="E1129" s="428"/>
      <c r="F1129" s="429"/>
    </row>
    <row r="1130" spans="2:6" ht="15.75" x14ac:dyDescent="0.25">
      <c r="B1130" s="427"/>
      <c r="C1130" s="67"/>
      <c r="D1130" s="428"/>
      <c r="E1130" s="428"/>
      <c r="F1130" s="429"/>
    </row>
    <row r="1131" spans="2:6" ht="15.75" x14ac:dyDescent="0.25">
      <c r="B1131" s="427"/>
      <c r="C1131" s="67"/>
      <c r="D1131" s="428"/>
      <c r="E1131" s="428"/>
      <c r="F1131" s="429"/>
    </row>
    <row r="1132" spans="2:6" ht="15.75" x14ac:dyDescent="0.25">
      <c r="B1132" s="427"/>
      <c r="C1132" s="67"/>
      <c r="D1132" s="428"/>
      <c r="E1132" s="428"/>
      <c r="F1132" s="429"/>
    </row>
    <row r="1133" spans="2:6" ht="15.75" x14ac:dyDescent="0.25">
      <c r="B1133" s="427"/>
      <c r="C1133" s="67"/>
      <c r="D1133" s="428"/>
      <c r="E1133" s="428"/>
      <c r="F1133" s="429"/>
    </row>
    <row r="1134" spans="2:6" ht="15.75" x14ac:dyDescent="0.25">
      <c r="B1134" s="427"/>
      <c r="C1134" s="67"/>
      <c r="D1134" s="428"/>
      <c r="E1134" s="428"/>
      <c r="F1134" s="429"/>
    </row>
    <row r="1135" spans="2:6" ht="15.75" x14ac:dyDescent="0.25">
      <c r="B1135" s="427"/>
      <c r="C1135" s="67"/>
      <c r="D1135" s="428"/>
      <c r="E1135" s="428"/>
      <c r="F1135" s="429"/>
    </row>
    <row r="1136" spans="2:6" ht="15.75" x14ac:dyDescent="0.25">
      <c r="B1136" s="427"/>
      <c r="C1136" s="67"/>
      <c r="D1136" s="428"/>
      <c r="E1136" s="428"/>
      <c r="F1136" s="429"/>
    </row>
    <row r="1137" spans="2:6" ht="15.75" x14ac:dyDescent="0.25">
      <c r="B1137" s="427"/>
      <c r="C1137" s="67"/>
      <c r="D1137" s="428"/>
      <c r="E1137" s="428"/>
      <c r="F1137" s="429"/>
    </row>
    <row r="1138" spans="2:6" ht="15.75" x14ac:dyDescent="0.25">
      <c r="B1138" s="427"/>
      <c r="C1138" s="67"/>
      <c r="D1138" s="428"/>
      <c r="E1138" s="428"/>
      <c r="F1138" s="429"/>
    </row>
    <row r="1139" spans="2:6" ht="15.75" x14ac:dyDescent="0.25">
      <c r="B1139" s="427"/>
      <c r="C1139" s="67"/>
      <c r="D1139" s="428"/>
      <c r="E1139" s="428"/>
      <c r="F1139" s="429"/>
    </row>
    <row r="1140" spans="2:6" ht="15.75" x14ac:dyDescent="0.25">
      <c r="B1140" s="427"/>
      <c r="C1140" s="67"/>
      <c r="D1140" s="428"/>
      <c r="E1140" s="428"/>
      <c r="F1140" s="429"/>
    </row>
    <row r="1141" spans="2:6" ht="15.75" x14ac:dyDescent="0.25">
      <c r="B1141" s="427"/>
      <c r="C1141" s="67"/>
      <c r="D1141" s="428"/>
      <c r="E1141" s="428"/>
      <c r="F1141" s="429"/>
    </row>
    <row r="1142" spans="2:6" ht="15.75" x14ac:dyDescent="0.25">
      <c r="B1142" s="427"/>
      <c r="C1142" s="67"/>
      <c r="D1142" s="428"/>
      <c r="E1142" s="428"/>
      <c r="F1142" s="429"/>
    </row>
    <row r="1143" spans="2:6" ht="15.75" x14ac:dyDescent="0.25">
      <c r="B1143" s="427"/>
      <c r="C1143" s="67"/>
      <c r="D1143" s="428"/>
      <c r="E1143" s="428"/>
      <c r="F1143" s="429"/>
    </row>
    <row r="1144" spans="2:6" ht="15.75" x14ac:dyDescent="0.25">
      <c r="B1144" s="427"/>
      <c r="C1144" s="67"/>
      <c r="D1144" s="428"/>
      <c r="E1144" s="428"/>
      <c r="F1144" s="429"/>
    </row>
    <row r="1145" spans="2:6" ht="15.75" x14ac:dyDescent="0.25">
      <c r="B1145" s="427"/>
      <c r="C1145" s="67"/>
      <c r="D1145" s="428"/>
      <c r="E1145" s="428"/>
      <c r="F1145" s="429"/>
    </row>
    <row r="1146" spans="2:6" ht="15.75" x14ac:dyDescent="0.25">
      <c r="B1146" s="427"/>
      <c r="C1146" s="67"/>
      <c r="D1146" s="428"/>
      <c r="E1146" s="428"/>
      <c r="F1146" s="429"/>
    </row>
    <row r="1147" spans="2:6" ht="15.75" x14ac:dyDescent="0.25">
      <c r="B1147" s="427"/>
      <c r="C1147" s="67"/>
      <c r="D1147" s="428"/>
      <c r="E1147" s="428"/>
      <c r="F1147" s="429"/>
    </row>
    <row r="1148" spans="2:6" ht="15.75" x14ac:dyDescent="0.25">
      <c r="B1148" s="427"/>
      <c r="C1148" s="67"/>
      <c r="D1148" s="428"/>
      <c r="E1148" s="428"/>
      <c r="F1148" s="429"/>
    </row>
    <row r="1149" spans="2:6" ht="15.75" x14ac:dyDescent="0.25">
      <c r="B1149" s="427"/>
      <c r="C1149" s="67"/>
      <c r="D1149" s="428"/>
      <c r="E1149" s="428"/>
      <c r="F1149" s="429"/>
    </row>
    <row r="1150" spans="2:6" ht="15.75" x14ac:dyDescent="0.25">
      <c r="B1150" s="427"/>
      <c r="C1150" s="67"/>
      <c r="D1150" s="428"/>
      <c r="E1150" s="428"/>
      <c r="F1150" s="429"/>
    </row>
    <row r="1151" spans="2:6" ht="15.75" x14ac:dyDescent="0.25">
      <c r="B1151" s="427"/>
      <c r="C1151" s="67"/>
      <c r="D1151" s="428"/>
      <c r="E1151" s="428"/>
      <c r="F1151" s="429"/>
    </row>
    <row r="1152" spans="2:6" ht="15.75" x14ac:dyDescent="0.25">
      <c r="B1152" s="427"/>
      <c r="C1152" s="67"/>
      <c r="D1152" s="428"/>
      <c r="E1152" s="428"/>
      <c r="F1152" s="429"/>
    </row>
    <row r="1153" spans="2:6" ht="15.75" x14ac:dyDescent="0.25">
      <c r="B1153" s="427"/>
      <c r="C1153" s="67"/>
      <c r="D1153" s="428"/>
      <c r="E1153" s="428"/>
      <c r="F1153" s="429"/>
    </row>
    <row r="1154" spans="2:6" ht="15.75" x14ac:dyDescent="0.25">
      <c r="B1154" s="427"/>
      <c r="C1154" s="67"/>
      <c r="D1154" s="428"/>
      <c r="E1154" s="428"/>
      <c r="F1154" s="429"/>
    </row>
    <row r="1155" spans="2:6" ht="15.75" x14ac:dyDescent="0.25">
      <c r="B1155" s="427"/>
      <c r="C1155" s="67"/>
      <c r="D1155" s="428"/>
      <c r="E1155" s="428"/>
      <c r="F1155" s="429"/>
    </row>
    <row r="1156" spans="2:6" ht="15.75" x14ac:dyDescent="0.25">
      <c r="B1156" s="427"/>
      <c r="C1156" s="67"/>
      <c r="D1156" s="428"/>
      <c r="E1156" s="428"/>
      <c r="F1156" s="429"/>
    </row>
    <row r="1157" spans="2:6" ht="15.75" x14ac:dyDescent="0.25">
      <c r="B1157" s="427"/>
      <c r="C1157" s="67"/>
      <c r="D1157" s="428"/>
      <c r="E1157" s="428"/>
      <c r="F1157" s="429"/>
    </row>
    <row r="1158" spans="2:6" ht="15.75" x14ac:dyDescent="0.25">
      <c r="B1158" s="427"/>
      <c r="C1158" s="67"/>
      <c r="D1158" s="428"/>
      <c r="E1158" s="428"/>
      <c r="F1158" s="429"/>
    </row>
    <row r="1159" spans="2:6" ht="15.75" x14ac:dyDescent="0.25">
      <c r="B1159" s="427"/>
      <c r="C1159" s="67"/>
      <c r="D1159" s="428"/>
      <c r="E1159" s="428"/>
      <c r="F1159" s="429"/>
    </row>
    <row r="1160" spans="2:6" ht="15.75" x14ac:dyDescent="0.25">
      <c r="B1160" s="427"/>
      <c r="C1160" s="67"/>
      <c r="D1160" s="428"/>
      <c r="E1160" s="428"/>
      <c r="F1160" s="429"/>
    </row>
    <row r="1161" spans="2:6" ht="15.75" x14ac:dyDescent="0.25">
      <c r="B1161" s="427"/>
      <c r="C1161" s="67"/>
      <c r="D1161" s="428"/>
      <c r="E1161" s="428"/>
      <c r="F1161" s="429"/>
    </row>
    <row r="1162" spans="2:6" ht="15.75" x14ac:dyDescent="0.25">
      <c r="B1162" s="427"/>
      <c r="C1162" s="67"/>
      <c r="D1162" s="428"/>
      <c r="E1162" s="428"/>
      <c r="F1162" s="429"/>
    </row>
    <row r="1163" spans="2:6" ht="15.75" x14ac:dyDescent="0.25">
      <c r="B1163" s="427"/>
      <c r="C1163" s="67"/>
      <c r="D1163" s="428"/>
      <c r="E1163" s="428"/>
      <c r="F1163" s="429"/>
    </row>
    <row r="1164" spans="2:6" ht="15.75" x14ac:dyDescent="0.25">
      <c r="B1164" s="427"/>
      <c r="C1164" s="67"/>
      <c r="D1164" s="428"/>
      <c r="E1164" s="428"/>
      <c r="F1164" s="429"/>
    </row>
    <row r="1165" spans="2:6" ht="15.75" x14ac:dyDescent="0.25">
      <c r="B1165" s="427"/>
      <c r="C1165" s="67"/>
      <c r="D1165" s="428"/>
      <c r="E1165" s="428"/>
      <c r="F1165" s="429"/>
    </row>
    <row r="1166" spans="2:6" ht="15.75" x14ac:dyDescent="0.25">
      <c r="B1166" s="427"/>
      <c r="C1166" s="67"/>
      <c r="D1166" s="428"/>
      <c r="E1166" s="428"/>
      <c r="F1166" s="429"/>
    </row>
    <row r="1167" spans="2:6" ht="15.75" x14ac:dyDescent="0.25">
      <c r="B1167" s="427"/>
      <c r="C1167" s="67"/>
      <c r="D1167" s="428"/>
      <c r="E1167" s="428"/>
      <c r="F1167" s="429"/>
    </row>
    <row r="1168" spans="2:6" ht="15.75" x14ac:dyDescent="0.25">
      <c r="B1168" s="427"/>
      <c r="C1168" s="67"/>
      <c r="D1168" s="428"/>
      <c r="E1168" s="428"/>
      <c r="F1168" s="429"/>
    </row>
    <row r="1169" spans="2:6" ht="15.75" x14ac:dyDescent="0.25">
      <c r="B1169" s="427"/>
      <c r="C1169" s="67"/>
      <c r="D1169" s="428"/>
      <c r="E1169" s="428"/>
      <c r="F1169" s="429"/>
    </row>
    <row r="1170" spans="2:6" ht="15.75" x14ac:dyDescent="0.25">
      <c r="B1170" s="427"/>
      <c r="C1170" s="67"/>
      <c r="D1170" s="428"/>
      <c r="E1170" s="428"/>
      <c r="F1170" s="429"/>
    </row>
    <row r="1171" spans="2:6" ht="15.75" x14ac:dyDescent="0.25">
      <c r="B1171" s="427"/>
      <c r="C1171" s="67"/>
      <c r="D1171" s="428"/>
      <c r="E1171" s="428"/>
      <c r="F1171" s="429"/>
    </row>
    <row r="1172" spans="2:6" ht="15.75" x14ac:dyDescent="0.25">
      <c r="B1172" s="427"/>
      <c r="C1172" s="67"/>
      <c r="D1172" s="428"/>
      <c r="E1172" s="428"/>
      <c r="F1172" s="429"/>
    </row>
    <row r="1173" spans="2:6" ht="15.75" x14ac:dyDescent="0.25">
      <c r="B1173" s="427"/>
      <c r="C1173" s="67"/>
      <c r="D1173" s="428"/>
      <c r="E1173" s="428"/>
      <c r="F1173" s="429"/>
    </row>
    <row r="1174" spans="2:6" ht="15.75" x14ac:dyDescent="0.25">
      <c r="B1174" s="427"/>
      <c r="C1174" s="67"/>
      <c r="D1174" s="428"/>
      <c r="E1174" s="428"/>
      <c r="F1174" s="429"/>
    </row>
    <row r="1175" spans="2:6" ht="15.75" x14ac:dyDescent="0.25">
      <c r="B1175" s="427"/>
      <c r="C1175" s="67"/>
      <c r="D1175" s="428"/>
      <c r="E1175" s="428"/>
      <c r="F1175" s="429"/>
    </row>
    <row r="1176" spans="2:6" ht="15.75" x14ac:dyDescent="0.25">
      <c r="B1176" s="427"/>
      <c r="C1176" s="67"/>
      <c r="D1176" s="428"/>
      <c r="E1176" s="428"/>
      <c r="F1176" s="429"/>
    </row>
    <row r="1177" spans="2:6" ht="15.75" x14ac:dyDescent="0.25">
      <c r="B1177" s="427"/>
      <c r="C1177" s="67"/>
      <c r="D1177" s="428"/>
      <c r="E1177" s="428"/>
      <c r="F1177" s="429"/>
    </row>
    <row r="1178" spans="2:6" ht="15.75" x14ac:dyDescent="0.25">
      <c r="B1178" s="427"/>
      <c r="C1178" s="67"/>
      <c r="D1178" s="428"/>
      <c r="E1178" s="428"/>
      <c r="F1178" s="429"/>
    </row>
    <row r="1179" spans="2:6" ht="15.75" x14ac:dyDescent="0.25">
      <c r="B1179" s="427"/>
      <c r="C1179" s="67"/>
      <c r="D1179" s="428"/>
      <c r="E1179" s="428"/>
      <c r="F1179" s="429"/>
    </row>
    <row r="1180" spans="2:6" ht="15.75" x14ac:dyDescent="0.25">
      <c r="B1180" s="427"/>
      <c r="C1180" s="67"/>
      <c r="D1180" s="428"/>
      <c r="E1180" s="428"/>
      <c r="F1180" s="429"/>
    </row>
    <row r="1181" spans="2:6" ht="15.75" x14ac:dyDescent="0.25">
      <c r="B1181" s="427"/>
      <c r="C1181" s="67"/>
      <c r="D1181" s="428"/>
      <c r="E1181" s="428"/>
      <c r="F1181" s="429"/>
    </row>
    <row r="1182" spans="2:6" ht="15.75" x14ac:dyDescent="0.25">
      <c r="B1182" s="427"/>
      <c r="C1182" s="67"/>
      <c r="D1182" s="428"/>
      <c r="E1182" s="428"/>
      <c r="F1182" s="429"/>
    </row>
    <row r="1183" spans="2:6" ht="15.75" x14ac:dyDescent="0.25">
      <c r="B1183" s="427"/>
      <c r="C1183" s="67"/>
      <c r="D1183" s="428"/>
      <c r="E1183" s="428"/>
      <c r="F1183" s="429"/>
    </row>
    <row r="1184" spans="2:6" ht="15.75" x14ac:dyDescent="0.25">
      <c r="B1184" s="427"/>
      <c r="C1184" s="67"/>
      <c r="D1184" s="428"/>
      <c r="E1184" s="428"/>
      <c r="F1184" s="429"/>
    </row>
    <row r="1185" spans="2:6" ht="15.75" x14ac:dyDescent="0.25">
      <c r="B1185" s="427"/>
      <c r="C1185" s="67"/>
      <c r="D1185" s="428"/>
      <c r="E1185" s="428"/>
      <c r="F1185" s="429"/>
    </row>
    <row r="1186" spans="2:6" ht="15.75" x14ac:dyDescent="0.25">
      <c r="B1186" s="427"/>
      <c r="C1186" s="67"/>
      <c r="D1186" s="428"/>
      <c r="E1186" s="428"/>
      <c r="F1186" s="429"/>
    </row>
    <row r="1187" spans="2:6" ht="15.75" x14ac:dyDescent="0.25">
      <c r="B1187" s="427"/>
      <c r="C1187" s="67"/>
      <c r="D1187" s="428"/>
      <c r="E1187" s="428"/>
      <c r="F1187" s="429"/>
    </row>
    <row r="1188" spans="2:6" ht="15.75" x14ac:dyDescent="0.25">
      <c r="B1188" s="427"/>
      <c r="C1188" s="67"/>
      <c r="D1188" s="428"/>
      <c r="E1188" s="428"/>
      <c r="F1188" s="429"/>
    </row>
    <row r="1189" spans="2:6" ht="15.75" x14ac:dyDescent="0.25">
      <c r="B1189" s="427"/>
      <c r="C1189" s="67"/>
      <c r="D1189" s="428"/>
      <c r="E1189" s="428"/>
      <c r="F1189" s="429"/>
    </row>
    <row r="1190" spans="2:6" ht="15.75" x14ac:dyDescent="0.25">
      <c r="B1190" s="427"/>
      <c r="C1190" s="67"/>
      <c r="D1190" s="428"/>
      <c r="E1190" s="428"/>
      <c r="F1190" s="429"/>
    </row>
    <row r="1191" spans="2:6" ht="15.75" x14ac:dyDescent="0.25">
      <c r="B1191" s="427"/>
      <c r="C1191" s="67"/>
      <c r="D1191" s="428"/>
      <c r="E1191" s="428"/>
      <c r="F1191" s="429"/>
    </row>
    <row r="1192" spans="2:6" ht="15.75" x14ac:dyDescent="0.25">
      <c r="B1192" s="427"/>
      <c r="C1192" s="67"/>
      <c r="D1192" s="428"/>
      <c r="E1192" s="428"/>
      <c r="F1192" s="429"/>
    </row>
    <row r="1193" spans="2:6" ht="15.75" x14ac:dyDescent="0.25">
      <c r="B1193" s="427"/>
      <c r="C1193" s="67"/>
      <c r="D1193" s="428"/>
      <c r="E1193" s="428"/>
      <c r="F1193" s="429"/>
    </row>
    <row r="1194" spans="2:6" ht="15.75" x14ac:dyDescent="0.25">
      <c r="B1194" s="427"/>
      <c r="C1194" s="67"/>
      <c r="D1194" s="428"/>
      <c r="E1194" s="428"/>
      <c r="F1194" s="429"/>
    </row>
    <row r="1195" spans="2:6" ht="15.75" x14ac:dyDescent="0.25">
      <c r="B1195" s="427"/>
      <c r="C1195" s="67"/>
      <c r="D1195" s="428"/>
      <c r="E1195" s="428"/>
      <c r="F1195" s="429"/>
    </row>
    <row r="1196" spans="2:6" ht="15.75" x14ac:dyDescent="0.25">
      <c r="B1196" s="427"/>
      <c r="C1196" s="67"/>
      <c r="D1196" s="428"/>
      <c r="E1196" s="428"/>
      <c r="F1196" s="429"/>
    </row>
    <row r="1197" spans="2:6" ht="15.75" x14ac:dyDescent="0.25">
      <c r="B1197" s="427"/>
      <c r="C1197" s="67"/>
      <c r="D1197" s="428"/>
      <c r="E1197" s="428"/>
      <c r="F1197" s="429"/>
    </row>
    <row r="1198" spans="2:6" ht="15.75" x14ac:dyDescent="0.25">
      <c r="B1198" s="427"/>
      <c r="C1198" s="67"/>
      <c r="D1198" s="428"/>
      <c r="E1198" s="428"/>
      <c r="F1198" s="429"/>
    </row>
    <row r="1199" spans="2:6" ht="15.75" x14ac:dyDescent="0.25">
      <c r="B1199" s="427"/>
      <c r="C1199" s="67"/>
      <c r="D1199" s="428"/>
      <c r="E1199" s="428"/>
      <c r="F1199" s="429"/>
    </row>
    <row r="1200" spans="2:6" ht="15.75" x14ac:dyDescent="0.25">
      <c r="B1200" s="427"/>
      <c r="C1200" s="67"/>
      <c r="D1200" s="428"/>
      <c r="E1200" s="428"/>
      <c r="F1200" s="429"/>
    </row>
    <row r="1201" spans="2:6" ht="15.75" x14ac:dyDescent="0.25">
      <c r="B1201" s="427"/>
      <c r="C1201" s="67"/>
      <c r="D1201" s="428"/>
      <c r="E1201" s="428"/>
      <c r="F1201" s="429"/>
    </row>
    <row r="1202" spans="2:6" ht="15.75" x14ac:dyDescent="0.25">
      <c r="B1202" s="427"/>
      <c r="C1202" s="67"/>
      <c r="D1202" s="428"/>
      <c r="E1202" s="428"/>
      <c r="F1202" s="429"/>
    </row>
    <row r="1203" spans="2:6" ht="15.75" x14ac:dyDescent="0.25">
      <c r="B1203" s="427"/>
      <c r="C1203" s="67"/>
      <c r="D1203" s="428"/>
      <c r="E1203" s="428"/>
      <c r="F1203" s="429"/>
    </row>
    <row r="1204" spans="2:6" ht="15.75" x14ac:dyDescent="0.25">
      <c r="B1204" s="427"/>
      <c r="C1204" s="67"/>
      <c r="D1204" s="428"/>
      <c r="E1204" s="428"/>
      <c r="F1204" s="429"/>
    </row>
    <row r="1205" spans="2:6" ht="15.75" x14ac:dyDescent="0.25">
      <c r="B1205" s="427"/>
      <c r="C1205" s="67"/>
      <c r="D1205" s="428"/>
      <c r="E1205" s="428"/>
      <c r="F1205" s="429"/>
    </row>
    <row r="1206" spans="2:6" ht="15.75" x14ac:dyDescent="0.25">
      <c r="B1206" s="427"/>
      <c r="C1206" s="67"/>
      <c r="D1206" s="428"/>
      <c r="E1206" s="428"/>
      <c r="F1206" s="429"/>
    </row>
    <row r="1207" spans="2:6" ht="15.75" x14ac:dyDescent="0.25">
      <c r="B1207" s="427"/>
      <c r="C1207" s="67"/>
      <c r="D1207" s="428"/>
      <c r="E1207" s="428"/>
      <c r="F1207" s="429"/>
    </row>
    <row r="1208" spans="2:6" ht="15.75" x14ac:dyDescent="0.25">
      <c r="B1208" s="427"/>
      <c r="C1208" s="67"/>
      <c r="D1208" s="428"/>
      <c r="E1208" s="428"/>
      <c r="F1208" s="429"/>
    </row>
    <row r="1209" spans="2:6" ht="15.75" x14ac:dyDescent="0.25">
      <c r="B1209" s="427"/>
      <c r="C1209" s="67"/>
      <c r="D1209" s="428"/>
      <c r="E1209" s="428"/>
      <c r="F1209" s="429"/>
    </row>
    <row r="1210" spans="2:6" ht="15.75" x14ac:dyDescent="0.25">
      <c r="B1210" s="427"/>
      <c r="C1210" s="67"/>
      <c r="D1210" s="428"/>
      <c r="E1210" s="428"/>
      <c r="F1210" s="429"/>
    </row>
    <row r="1211" spans="2:6" ht="15.75" x14ac:dyDescent="0.25">
      <c r="B1211" s="427"/>
      <c r="C1211" s="67"/>
      <c r="D1211" s="428"/>
      <c r="E1211" s="428"/>
      <c r="F1211" s="429"/>
    </row>
    <row r="1212" spans="2:6" ht="15.75" x14ac:dyDescent="0.25">
      <c r="B1212" s="427"/>
      <c r="C1212" s="67"/>
      <c r="D1212" s="428"/>
      <c r="E1212" s="428"/>
      <c r="F1212" s="429"/>
    </row>
    <row r="1213" spans="2:6" ht="15.75" x14ac:dyDescent="0.25">
      <c r="B1213" s="427"/>
      <c r="C1213" s="67"/>
      <c r="D1213" s="428"/>
      <c r="E1213" s="428"/>
      <c r="F1213" s="429"/>
    </row>
    <row r="1214" spans="2:6" ht="15.75" x14ac:dyDescent="0.25">
      <c r="B1214" s="427"/>
      <c r="C1214" s="67"/>
      <c r="D1214" s="428"/>
      <c r="E1214" s="428"/>
      <c r="F1214" s="429"/>
    </row>
    <row r="1215" spans="2:6" ht="15.75" x14ac:dyDescent="0.25">
      <c r="B1215" s="427"/>
      <c r="C1215" s="67"/>
      <c r="D1215" s="428"/>
      <c r="E1215" s="428"/>
      <c r="F1215" s="429"/>
    </row>
    <row r="1216" spans="2:6" ht="15.75" x14ac:dyDescent="0.25">
      <c r="B1216" s="427"/>
      <c r="C1216" s="67"/>
      <c r="D1216" s="428"/>
      <c r="E1216" s="428"/>
      <c r="F1216" s="429"/>
    </row>
    <row r="1217" spans="2:6" ht="15.75" x14ac:dyDescent="0.25">
      <c r="B1217" s="427"/>
      <c r="C1217" s="67"/>
      <c r="D1217" s="428"/>
      <c r="E1217" s="428"/>
      <c r="F1217" s="429"/>
    </row>
    <row r="1218" spans="2:6" ht="15.75" x14ac:dyDescent="0.25">
      <c r="B1218" s="427"/>
      <c r="C1218" s="67"/>
      <c r="D1218" s="428"/>
      <c r="E1218" s="428"/>
      <c r="F1218" s="429"/>
    </row>
    <row r="1219" spans="2:6" ht="15.75" x14ac:dyDescent="0.25">
      <c r="B1219" s="427"/>
      <c r="C1219" s="67"/>
      <c r="D1219" s="428"/>
      <c r="E1219" s="428"/>
      <c r="F1219" s="429"/>
    </row>
    <row r="1220" spans="2:6" ht="15.75" x14ac:dyDescent="0.25">
      <c r="B1220" s="427"/>
      <c r="C1220" s="67"/>
      <c r="D1220" s="428"/>
      <c r="E1220" s="428"/>
      <c r="F1220" s="429"/>
    </row>
    <row r="1221" spans="2:6" ht="15.75" x14ac:dyDescent="0.25">
      <c r="B1221" s="427"/>
      <c r="C1221" s="67"/>
      <c r="D1221" s="428"/>
      <c r="E1221" s="428"/>
      <c r="F1221" s="429"/>
    </row>
    <row r="1222" spans="2:6" ht="15.75" x14ac:dyDescent="0.25">
      <c r="B1222" s="427"/>
      <c r="C1222" s="67"/>
      <c r="D1222" s="428"/>
      <c r="E1222" s="428"/>
      <c r="F1222" s="429"/>
    </row>
    <row r="1223" spans="2:6" ht="15.75" x14ac:dyDescent="0.25">
      <c r="B1223" s="427"/>
      <c r="C1223" s="67"/>
      <c r="D1223" s="428"/>
      <c r="E1223" s="428"/>
      <c r="F1223" s="429"/>
    </row>
    <row r="1224" spans="2:6" ht="15.75" x14ac:dyDescent="0.25">
      <c r="B1224" s="427"/>
      <c r="C1224" s="67"/>
      <c r="D1224" s="428"/>
      <c r="E1224" s="428"/>
      <c r="F1224" s="429"/>
    </row>
    <row r="1225" spans="2:6" ht="15.75" x14ac:dyDescent="0.25">
      <c r="B1225" s="427"/>
      <c r="C1225" s="67"/>
      <c r="D1225" s="428"/>
      <c r="E1225" s="428"/>
      <c r="F1225" s="429"/>
    </row>
    <row r="1226" spans="2:6" ht="15.75" x14ac:dyDescent="0.25">
      <c r="B1226" s="427"/>
      <c r="C1226" s="67"/>
      <c r="D1226" s="428"/>
      <c r="E1226" s="428"/>
      <c r="F1226" s="429"/>
    </row>
    <row r="1227" spans="2:6" ht="15.75" x14ac:dyDescent="0.25">
      <c r="B1227" s="427"/>
      <c r="C1227" s="67"/>
      <c r="D1227" s="428"/>
      <c r="E1227" s="428"/>
      <c r="F1227" s="429"/>
    </row>
    <row r="1228" spans="2:6" ht="15.75" x14ac:dyDescent="0.25">
      <c r="B1228" s="427"/>
      <c r="C1228" s="67"/>
      <c r="D1228" s="428"/>
      <c r="E1228" s="428"/>
      <c r="F1228" s="429"/>
    </row>
    <row r="1229" spans="2:6" ht="15.75" x14ac:dyDescent="0.25">
      <c r="B1229" s="427"/>
      <c r="C1229" s="67"/>
      <c r="D1229" s="428"/>
      <c r="E1229" s="428"/>
      <c r="F1229" s="429"/>
    </row>
    <row r="1230" spans="2:6" ht="15.75" x14ac:dyDescent="0.25">
      <c r="B1230" s="427"/>
      <c r="C1230" s="67"/>
      <c r="D1230" s="428"/>
      <c r="E1230" s="428"/>
      <c r="F1230" s="429"/>
    </row>
    <row r="1231" spans="2:6" ht="15.75" x14ac:dyDescent="0.25">
      <c r="B1231" s="427"/>
      <c r="C1231" s="67"/>
      <c r="D1231" s="428"/>
      <c r="E1231" s="428"/>
      <c r="F1231" s="429"/>
    </row>
    <row r="1232" spans="2:6" ht="15.75" x14ac:dyDescent="0.25">
      <c r="B1232" s="427"/>
      <c r="C1232" s="67"/>
      <c r="D1232" s="428"/>
      <c r="E1232" s="428"/>
      <c r="F1232" s="429"/>
    </row>
    <row r="1233" spans="2:6" ht="15.75" x14ac:dyDescent="0.25">
      <c r="B1233" s="427"/>
      <c r="C1233" s="67"/>
      <c r="D1233" s="428"/>
      <c r="E1233" s="428"/>
      <c r="F1233" s="429"/>
    </row>
    <row r="1234" spans="2:6" ht="15.75" x14ac:dyDescent="0.25">
      <c r="B1234" s="427"/>
      <c r="C1234" s="67"/>
      <c r="D1234" s="428"/>
      <c r="E1234" s="428"/>
      <c r="F1234" s="429"/>
    </row>
    <row r="1235" spans="2:6" ht="15.75" x14ac:dyDescent="0.25">
      <c r="B1235" s="427"/>
      <c r="C1235" s="67"/>
      <c r="D1235" s="428"/>
      <c r="E1235" s="428"/>
      <c r="F1235" s="429"/>
    </row>
    <row r="1236" spans="2:6" ht="15.75" x14ac:dyDescent="0.25">
      <c r="B1236" s="427"/>
      <c r="C1236" s="67"/>
      <c r="D1236" s="428"/>
      <c r="E1236" s="428"/>
      <c r="F1236" s="429"/>
    </row>
    <row r="1237" spans="2:6" ht="15.75" x14ac:dyDescent="0.25">
      <c r="B1237" s="427"/>
      <c r="C1237" s="67"/>
      <c r="D1237" s="428"/>
      <c r="E1237" s="428"/>
      <c r="F1237" s="429"/>
    </row>
    <row r="1238" spans="2:6" ht="15.75" x14ac:dyDescent="0.25">
      <c r="B1238" s="427"/>
      <c r="C1238" s="67"/>
      <c r="D1238" s="428"/>
      <c r="E1238" s="428"/>
      <c r="F1238" s="429"/>
    </row>
    <row r="1239" spans="2:6" ht="15.75" x14ac:dyDescent="0.25">
      <c r="B1239" s="427"/>
      <c r="C1239" s="67"/>
      <c r="D1239" s="428"/>
      <c r="E1239" s="428"/>
      <c r="F1239" s="429"/>
    </row>
    <row r="1240" spans="2:6" ht="15.75" x14ac:dyDescent="0.25">
      <c r="B1240" s="427"/>
      <c r="C1240" s="67"/>
      <c r="D1240" s="428"/>
      <c r="E1240" s="428"/>
      <c r="F1240" s="429"/>
    </row>
    <row r="1241" spans="2:6" ht="15.75" x14ac:dyDescent="0.25">
      <c r="B1241" s="427"/>
      <c r="C1241" s="67"/>
      <c r="D1241" s="428"/>
      <c r="E1241" s="428"/>
      <c r="F1241" s="429"/>
    </row>
    <row r="1242" spans="2:6" ht="15.75" x14ac:dyDescent="0.25">
      <c r="B1242" s="427"/>
      <c r="C1242" s="67"/>
      <c r="D1242" s="428"/>
      <c r="E1242" s="428"/>
      <c r="F1242" s="429"/>
    </row>
    <row r="1243" spans="2:6" ht="15.75" x14ac:dyDescent="0.25">
      <c r="B1243" s="427"/>
      <c r="C1243" s="67"/>
      <c r="D1243" s="428"/>
      <c r="E1243" s="428"/>
      <c r="F1243" s="429"/>
    </row>
    <row r="1244" spans="2:6" ht="15.75" x14ac:dyDescent="0.25">
      <c r="B1244" s="427"/>
      <c r="C1244" s="67"/>
      <c r="D1244" s="428"/>
      <c r="E1244" s="428"/>
      <c r="F1244" s="429"/>
    </row>
    <row r="1245" spans="2:6" ht="15.75" x14ac:dyDescent="0.25">
      <c r="B1245" s="427"/>
      <c r="C1245" s="67"/>
      <c r="D1245" s="428"/>
      <c r="E1245" s="428"/>
      <c r="F1245" s="429"/>
    </row>
    <row r="1246" spans="2:6" ht="15.75" x14ac:dyDescent="0.25">
      <c r="B1246" s="427"/>
      <c r="C1246" s="67"/>
      <c r="D1246" s="428"/>
      <c r="E1246" s="428"/>
      <c r="F1246" s="429"/>
    </row>
    <row r="1247" spans="2:6" ht="15.75" x14ac:dyDescent="0.25">
      <c r="B1247" s="427"/>
      <c r="C1247" s="67"/>
      <c r="D1247" s="428"/>
      <c r="E1247" s="428"/>
      <c r="F1247" s="429"/>
    </row>
    <row r="1248" spans="2:6" ht="15.75" x14ac:dyDescent="0.25">
      <c r="B1248" s="427"/>
      <c r="C1248" s="67"/>
      <c r="D1248" s="428"/>
      <c r="E1248" s="428"/>
      <c r="F1248" s="429"/>
    </row>
    <row r="1249" spans="2:6" ht="15.75" x14ac:dyDescent="0.25">
      <c r="B1249" s="427"/>
      <c r="C1249" s="67"/>
      <c r="D1249" s="428"/>
      <c r="E1249" s="428"/>
      <c r="F1249" s="429"/>
    </row>
    <row r="1250" spans="2:6" ht="15.75" x14ac:dyDescent="0.25">
      <c r="B1250" s="427"/>
      <c r="C1250" s="67"/>
      <c r="D1250" s="428"/>
      <c r="E1250" s="428"/>
      <c r="F1250" s="429"/>
    </row>
    <row r="1251" spans="2:6" ht="15.75" x14ac:dyDescent="0.25">
      <c r="B1251" s="427"/>
      <c r="C1251" s="67"/>
      <c r="D1251" s="428"/>
      <c r="E1251" s="428"/>
      <c r="F1251" s="429"/>
    </row>
    <row r="1252" spans="2:6" ht="15.75" x14ac:dyDescent="0.25">
      <c r="B1252" s="427"/>
      <c r="C1252" s="67"/>
      <c r="D1252" s="428"/>
      <c r="E1252" s="428"/>
      <c r="F1252" s="429"/>
    </row>
    <row r="1253" spans="2:6" ht="15.75" x14ac:dyDescent="0.25">
      <c r="B1253" s="427"/>
      <c r="C1253" s="67"/>
      <c r="D1253" s="428"/>
      <c r="E1253" s="428"/>
      <c r="F1253" s="429"/>
    </row>
    <row r="1254" spans="2:6" ht="15.75" x14ac:dyDescent="0.25">
      <c r="B1254" s="427"/>
      <c r="C1254" s="67"/>
      <c r="D1254" s="428"/>
      <c r="E1254" s="428"/>
      <c r="F1254" s="429"/>
    </row>
    <row r="1255" spans="2:6" ht="15.75" x14ac:dyDescent="0.25">
      <c r="B1255" s="427"/>
      <c r="C1255" s="67"/>
      <c r="D1255" s="428"/>
      <c r="E1255" s="428"/>
      <c r="F1255" s="429"/>
    </row>
    <row r="1256" spans="2:6" ht="15.75" x14ac:dyDescent="0.25">
      <c r="B1256" s="427"/>
      <c r="C1256" s="67"/>
      <c r="D1256" s="428"/>
      <c r="E1256" s="428"/>
      <c r="F1256" s="429"/>
    </row>
    <row r="1257" spans="2:6" ht="15.75" x14ac:dyDescent="0.25">
      <c r="B1257" s="427"/>
      <c r="C1257" s="67"/>
      <c r="D1257" s="428"/>
      <c r="E1257" s="428"/>
      <c r="F1257" s="429"/>
    </row>
    <row r="1258" spans="2:6" ht="15.75" x14ac:dyDescent="0.25">
      <c r="B1258" s="427"/>
      <c r="C1258" s="67"/>
      <c r="D1258" s="428"/>
      <c r="E1258" s="428"/>
      <c r="F1258" s="429"/>
    </row>
    <row r="1259" spans="2:6" ht="15.75" x14ac:dyDescent="0.25">
      <c r="B1259" s="427"/>
      <c r="C1259" s="67"/>
      <c r="D1259" s="428"/>
      <c r="E1259" s="428"/>
      <c r="F1259" s="429"/>
    </row>
    <row r="1260" spans="2:6" ht="15.75" x14ac:dyDescent="0.25">
      <c r="B1260" s="427"/>
      <c r="C1260" s="67"/>
      <c r="D1260" s="428"/>
      <c r="E1260" s="428"/>
      <c r="F1260" s="429"/>
    </row>
    <row r="1261" spans="2:6" ht="15.75" x14ac:dyDescent="0.25">
      <c r="B1261" s="427"/>
      <c r="C1261" s="67"/>
      <c r="D1261" s="428"/>
      <c r="E1261" s="428"/>
      <c r="F1261" s="429"/>
    </row>
    <row r="1262" spans="2:6" ht="15.75" x14ac:dyDescent="0.25">
      <c r="B1262" s="427"/>
      <c r="C1262" s="67"/>
      <c r="D1262" s="428"/>
      <c r="E1262" s="428"/>
      <c r="F1262" s="429"/>
    </row>
    <row r="1263" spans="2:6" ht="15.75" x14ac:dyDescent="0.25">
      <c r="B1263" s="427"/>
      <c r="C1263" s="67"/>
      <c r="D1263" s="428"/>
      <c r="E1263" s="428"/>
      <c r="F1263" s="429"/>
    </row>
    <row r="1264" spans="2:6" ht="15.75" x14ac:dyDescent="0.25">
      <c r="B1264" s="427"/>
      <c r="C1264" s="67"/>
      <c r="D1264" s="428"/>
      <c r="E1264" s="428"/>
      <c r="F1264" s="429"/>
    </row>
    <row r="1265" spans="2:6" ht="15.75" x14ac:dyDescent="0.25">
      <c r="B1265" s="427"/>
      <c r="C1265" s="67"/>
      <c r="D1265" s="428"/>
      <c r="E1265" s="428"/>
      <c r="F1265" s="429"/>
    </row>
    <row r="1266" spans="2:6" ht="15.75" x14ac:dyDescent="0.25">
      <c r="B1266" s="427"/>
      <c r="C1266" s="67"/>
      <c r="D1266" s="428"/>
      <c r="E1266" s="428"/>
      <c r="F1266" s="429"/>
    </row>
    <row r="1267" spans="2:6" ht="15.75" x14ac:dyDescent="0.25">
      <c r="B1267" s="427"/>
      <c r="C1267" s="67"/>
      <c r="D1267" s="428"/>
      <c r="E1267" s="428"/>
      <c r="F1267" s="429"/>
    </row>
    <row r="1268" spans="2:6" ht="15.75" x14ac:dyDescent="0.25">
      <c r="B1268" s="427"/>
      <c r="C1268" s="67"/>
      <c r="D1268" s="428"/>
      <c r="E1268" s="428"/>
      <c r="F1268" s="429"/>
    </row>
    <row r="1269" spans="2:6" ht="15.75" x14ac:dyDescent="0.25">
      <c r="B1269" s="427"/>
      <c r="C1269" s="67"/>
      <c r="D1269" s="428"/>
      <c r="E1269" s="428"/>
      <c r="F1269" s="429"/>
    </row>
    <row r="1270" spans="2:6" ht="15.75" x14ac:dyDescent="0.25">
      <c r="B1270" s="427"/>
      <c r="C1270" s="67"/>
      <c r="D1270" s="428"/>
      <c r="E1270" s="428"/>
      <c r="F1270" s="429"/>
    </row>
    <row r="1271" spans="2:6" ht="15.75" x14ac:dyDescent="0.25">
      <c r="B1271" s="427"/>
      <c r="C1271" s="67"/>
      <c r="D1271" s="428"/>
      <c r="E1271" s="428"/>
      <c r="F1271" s="429"/>
    </row>
    <row r="1272" spans="2:6" ht="15.75" x14ac:dyDescent="0.25">
      <c r="B1272" s="427"/>
      <c r="C1272" s="67"/>
      <c r="D1272" s="428"/>
      <c r="E1272" s="428"/>
      <c r="F1272" s="429"/>
    </row>
    <row r="1273" spans="2:6" ht="15.75" x14ac:dyDescent="0.25">
      <c r="B1273" s="427"/>
      <c r="C1273" s="67"/>
      <c r="D1273" s="428"/>
      <c r="E1273" s="428"/>
      <c r="F1273" s="429"/>
    </row>
    <row r="1274" spans="2:6" ht="15.75" x14ac:dyDescent="0.25">
      <c r="B1274" s="427"/>
      <c r="C1274" s="67"/>
      <c r="D1274" s="428"/>
      <c r="E1274" s="428"/>
      <c r="F1274" s="429"/>
    </row>
    <row r="1275" spans="2:6" ht="15.75" x14ac:dyDescent="0.25">
      <c r="B1275" s="427"/>
      <c r="C1275" s="67"/>
      <c r="D1275" s="428"/>
      <c r="E1275" s="428"/>
      <c r="F1275" s="429"/>
    </row>
    <row r="1276" spans="2:6" ht="15.75" x14ac:dyDescent="0.25">
      <c r="B1276" s="427"/>
      <c r="C1276" s="67"/>
      <c r="D1276" s="428"/>
      <c r="E1276" s="428"/>
      <c r="F1276" s="429"/>
    </row>
    <row r="1277" spans="2:6" ht="15.75" x14ac:dyDescent="0.25">
      <c r="B1277" s="427"/>
      <c r="C1277" s="67"/>
      <c r="D1277" s="428"/>
      <c r="E1277" s="428"/>
      <c r="F1277" s="429"/>
    </row>
    <row r="1278" spans="2:6" ht="15.75" x14ac:dyDescent="0.25">
      <c r="B1278" s="427"/>
      <c r="C1278" s="67"/>
      <c r="D1278" s="428"/>
      <c r="E1278" s="428"/>
      <c r="F1278" s="429"/>
    </row>
    <row r="1279" spans="2:6" ht="15.75" x14ac:dyDescent="0.25">
      <c r="B1279" s="427"/>
      <c r="C1279" s="67"/>
      <c r="D1279" s="428"/>
      <c r="E1279" s="428"/>
      <c r="F1279" s="429"/>
    </row>
    <row r="1280" spans="2:6" ht="15.75" x14ac:dyDescent="0.25">
      <c r="B1280" s="427"/>
      <c r="C1280" s="67"/>
      <c r="D1280" s="428"/>
      <c r="E1280" s="428"/>
      <c r="F1280" s="429"/>
    </row>
    <row r="1281" spans="2:6" ht="15.75" x14ac:dyDescent="0.25">
      <c r="B1281" s="427"/>
      <c r="C1281" s="67"/>
      <c r="D1281" s="428"/>
      <c r="E1281" s="428"/>
      <c r="F1281" s="429"/>
    </row>
    <row r="1282" spans="2:6" ht="15.75" x14ac:dyDescent="0.25">
      <c r="B1282" s="427"/>
      <c r="C1282" s="67"/>
      <c r="D1282" s="428"/>
      <c r="E1282" s="428"/>
      <c r="F1282" s="429"/>
    </row>
    <row r="1283" spans="2:6" ht="15.75" x14ac:dyDescent="0.25">
      <c r="B1283" s="427"/>
      <c r="C1283" s="67"/>
      <c r="D1283" s="428"/>
      <c r="E1283" s="428"/>
      <c r="F1283" s="429"/>
    </row>
    <row r="1284" spans="2:6" ht="15.75" x14ac:dyDescent="0.25">
      <c r="B1284" s="427"/>
      <c r="C1284" s="67"/>
      <c r="D1284" s="428"/>
      <c r="E1284" s="428"/>
      <c r="F1284" s="429"/>
    </row>
    <row r="1285" spans="2:6" ht="15.75" x14ac:dyDescent="0.25">
      <c r="B1285" s="427"/>
      <c r="C1285" s="67"/>
      <c r="D1285" s="428"/>
      <c r="E1285" s="428"/>
      <c r="F1285" s="429"/>
    </row>
    <row r="1286" spans="2:6" ht="15.75" x14ac:dyDescent="0.25">
      <c r="B1286" s="427"/>
      <c r="C1286" s="67"/>
      <c r="D1286" s="428"/>
      <c r="E1286" s="428"/>
      <c r="F1286" s="429"/>
    </row>
    <row r="1287" spans="2:6" ht="15.75" x14ac:dyDescent="0.25">
      <c r="B1287" s="427"/>
      <c r="C1287" s="67"/>
      <c r="D1287" s="428"/>
      <c r="E1287" s="428"/>
      <c r="F1287" s="429"/>
    </row>
    <row r="1288" spans="2:6" ht="15.75" x14ac:dyDescent="0.25">
      <c r="B1288" s="427"/>
      <c r="C1288" s="67"/>
      <c r="D1288" s="428"/>
      <c r="E1288" s="428"/>
      <c r="F1288" s="429"/>
    </row>
    <row r="1289" spans="2:6" ht="15.75" x14ac:dyDescent="0.25">
      <c r="B1289" s="427"/>
      <c r="C1289" s="67"/>
      <c r="D1289" s="428"/>
      <c r="E1289" s="428"/>
      <c r="F1289" s="429"/>
    </row>
    <row r="1290" spans="2:6" ht="15.75" x14ac:dyDescent="0.25">
      <c r="B1290" s="427"/>
      <c r="C1290" s="67"/>
      <c r="D1290" s="428"/>
      <c r="E1290" s="428"/>
      <c r="F1290" s="429"/>
    </row>
    <row r="1291" spans="2:6" ht="15.75" x14ac:dyDescent="0.25">
      <c r="B1291" s="427"/>
      <c r="C1291" s="67"/>
      <c r="D1291" s="428"/>
      <c r="E1291" s="428"/>
      <c r="F1291" s="429"/>
    </row>
    <row r="1292" spans="2:6" ht="15.75" x14ac:dyDescent="0.25">
      <c r="B1292" s="427"/>
      <c r="C1292" s="67"/>
      <c r="D1292" s="428"/>
      <c r="E1292" s="428"/>
      <c r="F1292" s="429"/>
    </row>
    <row r="1293" spans="2:6" ht="15.75" x14ac:dyDescent="0.25">
      <c r="B1293" s="427"/>
      <c r="C1293" s="67"/>
      <c r="D1293" s="428"/>
      <c r="E1293" s="428"/>
      <c r="F1293" s="429"/>
    </row>
    <row r="1294" spans="2:6" ht="15.75" x14ac:dyDescent="0.25">
      <c r="B1294" s="427"/>
      <c r="C1294" s="67"/>
      <c r="D1294" s="428"/>
      <c r="E1294" s="428"/>
      <c r="F1294" s="429"/>
    </row>
    <row r="1295" spans="2:6" ht="15.75" x14ac:dyDescent="0.25">
      <c r="B1295" s="427"/>
      <c r="C1295" s="67"/>
      <c r="D1295" s="428"/>
      <c r="E1295" s="428"/>
      <c r="F1295" s="429"/>
    </row>
    <row r="1296" spans="2:6" ht="15.75" x14ac:dyDescent="0.25">
      <c r="B1296" s="427"/>
      <c r="C1296" s="67"/>
      <c r="D1296" s="428"/>
      <c r="E1296" s="428"/>
      <c r="F1296" s="429"/>
    </row>
    <row r="1297" spans="2:6" ht="15.75" x14ac:dyDescent="0.25">
      <c r="B1297" s="427"/>
      <c r="C1297" s="67"/>
      <c r="D1297" s="428"/>
      <c r="E1297" s="428"/>
      <c r="F1297" s="429"/>
    </row>
    <row r="1298" spans="2:6" ht="15.75" x14ac:dyDescent="0.25">
      <c r="B1298" s="427"/>
      <c r="C1298" s="67"/>
      <c r="D1298" s="428"/>
      <c r="E1298" s="428"/>
      <c r="F1298" s="429"/>
    </row>
    <row r="1299" spans="2:6" ht="15.75" x14ac:dyDescent="0.25">
      <c r="B1299" s="427"/>
      <c r="C1299" s="67"/>
      <c r="D1299" s="428"/>
      <c r="E1299" s="428"/>
      <c r="F1299" s="429"/>
    </row>
    <row r="1300" spans="2:6" ht="15.75" x14ac:dyDescent="0.25">
      <c r="B1300" s="427"/>
      <c r="C1300" s="67"/>
      <c r="D1300" s="428"/>
      <c r="E1300" s="428"/>
      <c r="F1300" s="429"/>
    </row>
    <row r="1301" spans="2:6" ht="15.75" x14ac:dyDescent="0.25">
      <c r="B1301" s="427"/>
      <c r="C1301" s="67"/>
      <c r="D1301" s="428"/>
      <c r="E1301" s="428"/>
      <c r="F1301" s="429"/>
    </row>
    <row r="1302" spans="2:6" ht="15.75" x14ac:dyDescent="0.25">
      <c r="B1302" s="427"/>
      <c r="C1302" s="67"/>
      <c r="D1302" s="428"/>
      <c r="E1302" s="428"/>
      <c r="F1302" s="429"/>
    </row>
    <row r="1303" spans="2:6" ht="15.75" x14ac:dyDescent="0.25">
      <c r="B1303" s="427"/>
      <c r="C1303" s="67"/>
      <c r="D1303" s="428"/>
      <c r="E1303" s="428"/>
      <c r="F1303" s="429"/>
    </row>
    <row r="1304" spans="2:6" ht="15.75" x14ac:dyDescent="0.25">
      <c r="B1304" s="427"/>
      <c r="C1304" s="67"/>
      <c r="D1304" s="428"/>
      <c r="E1304" s="428"/>
      <c r="F1304" s="429"/>
    </row>
    <row r="1305" spans="2:6" ht="15.75" x14ac:dyDescent="0.25">
      <c r="B1305" s="427"/>
      <c r="C1305" s="67"/>
      <c r="D1305" s="428"/>
      <c r="E1305" s="428"/>
      <c r="F1305" s="429"/>
    </row>
    <row r="1306" spans="2:6" ht="15.75" x14ac:dyDescent="0.25">
      <c r="B1306" s="427"/>
      <c r="C1306" s="67"/>
      <c r="D1306" s="428"/>
      <c r="E1306" s="428"/>
      <c r="F1306" s="429"/>
    </row>
    <row r="1307" spans="2:6" ht="15.75" x14ac:dyDescent="0.25">
      <c r="B1307" s="427"/>
      <c r="C1307" s="67"/>
      <c r="D1307" s="428"/>
      <c r="E1307" s="428"/>
      <c r="F1307" s="429"/>
    </row>
    <row r="1308" spans="2:6" ht="15.75" x14ac:dyDescent="0.25">
      <c r="B1308" s="427"/>
      <c r="C1308" s="67"/>
      <c r="D1308" s="428"/>
      <c r="E1308" s="428"/>
      <c r="F1308" s="429"/>
    </row>
    <row r="1309" spans="2:6" ht="15.75" x14ac:dyDescent="0.25">
      <c r="B1309" s="427"/>
      <c r="C1309" s="67"/>
      <c r="D1309" s="428"/>
      <c r="E1309" s="428"/>
      <c r="F1309" s="429"/>
    </row>
    <row r="1310" spans="2:6" ht="15.75" x14ac:dyDescent="0.25">
      <c r="B1310" s="427"/>
      <c r="C1310" s="67"/>
      <c r="D1310" s="428"/>
      <c r="E1310" s="428"/>
      <c r="F1310" s="429"/>
    </row>
    <row r="1311" spans="2:6" ht="15.75" x14ac:dyDescent="0.25">
      <c r="B1311" s="427"/>
      <c r="C1311" s="67"/>
      <c r="D1311" s="428"/>
      <c r="E1311" s="428"/>
      <c r="F1311" s="429"/>
    </row>
    <row r="1312" spans="2:6" ht="15.75" x14ac:dyDescent="0.25">
      <c r="B1312" s="427"/>
      <c r="C1312" s="67"/>
      <c r="D1312" s="428"/>
      <c r="E1312" s="428"/>
      <c r="F1312" s="429"/>
    </row>
    <row r="1313" spans="2:6" ht="15.75" x14ac:dyDescent="0.25">
      <c r="B1313" s="427"/>
      <c r="C1313" s="67"/>
      <c r="D1313" s="428"/>
      <c r="E1313" s="428"/>
      <c r="F1313" s="429"/>
    </row>
    <row r="1314" spans="2:6" ht="15.75" x14ac:dyDescent="0.25">
      <c r="B1314" s="427"/>
      <c r="C1314" s="67"/>
      <c r="D1314" s="428"/>
      <c r="E1314" s="428"/>
      <c r="F1314" s="429"/>
    </row>
    <row r="1315" spans="2:6" ht="15.75" x14ac:dyDescent="0.25">
      <c r="B1315" s="427"/>
      <c r="C1315" s="67"/>
      <c r="D1315" s="428"/>
      <c r="E1315" s="428"/>
      <c r="F1315" s="429"/>
    </row>
    <row r="1316" spans="2:6" ht="15.75" x14ac:dyDescent="0.25">
      <c r="B1316" s="427"/>
      <c r="C1316" s="67"/>
      <c r="D1316" s="428"/>
      <c r="E1316" s="428"/>
      <c r="F1316" s="429"/>
    </row>
    <row r="1317" spans="2:6" ht="15.75" x14ac:dyDescent="0.25">
      <c r="B1317" s="427"/>
      <c r="C1317" s="67"/>
      <c r="D1317" s="428"/>
      <c r="E1317" s="428"/>
      <c r="F1317" s="429"/>
    </row>
    <row r="1318" spans="2:6" ht="15.75" x14ac:dyDescent="0.25">
      <c r="B1318" s="427"/>
      <c r="C1318" s="67"/>
      <c r="D1318" s="428"/>
      <c r="E1318" s="428"/>
      <c r="F1318" s="429"/>
    </row>
    <row r="1319" spans="2:6" ht="15.75" x14ac:dyDescent="0.25">
      <c r="B1319" s="427"/>
      <c r="C1319" s="67"/>
      <c r="D1319" s="428"/>
      <c r="E1319" s="428"/>
      <c r="F1319" s="429"/>
    </row>
    <row r="1320" spans="2:6" ht="15.75" x14ac:dyDescent="0.25">
      <c r="B1320" s="427"/>
      <c r="C1320" s="67"/>
      <c r="D1320" s="428"/>
      <c r="E1320" s="428"/>
      <c r="F1320" s="429"/>
    </row>
    <row r="1321" spans="2:6" ht="15.75" x14ac:dyDescent="0.25">
      <c r="B1321" s="427"/>
      <c r="C1321" s="67"/>
      <c r="D1321" s="428"/>
      <c r="E1321" s="428"/>
      <c r="F1321" s="429"/>
    </row>
    <row r="1322" spans="2:6" ht="15.75" x14ac:dyDescent="0.25">
      <c r="B1322" s="427"/>
      <c r="C1322" s="67"/>
      <c r="D1322" s="428"/>
      <c r="E1322" s="428"/>
      <c r="F1322" s="429"/>
    </row>
    <row r="1323" spans="2:6" ht="15.75" x14ac:dyDescent="0.25">
      <c r="B1323" s="427"/>
      <c r="C1323" s="67"/>
      <c r="D1323" s="428"/>
      <c r="E1323" s="428"/>
      <c r="F1323" s="429"/>
    </row>
    <row r="1324" spans="2:6" ht="15.75" x14ac:dyDescent="0.25">
      <c r="B1324" s="427"/>
      <c r="C1324" s="67"/>
      <c r="D1324" s="428"/>
      <c r="E1324" s="428"/>
      <c r="F1324" s="429"/>
    </row>
    <row r="1325" spans="2:6" ht="15.75" x14ac:dyDescent="0.25">
      <c r="B1325" s="427"/>
      <c r="C1325" s="67"/>
      <c r="D1325" s="428"/>
      <c r="E1325" s="428"/>
      <c r="F1325" s="429"/>
    </row>
    <row r="1326" spans="2:6" ht="15.75" x14ac:dyDescent="0.25">
      <c r="B1326" s="427"/>
      <c r="C1326" s="67"/>
      <c r="D1326" s="428"/>
      <c r="E1326" s="428"/>
      <c r="F1326" s="429"/>
    </row>
    <row r="1327" spans="2:6" ht="15.75" x14ac:dyDescent="0.25">
      <c r="B1327" s="427"/>
      <c r="C1327" s="67"/>
      <c r="D1327" s="428"/>
      <c r="E1327" s="428"/>
      <c r="F1327" s="429"/>
    </row>
    <row r="1328" spans="2:6" ht="15.75" x14ac:dyDescent="0.25">
      <c r="B1328" s="427"/>
      <c r="C1328" s="67"/>
      <c r="D1328" s="428"/>
      <c r="E1328" s="428"/>
      <c r="F1328" s="429"/>
    </row>
    <row r="1329" spans="2:6" ht="15.75" x14ac:dyDescent="0.25">
      <c r="B1329" s="427"/>
      <c r="C1329" s="67"/>
      <c r="D1329" s="428"/>
      <c r="E1329" s="428"/>
      <c r="F1329" s="429"/>
    </row>
    <row r="1330" spans="2:6" ht="15.75" x14ac:dyDescent="0.25">
      <c r="B1330" s="427"/>
      <c r="C1330" s="67"/>
      <c r="D1330" s="428"/>
      <c r="E1330" s="428"/>
      <c r="F1330" s="429"/>
    </row>
    <row r="1331" spans="2:6" ht="15.75" x14ac:dyDescent="0.25">
      <c r="B1331" s="427"/>
      <c r="C1331" s="67"/>
      <c r="D1331" s="428"/>
      <c r="E1331" s="428"/>
      <c r="F1331" s="429"/>
    </row>
    <row r="1332" spans="2:6" ht="15.75" x14ac:dyDescent="0.25">
      <c r="B1332" s="427"/>
      <c r="C1332" s="67"/>
      <c r="D1332" s="428"/>
      <c r="E1332" s="428"/>
      <c r="F1332" s="429"/>
    </row>
    <row r="1333" spans="2:6" ht="15.75" x14ac:dyDescent="0.25">
      <c r="B1333" s="427"/>
      <c r="C1333" s="67"/>
      <c r="D1333" s="428"/>
      <c r="E1333" s="428"/>
      <c r="F1333" s="429"/>
    </row>
    <row r="1334" spans="2:6" ht="15.75" x14ac:dyDescent="0.25">
      <c r="B1334" s="427"/>
      <c r="C1334" s="67"/>
      <c r="D1334" s="428"/>
      <c r="E1334" s="428"/>
      <c r="F1334" s="429"/>
    </row>
    <row r="1335" spans="2:6" ht="15.75" x14ac:dyDescent="0.25">
      <c r="B1335" s="427"/>
      <c r="C1335" s="67"/>
      <c r="D1335" s="428"/>
      <c r="E1335" s="428"/>
      <c r="F1335" s="429"/>
    </row>
    <row r="1336" spans="2:6" ht="15.75" x14ac:dyDescent="0.25">
      <c r="B1336" s="427"/>
      <c r="C1336" s="67"/>
      <c r="D1336" s="428"/>
      <c r="E1336" s="428"/>
      <c r="F1336" s="429"/>
    </row>
    <row r="1337" spans="2:6" ht="15.75" x14ac:dyDescent="0.25">
      <c r="B1337" s="427"/>
      <c r="C1337" s="67"/>
      <c r="D1337" s="428"/>
      <c r="E1337" s="428"/>
      <c r="F1337" s="429"/>
    </row>
    <row r="1338" spans="2:6" ht="15.75" x14ac:dyDescent="0.25">
      <c r="B1338" s="427"/>
      <c r="C1338" s="67"/>
      <c r="D1338" s="428"/>
      <c r="E1338" s="428"/>
      <c r="F1338" s="429"/>
    </row>
    <row r="1339" spans="2:6" ht="15.75" x14ac:dyDescent="0.25">
      <c r="B1339" s="427"/>
      <c r="C1339" s="67"/>
      <c r="D1339" s="428"/>
      <c r="E1339" s="428"/>
      <c r="F1339" s="429"/>
    </row>
    <row r="1340" spans="2:6" ht="15.75" x14ac:dyDescent="0.25">
      <c r="B1340" s="427"/>
      <c r="C1340" s="67"/>
      <c r="D1340" s="428"/>
      <c r="E1340" s="428"/>
      <c r="F1340" s="429"/>
    </row>
    <row r="1341" spans="2:6" ht="15.75" x14ac:dyDescent="0.25">
      <c r="B1341" s="427"/>
      <c r="C1341" s="67"/>
      <c r="D1341" s="428"/>
      <c r="E1341" s="428"/>
      <c r="F1341" s="429"/>
    </row>
    <row r="1342" spans="2:6" ht="15.75" x14ac:dyDescent="0.25">
      <c r="B1342" s="427"/>
      <c r="C1342" s="67"/>
      <c r="D1342" s="428"/>
      <c r="E1342" s="428"/>
      <c r="F1342" s="429"/>
    </row>
    <row r="1343" spans="2:6" ht="15.75" x14ac:dyDescent="0.25">
      <c r="B1343" s="427"/>
      <c r="C1343" s="67"/>
      <c r="D1343" s="428"/>
      <c r="E1343" s="428"/>
      <c r="F1343" s="429"/>
    </row>
    <row r="1344" spans="2:6" ht="15.75" x14ac:dyDescent="0.25">
      <c r="B1344" s="427"/>
      <c r="C1344" s="67"/>
      <c r="D1344" s="428"/>
      <c r="E1344" s="428"/>
      <c r="F1344" s="429"/>
    </row>
    <row r="1345" spans="2:6" ht="15.75" x14ac:dyDescent="0.25">
      <c r="B1345" s="427"/>
      <c r="C1345" s="67"/>
      <c r="D1345" s="428"/>
      <c r="E1345" s="428"/>
      <c r="F1345" s="429"/>
    </row>
    <row r="1346" spans="2:6" ht="15.75" x14ac:dyDescent="0.25">
      <c r="B1346" s="427"/>
      <c r="C1346" s="67"/>
      <c r="D1346" s="428"/>
      <c r="E1346" s="428"/>
      <c r="F1346" s="429"/>
    </row>
    <row r="1347" spans="2:6" ht="15.75" x14ac:dyDescent="0.25">
      <c r="B1347" s="427"/>
      <c r="C1347" s="67"/>
      <c r="D1347" s="428"/>
      <c r="E1347" s="428"/>
      <c r="F1347" s="429"/>
    </row>
    <row r="1348" spans="2:6" ht="15.75" x14ac:dyDescent="0.25">
      <c r="B1348" s="427"/>
      <c r="C1348" s="67"/>
      <c r="D1348" s="428"/>
      <c r="E1348" s="428"/>
      <c r="F1348" s="429"/>
    </row>
    <row r="1349" spans="2:6" ht="15.75" x14ac:dyDescent="0.25">
      <c r="B1349" s="427"/>
      <c r="C1349" s="67"/>
      <c r="D1349" s="428"/>
      <c r="E1349" s="428"/>
      <c r="F1349" s="429"/>
    </row>
    <row r="1350" spans="2:6" ht="15.75" x14ac:dyDescent="0.25">
      <c r="B1350" s="427"/>
      <c r="C1350" s="67"/>
      <c r="D1350" s="428"/>
      <c r="E1350" s="428"/>
      <c r="F1350" s="429"/>
    </row>
    <row r="1351" spans="2:6" ht="15.75" x14ac:dyDescent="0.25">
      <c r="B1351" s="427"/>
      <c r="C1351" s="67"/>
      <c r="D1351" s="428"/>
      <c r="E1351" s="428"/>
      <c r="F1351" s="429"/>
    </row>
    <row r="1352" spans="2:6" ht="15.75" x14ac:dyDescent="0.25">
      <c r="B1352" s="427"/>
      <c r="C1352" s="67"/>
      <c r="D1352" s="428"/>
      <c r="E1352" s="428"/>
      <c r="F1352" s="429"/>
    </row>
    <row r="1353" spans="2:6" ht="15.75" x14ac:dyDescent="0.25">
      <c r="B1353" s="427"/>
      <c r="C1353" s="67"/>
      <c r="D1353" s="428"/>
      <c r="E1353" s="428"/>
      <c r="F1353" s="429"/>
    </row>
    <row r="1354" spans="2:6" ht="15.75" x14ac:dyDescent="0.25">
      <c r="B1354" s="427"/>
      <c r="C1354" s="67"/>
      <c r="D1354" s="428"/>
      <c r="E1354" s="428"/>
      <c r="F1354" s="429"/>
    </row>
    <row r="1355" spans="2:6" ht="15.75" x14ac:dyDescent="0.25">
      <c r="B1355" s="427"/>
      <c r="C1355" s="67"/>
      <c r="D1355" s="428"/>
      <c r="E1355" s="428"/>
      <c r="F1355" s="429"/>
    </row>
    <row r="1356" spans="2:6" ht="15.75" x14ac:dyDescent="0.25">
      <c r="B1356" s="427"/>
      <c r="C1356" s="67"/>
      <c r="D1356" s="428"/>
      <c r="E1356" s="428"/>
      <c r="F1356" s="429"/>
    </row>
    <row r="1357" spans="2:6" ht="15.75" x14ac:dyDescent="0.25">
      <c r="B1357" s="427"/>
      <c r="C1357" s="67"/>
      <c r="D1357" s="428"/>
      <c r="E1357" s="428"/>
      <c r="F1357" s="429"/>
    </row>
    <row r="1358" spans="2:6" ht="15.75" x14ac:dyDescent="0.25">
      <c r="B1358" s="427"/>
      <c r="C1358" s="67"/>
      <c r="D1358" s="428"/>
      <c r="E1358" s="428"/>
      <c r="F1358" s="429"/>
    </row>
    <row r="1359" spans="2:6" ht="15.75" x14ac:dyDescent="0.25">
      <c r="B1359" s="427"/>
      <c r="C1359" s="67"/>
      <c r="D1359" s="428"/>
      <c r="E1359" s="428"/>
      <c r="F1359" s="429"/>
    </row>
    <row r="1360" spans="2:6" ht="15.75" x14ac:dyDescent="0.25">
      <c r="B1360" s="427"/>
      <c r="C1360" s="67"/>
      <c r="D1360" s="428"/>
      <c r="E1360" s="428"/>
      <c r="F1360" s="429"/>
    </row>
    <row r="1361" spans="2:6" ht="15.75" x14ac:dyDescent="0.25">
      <c r="B1361" s="427"/>
      <c r="C1361" s="67"/>
      <c r="D1361" s="428"/>
      <c r="E1361" s="428"/>
      <c r="F1361" s="429"/>
    </row>
    <row r="1362" spans="2:6" ht="15.75" x14ac:dyDescent="0.25">
      <c r="B1362" s="427"/>
      <c r="C1362" s="67"/>
      <c r="D1362" s="428"/>
      <c r="E1362" s="428"/>
      <c r="F1362" s="429"/>
    </row>
    <row r="1363" spans="2:6" ht="15.75" x14ac:dyDescent="0.25">
      <c r="B1363" s="427"/>
      <c r="C1363" s="67"/>
      <c r="D1363" s="428"/>
      <c r="E1363" s="428"/>
      <c r="F1363" s="429"/>
    </row>
    <row r="1364" spans="2:6" ht="15.75" x14ac:dyDescent="0.25">
      <c r="B1364" s="427"/>
      <c r="C1364" s="67"/>
      <c r="D1364" s="428"/>
      <c r="E1364" s="428"/>
      <c r="F1364" s="429"/>
    </row>
    <row r="1365" spans="2:6" ht="15.75" x14ac:dyDescent="0.25">
      <c r="B1365" s="427"/>
      <c r="C1365" s="67"/>
      <c r="D1365" s="428"/>
      <c r="E1365" s="428"/>
      <c r="F1365" s="429"/>
    </row>
    <row r="1366" spans="2:6" ht="15.75" x14ac:dyDescent="0.25">
      <c r="B1366" s="427"/>
      <c r="C1366" s="67"/>
      <c r="D1366" s="428"/>
      <c r="E1366" s="428"/>
      <c r="F1366" s="429"/>
    </row>
    <row r="1367" spans="2:6" ht="15.75" x14ac:dyDescent="0.25">
      <c r="B1367" s="427"/>
      <c r="C1367" s="67"/>
      <c r="D1367" s="428"/>
      <c r="E1367" s="428"/>
      <c r="F1367" s="429"/>
    </row>
    <row r="1368" spans="2:6" ht="15.75" x14ac:dyDescent="0.25">
      <c r="B1368" s="427"/>
      <c r="C1368" s="67"/>
      <c r="D1368" s="428"/>
      <c r="E1368" s="428"/>
      <c r="F1368" s="429"/>
    </row>
    <row r="1369" spans="2:6" ht="15.75" x14ac:dyDescent="0.25">
      <c r="B1369" s="427"/>
      <c r="C1369" s="67"/>
      <c r="D1369" s="428"/>
      <c r="E1369" s="428"/>
      <c r="F1369" s="429"/>
    </row>
    <row r="1370" spans="2:6" ht="15.75" x14ac:dyDescent="0.25">
      <c r="B1370" s="427"/>
      <c r="C1370" s="67"/>
      <c r="D1370" s="428"/>
      <c r="E1370" s="428"/>
      <c r="F1370" s="429"/>
    </row>
    <row r="1371" spans="2:6" ht="15.75" x14ac:dyDescent="0.25">
      <c r="B1371" s="427"/>
      <c r="C1371" s="67"/>
      <c r="D1371" s="428"/>
      <c r="E1371" s="428"/>
      <c r="F1371" s="429"/>
    </row>
    <row r="1372" spans="2:6" ht="15.75" x14ac:dyDescent="0.25">
      <c r="B1372" s="427"/>
      <c r="C1372" s="67"/>
      <c r="D1372" s="428"/>
      <c r="E1372" s="428"/>
      <c r="F1372" s="429"/>
    </row>
    <row r="1373" spans="2:6" ht="15.75" x14ac:dyDescent="0.25">
      <c r="B1373" s="427"/>
      <c r="C1373" s="67"/>
      <c r="D1373" s="428"/>
      <c r="E1373" s="428"/>
      <c r="F1373" s="429"/>
    </row>
    <row r="1374" spans="2:6" ht="15.75" x14ac:dyDescent="0.25">
      <c r="B1374" s="427"/>
      <c r="C1374" s="67"/>
      <c r="D1374" s="428"/>
      <c r="E1374" s="428"/>
      <c r="F1374" s="429"/>
    </row>
    <row r="1375" spans="2:6" ht="15.75" x14ac:dyDescent="0.25">
      <c r="B1375" s="427"/>
      <c r="C1375" s="67"/>
      <c r="D1375" s="428"/>
      <c r="E1375" s="428"/>
      <c r="F1375" s="429"/>
    </row>
    <row r="1376" spans="2:6" ht="15.75" x14ac:dyDescent="0.25">
      <c r="B1376" s="427"/>
      <c r="C1376" s="67"/>
      <c r="D1376" s="428"/>
      <c r="E1376" s="428"/>
      <c r="F1376" s="429"/>
    </row>
    <row r="1377" spans="2:6" ht="15.75" x14ac:dyDescent="0.25">
      <c r="B1377" s="427"/>
      <c r="C1377" s="67"/>
      <c r="D1377" s="428"/>
      <c r="E1377" s="428"/>
      <c r="F1377" s="429"/>
    </row>
    <row r="1378" spans="2:6" ht="15.75" x14ac:dyDescent="0.25">
      <c r="B1378" s="427"/>
      <c r="C1378" s="67"/>
      <c r="D1378" s="428"/>
      <c r="E1378" s="428"/>
      <c r="F1378" s="429"/>
    </row>
    <row r="1379" spans="2:6" ht="15.75" x14ac:dyDescent="0.25">
      <c r="B1379" s="427"/>
      <c r="C1379" s="67"/>
      <c r="D1379" s="428"/>
      <c r="E1379" s="428"/>
      <c r="F1379" s="429"/>
    </row>
    <row r="1380" spans="2:6" ht="15.75" x14ac:dyDescent="0.25">
      <c r="B1380" s="427"/>
      <c r="C1380" s="67"/>
      <c r="D1380" s="428"/>
      <c r="E1380" s="428"/>
      <c r="F1380" s="429"/>
    </row>
    <row r="1381" spans="2:6" ht="15.75" x14ac:dyDescent="0.25">
      <c r="B1381" s="427"/>
      <c r="C1381" s="67"/>
      <c r="D1381" s="428"/>
      <c r="E1381" s="428"/>
      <c r="F1381" s="429"/>
    </row>
    <row r="1382" spans="2:6" ht="15.75" x14ac:dyDescent="0.25">
      <c r="B1382" s="427"/>
      <c r="C1382" s="67"/>
      <c r="D1382" s="428"/>
      <c r="E1382" s="428"/>
      <c r="F1382" s="429"/>
    </row>
    <row r="1383" spans="2:6" ht="15.75" x14ac:dyDescent="0.25">
      <c r="B1383" s="427"/>
      <c r="C1383" s="67"/>
      <c r="D1383" s="428"/>
      <c r="E1383" s="428"/>
      <c r="F1383" s="429"/>
    </row>
    <row r="1384" spans="2:6" ht="15.75" x14ac:dyDescent="0.25">
      <c r="B1384" s="427"/>
      <c r="C1384" s="67"/>
      <c r="D1384" s="428"/>
      <c r="E1384" s="428"/>
      <c r="F1384" s="429"/>
    </row>
    <row r="1385" spans="2:6" ht="15.75" x14ac:dyDescent="0.25">
      <c r="B1385" s="427"/>
      <c r="C1385" s="67"/>
      <c r="D1385" s="428"/>
      <c r="E1385" s="428"/>
      <c r="F1385" s="429"/>
    </row>
    <row r="1386" spans="2:6" ht="15.75" x14ac:dyDescent="0.25">
      <c r="B1386" s="427"/>
      <c r="C1386" s="67"/>
      <c r="D1386" s="428"/>
      <c r="E1386" s="428"/>
      <c r="F1386" s="429"/>
    </row>
    <row r="1387" spans="2:6" ht="15.75" x14ac:dyDescent="0.25">
      <c r="B1387" s="427"/>
      <c r="C1387" s="67"/>
      <c r="D1387" s="428"/>
      <c r="E1387" s="428"/>
      <c r="F1387" s="429"/>
    </row>
    <row r="1388" spans="2:6" ht="15.75" x14ac:dyDescent="0.25">
      <c r="B1388" s="427"/>
      <c r="C1388" s="67"/>
      <c r="D1388" s="428"/>
      <c r="E1388" s="428"/>
      <c r="F1388" s="429"/>
    </row>
    <row r="1389" spans="2:6" ht="15.75" x14ac:dyDescent="0.25">
      <c r="B1389" s="427"/>
      <c r="C1389" s="67"/>
      <c r="D1389" s="428"/>
      <c r="E1389" s="428"/>
      <c r="F1389" s="429"/>
    </row>
    <row r="1390" spans="2:6" ht="15.75" x14ac:dyDescent="0.25">
      <c r="B1390" s="427"/>
      <c r="C1390" s="67"/>
      <c r="D1390" s="428"/>
      <c r="E1390" s="428"/>
      <c r="F1390" s="429"/>
    </row>
    <row r="1391" spans="2:6" ht="15.75" x14ac:dyDescent="0.25">
      <c r="B1391" s="427"/>
      <c r="C1391" s="67"/>
      <c r="D1391" s="428"/>
      <c r="E1391" s="428"/>
      <c r="F1391" s="429"/>
    </row>
    <row r="1392" spans="2:6" ht="15.75" x14ac:dyDescent="0.25">
      <c r="B1392" s="427"/>
      <c r="C1392" s="67"/>
      <c r="D1392" s="428"/>
      <c r="E1392" s="428"/>
      <c r="F1392" s="429"/>
    </row>
    <row r="1393" spans="2:6" ht="15.75" x14ac:dyDescent="0.25">
      <c r="B1393" s="427"/>
      <c r="C1393" s="67"/>
      <c r="D1393" s="428"/>
      <c r="E1393" s="428"/>
      <c r="F1393" s="429"/>
    </row>
    <row r="1394" spans="2:6" ht="15.75" x14ac:dyDescent="0.25">
      <c r="B1394" s="427"/>
      <c r="C1394" s="67"/>
      <c r="D1394" s="428"/>
      <c r="E1394" s="428"/>
      <c r="F1394" s="429"/>
    </row>
    <row r="1395" spans="2:6" ht="15.75" x14ac:dyDescent="0.25">
      <c r="B1395" s="427"/>
      <c r="C1395" s="67"/>
      <c r="D1395" s="428"/>
      <c r="E1395" s="428"/>
      <c r="F1395" s="429"/>
    </row>
    <row r="1396" spans="2:6" ht="15.75" x14ac:dyDescent="0.25">
      <c r="B1396" s="427"/>
      <c r="C1396" s="67"/>
      <c r="D1396" s="428"/>
      <c r="E1396" s="428"/>
      <c r="F1396" s="429"/>
    </row>
    <row r="1397" spans="2:6" ht="15.75" x14ac:dyDescent="0.25">
      <c r="B1397" s="427"/>
      <c r="C1397" s="67"/>
      <c r="D1397" s="428"/>
      <c r="E1397" s="428"/>
      <c r="F1397" s="429"/>
    </row>
    <row r="1398" spans="2:6" ht="15.75" x14ac:dyDescent="0.25">
      <c r="B1398" s="427"/>
      <c r="C1398" s="67"/>
      <c r="D1398" s="428"/>
      <c r="E1398" s="428"/>
      <c r="F1398" s="429"/>
    </row>
    <row r="1399" spans="2:6" ht="15.75" x14ac:dyDescent="0.25">
      <c r="B1399" s="427"/>
      <c r="C1399" s="67"/>
      <c r="D1399" s="428"/>
      <c r="E1399" s="428"/>
      <c r="F1399" s="429"/>
    </row>
    <row r="1400" spans="2:6" ht="15.75" x14ac:dyDescent="0.25">
      <c r="B1400" s="427"/>
      <c r="C1400" s="67"/>
      <c r="D1400" s="428"/>
      <c r="E1400" s="428"/>
      <c r="F1400" s="429"/>
    </row>
    <row r="1401" spans="2:6" ht="15.75" x14ac:dyDescent="0.25">
      <c r="B1401" s="427"/>
      <c r="C1401" s="67"/>
      <c r="D1401" s="428"/>
      <c r="E1401" s="428"/>
      <c r="F1401" s="429"/>
    </row>
    <row r="1402" spans="2:6" ht="15.75" x14ac:dyDescent="0.25">
      <c r="B1402" s="427"/>
      <c r="C1402" s="67"/>
      <c r="D1402" s="428"/>
      <c r="E1402" s="428"/>
      <c r="F1402" s="429"/>
    </row>
    <row r="1403" spans="2:6" ht="15.75" x14ac:dyDescent="0.25">
      <c r="B1403" s="427"/>
      <c r="C1403" s="67"/>
      <c r="D1403" s="428"/>
      <c r="E1403" s="428"/>
      <c r="F1403" s="429"/>
    </row>
    <row r="1404" spans="2:6" ht="15.75" x14ac:dyDescent="0.25">
      <c r="B1404" s="427"/>
      <c r="C1404" s="67"/>
      <c r="D1404" s="428"/>
      <c r="E1404" s="428"/>
      <c r="F1404" s="429"/>
    </row>
    <row r="1405" spans="2:6" ht="15.75" x14ac:dyDescent="0.25">
      <c r="B1405" s="427"/>
      <c r="C1405" s="67"/>
      <c r="D1405" s="428"/>
      <c r="E1405" s="428"/>
      <c r="F1405" s="429"/>
    </row>
    <row r="1406" spans="2:6" ht="15.75" x14ac:dyDescent="0.25">
      <c r="B1406" s="427"/>
      <c r="C1406" s="67"/>
      <c r="D1406" s="428"/>
      <c r="E1406" s="428"/>
      <c r="F1406" s="429"/>
    </row>
    <row r="1407" spans="2:6" ht="15.75" x14ac:dyDescent="0.25">
      <c r="B1407" s="427"/>
      <c r="C1407" s="67"/>
      <c r="D1407" s="428"/>
      <c r="E1407" s="428"/>
      <c r="F1407" s="429"/>
    </row>
    <row r="1408" spans="2:6" ht="15.75" x14ac:dyDescent="0.25">
      <c r="B1408" s="427"/>
      <c r="C1408" s="67"/>
      <c r="D1408" s="428"/>
      <c r="E1408" s="428"/>
      <c r="F1408" s="429"/>
    </row>
    <row r="1409" spans="2:6" ht="15.75" x14ac:dyDescent="0.25">
      <c r="B1409" s="427"/>
      <c r="C1409" s="67"/>
      <c r="D1409" s="428"/>
      <c r="E1409" s="428"/>
      <c r="F1409" s="429"/>
    </row>
    <row r="1410" spans="2:6" ht="15.75" x14ac:dyDescent="0.25">
      <c r="B1410" s="427"/>
      <c r="C1410" s="67"/>
      <c r="D1410" s="428"/>
      <c r="E1410" s="428"/>
      <c r="F1410" s="429"/>
    </row>
    <row r="1411" spans="2:6" ht="15.75" x14ac:dyDescent="0.25">
      <c r="B1411" s="427"/>
      <c r="C1411" s="67"/>
      <c r="D1411" s="428"/>
      <c r="E1411" s="428"/>
      <c r="F1411" s="429"/>
    </row>
    <row r="1412" spans="2:6" ht="15.75" x14ac:dyDescent="0.25">
      <c r="B1412" s="427"/>
      <c r="C1412" s="67"/>
      <c r="D1412" s="428"/>
      <c r="E1412" s="428"/>
      <c r="F1412" s="429"/>
    </row>
    <row r="1413" spans="2:6" ht="15.75" x14ac:dyDescent="0.25">
      <c r="B1413" s="427"/>
      <c r="C1413" s="67"/>
      <c r="D1413" s="428"/>
      <c r="E1413" s="428"/>
      <c r="F1413" s="429"/>
    </row>
    <row r="1414" spans="2:6" ht="15.75" x14ac:dyDescent="0.25">
      <c r="B1414" s="427"/>
      <c r="C1414" s="67"/>
      <c r="D1414" s="428"/>
      <c r="E1414" s="428"/>
      <c r="F1414" s="429"/>
    </row>
    <row r="1415" spans="2:6" ht="15.75" x14ac:dyDescent="0.25">
      <c r="B1415" s="427"/>
      <c r="C1415" s="67"/>
      <c r="D1415" s="428"/>
      <c r="E1415" s="428"/>
      <c r="F1415" s="429"/>
    </row>
    <row r="1416" spans="2:6" ht="15.75" x14ac:dyDescent="0.25">
      <c r="B1416" s="427"/>
      <c r="C1416" s="67"/>
      <c r="D1416" s="428"/>
      <c r="E1416" s="428"/>
      <c r="F1416" s="429"/>
    </row>
    <row r="1417" spans="2:6" ht="15.75" x14ac:dyDescent="0.25">
      <c r="B1417" s="427"/>
      <c r="C1417" s="67"/>
      <c r="D1417" s="428"/>
      <c r="E1417" s="428"/>
      <c r="F1417" s="429"/>
    </row>
    <row r="1418" spans="2:6" ht="15.75" x14ac:dyDescent="0.25">
      <c r="B1418" s="427"/>
      <c r="C1418" s="67"/>
      <c r="D1418" s="428"/>
      <c r="E1418" s="428"/>
      <c r="F1418" s="429"/>
    </row>
    <row r="1419" spans="2:6" ht="15.75" x14ac:dyDescent="0.25">
      <c r="B1419" s="427"/>
      <c r="C1419" s="67"/>
      <c r="D1419" s="428"/>
      <c r="E1419" s="428"/>
      <c r="F1419" s="429"/>
    </row>
    <row r="1420" spans="2:6" ht="15.75" x14ac:dyDescent="0.25">
      <c r="B1420" s="427"/>
      <c r="C1420" s="67"/>
      <c r="D1420" s="428"/>
      <c r="E1420" s="428"/>
      <c r="F1420" s="429"/>
    </row>
    <row r="1421" spans="2:6" ht="15.75" x14ac:dyDescent="0.25">
      <c r="B1421" s="427"/>
      <c r="C1421" s="67"/>
      <c r="D1421" s="428"/>
      <c r="E1421" s="428"/>
      <c r="F1421" s="429"/>
    </row>
    <row r="1422" spans="2:6" ht="15.75" x14ac:dyDescent="0.25">
      <c r="B1422" s="427"/>
      <c r="C1422" s="67"/>
      <c r="D1422" s="428"/>
      <c r="E1422" s="428"/>
      <c r="F1422" s="429"/>
    </row>
    <row r="1423" spans="2:6" ht="15.75" x14ac:dyDescent="0.25">
      <c r="B1423" s="427"/>
      <c r="C1423" s="67"/>
      <c r="D1423" s="428"/>
      <c r="E1423" s="428"/>
      <c r="F1423" s="429"/>
    </row>
    <row r="1424" spans="2:6" ht="15.75" x14ac:dyDescent="0.25">
      <c r="B1424" s="427"/>
      <c r="C1424" s="67"/>
      <c r="D1424" s="428"/>
      <c r="E1424" s="428"/>
      <c r="F1424" s="429"/>
    </row>
    <row r="1425" spans="2:6" ht="15.75" x14ac:dyDescent="0.25">
      <c r="B1425" s="427"/>
      <c r="C1425" s="67"/>
      <c r="D1425" s="428"/>
      <c r="E1425" s="428"/>
      <c r="F1425" s="429"/>
    </row>
    <row r="1426" spans="2:6" ht="15.75" x14ac:dyDescent="0.25">
      <c r="B1426" s="427"/>
      <c r="C1426" s="67"/>
      <c r="D1426" s="428"/>
      <c r="E1426" s="428"/>
      <c r="F1426" s="429"/>
    </row>
    <row r="1427" spans="2:6" ht="15.75" x14ac:dyDescent="0.25">
      <c r="B1427" s="427"/>
      <c r="C1427" s="67"/>
      <c r="D1427" s="428"/>
      <c r="E1427" s="428"/>
      <c r="F1427" s="429"/>
    </row>
    <row r="1428" spans="2:6" ht="15.75" x14ac:dyDescent="0.25">
      <c r="B1428" s="427"/>
      <c r="C1428" s="67"/>
      <c r="D1428" s="428"/>
      <c r="E1428" s="428"/>
      <c r="F1428" s="429"/>
    </row>
    <row r="1429" spans="2:6" ht="15.75" x14ac:dyDescent="0.25">
      <c r="B1429" s="427"/>
      <c r="C1429" s="67"/>
      <c r="D1429" s="428"/>
      <c r="E1429" s="428"/>
      <c r="F1429" s="429"/>
    </row>
    <row r="1430" spans="2:6" ht="15.75" x14ac:dyDescent="0.25">
      <c r="B1430" s="427"/>
      <c r="C1430" s="67"/>
      <c r="D1430" s="428"/>
      <c r="E1430" s="428"/>
      <c r="F1430" s="429"/>
    </row>
    <row r="1431" spans="2:6" ht="15.75" x14ac:dyDescent="0.25">
      <c r="B1431" s="427"/>
      <c r="C1431" s="67"/>
      <c r="D1431" s="428"/>
      <c r="E1431" s="428"/>
      <c r="F1431" s="429"/>
    </row>
    <row r="1432" spans="2:6" ht="15.75" x14ac:dyDescent="0.25">
      <c r="B1432" s="427"/>
      <c r="C1432" s="67"/>
      <c r="D1432" s="428"/>
      <c r="E1432" s="428"/>
      <c r="F1432" s="429"/>
    </row>
    <row r="1433" spans="2:6" ht="15.75" x14ac:dyDescent="0.25">
      <c r="B1433" s="427"/>
      <c r="C1433" s="67"/>
      <c r="D1433" s="428"/>
      <c r="E1433" s="428"/>
      <c r="F1433" s="429"/>
    </row>
    <row r="1434" spans="2:6" ht="15.75" x14ac:dyDescent="0.25">
      <c r="B1434" s="427"/>
      <c r="C1434" s="67"/>
      <c r="D1434" s="428"/>
      <c r="E1434" s="428"/>
      <c r="F1434" s="429"/>
    </row>
    <row r="1435" spans="2:6" ht="15.75" x14ac:dyDescent="0.25">
      <c r="B1435" s="427"/>
      <c r="C1435" s="67"/>
      <c r="D1435" s="428"/>
      <c r="E1435" s="428"/>
      <c r="F1435" s="429"/>
    </row>
    <row r="1436" spans="2:6" ht="15.75" x14ac:dyDescent="0.25">
      <c r="B1436" s="427"/>
      <c r="C1436" s="67"/>
      <c r="D1436" s="428"/>
      <c r="E1436" s="428"/>
      <c r="F1436" s="429"/>
    </row>
    <row r="1437" spans="2:6" ht="15.75" x14ac:dyDescent="0.25">
      <c r="B1437" s="427"/>
      <c r="C1437" s="67"/>
      <c r="D1437" s="428"/>
      <c r="E1437" s="428"/>
      <c r="F1437" s="429"/>
    </row>
    <row r="1438" spans="2:6" ht="15.75" x14ac:dyDescent="0.25">
      <c r="B1438" s="427"/>
      <c r="C1438" s="67"/>
      <c r="D1438" s="428"/>
      <c r="E1438" s="428"/>
      <c r="F1438" s="429"/>
    </row>
    <row r="1439" spans="2:6" ht="15.75" x14ac:dyDescent="0.25">
      <c r="B1439" s="427"/>
      <c r="C1439" s="67"/>
      <c r="D1439" s="428"/>
      <c r="E1439" s="428"/>
      <c r="F1439" s="429"/>
    </row>
    <row r="1440" spans="2:6" ht="15.75" x14ac:dyDescent="0.25">
      <c r="B1440" s="427"/>
      <c r="C1440" s="67"/>
      <c r="D1440" s="428"/>
      <c r="E1440" s="428"/>
      <c r="F1440" s="429"/>
    </row>
    <row r="1441" spans="2:6" ht="15.75" x14ac:dyDescent="0.25">
      <c r="B1441" s="427"/>
      <c r="C1441" s="67"/>
      <c r="D1441" s="428"/>
      <c r="E1441" s="428"/>
      <c r="F1441" s="429"/>
    </row>
    <row r="1442" spans="2:6" ht="15.75" x14ac:dyDescent="0.25">
      <c r="B1442" s="427"/>
      <c r="C1442" s="67"/>
      <c r="D1442" s="428"/>
      <c r="E1442" s="428"/>
      <c r="F1442" s="429"/>
    </row>
    <row r="1443" spans="2:6" ht="15.75" x14ac:dyDescent="0.25">
      <c r="B1443" s="427"/>
      <c r="C1443" s="67"/>
      <c r="D1443" s="428"/>
      <c r="E1443" s="428"/>
      <c r="F1443" s="429"/>
    </row>
    <row r="1444" spans="2:6" ht="15.75" x14ac:dyDescent="0.25">
      <c r="B1444" s="427"/>
      <c r="C1444" s="67"/>
      <c r="D1444" s="428"/>
      <c r="E1444" s="428"/>
      <c r="F1444" s="429"/>
    </row>
    <row r="1445" spans="2:6" ht="15.75" x14ac:dyDescent="0.25">
      <c r="B1445" s="427"/>
      <c r="C1445" s="67"/>
      <c r="D1445" s="428"/>
      <c r="E1445" s="428"/>
      <c r="F1445" s="429"/>
    </row>
    <row r="1446" spans="2:6" ht="15.75" x14ac:dyDescent="0.25">
      <c r="B1446" s="427"/>
      <c r="C1446" s="67"/>
      <c r="D1446" s="428"/>
      <c r="E1446" s="428"/>
      <c r="F1446" s="429"/>
    </row>
    <row r="1447" spans="2:6" ht="15.75" x14ac:dyDescent="0.25">
      <c r="B1447" s="427"/>
      <c r="C1447" s="67"/>
      <c r="D1447" s="428"/>
      <c r="E1447" s="428"/>
      <c r="F1447" s="429"/>
    </row>
    <row r="1448" spans="2:6" ht="15.75" x14ac:dyDescent="0.25">
      <c r="B1448" s="427"/>
      <c r="C1448" s="67"/>
      <c r="D1448" s="428"/>
      <c r="E1448" s="428"/>
      <c r="F1448" s="429"/>
    </row>
    <row r="1449" spans="2:6" ht="15.75" x14ac:dyDescent="0.25">
      <c r="B1449" s="427"/>
      <c r="C1449" s="67"/>
      <c r="D1449" s="428"/>
      <c r="E1449" s="428"/>
      <c r="F1449" s="429"/>
    </row>
    <row r="1450" spans="2:6" ht="15.75" x14ac:dyDescent="0.25">
      <c r="B1450" s="427"/>
      <c r="C1450" s="67"/>
      <c r="D1450" s="428"/>
      <c r="E1450" s="428"/>
      <c r="F1450" s="429"/>
    </row>
    <row r="1451" spans="2:6" ht="15.75" x14ac:dyDescent="0.25">
      <c r="B1451" s="427"/>
      <c r="C1451" s="67"/>
      <c r="D1451" s="428"/>
      <c r="E1451" s="428"/>
      <c r="F1451" s="429"/>
    </row>
    <row r="1452" spans="2:6" ht="15.75" x14ac:dyDescent="0.25">
      <c r="B1452" s="427"/>
      <c r="C1452" s="67"/>
      <c r="D1452" s="428"/>
      <c r="E1452" s="428"/>
      <c r="F1452" s="429"/>
    </row>
    <row r="1453" spans="2:6" ht="15.75" x14ac:dyDescent="0.25">
      <c r="B1453" s="427"/>
      <c r="C1453" s="67"/>
      <c r="D1453" s="428"/>
      <c r="E1453" s="428"/>
      <c r="F1453" s="429"/>
    </row>
    <row r="1454" spans="2:6" ht="15.75" x14ac:dyDescent="0.25">
      <c r="B1454" s="427"/>
      <c r="C1454" s="67"/>
      <c r="D1454" s="428"/>
      <c r="E1454" s="428"/>
      <c r="F1454" s="429"/>
    </row>
    <row r="1455" spans="2:6" ht="15.75" x14ac:dyDescent="0.25">
      <c r="B1455" s="427"/>
      <c r="C1455" s="67"/>
      <c r="D1455" s="428"/>
      <c r="E1455" s="428"/>
      <c r="F1455" s="429"/>
    </row>
    <row r="1456" spans="2:6" ht="15.75" x14ac:dyDescent="0.25">
      <c r="B1456" s="427"/>
      <c r="C1456" s="67"/>
      <c r="D1456" s="428"/>
      <c r="E1456" s="428"/>
      <c r="F1456" s="429"/>
    </row>
    <row r="1457" spans="2:6" ht="15.75" x14ac:dyDescent="0.25">
      <c r="B1457" s="427"/>
      <c r="C1457" s="67"/>
      <c r="D1457" s="428"/>
      <c r="E1457" s="428"/>
      <c r="F1457" s="429"/>
    </row>
    <row r="1458" spans="2:6" ht="15.75" x14ac:dyDescent="0.25">
      <c r="B1458" s="427"/>
      <c r="C1458" s="67"/>
      <c r="D1458" s="428"/>
      <c r="E1458" s="428"/>
      <c r="F1458" s="429"/>
    </row>
    <row r="1459" spans="2:6" ht="15.75" x14ac:dyDescent="0.25">
      <c r="B1459" s="427"/>
      <c r="C1459" s="67"/>
      <c r="D1459" s="428"/>
      <c r="E1459" s="428"/>
      <c r="F1459" s="429"/>
    </row>
    <row r="1460" spans="2:6" ht="15.75" x14ac:dyDescent="0.25">
      <c r="B1460" s="427"/>
      <c r="C1460" s="67"/>
      <c r="D1460" s="428"/>
      <c r="E1460" s="428"/>
      <c r="F1460" s="429"/>
    </row>
    <row r="1461" spans="2:6" ht="15.75" x14ac:dyDescent="0.25">
      <c r="B1461" s="427"/>
      <c r="C1461" s="67"/>
      <c r="D1461" s="428"/>
      <c r="E1461" s="428"/>
      <c r="F1461" s="429"/>
    </row>
    <row r="1462" spans="2:6" ht="15.75" x14ac:dyDescent="0.25">
      <c r="B1462" s="427"/>
      <c r="C1462" s="67"/>
      <c r="D1462" s="428"/>
      <c r="E1462" s="428"/>
      <c r="F1462" s="429"/>
    </row>
    <row r="1463" spans="2:6" ht="15.75" x14ac:dyDescent="0.25">
      <c r="B1463" s="427"/>
      <c r="C1463" s="67"/>
      <c r="D1463" s="428"/>
      <c r="E1463" s="428"/>
      <c r="F1463" s="429"/>
    </row>
    <row r="1464" spans="2:6" ht="15.75" x14ac:dyDescent="0.25">
      <c r="B1464" s="427"/>
      <c r="C1464" s="67"/>
      <c r="D1464" s="428"/>
      <c r="E1464" s="428"/>
      <c r="F1464" s="429"/>
    </row>
    <row r="1465" spans="2:6" ht="15.75" x14ac:dyDescent="0.25">
      <c r="B1465" s="427"/>
      <c r="C1465" s="67"/>
      <c r="D1465" s="428"/>
      <c r="E1465" s="428"/>
      <c r="F1465" s="429"/>
    </row>
    <row r="1466" spans="2:6" ht="15.75" x14ac:dyDescent="0.25">
      <c r="B1466" s="427"/>
      <c r="C1466" s="67"/>
      <c r="D1466" s="428"/>
      <c r="E1466" s="428"/>
      <c r="F1466" s="429"/>
    </row>
    <row r="1467" spans="2:6" ht="15.75" x14ac:dyDescent="0.25">
      <c r="B1467" s="427"/>
      <c r="C1467" s="67"/>
      <c r="D1467" s="428"/>
      <c r="E1467" s="428"/>
      <c r="F1467" s="429"/>
    </row>
    <row r="1468" spans="2:6" ht="15.75" x14ac:dyDescent="0.25">
      <c r="B1468" s="427"/>
      <c r="C1468" s="67"/>
      <c r="D1468" s="428"/>
      <c r="E1468" s="428"/>
      <c r="F1468" s="429"/>
    </row>
    <row r="1469" spans="2:6" ht="15.75" x14ac:dyDescent="0.25">
      <c r="B1469" s="427"/>
      <c r="C1469" s="67"/>
      <c r="D1469" s="428"/>
      <c r="E1469" s="428"/>
      <c r="F1469" s="429"/>
    </row>
    <row r="1470" spans="2:6" ht="15.75" x14ac:dyDescent="0.25">
      <c r="B1470" s="427"/>
      <c r="C1470" s="67"/>
      <c r="D1470" s="428"/>
      <c r="E1470" s="428"/>
      <c r="F1470" s="429"/>
    </row>
    <row r="1471" spans="2:6" ht="15.75" x14ac:dyDescent="0.25">
      <c r="B1471" s="427"/>
      <c r="C1471" s="67"/>
      <c r="D1471" s="428"/>
      <c r="E1471" s="428"/>
      <c r="F1471" s="429"/>
    </row>
    <row r="1472" spans="2:6" ht="15.75" x14ac:dyDescent="0.25">
      <c r="B1472" s="427"/>
      <c r="C1472" s="67"/>
      <c r="D1472" s="428"/>
      <c r="E1472" s="428"/>
      <c r="F1472" s="429"/>
    </row>
    <row r="1473" spans="2:6" ht="15.75" x14ac:dyDescent="0.25">
      <c r="B1473" s="427"/>
      <c r="C1473" s="67"/>
      <c r="D1473" s="428"/>
      <c r="E1473" s="428"/>
      <c r="F1473" s="429"/>
    </row>
    <row r="1474" spans="2:6" ht="15.75" x14ac:dyDescent="0.25">
      <c r="B1474" s="427"/>
      <c r="C1474" s="67"/>
      <c r="D1474" s="428"/>
      <c r="E1474" s="428"/>
      <c r="F1474" s="429"/>
    </row>
    <row r="1475" spans="2:6" ht="15.75" x14ac:dyDescent="0.25">
      <c r="B1475" s="427"/>
      <c r="C1475" s="67"/>
      <c r="D1475" s="428"/>
      <c r="E1475" s="428"/>
      <c r="F1475" s="429"/>
    </row>
    <row r="1476" spans="2:6" ht="15.75" x14ac:dyDescent="0.25">
      <c r="B1476" s="427"/>
      <c r="C1476" s="67"/>
      <c r="D1476" s="428"/>
      <c r="E1476" s="428"/>
      <c r="F1476" s="429"/>
    </row>
    <row r="1477" spans="2:6" ht="15.75" x14ac:dyDescent="0.25">
      <c r="B1477" s="427"/>
      <c r="C1477" s="67"/>
      <c r="D1477" s="428"/>
      <c r="E1477" s="428"/>
      <c r="F1477" s="429"/>
    </row>
    <row r="1478" spans="2:6" ht="15.75" x14ac:dyDescent="0.25">
      <c r="B1478" s="427"/>
      <c r="C1478" s="67"/>
      <c r="D1478" s="428"/>
      <c r="E1478" s="428"/>
      <c r="F1478" s="429"/>
    </row>
    <row r="1479" spans="2:6" ht="15.75" x14ac:dyDescent="0.25">
      <c r="B1479" s="427"/>
      <c r="C1479" s="67"/>
      <c r="D1479" s="428"/>
      <c r="E1479" s="428"/>
      <c r="F1479" s="429"/>
    </row>
    <row r="1480" spans="2:6" ht="15.75" x14ac:dyDescent="0.25">
      <c r="B1480" s="427"/>
      <c r="C1480" s="67"/>
      <c r="D1480" s="428"/>
      <c r="E1480" s="428"/>
      <c r="F1480" s="429"/>
    </row>
    <row r="1481" spans="2:6" ht="15.75" x14ac:dyDescent="0.25">
      <c r="B1481" s="427"/>
      <c r="C1481" s="67"/>
      <c r="D1481" s="428"/>
      <c r="E1481" s="428"/>
      <c r="F1481" s="429"/>
    </row>
    <row r="1482" spans="2:6" ht="15.75" x14ac:dyDescent="0.25">
      <c r="B1482" s="427"/>
      <c r="C1482" s="67"/>
      <c r="D1482" s="428"/>
      <c r="E1482" s="428"/>
      <c r="F1482" s="429"/>
    </row>
    <row r="1483" spans="2:6" ht="15.75" x14ac:dyDescent="0.25">
      <c r="B1483" s="427"/>
      <c r="C1483" s="67"/>
      <c r="D1483" s="428"/>
      <c r="E1483" s="428"/>
      <c r="F1483" s="429"/>
    </row>
    <row r="1484" spans="2:6" ht="15.75" x14ac:dyDescent="0.25">
      <c r="B1484" s="427"/>
      <c r="C1484" s="67"/>
      <c r="D1484" s="428"/>
      <c r="E1484" s="428"/>
      <c r="F1484" s="429"/>
    </row>
    <row r="1485" spans="2:6" ht="15.75" x14ac:dyDescent="0.25">
      <c r="B1485" s="427"/>
      <c r="C1485" s="67"/>
      <c r="D1485" s="428"/>
      <c r="E1485" s="428"/>
      <c r="F1485" s="429"/>
    </row>
    <row r="1486" spans="2:6" ht="15.75" x14ac:dyDescent="0.25">
      <c r="B1486" s="427"/>
      <c r="C1486" s="67"/>
      <c r="D1486" s="428"/>
      <c r="E1486" s="428"/>
      <c r="F1486" s="429"/>
    </row>
    <row r="1487" spans="2:6" ht="15.75" x14ac:dyDescent="0.25">
      <c r="B1487" s="427"/>
      <c r="C1487" s="67"/>
      <c r="D1487" s="428"/>
      <c r="E1487" s="428"/>
      <c r="F1487" s="429"/>
    </row>
    <row r="1488" spans="2:6" ht="15.75" x14ac:dyDescent="0.25">
      <c r="B1488" s="427"/>
      <c r="C1488" s="67"/>
      <c r="D1488" s="428"/>
      <c r="E1488" s="428"/>
      <c r="F1488" s="429"/>
    </row>
    <row r="1489" spans="2:6" ht="15.75" x14ac:dyDescent="0.25">
      <c r="B1489" s="427"/>
      <c r="C1489" s="67"/>
      <c r="D1489" s="428"/>
      <c r="E1489" s="428"/>
      <c r="F1489" s="429"/>
    </row>
    <row r="1490" spans="2:6" ht="15.75" x14ac:dyDescent="0.25">
      <c r="B1490" s="427"/>
      <c r="C1490" s="67"/>
      <c r="D1490" s="428"/>
      <c r="E1490" s="428"/>
      <c r="F1490" s="429"/>
    </row>
    <row r="1491" spans="2:6" ht="15.75" x14ac:dyDescent="0.25">
      <c r="B1491" s="427"/>
      <c r="C1491" s="67"/>
      <c r="D1491" s="428"/>
      <c r="E1491" s="428"/>
      <c r="F1491" s="429"/>
    </row>
    <row r="1492" spans="2:6" ht="15.75" x14ac:dyDescent="0.25">
      <c r="B1492" s="427"/>
      <c r="C1492" s="67"/>
      <c r="D1492" s="428"/>
      <c r="E1492" s="428"/>
      <c r="F1492" s="429"/>
    </row>
    <row r="1493" spans="2:6" ht="15.75" x14ac:dyDescent="0.25">
      <c r="B1493" s="427"/>
      <c r="C1493" s="67"/>
      <c r="D1493" s="428"/>
      <c r="E1493" s="428"/>
      <c r="F1493" s="429"/>
    </row>
    <row r="1494" spans="2:6" ht="15.75" x14ac:dyDescent="0.25">
      <c r="B1494" s="427"/>
      <c r="C1494" s="67"/>
      <c r="D1494" s="428"/>
      <c r="E1494" s="428"/>
      <c r="F1494" s="429"/>
    </row>
    <row r="1495" spans="2:6" ht="15.75" x14ac:dyDescent="0.25">
      <c r="B1495" s="427"/>
      <c r="C1495" s="67"/>
      <c r="D1495" s="428"/>
      <c r="E1495" s="428"/>
      <c r="F1495" s="429"/>
    </row>
    <row r="1496" spans="2:6" ht="15.75" x14ac:dyDescent="0.25">
      <c r="B1496" s="427"/>
      <c r="C1496" s="67"/>
      <c r="D1496" s="428"/>
      <c r="E1496" s="428"/>
      <c r="F1496" s="429"/>
    </row>
    <row r="1497" spans="2:6" ht="15.75" x14ac:dyDescent="0.25">
      <c r="B1497" s="427"/>
      <c r="C1497" s="67"/>
      <c r="D1497" s="428"/>
      <c r="E1497" s="428"/>
      <c r="F1497" s="429"/>
    </row>
    <row r="1498" spans="2:6" ht="15.75" x14ac:dyDescent="0.25">
      <c r="B1498" s="427"/>
      <c r="C1498" s="67"/>
      <c r="D1498" s="428"/>
      <c r="E1498" s="428"/>
      <c r="F1498" s="429"/>
    </row>
    <row r="1499" spans="2:6" ht="15.75" x14ac:dyDescent="0.25">
      <c r="B1499" s="427"/>
      <c r="C1499" s="67"/>
      <c r="D1499" s="428"/>
      <c r="E1499" s="428"/>
      <c r="F1499" s="429"/>
    </row>
    <row r="1500" spans="2:6" ht="15.75" x14ac:dyDescent="0.25">
      <c r="B1500" s="427"/>
      <c r="C1500" s="67"/>
      <c r="D1500" s="428"/>
      <c r="E1500" s="428"/>
      <c r="F1500" s="429"/>
    </row>
    <row r="1501" spans="2:6" ht="15.75" x14ac:dyDescent="0.25">
      <c r="B1501" s="427"/>
      <c r="C1501" s="67"/>
      <c r="D1501" s="428"/>
      <c r="E1501" s="428"/>
      <c r="F1501" s="429"/>
    </row>
    <row r="1502" spans="2:6" ht="15.75" x14ac:dyDescent="0.25">
      <c r="B1502" s="427"/>
      <c r="C1502" s="67"/>
      <c r="D1502" s="428"/>
      <c r="E1502" s="428"/>
      <c r="F1502" s="429"/>
    </row>
    <row r="1503" spans="2:6" ht="15.75" x14ac:dyDescent="0.25">
      <c r="B1503" s="427"/>
      <c r="C1503" s="67"/>
      <c r="D1503" s="428"/>
      <c r="E1503" s="428"/>
      <c r="F1503" s="429"/>
    </row>
    <row r="1504" spans="2:6" ht="15.75" x14ac:dyDescent="0.25">
      <c r="B1504" s="427"/>
      <c r="C1504" s="67"/>
      <c r="D1504" s="428"/>
      <c r="E1504" s="428"/>
      <c r="F1504" s="429"/>
    </row>
    <row r="1505" spans="2:6" ht="15.75" x14ac:dyDescent="0.25">
      <c r="B1505" s="427"/>
      <c r="C1505" s="67"/>
      <c r="D1505" s="428"/>
      <c r="E1505" s="428"/>
      <c r="F1505" s="429"/>
    </row>
    <row r="1506" spans="2:6" ht="15.75" x14ac:dyDescent="0.25">
      <c r="B1506" s="427"/>
      <c r="C1506" s="67"/>
      <c r="D1506" s="428"/>
      <c r="E1506" s="428"/>
      <c r="F1506" s="429"/>
    </row>
    <row r="1507" spans="2:6" ht="15.75" x14ac:dyDescent="0.25">
      <c r="B1507" s="427"/>
      <c r="C1507" s="67"/>
      <c r="D1507" s="428"/>
      <c r="E1507" s="428"/>
      <c r="F1507" s="429"/>
    </row>
    <row r="1508" spans="2:6" ht="15.75" x14ac:dyDescent="0.25">
      <c r="B1508" s="427"/>
      <c r="C1508" s="67"/>
      <c r="D1508" s="428"/>
      <c r="E1508" s="428"/>
      <c r="F1508" s="429"/>
    </row>
    <row r="1509" spans="2:6" ht="15.75" x14ac:dyDescent="0.25">
      <c r="B1509" s="427"/>
      <c r="C1509" s="67"/>
      <c r="D1509" s="428"/>
      <c r="E1509" s="428"/>
      <c r="F1509" s="429"/>
    </row>
    <row r="1510" spans="2:6" ht="15.75" x14ac:dyDescent="0.25">
      <c r="B1510" s="427"/>
      <c r="C1510" s="67"/>
      <c r="D1510" s="428"/>
      <c r="E1510" s="428"/>
      <c r="F1510" s="429"/>
    </row>
    <row r="1511" spans="2:6" ht="15.75" x14ac:dyDescent="0.25">
      <c r="B1511" s="427"/>
      <c r="C1511" s="67"/>
      <c r="D1511" s="428"/>
      <c r="E1511" s="428"/>
      <c r="F1511" s="429"/>
    </row>
    <row r="1512" spans="2:6" ht="15.75" x14ac:dyDescent="0.25">
      <c r="B1512" s="427"/>
      <c r="C1512" s="67"/>
      <c r="D1512" s="428"/>
      <c r="E1512" s="428"/>
      <c r="F1512" s="429"/>
    </row>
    <row r="1513" spans="2:6" ht="15.75" x14ac:dyDescent="0.25">
      <c r="B1513" s="427"/>
      <c r="C1513" s="67"/>
      <c r="D1513" s="428"/>
      <c r="E1513" s="428"/>
      <c r="F1513" s="429"/>
    </row>
    <row r="1514" spans="2:6" ht="15.75" x14ac:dyDescent="0.25">
      <c r="B1514" s="427"/>
      <c r="C1514" s="67"/>
      <c r="D1514" s="428"/>
      <c r="E1514" s="428"/>
      <c r="F1514" s="429"/>
    </row>
    <row r="1515" spans="2:6" ht="15.75" x14ac:dyDescent="0.25">
      <c r="B1515" s="427"/>
      <c r="C1515" s="67"/>
      <c r="D1515" s="428"/>
      <c r="E1515" s="428"/>
      <c r="F1515" s="429"/>
    </row>
    <row r="1516" spans="2:6" ht="15.75" x14ac:dyDescent="0.25">
      <c r="B1516" s="427"/>
      <c r="C1516" s="67"/>
      <c r="D1516" s="428"/>
      <c r="E1516" s="428"/>
      <c r="F1516" s="429"/>
    </row>
    <row r="1517" spans="2:6" ht="15.75" x14ac:dyDescent="0.25">
      <c r="B1517" s="427"/>
      <c r="C1517" s="67"/>
      <c r="D1517" s="428"/>
      <c r="E1517" s="428"/>
      <c r="F1517" s="429"/>
    </row>
    <row r="1518" spans="2:6" ht="15.75" x14ac:dyDescent="0.25">
      <c r="B1518" s="427"/>
      <c r="C1518" s="67"/>
      <c r="D1518" s="428"/>
      <c r="E1518" s="428"/>
      <c r="F1518" s="429"/>
    </row>
    <row r="1519" spans="2:6" ht="15.75" x14ac:dyDescent="0.25">
      <c r="B1519" s="427"/>
      <c r="C1519" s="67"/>
      <c r="D1519" s="428"/>
      <c r="E1519" s="428"/>
      <c r="F1519" s="429"/>
    </row>
    <row r="1520" spans="2:6" ht="15.75" x14ac:dyDescent="0.25">
      <c r="B1520" s="427"/>
      <c r="C1520" s="67"/>
      <c r="D1520" s="428"/>
      <c r="E1520" s="428"/>
      <c r="F1520" s="429"/>
    </row>
    <row r="1521" spans="2:6" ht="15.75" x14ac:dyDescent="0.25">
      <c r="B1521" s="427"/>
      <c r="C1521" s="67"/>
      <c r="D1521" s="428"/>
      <c r="E1521" s="428"/>
      <c r="F1521" s="429"/>
    </row>
    <row r="1522" spans="2:6" ht="15.75" x14ac:dyDescent="0.25">
      <c r="B1522" s="427"/>
      <c r="C1522" s="67"/>
      <c r="D1522" s="428"/>
      <c r="E1522" s="428"/>
      <c r="F1522" s="429"/>
    </row>
    <row r="1523" spans="2:6" ht="15.75" x14ac:dyDescent="0.25">
      <c r="B1523" s="427"/>
      <c r="C1523" s="67"/>
      <c r="D1523" s="428"/>
      <c r="E1523" s="428"/>
      <c r="F1523" s="429"/>
    </row>
    <row r="1524" spans="2:6" ht="15.75" x14ac:dyDescent="0.25">
      <c r="B1524" s="427"/>
      <c r="C1524" s="67"/>
      <c r="D1524" s="428"/>
      <c r="E1524" s="428"/>
      <c r="F1524" s="429"/>
    </row>
    <row r="1525" spans="2:6" ht="15.75" x14ac:dyDescent="0.25">
      <c r="B1525" s="427"/>
      <c r="C1525" s="67"/>
      <c r="D1525" s="428"/>
      <c r="E1525" s="428"/>
      <c r="F1525" s="429"/>
    </row>
    <row r="1526" spans="2:6" ht="15.75" x14ac:dyDescent="0.25">
      <c r="B1526" s="427"/>
      <c r="C1526" s="67"/>
      <c r="D1526" s="428"/>
      <c r="E1526" s="428"/>
      <c r="F1526" s="429"/>
    </row>
    <row r="1527" spans="2:6" ht="15.75" x14ac:dyDescent="0.25">
      <c r="B1527" s="427"/>
      <c r="C1527" s="67"/>
      <c r="D1527" s="428"/>
      <c r="E1527" s="428"/>
      <c r="F1527" s="429"/>
    </row>
    <row r="1528" spans="2:6" ht="15.75" x14ac:dyDescent="0.25">
      <c r="B1528" s="427"/>
      <c r="C1528" s="67"/>
      <c r="D1528" s="428"/>
      <c r="E1528" s="428"/>
      <c r="F1528" s="429"/>
    </row>
    <row r="1529" spans="2:6" ht="15.75" x14ac:dyDescent="0.25">
      <c r="B1529" s="427"/>
      <c r="C1529" s="67"/>
      <c r="D1529" s="428"/>
      <c r="E1529" s="428"/>
      <c r="F1529" s="429"/>
    </row>
    <row r="1530" spans="2:6" ht="15.75" x14ac:dyDescent="0.25">
      <c r="B1530" s="427"/>
      <c r="C1530" s="67"/>
      <c r="D1530" s="428"/>
      <c r="E1530" s="428"/>
      <c r="F1530" s="429"/>
    </row>
    <row r="1531" spans="2:6" ht="15.75" x14ac:dyDescent="0.25">
      <c r="B1531" s="427"/>
      <c r="C1531" s="67"/>
      <c r="D1531" s="428"/>
      <c r="E1531" s="428"/>
      <c r="F1531" s="429"/>
    </row>
    <row r="1532" spans="2:6" ht="15.75" x14ac:dyDescent="0.25">
      <c r="B1532" s="427"/>
      <c r="C1532" s="67"/>
      <c r="D1532" s="428"/>
      <c r="E1532" s="428"/>
      <c r="F1532" s="429"/>
    </row>
    <row r="1533" spans="2:6" ht="15.75" x14ac:dyDescent="0.25">
      <c r="B1533" s="427"/>
      <c r="C1533" s="67"/>
      <c r="D1533" s="428"/>
      <c r="E1533" s="428"/>
      <c r="F1533" s="429"/>
    </row>
    <row r="1534" spans="2:6" ht="15.75" x14ac:dyDescent="0.25">
      <c r="B1534" s="427"/>
      <c r="C1534" s="67"/>
      <c r="D1534" s="428"/>
      <c r="E1534" s="428"/>
      <c r="F1534" s="429"/>
    </row>
    <row r="1535" spans="2:6" ht="15.75" x14ac:dyDescent="0.25">
      <c r="B1535" s="427"/>
      <c r="C1535" s="67"/>
      <c r="D1535" s="428"/>
      <c r="E1535" s="428"/>
      <c r="F1535" s="429"/>
    </row>
    <row r="1536" spans="2:6" ht="15.75" x14ac:dyDescent="0.25">
      <c r="B1536" s="427"/>
      <c r="C1536" s="67"/>
      <c r="D1536" s="428"/>
      <c r="E1536" s="428"/>
      <c r="F1536" s="429"/>
    </row>
    <row r="1537" spans="2:6" ht="15.75" x14ac:dyDescent="0.25">
      <c r="B1537" s="427"/>
      <c r="C1537" s="67"/>
      <c r="D1537" s="428"/>
      <c r="E1537" s="428"/>
      <c r="F1537" s="429"/>
    </row>
    <row r="1538" spans="2:6" ht="15.75" x14ac:dyDescent="0.25">
      <c r="B1538" s="427"/>
      <c r="C1538" s="67"/>
      <c r="D1538" s="428"/>
      <c r="E1538" s="428"/>
      <c r="F1538" s="429"/>
    </row>
    <row r="1539" spans="2:6" ht="15.75" x14ac:dyDescent="0.25">
      <c r="B1539" s="427"/>
      <c r="C1539" s="67"/>
      <c r="D1539" s="428"/>
      <c r="E1539" s="428"/>
      <c r="F1539" s="429"/>
    </row>
    <row r="1540" spans="2:6" ht="15.75" x14ac:dyDescent="0.25">
      <c r="B1540" s="427"/>
      <c r="C1540" s="67"/>
      <c r="D1540" s="428"/>
      <c r="E1540" s="428"/>
      <c r="F1540" s="429"/>
    </row>
    <row r="1541" spans="2:6" ht="15.75" x14ac:dyDescent="0.25">
      <c r="B1541" s="427"/>
      <c r="C1541" s="67"/>
      <c r="D1541" s="428"/>
      <c r="E1541" s="428"/>
      <c r="F1541" s="429"/>
    </row>
    <row r="1542" spans="2:6" ht="15.75" x14ac:dyDescent="0.25">
      <c r="B1542" s="427"/>
      <c r="C1542" s="67"/>
      <c r="D1542" s="428"/>
      <c r="E1542" s="428"/>
      <c r="F1542" s="429"/>
    </row>
    <row r="1543" spans="2:6" ht="15.75" x14ac:dyDescent="0.25">
      <c r="B1543" s="427"/>
      <c r="C1543" s="67"/>
      <c r="D1543" s="428"/>
      <c r="E1543" s="428"/>
      <c r="F1543" s="429"/>
    </row>
    <row r="1544" spans="2:6" ht="15.75" x14ac:dyDescent="0.25">
      <c r="B1544" s="427"/>
      <c r="C1544" s="67"/>
      <c r="D1544" s="428"/>
      <c r="E1544" s="428"/>
      <c r="F1544" s="429"/>
    </row>
    <row r="1545" spans="2:6" ht="15.75" x14ac:dyDescent="0.25">
      <c r="B1545" s="427"/>
      <c r="C1545" s="67"/>
      <c r="D1545" s="428"/>
      <c r="E1545" s="428"/>
      <c r="F1545" s="429"/>
    </row>
    <row r="1546" spans="2:6" ht="15.75" x14ac:dyDescent="0.25">
      <c r="B1546" s="427"/>
      <c r="C1546" s="67"/>
      <c r="D1546" s="428"/>
      <c r="E1546" s="428"/>
      <c r="F1546" s="429"/>
    </row>
    <row r="1547" spans="2:6" ht="15.75" x14ac:dyDescent="0.25">
      <c r="B1547" s="427"/>
      <c r="C1547" s="67"/>
      <c r="D1547" s="428"/>
      <c r="E1547" s="428"/>
      <c r="F1547" s="429"/>
    </row>
    <row r="1548" spans="2:6" ht="15.75" x14ac:dyDescent="0.25">
      <c r="B1548" s="427"/>
      <c r="C1548" s="67"/>
      <c r="D1548" s="428"/>
      <c r="E1548" s="428"/>
      <c r="F1548" s="429"/>
    </row>
    <row r="1549" spans="2:6" ht="15.75" x14ac:dyDescent="0.25">
      <c r="B1549" s="427"/>
      <c r="C1549" s="67"/>
      <c r="D1549" s="428"/>
      <c r="E1549" s="428"/>
      <c r="F1549" s="429"/>
    </row>
    <row r="1550" spans="2:6" ht="15.75" x14ac:dyDescent="0.25">
      <c r="B1550" s="427"/>
      <c r="C1550" s="67"/>
      <c r="D1550" s="428"/>
      <c r="E1550" s="428"/>
      <c r="F1550" s="429"/>
    </row>
    <row r="1551" spans="2:6" ht="15.75" x14ac:dyDescent="0.25">
      <c r="B1551" s="427"/>
      <c r="C1551" s="67"/>
      <c r="D1551" s="428"/>
      <c r="E1551" s="428"/>
      <c r="F1551" s="429"/>
    </row>
    <row r="1552" spans="2:6" ht="15.75" x14ac:dyDescent="0.25">
      <c r="B1552" s="427"/>
      <c r="C1552" s="67"/>
      <c r="D1552" s="428"/>
      <c r="E1552" s="428"/>
      <c r="F1552" s="429"/>
    </row>
    <row r="1553" spans="2:6" ht="15.75" x14ac:dyDescent="0.25">
      <c r="B1553" s="427"/>
      <c r="C1553" s="67"/>
      <c r="D1553" s="428"/>
      <c r="E1553" s="428"/>
      <c r="F1553" s="429"/>
    </row>
    <row r="1554" spans="2:6" ht="15.75" x14ac:dyDescent="0.25">
      <c r="B1554" s="427"/>
      <c r="C1554" s="67"/>
      <c r="D1554" s="428"/>
      <c r="E1554" s="428"/>
      <c r="F1554" s="429"/>
    </row>
    <row r="1555" spans="2:6" ht="15.75" x14ac:dyDescent="0.25">
      <c r="B1555" s="427"/>
      <c r="C1555" s="67"/>
      <c r="D1555" s="428"/>
      <c r="E1555" s="428"/>
      <c r="F1555" s="429"/>
    </row>
    <row r="1556" spans="2:6" ht="15.75" x14ac:dyDescent="0.25">
      <c r="B1556" s="427"/>
      <c r="C1556" s="67"/>
      <c r="D1556" s="428"/>
      <c r="E1556" s="428"/>
      <c r="F1556" s="429"/>
    </row>
    <row r="1557" spans="2:6" ht="15.75" x14ac:dyDescent="0.25">
      <c r="B1557" s="427"/>
      <c r="C1557" s="67"/>
      <c r="D1557" s="428"/>
      <c r="E1557" s="428"/>
      <c r="F1557" s="429"/>
    </row>
    <row r="1558" spans="2:6" ht="15.75" x14ac:dyDescent="0.25">
      <c r="B1558" s="427"/>
      <c r="C1558" s="67"/>
      <c r="D1558" s="428"/>
      <c r="E1558" s="428"/>
      <c r="F1558" s="429"/>
    </row>
    <row r="1559" spans="2:6" ht="15.75" x14ac:dyDescent="0.25">
      <c r="B1559" s="427"/>
      <c r="C1559" s="67"/>
      <c r="D1559" s="428"/>
      <c r="E1559" s="428"/>
      <c r="F1559" s="429"/>
    </row>
    <row r="1560" spans="2:6" ht="15.75" x14ac:dyDescent="0.25">
      <c r="B1560" s="427"/>
      <c r="C1560" s="67"/>
      <c r="D1560" s="428"/>
      <c r="E1560" s="428"/>
      <c r="F1560" s="429"/>
    </row>
    <row r="1561" spans="2:6" ht="15.75" x14ac:dyDescent="0.25">
      <c r="B1561" s="427"/>
      <c r="C1561" s="67"/>
      <c r="D1561" s="428"/>
      <c r="E1561" s="428"/>
      <c r="F1561" s="429"/>
    </row>
    <row r="1562" spans="2:6" ht="15.75" x14ac:dyDescent="0.25">
      <c r="B1562" s="427"/>
      <c r="C1562" s="67"/>
      <c r="D1562" s="428"/>
      <c r="E1562" s="428"/>
      <c r="F1562" s="429"/>
    </row>
    <row r="1563" spans="2:6" ht="15.75" x14ac:dyDescent="0.25">
      <c r="B1563" s="427"/>
      <c r="C1563" s="67"/>
      <c r="D1563" s="428"/>
      <c r="E1563" s="428"/>
      <c r="F1563" s="429"/>
    </row>
    <row r="1564" spans="2:6" ht="15.75" x14ac:dyDescent="0.25">
      <c r="B1564" s="427"/>
      <c r="C1564" s="67"/>
      <c r="D1564" s="428"/>
      <c r="E1564" s="428"/>
      <c r="F1564" s="429"/>
    </row>
    <row r="1565" spans="2:6" ht="15.75" x14ac:dyDescent="0.25">
      <c r="B1565" s="427"/>
      <c r="C1565" s="67"/>
      <c r="D1565" s="428"/>
      <c r="E1565" s="428"/>
      <c r="F1565" s="429"/>
    </row>
    <row r="1566" spans="2:6" ht="15.75" x14ac:dyDescent="0.25">
      <c r="B1566" s="427"/>
      <c r="C1566" s="67"/>
      <c r="D1566" s="428"/>
      <c r="E1566" s="428"/>
      <c r="F1566" s="429"/>
    </row>
    <row r="1567" spans="2:6" ht="15.75" x14ac:dyDescent="0.25">
      <c r="B1567" s="427"/>
      <c r="C1567" s="67"/>
      <c r="D1567" s="428"/>
      <c r="E1567" s="428"/>
      <c r="F1567" s="429"/>
    </row>
    <row r="1568" spans="2:6" ht="15.75" x14ac:dyDescent="0.25">
      <c r="B1568" s="427"/>
      <c r="C1568" s="67"/>
      <c r="D1568" s="428"/>
      <c r="E1568" s="428"/>
      <c r="F1568" s="429"/>
    </row>
    <row r="1569" spans="2:6" ht="15.75" x14ac:dyDescent="0.25">
      <c r="B1569" s="427"/>
      <c r="C1569" s="67"/>
      <c r="D1569" s="428"/>
      <c r="E1569" s="428"/>
      <c r="F1569" s="429"/>
    </row>
    <row r="1570" spans="2:6" ht="15.75" x14ac:dyDescent="0.25">
      <c r="B1570" s="427"/>
      <c r="C1570" s="67"/>
      <c r="D1570" s="428"/>
      <c r="E1570" s="428"/>
      <c r="F1570" s="429"/>
    </row>
    <row r="1571" spans="2:6" ht="15.75" x14ac:dyDescent="0.25">
      <c r="B1571" s="427"/>
      <c r="C1571" s="67"/>
      <c r="D1571" s="428"/>
      <c r="E1571" s="428"/>
      <c r="F1571" s="429"/>
    </row>
    <row r="1572" spans="2:6" ht="15.75" x14ac:dyDescent="0.25">
      <c r="B1572" s="427"/>
      <c r="C1572" s="67"/>
      <c r="D1572" s="428"/>
      <c r="E1572" s="428"/>
      <c r="F1572" s="429"/>
    </row>
    <row r="1573" spans="2:6" ht="15.75" x14ac:dyDescent="0.25">
      <c r="B1573" s="427"/>
      <c r="C1573" s="67"/>
      <c r="D1573" s="428"/>
      <c r="E1573" s="428"/>
      <c r="F1573" s="429"/>
    </row>
    <row r="1574" spans="2:6" ht="15.75" x14ac:dyDescent="0.25">
      <c r="B1574" s="427"/>
      <c r="C1574" s="67"/>
      <c r="D1574" s="428"/>
      <c r="E1574" s="428"/>
      <c r="F1574" s="429"/>
    </row>
    <row r="1575" spans="2:6" ht="15.75" x14ac:dyDescent="0.25">
      <c r="B1575" s="427"/>
      <c r="C1575" s="67"/>
      <c r="D1575" s="428"/>
      <c r="E1575" s="428"/>
      <c r="F1575" s="429"/>
    </row>
    <row r="1576" spans="2:6" ht="15.75" x14ac:dyDescent="0.25">
      <c r="B1576" s="427"/>
      <c r="C1576" s="67"/>
      <c r="D1576" s="428"/>
      <c r="E1576" s="428"/>
      <c r="F1576" s="429"/>
    </row>
    <row r="1577" spans="2:6" ht="15.75" x14ac:dyDescent="0.25">
      <c r="B1577" s="427"/>
      <c r="C1577" s="67"/>
      <c r="D1577" s="428"/>
      <c r="E1577" s="428"/>
      <c r="F1577" s="429"/>
    </row>
    <row r="1578" spans="2:6" ht="15.75" x14ac:dyDescent="0.25">
      <c r="B1578" s="427"/>
      <c r="C1578" s="67"/>
      <c r="D1578" s="428"/>
      <c r="E1578" s="428"/>
      <c r="F1578" s="429"/>
    </row>
    <row r="1579" spans="2:6" ht="15.75" x14ac:dyDescent="0.25">
      <c r="B1579" s="427"/>
      <c r="C1579" s="67"/>
      <c r="D1579" s="428"/>
      <c r="E1579" s="428"/>
      <c r="F1579" s="429"/>
    </row>
    <row r="1580" spans="2:6" ht="15.75" x14ac:dyDescent="0.25">
      <c r="B1580" s="427"/>
      <c r="C1580" s="67"/>
      <c r="D1580" s="428"/>
      <c r="E1580" s="428"/>
      <c r="F1580" s="429"/>
    </row>
    <row r="1581" spans="2:6" ht="15.75" x14ac:dyDescent="0.25">
      <c r="B1581" s="427"/>
      <c r="C1581" s="67"/>
      <c r="D1581" s="428"/>
      <c r="E1581" s="428"/>
      <c r="F1581" s="429"/>
    </row>
    <row r="1582" spans="2:6" ht="15.75" x14ac:dyDescent="0.25">
      <c r="B1582" s="427"/>
      <c r="C1582" s="67"/>
      <c r="D1582" s="428"/>
      <c r="E1582" s="428"/>
      <c r="F1582" s="429"/>
    </row>
    <row r="1583" spans="2:6" ht="15.75" x14ac:dyDescent="0.25">
      <c r="B1583" s="427"/>
      <c r="C1583" s="67"/>
      <c r="D1583" s="428"/>
      <c r="E1583" s="428"/>
      <c r="F1583" s="429"/>
    </row>
    <row r="1584" spans="2:6" ht="15.75" x14ac:dyDescent="0.25">
      <c r="B1584" s="427"/>
      <c r="C1584" s="67"/>
      <c r="D1584" s="428"/>
      <c r="E1584" s="428"/>
      <c r="F1584" s="429"/>
    </row>
    <row r="1585" spans="2:6" ht="15.75" x14ac:dyDescent="0.25">
      <c r="B1585" s="427"/>
      <c r="C1585" s="67"/>
      <c r="D1585" s="428"/>
      <c r="E1585" s="428"/>
      <c r="F1585" s="429"/>
    </row>
    <row r="1586" spans="2:6" ht="15.75" x14ac:dyDescent="0.25">
      <c r="B1586" s="427"/>
      <c r="C1586" s="67"/>
      <c r="D1586" s="428"/>
      <c r="E1586" s="428"/>
      <c r="F1586" s="429"/>
    </row>
    <row r="1587" spans="2:6" ht="15.75" x14ac:dyDescent="0.25">
      <c r="B1587" s="427"/>
      <c r="C1587" s="67"/>
      <c r="D1587" s="428"/>
      <c r="E1587" s="428"/>
      <c r="F1587" s="429"/>
    </row>
    <row r="1588" spans="2:6" ht="15.75" x14ac:dyDescent="0.25">
      <c r="B1588" s="427"/>
      <c r="C1588" s="67"/>
      <c r="D1588" s="428"/>
      <c r="E1588" s="428"/>
      <c r="F1588" s="429"/>
    </row>
    <row r="1589" spans="2:6" ht="15.75" x14ac:dyDescent="0.25">
      <c r="B1589" s="427"/>
      <c r="C1589" s="67"/>
      <c r="D1589" s="428"/>
      <c r="E1589" s="428"/>
      <c r="F1589" s="429"/>
    </row>
    <row r="1590" spans="2:6" ht="15.75" x14ac:dyDescent="0.25">
      <c r="B1590" s="427"/>
      <c r="C1590" s="67"/>
      <c r="D1590" s="428"/>
      <c r="E1590" s="428"/>
      <c r="F1590" s="429"/>
    </row>
    <row r="1591" spans="2:6" ht="15.75" x14ac:dyDescent="0.25">
      <c r="B1591" s="427"/>
      <c r="C1591" s="67"/>
      <c r="D1591" s="428"/>
      <c r="E1591" s="428"/>
      <c r="F1591" s="429"/>
    </row>
    <row r="1592" spans="2:6" ht="15.75" x14ac:dyDescent="0.25">
      <c r="B1592" s="427"/>
      <c r="C1592" s="67"/>
      <c r="D1592" s="428"/>
      <c r="E1592" s="428"/>
      <c r="F1592" s="429"/>
    </row>
    <row r="1593" spans="2:6" ht="15.75" x14ac:dyDescent="0.25">
      <c r="B1593" s="427"/>
      <c r="C1593" s="67"/>
      <c r="D1593" s="428"/>
      <c r="E1593" s="428"/>
      <c r="F1593" s="429"/>
    </row>
    <row r="1594" spans="2:6" ht="15.75" x14ac:dyDescent="0.25">
      <c r="B1594" s="427"/>
      <c r="C1594" s="67"/>
      <c r="D1594" s="428"/>
      <c r="E1594" s="428"/>
      <c r="F1594" s="429"/>
    </row>
    <row r="1595" spans="2:6" ht="15.75" x14ac:dyDescent="0.25">
      <c r="B1595" s="427"/>
      <c r="C1595" s="67"/>
      <c r="D1595" s="428"/>
      <c r="E1595" s="428"/>
      <c r="F1595" s="429"/>
    </row>
    <row r="1596" spans="2:6" ht="15.75" x14ac:dyDescent="0.25">
      <c r="B1596" s="427"/>
      <c r="C1596" s="67"/>
      <c r="D1596" s="428"/>
      <c r="E1596" s="428"/>
      <c r="F1596" s="429"/>
    </row>
    <row r="1597" spans="2:6" ht="15.75" x14ac:dyDescent="0.25">
      <c r="B1597" s="427"/>
      <c r="C1597" s="67"/>
      <c r="D1597" s="428"/>
      <c r="E1597" s="428"/>
      <c r="F1597" s="429"/>
    </row>
    <row r="1598" spans="2:6" ht="15.75" x14ac:dyDescent="0.25">
      <c r="B1598" s="427"/>
      <c r="C1598" s="67"/>
      <c r="D1598" s="428"/>
      <c r="E1598" s="428"/>
      <c r="F1598" s="429"/>
    </row>
    <row r="1599" spans="2:6" ht="15.75" x14ac:dyDescent="0.25">
      <c r="B1599" s="427"/>
      <c r="C1599" s="67"/>
      <c r="D1599" s="428"/>
      <c r="E1599" s="428"/>
      <c r="F1599" s="429"/>
    </row>
    <row r="1600" spans="2:6" ht="15.75" x14ac:dyDescent="0.25">
      <c r="B1600" s="427"/>
      <c r="C1600" s="67"/>
      <c r="D1600" s="428"/>
      <c r="E1600" s="428"/>
      <c r="F1600" s="429"/>
    </row>
    <row r="1601" spans="2:6" ht="15.75" x14ac:dyDescent="0.25">
      <c r="B1601" s="427"/>
      <c r="C1601" s="67"/>
      <c r="D1601" s="428"/>
      <c r="E1601" s="428"/>
      <c r="F1601" s="429"/>
    </row>
    <row r="1602" spans="2:6" ht="15.75" x14ac:dyDescent="0.25">
      <c r="B1602" s="427"/>
      <c r="C1602" s="67"/>
      <c r="D1602" s="428"/>
      <c r="E1602" s="428"/>
      <c r="F1602" s="429"/>
    </row>
    <row r="1603" spans="2:6" ht="15.75" x14ac:dyDescent="0.25">
      <c r="B1603" s="427"/>
      <c r="C1603" s="67"/>
      <c r="D1603" s="428"/>
      <c r="E1603" s="428"/>
      <c r="F1603" s="429"/>
    </row>
    <row r="1604" spans="2:6" ht="15.75" x14ac:dyDescent="0.25">
      <c r="B1604" s="427"/>
      <c r="C1604" s="67"/>
      <c r="D1604" s="428"/>
      <c r="E1604" s="428"/>
      <c r="F1604" s="429"/>
    </row>
    <row r="1605" spans="2:6" ht="15.75" x14ac:dyDescent="0.25">
      <c r="B1605" s="427"/>
      <c r="C1605" s="67"/>
      <c r="D1605" s="428"/>
      <c r="E1605" s="428"/>
      <c r="F1605" s="429"/>
    </row>
    <row r="1606" spans="2:6" ht="15.75" x14ac:dyDescent="0.25">
      <c r="B1606" s="427"/>
      <c r="C1606" s="67"/>
      <c r="D1606" s="428"/>
      <c r="E1606" s="428"/>
      <c r="F1606" s="429"/>
    </row>
    <row r="1607" spans="2:6" ht="15.75" x14ac:dyDescent="0.25">
      <c r="B1607" s="427"/>
      <c r="C1607" s="67"/>
      <c r="D1607" s="428"/>
      <c r="E1607" s="428"/>
      <c r="F1607" s="429"/>
    </row>
    <row r="1608" spans="2:6" ht="15.75" x14ac:dyDescent="0.25">
      <c r="B1608" s="427"/>
      <c r="C1608" s="67"/>
      <c r="D1608" s="428"/>
      <c r="E1608" s="428"/>
      <c r="F1608" s="429"/>
    </row>
    <row r="1609" spans="2:6" ht="15.75" x14ac:dyDescent="0.25">
      <c r="B1609" s="427"/>
      <c r="C1609" s="67"/>
      <c r="D1609" s="428"/>
      <c r="E1609" s="428"/>
      <c r="F1609" s="429"/>
    </row>
    <row r="1610" spans="2:6" ht="15.75" x14ac:dyDescent="0.25">
      <c r="B1610" s="427"/>
      <c r="C1610" s="67"/>
      <c r="D1610" s="428"/>
      <c r="E1610" s="428"/>
      <c r="F1610" s="429"/>
    </row>
    <row r="1611" spans="2:6" ht="15.75" x14ac:dyDescent="0.25">
      <c r="B1611" s="427"/>
      <c r="C1611" s="67"/>
      <c r="D1611" s="428"/>
      <c r="E1611" s="428"/>
      <c r="F1611" s="429"/>
    </row>
    <row r="1612" spans="2:6" ht="15.75" x14ac:dyDescent="0.25">
      <c r="B1612" s="427"/>
      <c r="C1612" s="67"/>
      <c r="D1612" s="428"/>
      <c r="E1612" s="428"/>
      <c r="F1612" s="429"/>
    </row>
    <row r="1613" spans="2:6" ht="15.75" x14ac:dyDescent="0.25">
      <c r="B1613" s="427"/>
      <c r="C1613" s="67"/>
      <c r="D1613" s="428"/>
      <c r="E1613" s="428"/>
      <c r="F1613" s="429"/>
    </row>
    <row r="1614" spans="2:6" ht="15.75" x14ac:dyDescent="0.25">
      <c r="B1614" s="427"/>
      <c r="C1614" s="67"/>
      <c r="D1614" s="428"/>
      <c r="E1614" s="428"/>
      <c r="F1614" s="429"/>
    </row>
    <row r="1615" spans="2:6" ht="15.75" x14ac:dyDescent="0.25">
      <c r="B1615" s="427"/>
      <c r="C1615" s="67"/>
      <c r="D1615" s="428"/>
      <c r="E1615" s="428"/>
      <c r="F1615" s="429"/>
    </row>
    <row r="1616" spans="2:6" ht="15.75" x14ac:dyDescent="0.25">
      <c r="B1616" s="427"/>
      <c r="C1616" s="67"/>
      <c r="D1616" s="428"/>
      <c r="E1616" s="428"/>
      <c r="F1616" s="429"/>
    </row>
    <row r="1617" spans="2:6" ht="15.75" x14ac:dyDescent="0.25">
      <c r="B1617" s="427"/>
      <c r="C1617" s="67"/>
      <c r="D1617" s="428"/>
      <c r="E1617" s="428"/>
      <c r="F1617" s="429"/>
    </row>
    <row r="1618" spans="2:6" ht="15.75" x14ac:dyDescent="0.25">
      <c r="B1618" s="427"/>
      <c r="C1618" s="67"/>
      <c r="D1618" s="428"/>
      <c r="E1618" s="428"/>
      <c r="F1618" s="429"/>
    </row>
    <row r="1619" spans="2:6" ht="15.75" x14ac:dyDescent="0.25">
      <c r="B1619" s="427"/>
      <c r="C1619" s="67"/>
      <c r="D1619" s="428"/>
      <c r="E1619" s="428"/>
      <c r="F1619" s="429"/>
    </row>
    <row r="1620" spans="2:6" ht="15.75" x14ac:dyDescent="0.25">
      <c r="B1620" s="427"/>
      <c r="C1620" s="67"/>
      <c r="D1620" s="428"/>
      <c r="E1620" s="428"/>
      <c r="F1620" s="429"/>
    </row>
    <row r="1621" spans="2:6" ht="15.75" x14ac:dyDescent="0.25">
      <c r="B1621" s="427"/>
      <c r="C1621" s="67"/>
      <c r="D1621" s="428"/>
      <c r="E1621" s="428"/>
      <c r="F1621" s="429"/>
    </row>
    <row r="1622" spans="2:6" ht="15.75" x14ac:dyDescent="0.25">
      <c r="B1622" s="427"/>
      <c r="C1622" s="67"/>
      <c r="D1622" s="428"/>
      <c r="E1622" s="428"/>
      <c r="F1622" s="429"/>
    </row>
    <row r="1623" spans="2:6" ht="15.75" x14ac:dyDescent="0.25">
      <c r="B1623" s="427"/>
      <c r="C1623" s="67"/>
      <c r="D1623" s="428"/>
      <c r="E1623" s="428"/>
      <c r="F1623" s="429"/>
    </row>
    <row r="1624" spans="2:6" ht="15.75" x14ac:dyDescent="0.25">
      <c r="B1624" s="427"/>
      <c r="C1624" s="67"/>
      <c r="D1624" s="428"/>
      <c r="E1624" s="428"/>
      <c r="F1624" s="429"/>
    </row>
    <row r="1625" spans="2:6" ht="15.75" x14ac:dyDescent="0.25">
      <c r="B1625" s="427"/>
      <c r="C1625" s="67"/>
      <c r="D1625" s="428"/>
      <c r="E1625" s="428"/>
      <c r="F1625" s="429"/>
    </row>
    <row r="1626" spans="2:6" ht="15.75" x14ac:dyDescent="0.25">
      <c r="B1626" s="427"/>
      <c r="C1626" s="67"/>
      <c r="D1626" s="428"/>
      <c r="E1626" s="428"/>
      <c r="F1626" s="429"/>
    </row>
    <row r="1627" spans="2:6" ht="15.75" x14ac:dyDescent="0.25">
      <c r="B1627" s="427"/>
      <c r="C1627" s="67"/>
      <c r="D1627" s="428"/>
      <c r="E1627" s="428"/>
      <c r="F1627" s="429"/>
    </row>
    <row r="1628" spans="2:6" ht="15.75" x14ac:dyDescent="0.25">
      <c r="B1628" s="427"/>
      <c r="C1628" s="67"/>
      <c r="D1628" s="428"/>
      <c r="E1628" s="428"/>
      <c r="F1628" s="429"/>
    </row>
    <row r="1629" spans="2:6" ht="15.75" x14ac:dyDescent="0.25">
      <c r="B1629" s="427"/>
      <c r="C1629" s="67"/>
      <c r="D1629" s="428"/>
      <c r="E1629" s="428"/>
      <c r="F1629" s="429"/>
    </row>
    <row r="1630" spans="2:6" ht="15.75" x14ac:dyDescent="0.25">
      <c r="B1630" s="427"/>
      <c r="C1630" s="67"/>
      <c r="D1630" s="428"/>
      <c r="E1630" s="428"/>
      <c r="F1630" s="429"/>
    </row>
    <row r="1631" spans="2:6" ht="15.75" x14ac:dyDescent="0.25">
      <c r="B1631" s="427"/>
      <c r="C1631" s="67"/>
      <c r="D1631" s="428"/>
      <c r="E1631" s="428"/>
      <c r="F1631" s="429"/>
    </row>
    <row r="1632" spans="2:6" ht="15.75" x14ac:dyDescent="0.25">
      <c r="B1632" s="427"/>
      <c r="C1632" s="67"/>
      <c r="D1632" s="428"/>
      <c r="E1632" s="428"/>
      <c r="F1632" s="429"/>
    </row>
    <row r="1633" spans="2:6" ht="15.75" x14ac:dyDescent="0.25">
      <c r="B1633" s="427"/>
      <c r="C1633" s="67"/>
      <c r="D1633" s="428"/>
      <c r="E1633" s="428"/>
      <c r="F1633" s="429"/>
    </row>
    <row r="1634" spans="2:6" ht="15.75" x14ac:dyDescent="0.25">
      <c r="B1634" s="427"/>
      <c r="C1634" s="67"/>
      <c r="D1634" s="428"/>
      <c r="E1634" s="428"/>
      <c r="F1634" s="429"/>
    </row>
    <row r="1635" spans="2:6" ht="15.75" x14ac:dyDescent="0.25">
      <c r="B1635" s="427"/>
      <c r="C1635" s="67"/>
      <c r="D1635" s="428"/>
      <c r="E1635" s="428"/>
      <c r="F1635" s="429"/>
    </row>
    <row r="1636" spans="2:6" ht="15.75" x14ac:dyDescent="0.25">
      <c r="B1636" s="427"/>
      <c r="C1636" s="67"/>
      <c r="D1636" s="428"/>
      <c r="E1636" s="428"/>
      <c r="F1636" s="429"/>
    </row>
    <row r="1637" spans="2:6" ht="15.75" x14ac:dyDescent="0.25">
      <c r="B1637" s="427"/>
      <c r="C1637" s="67"/>
      <c r="D1637" s="428"/>
      <c r="E1637" s="428"/>
      <c r="F1637" s="429"/>
    </row>
    <row r="1638" spans="2:6" ht="15.75" x14ac:dyDescent="0.25">
      <c r="B1638" s="427"/>
      <c r="C1638" s="67"/>
      <c r="D1638" s="428"/>
      <c r="E1638" s="428"/>
      <c r="F1638" s="429"/>
    </row>
    <row r="1639" spans="2:6" ht="15.75" x14ac:dyDescent="0.25">
      <c r="B1639" s="427"/>
      <c r="C1639" s="67"/>
      <c r="D1639" s="428"/>
      <c r="E1639" s="428"/>
      <c r="F1639" s="429"/>
    </row>
    <row r="1640" spans="2:6" ht="15.75" x14ac:dyDescent="0.25">
      <c r="B1640" s="427"/>
      <c r="C1640" s="67"/>
      <c r="D1640" s="428"/>
      <c r="E1640" s="428"/>
      <c r="F1640" s="429"/>
    </row>
    <row r="1641" spans="2:6" ht="15.75" x14ac:dyDescent="0.25">
      <c r="B1641" s="427"/>
      <c r="C1641" s="67"/>
      <c r="D1641" s="428"/>
      <c r="E1641" s="428"/>
      <c r="F1641" s="429"/>
    </row>
    <row r="1642" spans="2:6" ht="15.75" x14ac:dyDescent="0.25">
      <c r="B1642" s="427"/>
      <c r="C1642" s="67"/>
      <c r="D1642" s="428"/>
      <c r="E1642" s="428"/>
      <c r="F1642" s="429"/>
    </row>
    <row r="1643" spans="2:6" ht="15.75" x14ac:dyDescent="0.25">
      <c r="B1643" s="427"/>
      <c r="C1643" s="67"/>
      <c r="D1643" s="428"/>
      <c r="E1643" s="428"/>
      <c r="F1643" s="429"/>
    </row>
    <row r="1644" spans="2:6" ht="15.75" x14ac:dyDescent="0.25">
      <c r="B1644" s="427"/>
      <c r="C1644" s="67"/>
      <c r="D1644" s="428"/>
      <c r="E1644" s="428"/>
      <c r="F1644" s="429"/>
    </row>
    <row r="1645" spans="2:6" ht="15.75" x14ac:dyDescent="0.25">
      <c r="B1645" s="427"/>
      <c r="C1645" s="67"/>
      <c r="D1645" s="428"/>
      <c r="E1645" s="428"/>
      <c r="F1645" s="429"/>
    </row>
    <row r="1646" spans="2:6" ht="15.75" x14ac:dyDescent="0.25">
      <c r="B1646" s="427"/>
      <c r="C1646" s="67"/>
      <c r="D1646" s="428"/>
      <c r="E1646" s="428"/>
      <c r="F1646" s="429"/>
    </row>
    <row r="1647" spans="2:6" ht="15.75" x14ac:dyDescent="0.25">
      <c r="B1647" s="427"/>
      <c r="C1647" s="67"/>
      <c r="D1647" s="428"/>
      <c r="E1647" s="428"/>
      <c r="F1647" s="429"/>
    </row>
    <row r="1648" spans="2:6" ht="15.75" x14ac:dyDescent="0.25">
      <c r="B1648" s="427"/>
      <c r="C1648" s="67"/>
      <c r="D1648" s="428"/>
      <c r="E1648" s="428"/>
      <c r="F1648" s="429"/>
    </row>
    <row r="1649" spans="2:6" ht="15.75" x14ac:dyDescent="0.25">
      <c r="B1649" s="427"/>
      <c r="C1649" s="67"/>
      <c r="D1649" s="428"/>
      <c r="E1649" s="428"/>
      <c r="F1649" s="429"/>
    </row>
    <row r="1650" spans="2:6" ht="15.75" x14ac:dyDescent="0.25">
      <c r="B1650" s="427"/>
      <c r="C1650" s="67"/>
      <c r="D1650" s="428"/>
      <c r="E1650" s="428"/>
      <c r="F1650" s="429"/>
    </row>
    <row r="1651" spans="2:6" ht="15.75" x14ac:dyDescent="0.25">
      <c r="B1651" s="427"/>
      <c r="C1651" s="67"/>
      <c r="D1651" s="428"/>
      <c r="E1651" s="428"/>
      <c r="F1651" s="429"/>
    </row>
    <row r="1652" spans="2:6" ht="15.75" x14ac:dyDescent="0.25">
      <c r="B1652" s="427"/>
      <c r="C1652" s="67"/>
      <c r="D1652" s="428"/>
      <c r="E1652" s="428"/>
      <c r="F1652" s="429"/>
    </row>
    <row r="1653" spans="2:6" ht="15.75" x14ac:dyDescent="0.25">
      <c r="B1653" s="427"/>
      <c r="C1653" s="67"/>
      <c r="D1653" s="428"/>
      <c r="E1653" s="428"/>
      <c r="F1653" s="429"/>
    </row>
    <row r="1654" spans="2:6" ht="15.75" x14ac:dyDescent="0.25">
      <c r="B1654" s="427"/>
      <c r="C1654" s="67"/>
      <c r="D1654" s="428"/>
      <c r="E1654" s="428"/>
      <c r="F1654" s="429"/>
    </row>
    <row r="1655" spans="2:6" ht="15.75" x14ac:dyDescent="0.25">
      <c r="B1655" s="427"/>
      <c r="C1655" s="67"/>
      <c r="D1655" s="428"/>
      <c r="E1655" s="428"/>
      <c r="F1655" s="429"/>
    </row>
    <row r="1656" spans="2:6" ht="15.75" x14ac:dyDescent="0.25">
      <c r="B1656" s="427"/>
      <c r="C1656" s="67"/>
      <c r="D1656" s="428"/>
      <c r="E1656" s="428"/>
      <c r="F1656" s="429"/>
    </row>
    <row r="1657" spans="2:6" ht="15.75" x14ac:dyDescent="0.25">
      <c r="B1657" s="427"/>
      <c r="C1657" s="67"/>
      <c r="D1657" s="428"/>
      <c r="E1657" s="428"/>
      <c r="F1657" s="429"/>
    </row>
    <row r="1658" spans="2:6" ht="15.75" x14ac:dyDescent="0.25">
      <c r="B1658" s="427"/>
      <c r="C1658" s="67"/>
      <c r="D1658" s="428"/>
      <c r="E1658" s="428"/>
      <c r="F1658" s="429"/>
    </row>
    <row r="1659" spans="2:6" ht="15.75" x14ac:dyDescent="0.25">
      <c r="B1659" s="427"/>
      <c r="C1659" s="67"/>
      <c r="D1659" s="428"/>
      <c r="E1659" s="428"/>
      <c r="F1659" s="429"/>
    </row>
    <row r="1660" spans="2:6" ht="15.75" x14ac:dyDescent="0.25">
      <c r="B1660" s="427"/>
      <c r="C1660" s="67"/>
      <c r="D1660" s="428"/>
      <c r="E1660" s="428"/>
      <c r="F1660" s="429"/>
    </row>
    <row r="1661" spans="2:6" ht="15.75" x14ac:dyDescent="0.25">
      <c r="B1661" s="427"/>
      <c r="C1661" s="67"/>
      <c r="D1661" s="428"/>
      <c r="E1661" s="428"/>
      <c r="F1661" s="429"/>
    </row>
    <row r="1662" spans="2:6" ht="15.75" x14ac:dyDescent="0.25">
      <c r="B1662" s="427"/>
      <c r="C1662" s="67"/>
      <c r="D1662" s="428"/>
      <c r="E1662" s="428"/>
      <c r="F1662" s="429"/>
    </row>
    <row r="1663" spans="2:6" ht="15.75" x14ac:dyDescent="0.25">
      <c r="B1663" s="427"/>
      <c r="C1663" s="67"/>
      <c r="D1663" s="428"/>
      <c r="E1663" s="428"/>
      <c r="F1663" s="429"/>
    </row>
    <row r="1664" spans="2:6" ht="15.75" x14ac:dyDescent="0.25">
      <c r="B1664" s="427"/>
      <c r="C1664" s="67"/>
      <c r="D1664" s="428"/>
      <c r="E1664" s="428"/>
      <c r="F1664" s="429"/>
    </row>
    <row r="1665" spans="2:6" ht="15.75" x14ac:dyDescent="0.25">
      <c r="B1665" s="427"/>
      <c r="C1665" s="67"/>
      <c r="D1665" s="428"/>
      <c r="E1665" s="428"/>
      <c r="F1665" s="429"/>
    </row>
    <row r="1666" spans="2:6" ht="15.75" x14ac:dyDescent="0.25">
      <c r="B1666" s="427"/>
      <c r="C1666" s="67"/>
      <c r="D1666" s="428"/>
      <c r="E1666" s="428"/>
      <c r="F1666" s="429"/>
    </row>
    <row r="1667" spans="2:6" ht="15.75" x14ac:dyDescent="0.25">
      <c r="B1667" s="427"/>
      <c r="C1667" s="67"/>
      <c r="D1667" s="428"/>
      <c r="E1667" s="428"/>
      <c r="F1667" s="429"/>
    </row>
    <row r="1668" spans="2:6" ht="15.75" x14ac:dyDescent="0.25">
      <c r="B1668" s="427"/>
      <c r="C1668" s="67"/>
      <c r="D1668" s="428"/>
      <c r="E1668" s="428"/>
      <c r="F1668" s="429"/>
    </row>
    <row r="1669" spans="2:6" ht="15.75" x14ac:dyDescent="0.25">
      <c r="B1669" s="427"/>
      <c r="C1669" s="67"/>
      <c r="D1669" s="428"/>
      <c r="E1669" s="428"/>
      <c r="F1669" s="429"/>
    </row>
    <row r="1670" spans="2:6" ht="15.75" x14ac:dyDescent="0.25">
      <c r="B1670" s="427"/>
      <c r="C1670" s="67"/>
      <c r="D1670" s="428"/>
      <c r="E1670" s="428"/>
      <c r="F1670" s="429"/>
    </row>
    <row r="1671" spans="2:6" ht="15.75" x14ac:dyDescent="0.25">
      <c r="B1671" s="427"/>
      <c r="C1671" s="67"/>
      <c r="D1671" s="428"/>
      <c r="E1671" s="428"/>
      <c r="F1671" s="429"/>
    </row>
    <row r="1672" spans="2:6" ht="15.75" x14ac:dyDescent="0.25">
      <c r="B1672" s="427"/>
      <c r="C1672" s="67"/>
      <c r="D1672" s="428"/>
      <c r="E1672" s="428"/>
      <c r="F1672" s="429"/>
    </row>
    <row r="1673" spans="2:6" ht="15.75" x14ac:dyDescent="0.25">
      <c r="B1673" s="427"/>
      <c r="C1673" s="67"/>
      <c r="D1673" s="428"/>
      <c r="E1673" s="428"/>
      <c r="F1673" s="429"/>
    </row>
    <row r="1674" spans="2:6" ht="15.75" x14ac:dyDescent="0.25">
      <c r="B1674" s="427"/>
      <c r="C1674" s="67"/>
      <c r="D1674" s="428"/>
      <c r="E1674" s="428"/>
      <c r="F1674" s="429"/>
    </row>
    <row r="1675" spans="2:6" ht="15.75" x14ac:dyDescent="0.25">
      <c r="B1675" s="427"/>
      <c r="C1675" s="67"/>
      <c r="D1675" s="428"/>
      <c r="E1675" s="428"/>
      <c r="F1675" s="429"/>
    </row>
    <row r="1676" spans="2:6" ht="15.75" x14ac:dyDescent="0.25">
      <c r="B1676" s="427"/>
      <c r="C1676" s="67"/>
      <c r="D1676" s="428"/>
      <c r="E1676" s="428"/>
      <c r="F1676" s="429"/>
    </row>
    <row r="1677" spans="2:6" ht="15.75" x14ac:dyDescent="0.25">
      <c r="B1677" s="427"/>
      <c r="C1677" s="67"/>
      <c r="D1677" s="428"/>
      <c r="E1677" s="428"/>
      <c r="F1677" s="429"/>
    </row>
    <row r="1678" spans="2:6" ht="15.75" x14ac:dyDescent="0.25">
      <c r="B1678" s="427"/>
      <c r="C1678" s="67"/>
      <c r="D1678" s="428"/>
      <c r="E1678" s="428"/>
      <c r="F1678" s="429"/>
    </row>
    <row r="1679" spans="2:6" ht="15.75" x14ac:dyDescent="0.25">
      <c r="B1679" s="427"/>
      <c r="C1679" s="67"/>
      <c r="D1679" s="428"/>
      <c r="E1679" s="428"/>
      <c r="F1679" s="429"/>
    </row>
    <row r="1680" spans="2:6" ht="15.75" x14ac:dyDescent="0.25">
      <c r="B1680" s="427"/>
      <c r="C1680" s="67"/>
      <c r="D1680" s="428"/>
      <c r="E1680" s="428"/>
      <c r="F1680" s="429"/>
    </row>
    <row r="1681" spans="2:6" ht="15.75" x14ac:dyDescent="0.25">
      <c r="B1681" s="427"/>
      <c r="C1681" s="67"/>
      <c r="D1681" s="428"/>
      <c r="E1681" s="428"/>
      <c r="F1681" s="429"/>
    </row>
    <row r="1682" spans="2:6" ht="15.75" x14ac:dyDescent="0.25">
      <c r="B1682" s="427"/>
      <c r="C1682" s="67"/>
      <c r="D1682" s="428"/>
      <c r="E1682" s="428"/>
      <c r="F1682" s="429"/>
    </row>
    <row r="1683" spans="2:6" ht="15.75" x14ac:dyDescent="0.25">
      <c r="B1683" s="427"/>
      <c r="C1683" s="67"/>
      <c r="D1683" s="428"/>
      <c r="E1683" s="428"/>
      <c r="F1683" s="429"/>
    </row>
    <row r="1684" spans="2:6" ht="15.75" x14ac:dyDescent="0.25">
      <c r="B1684" s="427"/>
      <c r="C1684" s="67"/>
      <c r="D1684" s="428"/>
      <c r="E1684" s="428"/>
      <c r="F1684" s="429"/>
    </row>
    <row r="1685" spans="2:6" ht="15.75" x14ac:dyDescent="0.25">
      <c r="B1685" s="427"/>
      <c r="C1685" s="67"/>
      <c r="D1685" s="428"/>
      <c r="E1685" s="428"/>
      <c r="F1685" s="429"/>
    </row>
    <row r="1686" spans="2:6" ht="15.75" x14ac:dyDescent="0.25">
      <c r="B1686" s="427"/>
      <c r="C1686" s="67"/>
      <c r="D1686" s="428"/>
      <c r="E1686" s="428"/>
      <c r="F1686" s="429"/>
    </row>
    <row r="1687" spans="2:6" ht="15.75" x14ac:dyDescent="0.25">
      <c r="B1687" s="427"/>
      <c r="C1687" s="67"/>
      <c r="D1687" s="428"/>
      <c r="E1687" s="428"/>
      <c r="F1687" s="429"/>
    </row>
    <row r="1688" spans="2:6" ht="15.75" x14ac:dyDescent="0.25">
      <c r="B1688" s="427"/>
      <c r="C1688" s="67"/>
      <c r="D1688" s="428"/>
      <c r="E1688" s="428"/>
      <c r="F1688" s="429"/>
    </row>
    <row r="1689" spans="2:6" ht="15.75" x14ac:dyDescent="0.25">
      <c r="B1689" s="427"/>
      <c r="C1689" s="67"/>
      <c r="D1689" s="428"/>
      <c r="E1689" s="428"/>
      <c r="F1689" s="429"/>
    </row>
    <row r="1690" spans="2:6" ht="15.75" x14ac:dyDescent="0.25">
      <c r="B1690" s="427"/>
      <c r="C1690" s="67"/>
      <c r="D1690" s="428"/>
      <c r="E1690" s="428"/>
      <c r="F1690" s="429"/>
    </row>
    <row r="1691" spans="2:6" ht="15.75" x14ac:dyDescent="0.25">
      <c r="B1691" s="427"/>
      <c r="C1691" s="67"/>
      <c r="D1691" s="428"/>
      <c r="E1691" s="428"/>
      <c r="F1691" s="429"/>
    </row>
    <row r="1692" spans="2:6" ht="15.75" x14ac:dyDescent="0.25">
      <c r="B1692" s="427"/>
      <c r="C1692" s="67"/>
      <c r="D1692" s="428"/>
      <c r="E1692" s="428"/>
      <c r="F1692" s="429"/>
    </row>
    <row r="1693" spans="2:6" ht="15.75" x14ac:dyDescent="0.25">
      <c r="B1693" s="427"/>
      <c r="C1693" s="67"/>
      <c r="D1693" s="428"/>
      <c r="E1693" s="428"/>
      <c r="F1693" s="429"/>
    </row>
    <row r="1694" spans="2:6" ht="15.75" x14ac:dyDescent="0.25">
      <c r="B1694" s="427"/>
      <c r="C1694" s="67"/>
      <c r="D1694" s="428"/>
      <c r="E1694" s="428"/>
      <c r="F1694" s="429"/>
    </row>
    <row r="1695" spans="2:6" ht="15.75" x14ac:dyDescent="0.25">
      <c r="B1695" s="427"/>
      <c r="C1695" s="67"/>
      <c r="D1695" s="428"/>
      <c r="E1695" s="428"/>
      <c r="F1695" s="429"/>
    </row>
    <row r="1696" spans="2:6" ht="15.75" x14ac:dyDescent="0.25">
      <c r="B1696" s="427"/>
      <c r="C1696" s="67"/>
      <c r="D1696" s="428"/>
      <c r="E1696" s="428"/>
      <c r="F1696" s="429"/>
    </row>
    <row r="1697" spans="2:6" ht="15.75" x14ac:dyDescent="0.25">
      <c r="B1697" s="427"/>
      <c r="C1697" s="67"/>
      <c r="D1697" s="428"/>
      <c r="E1697" s="428"/>
      <c r="F1697" s="429"/>
    </row>
    <row r="1698" spans="2:6" ht="15.75" x14ac:dyDescent="0.25">
      <c r="B1698" s="427"/>
      <c r="C1698" s="67"/>
      <c r="D1698" s="428"/>
      <c r="E1698" s="428"/>
      <c r="F1698" s="429"/>
    </row>
    <row r="1699" spans="2:6" ht="15.75" x14ac:dyDescent="0.25">
      <c r="B1699" s="427"/>
      <c r="C1699" s="67"/>
      <c r="D1699" s="428"/>
      <c r="E1699" s="428"/>
      <c r="F1699" s="429"/>
    </row>
    <row r="1700" spans="2:6" ht="15.75" x14ac:dyDescent="0.25">
      <c r="B1700" s="427"/>
      <c r="C1700" s="67"/>
      <c r="D1700" s="428"/>
      <c r="E1700" s="428"/>
      <c r="F1700" s="429"/>
    </row>
    <row r="1701" spans="2:6" ht="15.75" x14ac:dyDescent="0.25">
      <c r="B1701" s="427"/>
      <c r="C1701" s="67"/>
      <c r="D1701" s="428"/>
      <c r="E1701" s="428"/>
      <c r="F1701" s="429"/>
    </row>
    <row r="1702" spans="2:6" ht="15.75" x14ac:dyDescent="0.25">
      <c r="B1702" s="427"/>
      <c r="C1702" s="67"/>
      <c r="D1702" s="428"/>
      <c r="E1702" s="428"/>
      <c r="F1702" s="429"/>
    </row>
    <row r="1703" spans="2:6" ht="15.75" x14ac:dyDescent="0.25">
      <c r="B1703" s="427"/>
      <c r="C1703" s="67"/>
      <c r="D1703" s="428"/>
      <c r="E1703" s="428"/>
      <c r="F1703" s="429"/>
    </row>
    <row r="1704" spans="2:6" ht="15.75" x14ac:dyDescent="0.25">
      <c r="B1704" s="427"/>
      <c r="C1704" s="67"/>
      <c r="D1704" s="428"/>
      <c r="E1704" s="428"/>
      <c r="F1704" s="429"/>
    </row>
    <row r="1705" spans="2:6" ht="15.75" x14ac:dyDescent="0.25">
      <c r="B1705" s="427"/>
      <c r="C1705" s="67"/>
      <c r="D1705" s="428"/>
      <c r="E1705" s="428"/>
      <c r="F1705" s="429"/>
    </row>
    <row r="1706" spans="2:6" ht="15.75" x14ac:dyDescent="0.25">
      <c r="B1706" s="427"/>
      <c r="C1706" s="67"/>
      <c r="D1706" s="428"/>
      <c r="E1706" s="428"/>
      <c r="F1706" s="429"/>
    </row>
    <row r="1707" spans="2:6" ht="15.75" x14ac:dyDescent="0.25">
      <c r="B1707" s="427"/>
      <c r="C1707" s="67"/>
      <c r="D1707" s="428"/>
      <c r="E1707" s="428"/>
      <c r="F1707" s="429"/>
    </row>
    <row r="1708" spans="2:6" ht="15.75" x14ac:dyDescent="0.25">
      <c r="B1708" s="427"/>
      <c r="C1708" s="67"/>
      <c r="D1708" s="428"/>
      <c r="E1708" s="428"/>
      <c r="F1708" s="429"/>
    </row>
    <row r="1709" spans="2:6" ht="15.75" x14ac:dyDescent="0.25">
      <c r="B1709" s="427"/>
      <c r="C1709" s="67"/>
      <c r="D1709" s="428"/>
      <c r="E1709" s="428"/>
      <c r="F1709" s="429"/>
    </row>
    <row r="1710" spans="2:6" ht="15.75" x14ac:dyDescent="0.25">
      <c r="B1710" s="427"/>
      <c r="C1710" s="67"/>
      <c r="D1710" s="428"/>
      <c r="E1710" s="428"/>
      <c r="F1710" s="429"/>
    </row>
    <row r="1711" spans="2:6" ht="15.75" x14ac:dyDescent="0.25">
      <c r="B1711" s="427"/>
      <c r="C1711" s="67"/>
      <c r="D1711" s="428"/>
      <c r="E1711" s="428"/>
      <c r="F1711" s="429"/>
    </row>
    <row r="1712" spans="2:6" ht="15.75" x14ac:dyDescent="0.25">
      <c r="B1712" s="427"/>
      <c r="C1712" s="67"/>
      <c r="D1712" s="428"/>
      <c r="E1712" s="428"/>
      <c r="F1712" s="429"/>
    </row>
    <row r="1713" spans="2:6" ht="15.75" x14ac:dyDescent="0.25">
      <c r="B1713" s="427"/>
      <c r="C1713" s="67"/>
      <c r="D1713" s="428"/>
      <c r="E1713" s="428"/>
      <c r="F1713" s="429"/>
    </row>
    <row r="1714" spans="2:6" ht="15.75" x14ac:dyDescent="0.25">
      <c r="B1714" s="427"/>
      <c r="C1714" s="67"/>
      <c r="D1714" s="428"/>
      <c r="E1714" s="428"/>
      <c r="F1714" s="429"/>
    </row>
    <row r="1715" spans="2:6" ht="15.75" x14ac:dyDescent="0.25">
      <c r="B1715" s="427"/>
      <c r="C1715" s="67"/>
      <c r="D1715" s="428"/>
      <c r="E1715" s="428"/>
      <c r="F1715" s="429"/>
    </row>
    <row r="1716" spans="2:6" ht="15.75" x14ac:dyDescent="0.25">
      <c r="B1716" s="427"/>
      <c r="C1716" s="67"/>
      <c r="D1716" s="428"/>
      <c r="E1716" s="428"/>
      <c r="F1716" s="429"/>
    </row>
    <row r="1717" spans="2:6" ht="15.75" x14ac:dyDescent="0.25">
      <c r="B1717" s="427"/>
      <c r="C1717" s="67"/>
      <c r="D1717" s="428"/>
      <c r="E1717" s="428"/>
      <c r="F1717" s="429"/>
    </row>
    <row r="1718" spans="2:6" ht="15.75" x14ac:dyDescent="0.25">
      <c r="B1718" s="427"/>
      <c r="C1718" s="67"/>
      <c r="D1718" s="428"/>
      <c r="E1718" s="428"/>
      <c r="F1718" s="429"/>
    </row>
    <row r="1719" spans="2:6" ht="15.75" x14ac:dyDescent="0.25">
      <c r="B1719" s="427"/>
      <c r="C1719" s="67"/>
      <c r="D1719" s="428"/>
      <c r="E1719" s="428"/>
      <c r="F1719" s="429"/>
    </row>
    <row r="1720" spans="2:6" ht="15.75" x14ac:dyDescent="0.25">
      <c r="B1720" s="427"/>
      <c r="C1720" s="67"/>
      <c r="D1720" s="428"/>
      <c r="E1720" s="428"/>
      <c r="F1720" s="429"/>
    </row>
    <row r="1721" spans="2:6" ht="15.75" x14ac:dyDescent="0.25">
      <c r="B1721" s="427"/>
      <c r="C1721" s="67"/>
      <c r="D1721" s="428"/>
      <c r="E1721" s="428"/>
      <c r="F1721" s="429"/>
    </row>
    <row r="1722" spans="2:6" ht="15.75" x14ac:dyDescent="0.25">
      <c r="B1722" s="427"/>
      <c r="C1722" s="67"/>
      <c r="D1722" s="428"/>
      <c r="E1722" s="428"/>
      <c r="F1722" s="429"/>
    </row>
    <row r="1723" spans="2:6" ht="15.75" x14ac:dyDescent="0.25">
      <c r="B1723" s="427"/>
      <c r="C1723" s="67"/>
      <c r="D1723" s="428"/>
      <c r="E1723" s="428"/>
      <c r="F1723" s="429"/>
    </row>
    <row r="1724" spans="2:6" ht="15.75" x14ac:dyDescent="0.25">
      <c r="B1724" s="427"/>
      <c r="C1724" s="67"/>
      <c r="D1724" s="428"/>
      <c r="E1724" s="428"/>
      <c r="F1724" s="429"/>
    </row>
    <row r="1725" spans="2:6" ht="15.75" x14ac:dyDescent="0.25">
      <c r="B1725" s="427"/>
      <c r="C1725" s="67"/>
      <c r="D1725" s="428"/>
      <c r="E1725" s="428"/>
      <c r="F1725" s="429"/>
    </row>
    <row r="1726" spans="2:6" ht="15.75" x14ac:dyDescent="0.25">
      <c r="B1726" s="427"/>
      <c r="C1726" s="67"/>
      <c r="D1726" s="428"/>
      <c r="E1726" s="428"/>
      <c r="F1726" s="429"/>
    </row>
    <row r="1727" spans="2:6" ht="15.75" x14ac:dyDescent="0.25">
      <c r="B1727" s="427"/>
      <c r="C1727" s="67"/>
      <c r="D1727" s="428"/>
      <c r="E1727" s="428"/>
      <c r="F1727" s="429"/>
    </row>
    <row r="1728" spans="2:6" ht="15.75" x14ac:dyDescent="0.25">
      <c r="B1728" s="427"/>
      <c r="C1728" s="67"/>
      <c r="D1728" s="428"/>
      <c r="E1728" s="428"/>
      <c r="F1728" s="429"/>
    </row>
    <row r="1729" spans="2:6" ht="15.75" x14ac:dyDescent="0.25">
      <c r="B1729" s="427"/>
      <c r="C1729" s="67"/>
      <c r="D1729" s="428"/>
      <c r="E1729" s="428"/>
      <c r="F1729" s="429"/>
    </row>
    <row r="1730" spans="2:6" ht="15.75" x14ac:dyDescent="0.25">
      <c r="B1730" s="427"/>
      <c r="C1730" s="67"/>
      <c r="D1730" s="428"/>
      <c r="E1730" s="428"/>
      <c r="F1730" s="429"/>
    </row>
    <row r="1731" spans="2:6" ht="15.75" x14ac:dyDescent="0.25">
      <c r="B1731" s="427"/>
      <c r="C1731" s="67"/>
      <c r="D1731" s="428"/>
      <c r="E1731" s="428"/>
      <c r="F1731" s="429"/>
    </row>
    <row r="1732" spans="2:6" ht="15.75" x14ac:dyDescent="0.25">
      <c r="B1732" s="427"/>
      <c r="C1732" s="67"/>
      <c r="D1732" s="428"/>
      <c r="E1732" s="428"/>
      <c r="F1732" s="429"/>
    </row>
    <row r="1733" spans="2:6" ht="15.75" x14ac:dyDescent="0.25">
      <c r="B1733" s="427"/>
      <c r="C1733" s="67"/>
      <c r="D1733" s="428"/>
      <c r="E1733" s="428"/>
      <c r="F1733" s="429"/>
    </row>
    <row r="1734" spans="2:6" ht="15.75" x14ac:dyDescent="0.25">
      <c r="B1734" s="427"/>
      <c r="C1734" s="67"/>
      <c r="D1734" s="428"/>
      <c r="E1734" s="428"/>
      <c r="F1734" s="429"/>
    </row>
    <row r="1735" spans="2:6" ht="15.75" x14ac:dyDescent="0.25">
      <c r="B1735" s="427"/>
      <c r="C1735" s="67"/>
      <c r="D1735" s="428"/>
      <c r="E1735" s="428"/>
      <c r="F1735" s="429"/>
    </row>
    <row r="1736" spans="2:6" ht="15.75" x14ac:dyDescent="0.25">
      <c r="B1736" s="427"/>
      <c r="C1736" s="67"/>
      <c r="D1736" s="428"/>
      <c r="E1736" s="428"/>
      <c r="F1736" s="429"/>
    </row>
    <row r="1737" spans="2:6" ht="15.75" x14ac:dyDescent="0.25">
      <c r="B1737" s="427"/>
      <c r="C1737" s="67"/>
      <c r="D1737" s="428"/>
      <c r="E1737" s="428"/>
      <c r="F1737" s="429"/>
    </row>
    <row r="1738" spans="2:6" ht="15.75" x14ac:dyDescent="0.25">
      <c r="B1738" s="427"/>
      <c r="C1738" s="67"/>
      <c r="D1738" s="428"/>
      <c r="E1738" s="428"/>
      <c r="F1738" s="429"/>
    </row>
    <row r="1739" spans="2:6" ht="15.75" x14ac:dyDescent="0.25">
      <c r="B1739" s="427"/>
      <c r="C1739" s="67"/>
      <c r="D1739" s="428"/>
      <c r="E1739" s="428"/>
      <c r="F1739" s="429"/>
    </row>
    <row r="1740" spans="2:6" ht="15.75" x14ac:dyDescent="0.25">
      <c r="B1740" s="427"/>
      <c r="C1740" s="67"/>
      <c r="D1740" s="428"/>
      <c r="E1740" s="428"/>
      <c r="F1740" s="429"/>
    </row>
    <row r="1741" spans="2:6" ht="15.75" x14ac:dyDescent="0.25">
      <c r="B1741" s="427"/>
      <c r="C1741" s="67"/>
      <c r="D1741" s="428"/>
      <c r="E1741" s="428"/>
      <c r="F1741" s="429"/>
    </row>
    <row r="1742" spans="2:6" ht="15.75" x14ac:dyDescent="0.25">
      <c r="B1742" s="427"/>
      <c r="C1742" s="67"/>
      <c r="D1742" s="428"/>
      <c r="E1742" s="428"/>
      <c r="F1742" s="429"/>
    </row>
    <row r="1743" spans="2:6" ht="15.75" x14ac:dyDescent="0.25">
      <c r="B1743" s="427"/>
      <c r="C1743" s="67"/>
      <c r="D1743" s="428"/>
      <c r="E1743" s="428"/>
      <c r="F1743" s="429"/>
    </row>
    <row r="1744" spans="2:6" ht="15.75" x14ac:dyDescent="0.25">
      <c r="B1744" s="427"/>
      <c r="C1744" s="67"/>
      <c r="D1744" s="428"/>
      <c r="E1744" s="428"/>
      <c r="F1744" s="429"/>
    </row>
    <row r="1745" spans="2:6" ht="15.75" x14ac:dyDescent="0.25">
      <c r="B1745" s="427"/>
      <c r="C1745" s="67"/>
      <c r="D1745" s="428"/>
      <c r="E1745" s="428"/>
      <c r="F1745" s="429"/>
    </row>
    <row r="1746" spans="2:6" ht="15.75" x14ac:dyDescent="0.25">
      <c r="B1746" s="427"/>
      <c r="C1746" s="67"/>
      <c r="D1746" s="428"/>
      <c r="E1746" s="428"/>
      <c r="F1746" s="429"/>
    </row>
    <row r="1747" spans="2:6" ht="15.75" x14ac:dyDescent="0.25">
      <c r="B1747" s="427"/>
      <c r="C1747" s="67"/>
      <c r="D1747" s="428"/>
      <c r="E1747" s="428"/>
      <c r="F1747" s="429"/>
    </row>
    <row r="1748" spans="2:6" ht="15.75" x14ac:dyDescent="0.25">
      <c r="B1748" s="427"/>
      <c r="C1748" s="67"/>
      <c r="D1748" s="428"/>
      <c r="E1748" s="428"/>
      <c r="F1748" s="429"/>
    </row>
    <row r="1749" spans="2:6" ht="15.75" x14ac:dyDescent="0.25">
      <c r="B1749" s="427"/>
      <c r="C1749" s="67"/>
      <c r="D1749" s="428"/>
      <c r="E1749" s="428"/>
      <c r="F1749" s="429"/>
    </row>
    <row r="1750" spans="2:6" ht="15.75" x14ac:dyDescent="0.25">
      <c r="B1750" s="427"/>
      <c r="C1750" s="67"/>
      <c r="D1750" s="428"/>
      <c r="E1750" s="428"/>
      <c r="F1750" s="429"/>
    </row>
    <row r="1751" spans="2:6" ht="15.75" x14ac:dyDescent="0.25">
      <c r="B1751" s="427"/>
      <c r="C1751" s="67"/>
      <c r="D1751" s="428"/>
      <c r="E1751" s="428"/>
      <c r="F1751" s="429"/>
    </row>
    <row r="1752" spans="2:6" ht="15.75" x14ac:dyDescent="0.25">
      <c r="B1752" s="427"/>
      <c r="C1752" s="67"/>
      <c r="D1752" s="428"/>
      <c r="E1752" s="428"/>
      <c r="F1752" s="429"/>
    </row>
    <row r="1753" spans="2:6" ht="15.75" x14ac:dyDescent="0.25">
      <c r="B1753" s="427"/>
      <c r="C1753" s="67"/>
      <c r="D1753" s="428"/>
      <c r="E1753" s="428"/>
      <c r="F1753" s="429"/>
    </row>
    <row r="1754" spans="2:6" ht="15.75" x14ac:dyDescent="0.25">
      <c r="B1754" s="427"/>
      <c r="C1754" s="67"/>
      <c r="D1754" s="428"/>
      <c r="E1754" s="428"/>
      <c r="F1754" s="429"/>
    </row>
    <row r="1755" spans="2:6" ht="15.75" x14ac:dyDescent="0.25">
      <c r="B1755" s="427"/>
      <c r="C1755" s="67"/>
      <c r="D1755" s="428"/>
      <c r="E1755" s="428"/>
      <c r="F1755" s="429"/>
    </row>
    <row r="1756" spans="2:6" ht="15.75" x14ac:dyDescent="0.25">
      <c r="B1756" s="427"/>
      <c r="C1756" s="67"/>
      <c r="D1756" s="428"/>
      <c r="E1756" s="428"/>
      <c r="F1756" s="429"/>
    </row>
    <row r="1757" spans="2:6" ht="15.75" x14ac:dyDescent="0.25">
      <c r="B1757" s="427"/>
      <c r="C1757" s="67"/>
      <c r="D1757" s="428"/>
      <c r="E1757" s="428"/>
      <c r="F1757" s="429"/>
    </row>
    <row r="1758" spans="2:6" ht="15.75" x14ac:dyDescent="0.25">
      <c r="B1758" s="427"/>
      <c r="C1758" s="67"/>
      <c r="D1758" s="428"/>
      <c r="E1758" s="428"/>
      <c r="F1758" s="429"/>
    </row>
    <row r="1759" spans="2:6" ht="15.75" x14ac:dyDescent="0.25">
      <c r="B1759" s="427"/>
      <c r="C1759" s="67"/>
      <c r="D1759" s="428"/>
      <c r="E1759" s="428"/>
      <c r="F1759" s="429"/>
    </row>
    <row r="1760" spans="2:6" ht="15.75" x14ac:dyDescent="0.25">
      <c r="B1760" s="427"/>
      <c r="C1760" s="67"/>
      <c r="D1760" s="428"/>
      <c r="E1760" s="428"/>
      <c r="F1760" s="429"/>
    </row>
    <row r="1761" spans="2:6" ht="15.75" x14ac:dyDescent="0.25">
      <c r="B1761" s="427"/>
      <c r="C1761" s="67"/>
      <c r="D1761" s="428"/>
      <c r="E1761" s="428"/>
      <c r="F1761" s="429"/>
    </row>
    <row r="1762" spans="2:6" ht="15.75" x14ac:dyDescent="0.25">
      <c r="B1762" s="427"/>
      <c r="C1762" s="67"/>
      <c r="D1762" s="428"/>
      <c r="E1762" s="428"/>
      <c r="F1762" s="429"/>
    </row>
    <row r="1763" spans="2:6" ht="15.75" x14ac:dyDescent="0.25">
      <c r="B1763" s="427"/>
      <c r="C1763" s="67"/>
      <c r="D1763" s="428"/>
      <c r="E1763" s="428"/>
      <c r="F1763" s="429"/>
    </row>
    <row r="1764" spans="2:6" ht="15.75" x14ac:dyDescent="0.25">
      <c r="B1764" s="427"/>
      <c r="C1764" s="67"/>
      <c r="D1764" s="428"/>
      <c r="E1764" s="428"/>
      <c r="F1764" s="429"/>
    </row>
    <row r="1765" spans="2:6" ht="15.75" x14ac:dyDescent="0.25">
      <c r="B1765" s="427"/>
      <c r="C1765" s="67"/>
      <c r="D1765" s="428"/>
      <c r="E1765" s="428"/>
      <c r="F1765" s="429"/>
    </row>
    <row r="1766" spans="2:6" ht="15.75" x14ac:dyDescent="0.25">
      <c r="B1766" s="427"/>
      <c r="C1766" s="67"/>
      <c r="D1766" s="428"/>
      <c r="E1766" s="428"/>
      <c r="F1766" s="429"/>
    </row>
    <row r="1767" spans="2:6" ht="15.75" x14ac:dyDescent="0.25">
      <c r="B1767" s="427"/>
      <c r="C1767" s="67"/>
      <c r="D1767" s="428"/>
      <c r="E1767" s="428"/>
      <c r="F1767" s="429"/>
    </row>
    <row r="1768" spans="2:6" ht="15.75" x14ac:dyDescent="0.25">
      <c r="B1768" s="427"/>
      <c r="C1768" s="67"/>
      <c r="D1768" s="428"/>
      <c r="E1768" s="428"/>
      <c r="F1768" s="429"/>
    </row>
    <row r="1769" spans="2:6" ht="15.75" x14ac:dyDescent="0.25">
      <c r="B1769" s="427"/>
      <c r="C1769" s="67"/>
      <c r="D1769" s="428"/>
      <c r="E1769" s="428"/>
      <c r="F1769" s="429"/>
    </row>
    <row r="1770" spans="2:6" ht="15.75" x14ac:dyDescent="0.25">
      <c r="B1770" s="427"/>
      <c r="C1770" s="67"/>
      <c r="D1770" s="428"/>
      <c r="E1770" s="428"/>
      <c r="F1770" s="429"/>
    </row>
    <row r="1771" spans="2:6" ht="15.75" x14ac:dyDescent="0.25">
      <c r="B1771" s="427"/>
      <c r="C1771" s="67"/>
      <c r="D1771" s="428"/>
      <c r="E1771" s="428"/>
      <c r="F1771" s="429"/>
    </row>
    <row r="1772" spans="2:6" ht="15.75" x14ac:dyDescent="0.25">
      <c r="B1772" s="427"/>
      <c r="C1772" s="67"/>
      <c r="D1772" s="428"/>
      <c r="E1772" s="428"/>
      <c r="F1772" s="429"/>
    </row>
    <row r="1773" spans="2:6" ht="15.75" x14ac:dyDescent="0.25">
      <c r="B1773" s="427"/>
      <c r="C1773" s="67"/>
      <c r="D1773" s="428"/>
      <c r="E1773" s="428"/>
      <c r="F1773" s="429"/>
    </row>
    <row r="1774" spans="2:6" ht="15.75" x14ac:dyDescent="0.25">
      <c r="B1774" s="427"/>
      <c r="C1774" s="67"/>
      <c r="D1774" s="428"/>
      <c r="E1774" s="428"/>
      <c r="F1774" s="429"/>
    </row>
    <row r="1775" spans="2:6" ht="15.75" x14ac:dyDescent="0.25">
      <c r="B1775" s="427"/>
      <c r="C1775" s="67"/>
      <c r="D1775" s="428"/>
      <c r="E1775" s="428"/>
      <c r="F1775" s="429"/>
    </row>
    <row r="1776" spans="2:6" ht="15.75" x14ac:dyDescent="0.25">
      <c r="B1776" s="427"/>
      <c r="C1776" s="67"/>
      <c r="D1776" s="428"/>
      <c r="E1776" s="428"/>
      <c r="F1776" s="429"/>
    </row>
    <row r="1777" spans="2:6" ht="15.75" x14ac:dyDescent="0.25">
      <c r="B1777" s="427"/>
      <c r="C1777" s="67"/>
      <c r="D1777" s="428"/>
      <c r="E1777" s="428"/>
      <c r="F1777" s="429"/>
    </row>
    <row r="1778" spans="2:6" ht="15.75" x14ac:dyDescent="0.25">
      <c r="B1778" s="427"/>
      <c r="C1778" s="67"/>
      <c r="D1778" s="428"/>
      <c r="E1778" s="428"/>
      <c r="F1778" s="429"/>
    </row>
    <row r="1779" spans="2:6" ht="15.75" x14ac:dyDescent="0.25">
      <c r="B1779" s="427"/>
      <c r="C1779" s="67"/>
      <c r="D1779" s="428"/>
      <c r="E1779" s="428"/>
      <c r="F1779" s="429"/>
    </row>
    <row r="1780" spans="2:6" ht="15.75" x14ac:dyDescent="0.25">
      <c r="B1780" s="427"/>
      <c r="C1780" s="67"/>
      <c r="D1780" s="428"/>
      <c r="E1780" s="428"/>
      <c r="F1780" s="429"/>
    </row>
    <row r="1781" spans="2:6" ht="15.75" x14ac:dyDescent="0.25">
      <c r="B1781" s="427"/>
      <c r="C1781" s="67"/>
      <c r="D1781" s="428"/>
      <c r="E1781" s="428"/>
      <c r="F1781" s="429"/>
    </row>
    <row r="1782" spans="2:6" ht="15.75" x14ac:dyDescent="0.25">
      <c r="B1782" s="427"/>
      <c r="C1782" s="67"/>
      <c r="D1782" s="428"/>
      <c r="E1782" s="428"/>
      <c r="F1782" s="429"/>
    </row>
    <row r="1783" spans="2:6" ht="15.75" x14ac:dyDescent="0.25">
      <c r="B1783" s="427"/>
      <c r="C1783" s="67"/>
      <c r="D1783" s="428"/>
      <c r="E1783" s="428"/>
      <c r="F1783" s="429"/>
    </row>
    <row r="1784" spans="2:6" ht="15.75" x14ac:dyDescent="0.25">
      <c r="B1784" s="427"/>
      <c r="C1784" s="67"/>
      <c r="D1784" s="428"/>
      <c r="E1784" s="428"/>
      <c r="F1784" s="429"/>
    </row>
    <row r="1785" spans="2:6" ht="15.75" x14ac:dyDescent="0.25">
      <c r="B1785" s="427"/>
      <c r="C1785" s="67"/>
      <c r="D1785" s="428"/>
      <c r="E1785" s="428"/>
      <c r="F1785" s="429"/>
    </row>
    <row r="1786" spans="2:6" ht="15.75" x14ac:dyDescent="0.25">
      <c r="B1786" s="427"/>
      <c r="C1786" s="67"/>
      <c r="D1786" s="428"/>
      <c r="E1786" s="428"/>
      <c r="F1786" s="429"/>
    </row>
    <row r="1787" spans="2:6" ht="15.75" x14ac:dyDescent="0.25">
      <c r="B1787" s="427"/>
      <c r="C1787" s="67"/>
      <c r="D1787" s="428"/>
      <c r="E1787" s="428"/>
      <c r="F1787" s="429"/>
    </row>
    <row r="1788" spans="2:6" ht="15.75" x14ac:dyDescent="0.25">
      <c r="B1788" s="427"/>
      <c r="C1788" s="67"/>
      <c r="D1788" s="428"/>
      <c r="E1788" s="428"/>
      <c r="F1788" s="429"/>
    </row>
    <row r="1789" spans="2:6" ht="15.75" x14ac:dyDescent="0.25">
      <c r="B1789" s="427"/>
      <c r="C1789" s="67"/>
      <c r="D1789" s="428"/>
      <c r="E1789" s="428"/>
      <c r="F1789" s="429"/>
    </row>
    <row r="1790" spans="2:6" ht="15.75" x14ac:dyDescent="0.25">
      <c r="B1790" s="427"/>
      <c r="C1790" s="67"/>
      <c r="D1790" s="428"/>
      <c r="E1790" s="428"/>
      <c r="F1790" s="429"/>
    </row>
    <row r="1791" spans="2:6" ht="15.75" x14ac:dyDescent="0.25">
      <c r="B1791" s="427"/>
      <c r="C1791" s="67"/>
      <c r="D1791" s="428"/>
      <c r="E1791" s="428"/>
      <c r="F1791" s="429"/>
    </row>
    <row r="1792" spans="2:6" ht="15.75" x14ac:dyDescent="0.25">
      <c r="B1792" s="427"/>
      <c r="C1792" s="67"/>
      <c r="D1792" s="428"/>
      <c r="E1792" s="428"/>
      <c r="F1792" s="429"/>
    </row>
    <row r="1793" spans="2:6" ht="15.75" x14ac:dyDescent="0.25">
      <c r="B1793" s="427"/>
      <c r="C1793" s="67"/>
      <c r="D1793" s="428"/>
      <c r="E1793" s="428"/>
      <c r="F1793" s="429"/>
    </row>
    <row r="1794" spans="2:6" ht="15.75" x14ac:dyDescent="0.25">
      <c r="B1794" s="427"/>
      <c r="C1794" s="67"/>
      <c r="D1794" s="428"/>
      <c r="E1794" s="428"/>
      <c r="F1794" s="429"/>
    </row>
    <row r="1795" spans="2:6" ht="15.75" x14ac:dyDescent="0.25">
      <c r="B1795" s="427"/>
      <c r="C1795" s="67"/>
      <c r="D1795" s="428"/>
      <c r="E1795" s="428"/>
      <c r="F1795" s="429"/>
    </row>
    <row r="1796" spans="2:6" ht="15.75" x14ac:dyDescent="0.25">
      <c r="B1796" s="427"/>
      <c r="C1796" s="67"/>
      <c r="D1796" s="428"/>
      <c r="E1796" s="428"/>
      <c r="F1796" s="429"/>
    </row>
    <row r="1797" spans="2:6" ht="15.75" x14ac:dyDescent="0.25">
      <c r="B1797" s="427"/>
      <c r="C1797" s="67"/>
      <c r="D1797" s="428"/>
      <c r="E1797" s="428"/>
      <c r="F1797" s="429"/>
    </row>
    <row r="1798" spans="2:6" ht="15.75" x14ac:dyDescent="0.25">
      <c r="B1798" s="427"/>
      <c r="C1798" s="67"/>
      <c r="D1798" s="428"/>
      <c r="E1798" s="428"/>
      <c r="F1798" s="429"/>
    </row>
    <row r="1799" spans="2:6" ht="15.75" x14ac:dyDescent="0.25">
      <c r="B1799" s="427"/>
      <c r="C1799" s="67"/>
      <c r="D1799" s="428"/>
      <c r="E1799" s="428"/>
      <c r="F1799" s="429"/>
    </row>
    <row r="1800" spans="2:6" ht="15.75" x14ac:dyDescent="0.25">
      <c r="B1800" s="427"/>
      <c r="C1800" s="67"/>
      <c r="D1800" s="428"/>
      <c r="E1800" s="428"/>
      <c r="F1800" s="429"/>
    </row>
    <row r="1801" spans="2:6" ht="15.75" x14ac:dyDescent="0.25">
      <c r="B1801" s="427"/>
      <c r="C1801" s="67"/>
      <c r="D1801" s="428"/>
      <c r="E1801" s="428"/>
      <c r="F1801" s="429"/>
    </row>
    <row r="1802" spans="2:6" ht="15.75" x14ac:dyDescent="0.25">
      <c r="B1802" s="427"/>
      <c r="C1802" s="67"/>
      <c r="D1802" s="428"/>
      <c r="E1802" s="428"/>
      <c r="F1802" s="429"/>
    </row>
    <row r="1803" spans="2:6" ht="15.75" x14ac:dyDescent="0.25">
      <c r="B1803" s="427"/>
      <c r="C1803" s="67"/>
      <c r="D1803" s="428"/>
      <c r="E1803" s="428"/>
      <c r="F1803" s="429"/>
    </row>
    <row r="1804" spans="2:6" ht="15.75" x14ac:dyDescent="0.25">
      <c r="B1804" s="427"/>
      <c r="C1804" s="67"/>
      <c r="D1804" s="428"/>
      <c r="E1804" s="428"/>
      <c r="F1804" s="429"/>
    </row>
    <row r="1805" spans="2:6" ht="15.75" x14ac:dyDescent="0.25">
      <c r="B1805" s="427"/>
      <c r="C1805" s="67"/>
      <c r="D1805" s="428"/>
      <c r="E1805" s="428"/>
      <c r="F1805" s="429"/>
    </row>
    <row r="1806" spans="2:6" ht="15.75" x14ac:dyDescent="0.25">
      <c r="B1806" s="427"/>
      <c r="C1806" s="67"/>
      <c r="D1806" s="428"/>
      <c r="E1806" s="428"/>
      <c r="F1806" s="429"/>
    </row>
    <row r="1807" spans="2:6" ht="15.75" x14ac:dyDescent="0.25">
      <c r="B1807" s="427"/>
      <c r="C1807" s="67"/>
      <c r="D1807" s="428"/>
      <c r="E1807" s="428"/>
      <c r="F1807" s="429"/>
    </row>
    <row r="1808" spans="2:6" ht="15.75" x14ac:dyDescent="0.25">
      <c r="B1808" s="427"/>
      <c r="C1808" s="67"/>
      <c r="D1808" s="428"/>
      <c r="E1808" s="428"/>
      <c r="F1808" s="429"/>
    </row>
    <row r="1809" spans="2:6" ht="15.75" x14ac:dyDescent="0.25">
      <c r="B1809" s="427"/>
      <c r="C1809" s="67"/>
      <c r="D1809" s="428"/>
      <c r="E1809" s="428"/>
      <c r="F1809" s="429"/>
    </row>
    <row r="1810" spans="2:6" ht="15.75" x14ac:dyDescent="0.25">
      <c r="B1810" s="427"/>
      <c r="C1810" s="67"/>
      <c r="D1810" s="428"/>
      <c r="E1810" s="428"/>
      <c r="F1810" s="429"/>
    </row>
    <row r="1811" spans="2:6" ht="15.75" x14ac:dyDescent="0.25">
      <c r="B1811" s="427"/>
      <c r="C1811" s="67"/>
      <c r="D1811" s="428"/>
      <c r="E1811" s="428"/>
      <c r="F1811" s="429"/>
    </row>
    <row r="1812" spans="2:6" ht="15.75" x14ac:dyDescent="0.25">
      <c r="B1812" s="427"/>
      <c r="C1812" s="67"/>
      <c r="D1812" s="428"/>
      <c r="E1812" s="428"/>
      <c r="F1812" s="429"/>
    </row>
    <row r="1813" spans="2:6" ht="15.75" x14ac:dyDescent="0.25">
      <c r="B1813" s="427"/>
      <c r="C1813" s="67"/>
      <c r="D1813" s="428"/>
      <c r="E1813" s="428"/>
      <c r="F1813" s="429"/>
    </row>
    <row r="1814" spans="2:6" ht="15.75" x14ac:dyDescent="0.25">
      <c r="B1814" s="427"/>
      <c r="C1814" s="67"/>
      <c r="D1814" s="428"/>
      <c r="E1814" s="428"/>
      <c r="F1814" s="429"/>
    </row>
    <row r="1815" spans="2:6" ht="15.75" x14ac:dyDescent="0.25">
      <c r="B1815" s="427"/>
      <c r="C1815" s="67"/>
      <c r="D1815" s="428"/>
      <c r="E1815" s="428"/>
      <c r="F1815" s="429"/>
    </row>
    <row r="1816" spans="2:6" ht="15.75" x14ac:dyDescent="0.25">
      <c r="B1816" s="427"/>
      <c r="C1816" s="67"/>
      <c r="D1816" s="428"/>
      <c r="E1816" s="428"/>
      <c r="F1816" s="429"/>
    </row>
    <row r="1817" spans="2:6" ht="15.75" x14ac:dyDescent="0.25">
      <c r="B1817" s="427"/>
      <c r="C1817" s="67"/>
      <c r="D1817" s="428"/>
      <c r="E1817" s="428"/>
      <c r="F1817" s="429"/>
    </row>
    <row r="1818" spans="2:6" ht="15.75" x14ac:dyDescent="0.25">
      <c r="B1818" s="427"/>
      <c r="C1818" s="67"/>
      <c r="D1818" s="428"/>
      <c r="E1818" s="428"/>
      <c r="F1818" s="429"/>
    </row>
    <row r="1819" spans="2:6" ht="15.75" x14ac:dyDescent="0.25">
      <c r="B1819" s="427"/>
      <c r="C1819" s="67"/>
      <c r="D1819" s="428"/>
      <c r="E1819" s="428"/>
      <c r="F1819" s="429"/>
    </row>
    <row r="1820" spans="2:6" ht="15.75" x14ac:dyDescent="0.25">
      <c r="B1820" s="427"/>
      <c r="C1820" s="67"/>
      <c r="D1820" s="428"/>
      <c r="E1820" s="428"/>
      <c r="F1820" s="429"/>
    </row>
    <row r="1821" spans="2:6" ht="15.75" x14ac:dyDescent="0.25">
      <c r="B1821" s="427"/>
      <c r="C1821" s="67"/>
      <c r="D1821" s="428"/>
      <c r="E1821" s="428"/>
      <c r="F1821" s="429"/>
    </row>
    <row r="1822" spans="2:6" ht="15.75" x14ac:dyDescent="0.25">
      <c r="B1822" s="427"/>
      <c r="C1822" s="67"/>
      <c r="D1822" s="428"/>
      <c r="E1822" s="428"/>
      <c r="F1822" s="429"/>
    </row>
    <row r="1823" spans="2:6" ht="15.75" x14ac:dyDescent="0.25">
      <c r="B1823" s="427"/>
      <c r="C1823" s="67"/>
      <c r="D1823" s="428"/>
      <c r="E1823" s="428"/>
      <c r="F1823" s="429"/>
    </row>
    <row r="1824" spans="2:6" ht="15.75" x14ac:dyDescent="0.25">
      <c r="B1824" s="427"/>
      <c r="C1824" s="67"/>
      <c r="D1824" s="428"/>
      <c r="E1824" s="428"/>
      <c r="F1824" s="429"/>
    </row>
    <row r="1825" spans="2:6" ht="15.75" x14ac:dyDescent="0.25">
      <c r="B1825" s="427"/>
      <c r="C1825" s="67"/>
      <c r="D1825" s="428"/>
      <c r="E1825" s="428"/>
      <c r="F1825" s="429"/>
    </row>
    <row r="1826" spans="2:6" ht="15.75" x14ac:dyDescent="0.25">
      <c r="B1826" s="427"/>
      <c r="C1826" s="67"/>
      <c r="D1826" s="428"/>
      <c r="E1826" s="428"/>
      <c r="F1826" s="429"/>
    </row>
    <row r="1827" spans="2:6" ht="15.75" x14ac:dyDescent="0.25">
      <c r="B1827" s="427"/>
      <c r="C1827" s="67"/>
      <c r="D1827" s="428"/>
      <c r="E1827" s="428"/>
      <c r="F1827" s="429"/>
    </row>
    <row r="1828" spans="2:6" ht="15.75" x14ac:dyDescent="0.25">
      <c r="B1828" s="427"/>
      <c r="C1828" s="67"/>
      <c r="D1828" s="428"/>
      <c r="E1828" s="428"/>
      <c r="F1828" s="429"/>
    </row>
    <row r="1829" spans="2:6" ht="15.75" x14ac:dyDescent="0.25">
      <c r="B1829" s="427"/>
      <c r="C1829" s="67"/>
      <c r="D1829" s="428"/>
      <c r="E1829" s="428"/>
      <c r="F1829" s="429"/>
    </row>
    <row r="1830" spans="2:6" ht="15.75" x14ac:dyDescent="0.25">
      <c r="B1830" s="427"/>
      <c r="C1830" s="67"/>
      <c r="D1830" s="428"/>
      <c r="E1830" s="428"/>
      <c r="F1830" s="429"/>
    </row>
    <row r="1831" spans="2:6" ht="15.75" x14ac:dyDescent="0.25">
      <c r="B1831" s="427"/>
      <c r="C1831" s="67"/>
      <c r="D1831" s="428"/>
      <c r="E1831" s="428"/>
      <c r="F1831" s="429"/>
    </row>
    <row r="1832" spans="2:6" ht="15.75" x14ac:dyDescent="0.25">
      <c r="B1832" s="427"/>
      <c r="C1832" s="67"/>
      <c r="D1832" s="428"/>
      <c r="E1832" s="428"/>
      <c r="F1832" s="429"/>
    </row>
    <row r="1833" spans="2:6" ht="15.75" x14ac:dyDescent="0.25">
      <c r="B1833" s="427"/>
      <c r="C1833" s="67"/>
      <c r="D1833" s="428"/>
      <c r="E1833" s="428"/>
      <c r="F1833" s="429"/>
    </row>
    <row r="1834" spans="2:6" ht="15.75" x14ac:dyDescent="0.25">
      <c r="B1834" s="427"/>
      <c r="C1834" s="67"/>
      <c r="D1834" s="428"/>
      <c r="E1834" s="428"/>
      <c r="F1834" s="429"/>
    </row>
    <row r="1835" spans="2:6" ht="15.75" x14ac:dyDescent="0.25">
      <c r="B1835" s="427"/>
      <c r="C1835" s="67"/>
      <c r="D1835" s="428"/>
      <c r="E1835" s="428"/>
      <c r="F1835" s="429"/>
    </row>
    <row r="1836" spans="2:6" ht="15.75" x14ac:dyDescent="0.25">
      <c r="B1836" s="427"/>
      <c r="C1836" s="67"/>
      <c r="D1836" s="428"/>
      <c r="E1836" s="428"/>
      <c r="F1836" s="429"/>
    </row>
    <row r="1837" spans="2:6" ht="15.75" x14ac:dyDescent="0.25">
      <c r="B1837" s="427"/>
      <c r="C1837" s="67"/>
      <c r="D1837" s="428"/>
      <c r="E1837" s="428"/>
      <c r="F1837" s="429"/>
    </row>
    <row r="1838" spans="2:6" ht="15.75" x14ac:dyDescent="0.25">
      <c r="B1838" s="427"/>
      <c r="C1838" s="67"/>
      <c r="D1838" s="428"/>
      <c r="E1838" s="428"/>
      <c r="F1838" s="429"/>
    </row>
    <row r="1839" spans="2:6" ht="15.75" x14ac:dyDescent="0.25">
      <c r="B1839" s="427"/>
      <c r="C1839" s="67"/>
      <c r="D1839" s="428"/>
      <c r="E1839" s="428"/>
      <c r="F1839" s="429"/>
    </row>
    <row r="1840" spans="2:6" ht="15.75" x14ac:dyDescent="0.25">
      <c r="B1840" s="427"/>
      <c r="C1840" s="67"/>
      <c r="D1840" s="428"/>
      <c r="E1840" s="428"/>
      <c r="F1840" s="429"/>
    </row>
    <row r="1841" spans="2:6" ht="15.75" x14ac:dyDescent="0.25">
      <c r="B1841" s="427"/>
      <c r="C1841" s="67"/>
      <c r="D1841" s="428"/>
      <c r="E1841" s="428"/>
      <c r="F1841" s="429"/>
    </row>
    <row r="1842" spans="2:6" ht="15.75" x14ac:dyDescent="0.25">
      <c r="B1842" s="427"/>
      <c r="C1842" s="67"/>
      <c r="D1842" s="428"/>
      <c r="E1842" s="428"/>
      <c r="F1842" s="429"/>
    </row>
    <row r="1843" spans="2:6" ht="15.75" x14ac:dyDescent="0.25">
      <c r="B1843" s="427"/>
      <c r="C1843" s="67"/>
      <c r="D1843" s="428"/>
      <c r="E1843" s="428"/>
      <c r="F1843" s="429"/>
    </row>
    <row r="1844" spans="2:6" ht="15.75" x14ac:dyDescent="0.25">
      <c r="B1844" s="427"/>
      <c r="C1844" s="67"/>
      <c r="D1844" s="428"/>
      <c r="E1844" s="428"/>
      <c r="F1844" s="429"/>
    </row>
    <row r="1845" spans="2:6" ht="15.75" x14ac:dyDescent="0.25">
      <c r="B1845" s="427"/>
      <c r="C1845" s="67"/>
      <c r="D1845" s="428"/>
      <c r="E1845" s="428"/>
      <c r="F1845" s="429"/>
    </row>
    <row r="1846" spans="2:6" ht="15.75" x14ac:dyDescent="0.25">
      <c r="B1846" s="427"/>
      <c r="C1846" s="67"/>
      <c r="D1846" s="428"/>
      <c r="E1846" s="428"/>
      <c r="F1846" s="429"/>
    </row>
    <row r="1847" spans="2:6" ht="15.75" x14ac:dyDescent="0.25">
      <c r="B1847" s="427"/>
      <c r="C1847" s="67"/>
      <c r="D1847" s="428"/>
      <c r="E1847" s="428"/>
      <c r="F1847" s="429"/>
    </row>
    <row r="1848" spans="2:6" ht="15.75" x14ac:dyDescent="0.25">
      <c r="B1848" s="427"/>
      <c r="C1848" s="67"/>
      <c r="D1848" s="428"/>
      <c r="E1848" s="428"/>
      <c r="F1848" s="429"/>
    </row>
    <row r="1849" spans="2:6" ht="15.75" x14ac:dyDescent="0.25">
      <c r="B1849" s="427"/>
      <c r="C1849" s="67"/>
      <c r="D1849" s="428"/>
      <c r="E1849" s="428"/>
      <c r="F1849" s="429"/>
    </row>
    <row r="1850" spans="2:6" ht="15.75" x14ac:dyDescent="0.25">
      <c r="B1850" s="427"/>
      <c r="C1850" s="67"/>
      <c r="D1850" s="428"/>
      <c r="E1850" s="428"/>
      <c r="F1850" s="429"/>
    </row>
    <row r="1851" spans="2:6" ht="15.75" x14ac:dyDescent="0.25">
      <c r="B1851" s="427"/>
      <c r="C1851" s="67"/>
      <c r="D1851" s="428"/>
      <c r="E1851" s="428"/>
      <c r="F1851" s="429"/>
    </row>
    <row r="1852" spans="2:6" ht="15.75" x14ac:dyDescent="0.25">
      <c r="B1852" s="427"/>
      <c r="C1852" s="67"/>
      <c r="D1852" s="428"/>
      <c r="E1852" s="428"/>
      <c r="F1852" s="429"/>
    </row>
    <row r="1853" spans="2:6" ht="15.75" x14ac:dyDescent="0.25">
      <c r="B1853" s="427"/>
      <c r="C1853" s="67"/>
      <c r="D1853" s="428"/>
      <c r="E1853" s="428"/>
      <c r="F1853" s="429"/>
    </row>
    <row r="1854" spans="2:6" ht="15.75" x14ac:dyDescent="0.25">
      <c r="B1854" s="427"/>
      <c r="C1854" s="67"/>
      <c r="D1854" s="428"/>
      <c r="E1854" s="428"/>
      <c r="F1854" s="429"/>
    </row>
    <row r="1855" spans="2:6" ht="15.75" x14ac:dyDescent="0.25">
      <c r="B1855" s="427"/>
      <c r="C1855" s="67"/>
      <c r="D1855" s="428"/>
      <c r="E1855" s="428"/>
      <c r="F1855" s="429"/>
    </row>
    <row r="1856" spans="2:6" ht="15.75" x14ac:dyDescent="0.25">
      <c r="B1856" s="427"/>
      <c r="C1856" s="67"/>
      <c r="D1856" s="428"/>
      <c r="E1856" s="428"/>
      <c r="F1856" s="429"/>
    </row>
    <row r="1857" spans="2:6" ht="15.75" x14ac:dyDescent="0.25">
      <c r="B1857" s="427"/>
      <c r="C1857" s="67"/>
      <c r="D1857" s="428"/>
      <c r="E1857" s="428"/>
      <c r="F1857" s="429"/>
    </row>
    <row r="1858" spans="2:6" ht="15.75" x14ac:dyDescent="0.25">
      <c r="B1858" s="427"/>
      <c r="C1858" s="67"/>
      <c r="D1858" s="428"/>
      <c r="E1858" s="428"/>
      <c r="F1858" s="429"/>
    </row>
    <row r="1859" spans="2:6" ht="15.75" x14ac:dyDescent="0.25">
      <c r="B1859" s="427"/>
      <c r="C1859" s="67"/>
      <c r="D1859" s="428"/>
      <c r="E1859" s="428"/>
      <c r="F1859" s="429"/>
    </row>
    <row r="1860" spans="2:6" ht="15.75" x14ac:dyDescent="0.25">
      <c r="B1860" s="427"/>
      <c r="C1860" s="67"/>
      <c r="D1860" s="428"/>
      <c r="E1860" s="428"/>
      <c r="F1860" s="429"/>
    </row>
    <row r="1861" spans="2:6" ht="15.75" x14ac:dyDescent="0.25">
      <c r="B1861" s="427"/>
      <c r="C1861" s="67"/>
      <c r="D1861" s="428"/>
      <c r="E1861" s="428"/>
      <c r="F1861" s="429"/>
    </row>
    <row r="1862" spans="2:6" ht="15.75" x14ac:dyDescent="0.25">
      <c r="B1862" s="427"/>
      <c r="C1862" s="67"/>
      <c r="D1862" s="428"/>
      <c r="E1862" s="428"/>
      <c r="F1862" s="429"/>
    </row>
    <row r="1863" spans="2:6" ht="15.75" x14ac:dyDescent="0.25">
      <c r="B1863" s="427"/>
      <c r="C1863" s="67"/>
      <c r="D1863" s="428"/>
      <c r="E1863" s="428"/>
      <c r="F1863" s="429"/>
    </row>
    <row r="1864" spans="2:6" ht="15.75" x14ac:dyDescent="0.25">
      <c r="B1864" s="427"/>
      <c r="C1864" s="67"/>
      <c r="D1864" s="428"/>
      <c r="E1864" s="428"/>
      <c r="F1864" s="429"/>
    </row>
    <row r="1865" spans="2:6" ht="15.75" x14ac:dyDescent="0.25">
      <c r="B1865" s="427"/>
      <c r="C1865" s="67"/>
      <c r="D1865" s="428"/>
      <c r="E1865" s="428"/>
      <c r="F1865" s="429"/>
    </row>
    <row r="1866" spans="2:6" ht="15.75" x14ac:dyDescent="0.25">
      <c r="B1866" s="427"/>
      <c r="C1866" s="67"/>
      <c r="D1866" s="428"/>
      <c r="E1866" s="428"/>
      <c r="F1866" s="429"/>
    </row>
    <row r="1867" spans="2:6" ht="15.75" x14ac:dyDescent="0.25">
      <c r="B1867" s="427"/>
      <c r="C1867" s="67"/>
      <c r="D1867" s="428"/>
      <c r="E1867" s="428"/>
      <c r="F1867" s="429"/>
    </row>
    <row r="1868" spans="2:6" ht="15.75" x14ac:dyDescent="0.25">
      <c r="B1868" s="427"/>
      <c r="C1868" s="67"/>
      <c r="D1868" s="428"/>
      <c r="E1868" s="428"/>
      <c r="F1868" s="429"/>
    </row>
    <row r="1869" spans="2:6" ht="15.75" x14ac:dyDescent="0.25">
      <c r="B1869" s="427"/>
      <c r="C1869" s="67"/>
      <c r="D1869" s="428"/>
      <c r="E1869" s="428"/>
      <c r="F1869" s="429"/>
    </row>
    <row r="1870" spans="2:6" ht="15.75" x14ac:dyDescent="0.25">
      <c r="B1870" s="427"/>
      <c r="C1870" s="67"/>
      <c r="D1870" s="428"/>
      <c r="E1870" s="428"/>
      <c r="F1870" s="429"/>
    </row>
    <row r="1871" spans="2:6" ht="15.75" x14ac:dyDescent="0.25">
      <c r="B1871" s="427"/>
      <c r="C1871" s="67"/>
      <c r="D1871" s="428"/>
      <c r="E1871" s="428"/>
      <c r="F1871" s="429"/>
    </row>
    <row r="1872" spans="2:6" ht="15.75" x14ac:dyDescent="0.25">
      <c r="B1872" s="427"/>
      <c r="C1872" s="67"/>
      <c r="D1872" s="428"/>
      <c r="E1872" s="428"/>
      <c r="F1872" s="429"/>
    </row>
    <row r="1873" spans="2:6" ht="15.75" x14ac:dyDescent="0.25">
      <c r="B1873" s="427"/>
      <c r="C1873" s="67"/>
      <c r="D1873" s="428"/>
      <c r="E1873" s="428"/>
      <c r="F1873" s="429"/>
    </row>
    <row r="1874" spans="2:6" ht="15.75" x14ac:dyDescent="0.25">
      <c r="B1874" s="427"/>
      <c r="C1874" s="67"/>
      <c r="D1874" s="428"/>
      <c r="E1874" s="428"/>
      <c r="F1874" s="429"/>
    </row>
    <row r="1875" spans="2:6" ht="15.75" x14ac:dyDescent="0.25">
      <c r="B1875" s="427"/>
      <c r="C1875" s="67"/>
      <c r="D1875" s="428"/>
      <c r="E1875" s="428"/>
      <c r="F1875" s="429"/>
    </row>
    <row r="1876" spans="2:6" ht="15.75" x14ac:dyDescent="0.25">
      <c r="B1876" s="427"/>
      <c r="C1876" s="67"/>
      <c r="D1876" s="428"/>
      <c r="E1876" s="428"/>
      <c r="F1876" s="429"/>
    </row>
    <row r="1877" spans="2:6" ht="15.75" x14ac:dyDescent="0.25">
      <c r="B1877" s="427"/>
      <c r="C1877" s="67"/>
      <c r="D1877" s="428"/>
      <c r="E1877" s="428"/>
      <c r="F1877" s="429"/>
    </row>
    <row r="1878" spans="2:6" ht="15.75" x14ac:dyDescent="0.25">
      <c r="B1878" s="427"/>
      <c r="C1878" s="67"/>
      <c r="D1878" s="428"/>
      <c r="E1878" s="428"/>
      <c r="F1878" s="429"/>
    </row>
    <row r="1879" spans="2:6" ht="15.75" x14ac:dyDescent="0.25">
      <c r="B1879" s="427"/>
      <c r="C1879" s="67"/>
      <c r="D1879" s="428"/>
      <c r="E1879" s="428"/>
      <c r="F1879" s="429"/>
    </row>
    <row r="1880" spans="2:6" ht="15.75" x14ac:dyDescent="0.25">
      <c r="B1880" s="427"/>
      <c r="C1880" s="67"/>
      <c r="D1880" s="428"/>
      <c r="E1880" s="428"/>
      <c r="F1880" s="429"/>
    </row>
    <row r="1881" spans="2:6" ht="15.75" x14ac:dyDescent="0.25">
      <c r="B1881" s="427"/>
      <c r="C1881" s="67"/>
      <c r="D1881" s="428"/>
      <c r="E1881" s="428"/>
      <c r="F1881" s="429"/>
    </row>
    <row r="1882" spans="2:6" ht="15.75" x14ac:dyDescent="0.25">
      <c r="B1882" s="427"/>
      <c r="C1882" s="67"/>
      <c r="D1882" s="428"/>
      <c r="E1882" s="428"/>
      <c r="F1882" s="429"/>
    </row>
    <row r="1883" spans="2:6" ht="15.75" x14ac:dyDescent="0.25">
      <c r="B1883" s="427"/>
      <c r="C1883" s="67"/>
      <c r="D1883" s="428"/>
      <c r="E1883" s="428"/>
      <c r="F1883" s="429"/>
    </row>
    <row r="1884" spans="2:6" ht="15.75" x14ac:dyDescent="0.25">
      <c r="B1884" s="427"/>
      <c r="C1884" s="67"/>
      <c r="D1884" s="428"/>
      <c r="E1884" s="428"/>
      <c r="F1884" s="429"/>
    </row>
    <row r="1885" spans="2:6" ht="15.75" x14ac:dyDescent="0.25">
      <c r="B1885" s="427"/>
      <c r="C1885" s="67"/>
      <c r="D1885" s="428"/>
      <c r="E1885" s="428"/>
      <c r="F1885" s="429"/>
    </row>
    <row r="1886" spans="2:6" ht="15.75" x14ac:dyDescent="0.25">
      <c r="B1886" s="427"/>
      <c r="C1886" s="67"/>
      <c r="D1886" s="428"/>
      <c r="E1886" s="428"/>
      <c r="F1886" s="429"/>
    </row>
    <row r="1887" spans="2:6" ht="15.75" x14ac:dyDescent="0.25">
      <c r="B1887" s="427"/>
      <c r="C1887" s="67"/>
      <c r="D1887" s="428"/>
      <c r="E1887" s="428"/>
      <c r="F1887" s="429"/>
    </row>
    <row r="1888" spans="2:6" ht="15.75" x14ac:dyDescent="0.25">
      <c r="B1888" s="427"/>
      <c r="C1888" s="67"/>
      <c r="D1888" s="428"/>
      <c r="E1888" s="428"/>
      <c r="F1888" s="429"/>
    </row>
    <row r="1889" spans="2:6" ht="15.75" x14ac:dyDescent="0.25">
      <c r="B1889" s="427"/>
      <c r="C1889" s="67"/>
      <c r="D1889" s="428"/>
      <c r="E1889" s="428"/>
      <c r="F1889" s="429"/>
    </row>
    <row r="1890" spans="2:6" ht="15.75" x14ac:dyDescent="0.25">
      <c r="B1890" s="427"/>
      <c r="C1890" s="67"/>
      <c r="D1890" s="428"/>
      <c r="E1890" s="428"/>
      <c r="F1890" s="429"/>
    </row>
    <row r="1891" spans="2:6" ht="15.75" x14ac:dyDescent="0.25">
      <c r="B1891" s="427"/>
      <c r="C1891" s="67"/>
      <c r="D1891" s="428"/>
      <c r="E1891" s="428"/>
      <c r="F1891" s="429"/>
    </row>
    <row r="1892" spans="2:6" ht="15.75" x14ac:dyDescent="0.25">
      <c r="B1892" s="427"/>
      <c r="C1892" s="67"/>
      <c r="D1892" s="428"/>
      <c r="E1892" s="428"/>
      <c r="F1892" s="429"/>
    </row>
    <row r="1893" spans="2:6" ht="15.75" x14ac:dyDescent="0.25">
      <c r="B1893" s="427"/>
      <c r="C1893" s="67"/>
      <c r="D1893" s="428"/>
      <c r="E1893" s="428"/>
      <c r="F1893" s="429"/>
    </row>
    <row r="1894" spans="2:6" ht="15.75" x14ac:dyDescent="0.25">
      <c r="B1894" s="427"/>
      <c r="C1894" s="67"/>
      <c r="D1894" s="428"/>
      <c r="E1894" s="428"/>
      <c r="F1894" s="429"/>
    </row>
    <row r="1895" spans="2:6" ht="15.75" x14ac:dyDescent="0.25">
      <c r="B1895" s="427"/>
      <c r="C1895" s="67"/>
      <c r="D1895" s="428"/>
      <c r="E1895" s="428"/>
      <c r="F1895" s="429"/>
    </row>
    <row r="1896" spans="2:6" ht="15.75" x14ac:dyDescent="0.25">
      <c r="B1896" s="427"/>
      <c r="C1896" s="67"/>
      <c r="D1896" s="428"/>
      <c r="E1896" s="428"/>
      <c r="F1896" s="429"/>
    </row>
    <row r="1897" spans="2:6" ht="15.75" x14ac:dyDescent="0.25">
      <c r="B1897" s="427"/>
      <c r="C1897" s="67"/>
      <c r="D1897" s="428"/>
      <c r="E1897" s="428"/>
      <c r="F1897" s="429"/>
    </row>
    <row r="1898" spans="2:6" ht="15.75" x14ac:dyDescent="0.25">
      <c r="B1898" s="427"/>
      <c r="C1898" s="67"/>
      <c r="D1898" s="428"/>
      <c r="E1898" s="428"/>
      <c r="F1898" s="429"/>
    </row>
    <row r="1899" spans="2:6" ht="15.75" x14ac:dyDescent="0.25">
      <c r="B1899" s="427"/>
      <c r="C1899" s="67"/>
      <c r="D1899" s="428"/>
      <c r="E1899" s="428"/>
      <c r="F1899" s="429"/>
    </row>
    <row r="1900" spans="2:6" ht="15.75" x14ac:dyDescent="0.25">
      <c r="B1900" s="427"/>
      <c r="C1900" s="67"/>
      <c r="D1900" s="428"/>
      <c r="E1900" s="428"/>
      <c r="F1900" s="429"/>
    </row>
    <row r="1901" spans="2:6" ht="15.75" x14ac:dyDescent="0.25">
      <c r="B1901" s="427"/>
      <c r="C1901" s="67"/>
      <c r="D1901" s="428"/>
      <c r="E1901" s="428"/>
      <c r="F1901" s="429"/>
    </row>
    <row r="1902" spans="2:6" ht="15.75" x14ac:dyDescent="0.25">
      <c r="B1902" s="427"/>
      <c r="C1902" s="67"/>
      <c r="D1902" s="428"/>
      <c r="E1902" s="428"/>
      <c r="F1902" s="429"/>
    </row>
    <row r="1903" spans="2:6" ht="15.75" x14ac:dyDescent="0.25">
      <c r="B1903" s="427"/>
      <c r="C1903" s="67"/>
      <c r="D1903" s="428"/>
      <c r="E1903" s="428"/>
      <c r="F1903" s="429"/>
    </row>
    <row r="1904" spans="2:6" ht="15.75" x14ac:dyDescent="0.25">
      <c r="B1904" s="427"/>
      <c r="C1904" s="67"/>
      <c r="D1904" s="428"/>
      <c r="E1904" s="428"/>
      <c r="F1904" s="429"/>
    </row>
    <row r="1905" spans="2:6" ht="15.75" x14ac:dyDescent="0.25">
      <c r="B1905" s="427"/>
      <c r="C1905" s="67"/>
      <c r="D1905" s="428"/>
      <c r="E1905" s="428"/>
      <c r="F1905" s="429"/>
    </row>
    <row r="1906" spans="2:6" ht="15.75" x14ac:dyDescent="0.25">
      <c r="B1906" s="427"/>
      <c r="C1906" s="67"/>
      <c r="D1906" s="428"/>
      <c r="E1906" s="428"/>
      <c r="F1906" s="429"/>
    </row>
    <row r="1907" spans="2:6" ht="15.75" x14ac:dyDescent="0.25">
      <c r="B1907" s="427"/>
      <c r="C1907" s="67"/>
      <c r="D1907" s="428"/>
      <c r="E1907" s="428"/>
      <c r="F1907" s="429"/>
    </row>
    <row r="1908" spans="2:6" ht="15.75" x14ac:dyDescent="0.25">
      <c r="B1908" s="427"/>
      <c r="C1908" s="67"/>
      <c r="D1908" s="428"/>
      <c r="E1908" s="428"/>
      <c r="F1908" s="429"/>
    </row>
    <row r="1909" spans="2:6" ht="15.75" x14ac:dyDescent="0.25">
      <c r="B1909" s="427"/>
      <c r="C1909" s="67"/>
      <c r="D1909" s="428"/>
      <c r="E1909" s="428"/>
      <c r="F1909" s="429"/>
    </row>
    <row r="1910" spans="2:6" ht="15.75" x14ac:dyDescent="0.25">
      <c r="B1910" s="427"/>
      <c r="C1910" s="67"/>
      <c r="D1910" s="428"/>
      <c r="E1910" s="428"/>
      <c r="F1910" s="429"/>
    </row>
    <row r="1911" spans="2:6" ht="15.75" x14ac:dyDescent="0.25">
      <c r="B1911" s="427"/>
      <c r="C1911" s="67"/>
      <c r="D1911" s="428"/>
      <c r="E1911" s="428"/>
      <c r="F1911" s="429"/>
    </row>
    <row r="1912" spans="2:6" ht="15.75" x14ac:dyDescent="0.25">
      <c r="B1912" s="427"/>
      <c r="C1912" s="67"/>
      <c r="D1912" s="428"/>
      <c r="E1912" s="428"/>
      <c r="F1912" s="429"/>
    </row>
    <row r="1913" spans="2:6" ht="15.75" x14ac:dyDescent="0.25">
      <c r="B1913" s="427"/>
      <c r="C1913" s="67"/>
      <c r="D1913" s="428"/>
      <c r="E1913" s="428"/>
      <c r="F1913" s="429"/>
    </row>
    <row r="1914" spans="2:6" ht="15.75" x14ac:dyDescent="0.25">
      <c r="B1914" s="427"/>
      <c r="C1914" s="67"/>
      <c r="D1914" s="428"/>
      <c r="E1914" s="428"/>
      <c r="F1914" s="429"/>
    </row>
    <row r="1915" spans="2:6" ht="15.75" x14ac:dyDescent="0.25">
      <c r="B1915" s="427"/>
      <c r="C1915" s="67"/>
      <c r="D1915" s="428"/>
      <c r="E1915" s="428"/>
      <c r="F1915" s="429"/>
    </row>
    <row r="1916" spans="2:6" ht="15.75" x14ac:dyDescent="0.25">
      <c r="B1916" s="427"/>
      <c r="C1916" s="67"/>
      <c r="D1916" s="428"/>
      <c r="E1916" s="428"/>
      <c r="F1916" s="429"/>
    </row>
    <row r="1917" spans="2:6" ht="15.75" x14ac:dyDescent="0.25">
      <c r="B1917" s="427"/>
      <c r="C1917" s="67"/>
      <c r="D1917" s="428"/>
      <c r="E1917" s="428"/>
      <c r="F1917" s="429"/>
    </row>
    <row r="1918" spans="2:6" ht="15.75" x14ac:dyDescent="0.25">
      <c r="B1918" s="427"/>
      <c r="C1918" s="67"/>
      <c r="D1918" s="428"/>
      <c r="E1918" s="428"/>
      <c r="F1918" s="429"/>
    </row>
    <row r="1919" spans="2:6" ht="15.75" x14ac:dyDescent="0.25">
      <c r="B1919" s="427"/>
      <c r="C1919" s="67"/>
      <c r="D1919" s="428"/>
      <c r="E1919" s="428"/>
      <c r="F1919" s="429"/>
    </row>
    <row r="1920" spans="2:6" ht="15.75" x14ac:dyDescent="0.25">
      <c r="B1920" s="427"/>
      <c r="C1920" s="67"/>
      <c r="D1920" s="428"/>
      <c r="E1920" s="428"/>
      <c r="F1920" s="429"/>
    </row>
    <row r="1921" spans="2:6" ht="15.75" x14ac:dyDescent="0.25">
      <c r="B1921" s="427"/>
      <c r="C1921" s="67"/>
      <c r="D1921" s="428"/>
      <c r="E1921" s="428"/>
      <c r="F1921" s="429"/>
    </row>
    <row r="1922" spans="2:6" ht="15.75" x14ac:dyDescent="0.25">
      <c r="B1922" s="427"/>
      <c r="C1922" s="67"/>
      <c r="D1922" s="428"/>
      <c r="E1922" s="428"/>
      <c r="F1922" s="429"/>
    </row>
    <row r="1923" spans="2:6" ht="15.75" x14ac:dyDescent="0.25">
      <c r="B1923" s="427"/>
      <c r="C1923" s="67"/>
      <c r="D1923" s="428"/>
      <c r="E1923" s="428"/>
      <c r="F1923" s="429"/>
    </row>
    <row r="1924" spans="2:6" ht="15.75" x14ac:dyDescent="0.25">
      <c r="B1924" s="427"/>
      <c r="C1924" s="67"/>
      <c r="D1924" s="428"/>
      <c r="E1924" s="428"/>
      <c r="F1924" s="429"/>
    </row>
    <row r="1925" spans="2:6" ht="15.75" x14ac:dyDescent="0.25">
      <c r="B1925" s="427"/>
      <c r="C1925" s="67"/>
      <c r="D1925" s="428"/>
      <c r="E1925" s="428"/>
      <c r="F1925" s="429"/>
    </row>
    <row r="1926" spans="2:6" ht="15.75" x14ac:dyDescent="0.25">
      <c r="B1926" s="427"/>
      <c r="C1926" s="67"/>
      <c r="D1926" s="428"/>
      <c r="E1926" s="428"/>
      <c r="F1926" s="429"/>
    </row>
    <row r="1927" spans="2:6" ht="15.75" x14ac:dyDescent="0.25">
      <c r="B1927" s="427"/>
      <c r="C1927" s="67"/>
      <c r="D1927" s="428"/>
      <c r="E1927" s="428"/>
      <c r="F1927" s="429"/>
    </row>
    <row r="1928" spans="2:6" ht="15.75" x14ac:dyDescent="0.25">
      <c r="B1928" s="427"/>
      <c r="C1928" s="67"/>
      <c r="D1928" s="428"/>
      <c r="E1928" s="428"/>
      <c r="F1928" s="429"/>
    </row>
    <row r="1929" spans="2:6" ht="15.75" x14ac:dyDescent="0.25">
      <c r="B1929" s="427"/>
      <c r="C1929" s="67"/>
      <c r="D1929" s="428"/>
      <c r="E1929" s="428"/>
      <c r="F1929" s="429"/>
    </row>
    <row r="1930" spans="2:6" ht="15.75" x14ac:dyDescent="0.25">
      <c r="B1930" s="427"/>
      <c r="C1930" s="67"/>
      <c r="D1930" s="428"/>
      <c r="E1930" s="428"/>
      <c r="F1930" s="429"/>
    </row>
    <row r="1931" spans="2:6" ht="15.75" x14ac:dyDescent="0.25">
      <c r="B1931" s="427"/>
      <c r="C1931" s="67"/>
      <c r="D1931" s="428"/>
      <c r="E1931" s="428"/>
      <c r="F1931" s="429"/>
    </row>
    <row r="1932" spans="2:6" ht="15.75" x14ac:dyDescent="0.25">
      <c r="B1932" s="427"/>
      <c r="C1932" s="67"/>
      <c r="D1932" s="428"/>
      <c r="E1932" s="428"/>
      <c r="F1932" s="429"/>
    </row>
    <row r="1933" spans="2:6" ht="15.75" x14ac:dyDescent="0.25">
      <c r="B1933" s="427"/>
      <c r="C1933" s="67"/>
      <c r="D1933" s="428"/>
      <c r="E1933" s="428"/>
      <c r="F1933" s="429"/>
    </row>
    <row r="1934" spans="2:6" ht="15.75" x14ac:dyDescent="0.25">
      <c r="B1934" s="427"/>
      <c r="C1934" s="67"/>
      <c r="D1934" s="428"/>
      <c r="E1934" s="428"/>
      <c r="F1934" s="429"/>
    </row>
    <row r="1935" spans="2:6" ht="15.75" x14ac:dyDescent="0.25">
      <c r="B1935" s="427"/>
      <c r="C1935" s="67"/>
      <c r="D1935" s="428"/>
      <c r="E1935" s="428"/>
      <c r="F1935" s="429"/>
    </row>
    <row r="1936" spans="2:6" ht="15.75" x14ac:dyDescent="0.25">
      <c r="B1936" s="427"/>
      <c r="C1936" s="67"/>
      <c r="D1936" s="428"/>
      <c r="E1936" s="428"/>
      <c r="F1936" s="429"/>
    </row>
    <row r="1937" spans="2:6" ht="15.75" x14ac:dyDescent="0.25">
      <c r="B1937" s="427"/>
      <c r="C1937" s="67"/>
      <c r="D1937" s="428"/>
      <c r="E1937" s="428"/>
      <c r="F1937" s="429"/>
    </row>
    <row r="1938" spans="2:6" ht="15.75" x14ac:dyDescent="0.25">
      <c r="B1938" s="427"/>
      <c r="C1938" s="67"/>
      <c r="D1938" s="428"/>
      <c r="E1938" s="428"/>
      <c r="F1938" s="429"/>
    </row>
    <row r="1939" spans="2:6" ht="15.75" x14ac:dyDescent="0.25">
      <c r="B1939" s="427"/>
      <c r="C1939" s="67"/>
      <c r="D1939" s="428"/>
      <c r="E1939" s="428"/>
      <c r="F1939" s="429"/>
    </row>
    <row r="1940" spans="2:6" ht="15.75" x14ac:dyDescent="0.25">
      <c r="B1940" s="427"/>
      <c r="C1940" s="67"/>
      <c r="D1940" s="428"/>
      <c r="E1940" s="428"/>
      <c r="F1940" s="429"/>
    </row>
    <row r="1941" spans="2:6" ht="15.75" x14ac:dyDescent="0.25">
      <c r="B1941" s="427"/>
      <c r="C1941" s="67"/>
      <c r="D1941" s="428"/>
      <c r="E1941" s="428"/>
      <c r="F1941" s="429"/>
    </row>
    <row r="1942" spans="2:6" ht="15.75" x14ac:dyDescent="0.25">
      <c r="B1942" s="427"/>
      <c r="C1942" s="67"/>
      <c r="D1942" s="428"/>
      <c r="E1942" s="428"/>
      <c r="F1942" s="429"/>
    </row>
    <row r="1943" spans="2:6" ht="15.75" x14ac:dyDescent="0.25">
      <c r="B1943" s="427"/>
      <c r="C1943" s="67"/>
      <c r="D1943" s="428"/>
      <c r="E1943" s="428"/>
      <c r="F1943" s="429"/>
    </row>
    <row r="1944" spans="2:6" ht="15.75" x14ac:dyDescent="0.25">
      <c r="B1944" s="427"/>
      <c r="C1944" s="67"/>
      <c r="D1944" s="428"/>
      <c r="E1944" s="428"/>
      <c r="F1944" s="429"/>
    </row>
    <row r="1945" spans="2:6" ht="15.75" x14ac:dyDescent="0.25">
      <c r="B1945" s="427"/>
      <c r="C1945" s="67"/>
      <c r="D1945" s="428"/>
      <c r="E1945" s="428"/>
      <c r="F1945" s="429"/>
    </row>
    <row r="1946" spans="2:6" ht="15.75" x14ac:dyDescent="0.25">
      <c r="B1946" s="427"/>
      <c r="C1946" s="67"/>
      <c r="D1946" s="428"/>
      <c r="E1946" s="428"/>
      <c r="F1946" s="429"/>
    </row>
    <row r="1947" spans="2:6" ht="15.75" x14ac:dyDescent="0.25">
      <c r="B1947" s="427"/>
      <c r="C1947" s="67"/>
      <c r="D1947" s="428"/>
      <c r="E1947" s="428"/>
      <c r="F1947" s="429"/>
    </row>
    <row r="1948" spans="2:6" ht="15.75" x14ac:dyDescent="0.25">
      <c r="B1948" s="427"/>
      <c r="C1948" s="67"/>
      <c r="D1948" s="428"/>
      <c r="E1948" s="428"/>
      <c r="F1948" s="429"/>
    </row>
    <row r="1949" spans="2:6" ht="15.75" x14ac:dyDescent="0.25">
      <c r="B1949" s="427"/>
      <c r="C1949" s="67"/>
      <c r="D1949" s="428"/>
      <c r="E1949" s="428"/>
      <c r="F1949" s="429"/>
    </row>
    <row r="1950" spans="2:6" ht="15.75" x14ac:dyDescent="0.25">
      <c r="B1950" s="427"/>
      <c r="C1950" s="67"/>
      <c r="D1950" s="428"/>
      <c r="E1950" s="428"/>
      <c r="F1950" s="429"/>
    </row>
    <row r="1951" spans="2:6" ht="15.75" x14ac:dyDescent="0.25">
      <c r="B1951" s="427"/>
      <c r="C1951" s="67"/>
      <c r="D1951" s="428"/>
      <c r="E1951" s="428"/>
      <c r="F1951" s="429"/>
    </row>
    <row r="1952" spans="2:6" ht="15.75" x14ac:dyDescent="0.25">
      <c r="B1952" s="427"/>
      <c r="C1952" s="67"/>
      <c r="D1952" s="428"/>
      <c r="E1952" s="428"/>
      <c r="F1952" s="429"/>
    </row>
    <row r="1953" spans="2:6" ht="15.75" x14ac:dyDescent="0.25">
      <c r="B1953" s="427"/>
      <c r="C1953" s="67"/>
      <c r="D1953" s="428"/>
      <c r="E1953" s="428"/>
      <c r="F1953" s="429"/>
    </row>
    <row r="1954" spans="2:6" ht="15.75" x14ac:dyDescent="0.25">
      <c r="B1954" s="427"/>
      <c r="C1954" s="67"/>
      <c r="D1954" s="428"/>
      <c r="E1954" s="428"/>
      <c r="F1954" s="429"/>
    </row>
    <row r="1955" spans="2:6" ht="15.75" x14ac:dyDescent="0.25">
      <c r="B1955" s="427"/>
      <c r="C1955" s="67"/>
      <c r="D1955" s="428"/>
      <c r="E1955" s="428"/>
      <c r="F1955" s="429"/>
    </row>
    <row r="1956" spans="2:6" ht="15.75" x14ac:dyDescent="0.25">
      <c r="B1956" s="427"/>
      <c r="C1956" s="67"/>
      <c r="D1956" s="428"/>
      <c r="E1956" s="428"/>
      <c r="F1956" s="429"/>
    </row>
    <row r="1957" spans="2:6" ht="15.75" x14ac:dyDescent="0.25">
      <c r="B1957" s="427"/>
      <c r="C1957" s="67"/>
      <c r="D1957" s="428"/>
      <c r="E1957" s="428"/>
      <c r="F1957" s="429"/>
    </row>
    <row r="1958" spans="2:6" ht="15.75" x14ac:dyDescent="0.25">
      <c r="B1958" s="427"/>
      <c r="C1958" s="67"/>
      <c r="D1958" s="428"/>
      <c r="E1958" s="428"/>
      <c r="F1958" s="429"/>
    </row>
    <row r="1959" spans="2:6" ht="15.75" x14ac:dyDescent="0.25">
      <c r="B1959" s="427"/>
      <c r="C1959" s="67"/>
      <c r="D1959" s="428"/>
      <c r="E1959" s="428"/>
      <c r="F1959" s="429"/>
    </row>
    <row r="1960" spans="2:6" ht="15.75" x14ac:dyDescent="0.25">
      <c r="B1960" s="427"/>
      <c r="C1960" s="67"/>
      <c r="D1960" s="428"/>
      <c r="E1960" s="428"/>
      <c r="F1960" s="429"/>
    </row>
    <row r="1961" spans="2:6" ht="15.75" x14ac:dyDescent="0.25">
      <c r="B1961" s="427"/>
      <c r="C1961" s="67"/>
      <c r="D1961" s="428"/>
      <c r="E1961" s="428"/>
      <c r="F1961" s="429"/>
    </row>
    <row r="1962" spans="2:6" ht="15.75" x14ac:dyDescent="0.25">
      <c r="B1962" s="427"/>
      <c r="C1962" s="67"/>
      <c r="D1962" s="428"/>
      <c r="E1962" s="428"/>
      <c r="F1962" s="429"/>
    </row>
    <row r="1963" spans="2:6" ht="15.75" x14ac:dyDescent="0.25">
      <c r="B1963" s="427"/>
      <c r="C1963" s="67"/>
      <c r="D1963" s="428"/>
      <c r="E1963" s="428"/>
      <c r="F1963" s="429"/>
    </row>
    <row r="1964" spans="2:6" ht="15.75" x14ac:dyDescent="0.25">
      <c r="B1964" s="427"/>
      <c r="C1964" s="67"/>
      <c r="D1964" s="428"/>
      <c r="E1964" s="428"/>
      <c r="F1964" s="429"/>
    </row>
    <row r="1965" spans="2:6" ht="15.75" x14ac:dyDescent="0.25">
      <c r="B1965" s="427"/>
      <c r="C1965" s="67"/>
      <c r="D1965" s="428"/>
      <c r="E1965" s="428"/>
      <c r="F1965" s="429"/>
    </row>
    <row r="1966" spans="2:6" ht="15.75" x14ac:dyDescent="0.25">
      <c r="B1966" s="427"/>
      <c r="C1966" s="67"/>
      <c r="D1966" s="428"/>
      <c r="E1966" s="428"/>
      <c r="F1966" s="429"/>
    </row>
    <row r="1967" spans="2:6" ht="15.75" x14ac:dyDescent="0.25">
      <c r="B1967" s="427"/>
      <c r="C1967" s="67"/>
      <c r="D1967" s="428"/>
      <c r="E1967" s="428"/>
      <c r="F1967" s="429"/>
    </row>
    <row r="1968" spans="2:6" ht="15.75" x14ac:dyDescent="0.25">
      <c r="B1968" s="427"/>
      <c r="C1968" s="67"/>
      <c r="D1968" s="428"/>
      <c r="E1968" s="428"/>
      <c r="F1968" s="429"/>
    </row>
    <row r="1969" spans="2:6" ht="15.75" x14ac:dyDescent="0.25">
      <c r="B1969" s="427"/>
      <c r="C1969" s="67"/>
      <c r="D1969" s="428"/>
      <c r="E1969" s="428"/>
      <c r="F1969" s="429"/>
    </row>
    <row r="1970" spans="2:6" ht="15.75" x14ac:dyDescent="0.25">
      <c r="B1970" s="427"/>
      <c r="C1970" s="67"/>
      <c r="D1970" s="428"/>
      <c r="E1970" s="428"/>
      <c r="F1970" s="429"/>
    </row>
    <row r="1971" spans="2:6" ht="15.75" x14ac:dyDescent="0.25">
      <c r="B1971" s="427"/>
      <c r="C1971" s="67"/>
      <c r="D1971" s="428"/>
      <c r="E1971" s="428"/>
      <c r="F1971" s="429"/>
    </row>
    <row r="1972" spans="2:6" ht="15.75" x14ac:dyDescent="0.25">
      <c r="B1972" s="427"/>
      <c r="C1972" s="67"/>
      <c r="D1972" s="428"/>
      <c r="E1972" s="428"/>
      <c r="F1972" s="429"/>
    </row>
    <row r="1973" spans="2:6" ht="15.75" x14ac:dyDescent="0.25">
      <c r="B1973" s="427"/>
      <c r="C1973" s="67"/>
      <c r="D1973" s="428"/>
      <c r="E1973" s="428"/>
      <c r="F1973" s="429"/>
    </row>
    <row r="1974" spans="2:6" ht="15.75" x14ac:dyDescent="0.25">
      <c r="B1974" s="427"/>
      <c r="C1974" s="67"/>
      <c r="D1974" s="428"/>
      <c r="E1974" s="428"/>
      <c r="F1974" s="429"/>
    </row>
    <row r="1975" spans="2:6" ht="15.75" x14ac:dyDescent="0.25">
      <c r="B1975" s="427"/>
      <c r="C1975" s="67"/>
      <c r="D1975" s="428"/>
      <c r="E1975" s="428"/>
      <c r="F1975" s="429"/>
    </row>
    <row r="1976" spans="2:6" ht="15.75" x14ac:dyDescent="0.25">
      <c r="B1976" s="427"/>
      <c r="C1976" s="67"/>
      <c r="D1976" s="428"/>
      <c r="E1976" s="428"/>
      <c r="F1976" s="429"/>
    </row>
    <row r="1977" spans="2:6" ht="15.75" x14ac:dyDescent="0.25">
      <c r="B1977" s="427"/>
      <c r="C1977" s="67"/>
      <c r="D1977" s="428"/>
      <c r="E1977" s="428"/>
      <c r="F1977" s="429"/>
    </row>
    <row r="1978" spans="2:6" ht="15.75" x14ac:dyDescent="0.25">
      <c r="B1978" s="427"/>
      <c r="C1978" s="67"/>
      <c r="D1978" s="428"/>
      <c r="E1978" s="428"/>
      <c r="F1978" s="429"/>
    </row>
    <row r="1979" spans="2:6" ht="15.75" x14ac:dyDescent="0.25">
      <c r="B1979" s="427"/>
      <c r="C1979" s="67"/>
      <c r="D1979" s="428"/>
      <c r="E1979" s="428"/>
      <c r="F1979" s="429"/>
    </row>
    <row r="1980" spans="2:6" ht="15.75" x14ac:dyDescent="0.25">
      <c r="B1980" s="427"/>
      <c r="C1980" s="67"/>
      <c r="D1980" s="428"/>
      <c r="E1980" s="428"/>
      <c r="F1980" s="429"/>
    </row>
    <row r="1981" spans="2:6" ht="15.75" x14ac:dyDescent="0.25">
      <c r="B1981" s="427"/>
      <c r="C1981" s="67"/>
      <c r="D1981" s="428"/>
      <c r="E1981" s="428"/>
      <c r="F1981" s="429"/>
    </row>
    <row r="1982" spans="2:6" ht="15.75" x14ac:dyDescent="0.25">
      <c r="B1982" s="427"/>
      <c r="C1982" s="67"/>
      <c r="D1982" s="428"/>
      <c r="E1982" s="428"/>
      <c r="F1982" s="429"/>
    </row>
    <row r="1983" spans="2:6" ht="15.75" x14ac:dyDescent="0.25">
      <c r="B1983" s="427"/>
      <c r="C1983" s="67"/>
      <c r="D1983" s="428"/>
      <c r="E1983" s="428"/>
      <c r="F1983" s="429"/>
    </row>
    <row r="1984" spans="2:6" ht="15.75" x14ac:dyDescent="0.25">
      <c r="B1984" s="427"/>
      <c r="C1984" s="67"/>
      <c r="D1984" s="428"/>
      <c r="E1984" s="428"/>
      <c r="F1984" s="429"/>
    </row>
    <row r="1985" spans="2:6" ht="15.75" x14ac:dyDescent="0.25">
      <c r="B1985" s="427"/>
      <c r="C1985" s="67"/>
      <c r="D1985" s="428"/>
      <c r="E1985" s="428"/>
      <c r="F1985" s="429"/>
    </row>
    <row r="1986" spans="2:6" ht="15.75" x14ac:dyDescent="0.25">
      <c r="B1986" s="427"/>
      <c r="C1986" s="67"/>
      <c r="D1986" s="428"/>
      <c r="E1986" s="428"/>
      <c r="F1986" s="429"/>
    </row>
    <row r="1987" spans="2:6" ht="15.75" x14ac:dyDescent="0.25">
      <c r="B1987" s="427"/>
      <c r="C1987" s="67"/>
      <c r="D1987" s="428"/>
      <c r="E1987" s="428"/>
      <c r="F1987" s="429"/>
    </row>
    <row r="1988" spans="2:6" ht="15.75" x14ac:dyDescent="0.25">
      <c r="B1988" s="427"/>
      <c r="C1988" s="67"/>
      <c r="D1988" s="428"/>
      <c r="E1988" s="428"/>
      <c r="F1988" s="429"/>
    </row>
    <row r="1989" spans="2:6" ht="15.75" x14ac:dyDescent="0.25">
      <c r="B1989" s="427"/>
      <c r="C1989" s="67"/>
      <c r="D1989" s="428"/>
      <c r="E1989" s="428"/>
      <c r="F1989" s="429"/>
    </row>
    <row r="1990" spans="2:6" ht="15.75" x14ac:dyDescent="0.25">
      <c r="B1990" s="427"/>
      <c r="C1990" s="67"/>
      <c r="D1990" s="428"/>
      <c r="E1990" s="428"/>
      <c r="F1990" s="429"/>
    </row>
    <row r="1991" spans="2:6" ht="15.75" x14ac:dyDescent="0.25">
      <c r="B1991" s="427"/>
      <c r="C1991" s="67"/>
      <c r="D1991" s="428"/>
      <c r="E1991" s="428"/>
      <c r="F1991" s="429"/>
    </row>
    <row r="1992" spans="2:6" ht="15.75" x14ac:dyDescent="0.25">
      <c r="B1992" s="427"/>
      <c r="C1992" s="67"/>
      <c r="D1992" s="428"/>
      <c r="E1992" s="428"/>
      <c r="F1992" s="429"/>
    </row>
    <row r="1993" spans="2:6" ht="15.75" x14ac:dyDescent="0.25">
      <c r="B1993" s="427"/>
      <c r="C1993" s="67"/>
      <c r="D1993" s="428"/>
      <c r="E1993" s="428"/>
      <c r="F1993" s="429"/>
    </row>
    <row r="1994" spans="2:6" ht="15.75" x14ac:dyDescent="0.25">
      <c r="B1994" s="427"/>
      <c r="C1994" s="67"/>
      <c r="D1994" s="428"/>
      <c r="E1994" s="428"/>
      <c r="F1994" s="429"/>
    </row>
    <row r="1995" spans="2:6" ht="15.75" x14ac:dyDescent="0.25">
      <c r="B1995" s="427"/>
      <c r="C1995" s="67"/>
      <c r="D1995" s="428"/>
      <c r="E1995" s="428"/>
      <c r="F1995" s="429"/>
    </row>
    <row r="1996" spans="2:6" ht="15.75" x14ac:dyDescent="0.25">
      <c r="B1996" s="427"/>
      <c r="C1996" s="67"/>
      <c r="D1996" s="428"/>
      <c r="E1996" s="428"/>
      <c r="F1996" s="429"/>
    </row>
    <row r="1997" spans="2:6" ht="15.75" x14ac:dyDescent="0.25">
      <c r="B1997" s="427"/>
      <c r="C1997" s="67"/>
      <c r="D1997" s="428"/>
      <c r="E1997" s="428"/>
      <c r="F1997" s="429"/>
    </row>
    <row r="1998" spans="2:6" ht="15.75" x14ac:dyDescent="0.25">
      <c r="B1998" s="427"/>
      <c r="C1998" s="67"/>
      <c r="D1998" s="428"/>
      <c r="E1998" s="428"/>
      <c r="F1998" s="429"/>
    </row>
    <row r="1999" spans="2:6" ht="15.75" x14ac:dyDescent="0.25">
      <c r="B1999" s="427"/>
      <c r="C1999" s="67"/>
      <c r="D1999" s="428"/>
      <c r="E1999" s="428"/>
      <c r="F1999" s="429"/>
    </row>
    <row r="2000" spans="2:6" ht="15.75" x14ac:dyDescent="0.25">
      <c r="B2000" s="427"/>
      <c r="C2000" s="419"/>
      <c r="D2000" s="428"/>
      <c r="E2000" s="428"/>
      <c r="F2000" s="429"/>
    </row>
  </sheetData>
  <mergeCells count="1">
    <mergeCell ref="B1:F1"/>
  </mergeCells>
  <dataValidations count="2">
    <dataValidation type="list" allowBlank="1" showInputMessage="1" showErrorMessage="1" sqref="B6:B2000" xr:uid="{00000000-0002-0000-0400-000000000000}">
      <formula1>Year</formula1>
    </dataValidation>
    <dataValidation type="list" allowBlank="1" showInputMessage="1" showErrorMessage="1" sqref="C6:D2000" xr:uid="{00000000-0002-0000-0400-000001000000}">
      <formula1>P_LSub_Group</formula1>
    </dataValidation>
  </dataValidations>
  <pageMargins left="0.7" right="0.7" top="0.75" bottom="0.75" header="0.3" footer="0.3"/>
  <pictur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A1:BP3810"/>
  <sheetViews>
    <sheetView showGridLines="0" showRowColHeaders="0" workbookViewId="0">
      <pane ySplit="5" topLeftCell="A6" activePane="bottomLeft" state="frozen"/>
      <selection pane="bottomLeft" activeCell="E1" sqref="E1"/>
    </sheetView>
  </sheetViews>
  <sheetFormatPr defaultRowHeight="15" outlineLevelCol="1" x14ac:dyDescent="0.25"/>
  <cols>
    <col min="1" max="1" width="28.28515625" customWidth="1" outlineLevel="1"/>
    <col min="2" max="2" width="24.28515625" customWidth="1" outlineLevel="1"/>
    <col min="3" max="3" width="35.28515625" customWidth="1" outlineLevel="1"/>
    <col min="4" max="4" width="36.140625" customWidth="1" outlineLevel="1"/>
  </cols>
  <sheetData>
    <row r="1" spans="1:68" ht="28.5" customHeight="1" x14ac:dyDescent="0.25">
      <c r="A1" s="525" t="s">
        <v>551</v>
      </c>
      <c r="B1" s="526"/>
      <c r="C1" s="526"/>
      <c r="D1" s="526"/>
      <c r="BP1" s="70" t="s">
        <v>261</v>
      </c>
    </row>
    <row r="2" spans="1:68" x14ac:dyDescent="0.25">
      <c r="BP2" s="70" t="s">
        <v>256</v>
      </c>
    </row>
    <row r="3" spans="1:68" x14ac:dyDescent="0.25">
      <c r="BP3" s="70" t="s">
        <v>257</v>
      </c>
    </row>
    <row r="4" spans="1:68" x14ac:dyDescent="0.25">
      <c r="BP4" s="70" t="s">
        <v>258</v>
      </c>
    </row>
    <row r="5" spans="1:68" ht="15.75" x14ac:dyDescent="0.25">
      <c r="A5" s="7" t="s">
        <v>22</v>
      </c>
      <c r="B5" s="8" t="s">
        <v>47</v>
      </c>
      <c r="C5" s="8" t="s">
        <v>255</v>
      </c>
      <c r="D5" s="8" t="s">
        <v>254</v>
      </c>
      <c r="BP5" s="70" t="s">
        <v>259</v>
      </c>
    </row>
    <row r="6" spans="1:68" ht="15.75" x14ac:dyDescent="0.25">
      <c r="A6" s="2">
        <v>2020</v>
      </c>
      <c r="B6" s="23" t="s">
        <v>270</v>
      </c>
      <c r="C6" s="23" t="s">
        <v>257</v>
      </c>
      <c r="D6" s="4">
        <v>676160</v>
      </c>
      <c r="BP6" s="70" t="s">
        <v>260</v>
      </c>
    </row>
    <row r="7" spans="1:68" ht="15.75" x14ac:dyDescent="0.25">
      <c r="A7" s="2">
        <v>2020</v>
      </c>
      <c r="B7" s="23" t="s">
        <v>270</v>
      </c>
      <c r="C7" s="23" t="s">
        <v>271</v>
      </c>
      <c r="D7" s="4">
        <v>-645785.29200000002</v>
      </c>
      <c r="BP7" s="70" t="s">
        <v>262</v>
      </c>
    </row>
    <row r="8" spans="1:68" ht="15.75" x14ac:dyDescent="0.25">
      <c r="A8" s="2">
        <v>2020</v>
      </c>
      <c r="B8" s="23" t="s">
        <v>270</v>
      </c>
      <c r="C8" s="23" t="s">
        <v>261</v>
      </c>
      <c r="D8" s="4">
        <v>-9112.4123999999956</v>
      </c>
      <c r="BP8" s="70" t="s">
        <v>263</v>
      </c>
    </row>
    <row r="9" spans="1:68" ht="15.75" x14ac:dyDescent="0.25">
      <c r="A9" s="2">
        <v>2020</v>
      </c>
      <c r="B9" s="23" t="s">
        <v>270</v>
      </c>
      <c r="C9" s="23" t="s">
        <v>256</v>
      </c>
      <c r="D9" s="4">
        <f>SUM(D6:D8)</f>
        <v>21262.29559999999</v>
      </c>
      <c r="BP9" s="70" t="s">
        <v>264</v>
      </c>
    </row>
    <row r="10" spans="1:68" ht="15.75" x14ac:dyDescent="0.25">
      <c r="A10" s="2">
        <v>2020</v>
      </c>
      <c r="B10" s="23" t="s">
        <v>267</v>
      </c>
      <c r="C10" s="23" t="s">
        <v>257</v>
      </c>
      <c r="D10" s="4">
        <v>483987</v>
      </c>
      <c r="BP10" s="70" t="s">
        <v>271</v>
      </c>
    </row>
    <row r="11" spans="1:68" ht="15.75" x14ac:dyDescent="0.25">
      <c r="A11" s="2">
        <v>2020</v>
      </c>
      <c r="B11" s="23" t="s">
        <v>267</v>
      </c>
      <c r="C11" s="23" t="s">
        <v>271</v>
      </c>
      <c r="D11" s="4">
        <v>-328179.919921875</v>
      </c>
    </row>
    <row r="12" spans="1:68" ht="15.75" x14ac:dyDescent="0.25">
      <c r="A12" s="2">
        <v>2020</v>
      </c>
      <c r="B12" s="23" t="s">
        <v>267</v>
      </c>
      <c r="C12" s="23" t="s">
        <v>261</v>
      </c>
      <c r="D12" s="4">
        <v>-19475.885009765625</v>
      </c>
    </row>
    <row r="13" spans="1:68" ht="15.75" x14ac:dyDescent="0.25">
      <c r="A13" s="2">
        <v>2020</v>
      </c>
      <c r="B13" s="23" t="s">
        <v>267</v>
      </c>
      <c r="C13" s="23" t="s">
        <v>256</v>
      </c>
      <c r="D13" s="4">
        <f>SUM(D10:D12)</f>
        <v>136331.19506835938</v>
      </c>
    </row>
    <row r="14" spans="1:68" ht="15.75" x14ac:dyDescent="0.25">
      <c r="A14" s="2">
        <v>2020</v>
      </c>
      <c r="B14" s="23" t="s">
        <v>265</v>
      </c>
      <c r="C14" s="23" t="s">
        <v>257</v>
      </c>
      <c r="D14" s="4">
        <v>975000</v>
      </c>
    </row>
    <row r="15" spans="1:68" ht="15.75" x14ac:dyDescent="0.25">
      <c r="A15" s="2">
        <v>2020</v>
      </c>
      <c r="B15" s="23" t="s">
        <v>265</v>
      </c>
      <c r="C15" s="23" t="s">
        <v>271</v>
      </c>
      <c r="D15" s="4">
        <v>-243750</v>
      </c>
    </row>
    <row r="16" spans="1:68" ht="15.75" x14ac:dyDescent="0.25">
      <c r="A16" s="2">
        <v>2020</v>
      </c>
      <c r="B16" s="23" t="s">
        <v>265</v>
      </c>
      <c r="C16" s="23" t="s">
        <v>261</v>
      </c>
      <c r="D16" s="4">
        <v>-182812.5</v>
      </c>
    </row>
    <row r="17" spans="1:4" ht="15.75" x14ac:dyDescent="0.25">
      <c r="A17" s="2">
        <v>2020</v>
      </c>
      <c r="B17" s="23" t="s">
        <v>265</v>
      </c>
      <c r="C17" s="23" t="s">
        <v>256</v>
      </c>
      <c r="D17" s="4">
        <f>SUM(D14:D16)</f>
        <v>548437.5</v>
      </c>
    </row>
    <row r="18" spans="1:4" ht="15.75" x14ac:dyDescent="0.25">
      <c r="A18" s="2">
        <v>2020</v>
      </c>
      <c r="B18" s="23" t="s">
        <v>269</v>
      </c>
      <c r="C18" s="23" t="s">
        <v>257</v>
      </c>
      <c r="D18" s="4">
        <v>375657</v>
      </c>
    </row>
    <row r="19" spans="1:4" ht="15.75" x14ac:dyDescent="0.25">
      <c r="A19" s="2">
        <v>2020</v>
      </c>
      <c r="B19" s="23" t="s">
        <v>269</v>
      </c>
      <c r="C19" s="23" t="s">
        <v>271</v>
      </c>
      <c r="D19" s="4">
        <v>-276379.9375</v>
      </c>
    </row>
    <row r="20" spans="1:4" ht="15.75" x14ac:dyDescent="0.25">
      <c r="A20" s="2">
        <v>2020</v>
      </c>
      <c r="B20" s="23" t="s">
        <v>269</v>
      </c>
      <c r="C20" s="23" t="s">
        <v>261</v>
      </c>
      <c r="D20" s="4">
        <v>-12409.6328125</v>
      </c>
    </row>
    <row r="21" spans="1:4" ht="15.75" x14ac:dyDescent="0.25">
      <c r="A21" s="2">
        <v>2020</v>
      </c>
      <c r="B21" s="23" t="s">
        <v>269</v>
      </c>
      <c r="C21" s="23" t="s">
        <v>256</v>
      </c>
      <c r="D21" s="4">
        <f>SUM(D18:D20)</f>
        <v>86867.4296875</v>
      </c>
    </row>
    <row r="22" spans="1:4" ht="15.75" x14ac:dyDescent="0.25">
      <c r="A22" s="2">
        <v>2021</v>
      </c>
      <c r="B22" s="23" t="s">
        <v>270</v>
      </c>
      <c r="C22" s="23" t="s">
        <v>257</v>
      </c>
      <c r="D22" s="4">
        <f>D9</f>
        <v>21262.29559999999</v>
      </c>
    </row>
    <row r="23" spans="1:4" ht="15.75" x14ac:dyDescent="0.25">
      <c r="A23" s="2">
        <v>2021</v>
      </c>
      <c r="B23" s="23" t="s">
        <v>270</v>
      </c>
      <c r="C23" s="23" t="s">
        <v>271</v>
      </c>
      <c r="D23" s="4">
        <f>D7+D8</f>
        <v>-654897.70440000005</v>
      </c>
    </row>
    <row r="24" spans="1:4" ht="15.75" x14ac:dyDescent="0.25">
      <c r="A24" s="2">
        <v>2021</v>
      </c>
      <c r="B24" s="23" t="s">
        <v>270</v>
      </c>
      <c r="C24" s="23" t="s">
        <v>261</v>
      </c>
      <c r="D24" s="4">
        <v>-6378.6886799999857</v>
      </c>
    </row>
    <row r="25" spans="1:4" ht="15.75" x14ac:dyDescent="0.25">
      <c r="A25" s="2">
        <v>2021</v>
      </c>
      <c r="B25" s="23" t="s">
        <v>270</v>
      </c>
      <c r="C25" s="23" t="s">
        <v>256</v>
      </c>
      <c r="D25" s="4">
        <f>D22+D24</f>
        <v>14883.606920000006</v>
      </c>
    </row>
    <row r="26" spans="1:4" ht="15.75" x14ac:dyDescent="0.25">
      <c r="A26" s="2">
        <v>2021</v>
      </c>
      <c r="B26" s="23" t="s">
        <v>267</v>
      </c>
      <c r="C26" s="23" t="s">
        <v>257</v>
      </c>
      <c r="D26" s="4">
        <f>D13</f>
        <v>136331.19506835938</v>
      </c>
    </row>
    <row r="27" spans="1:4" ht="15.75" x14ac:dyDescent="0.25">
      <c r="A27" s="2">
        <v>2021</v>
      </c>
      <c r="B27" s="23" t="s">
        <v>267</v>
      </c>
      <c r="C27" s="23" t="s">
        <v>258</v>
      </c>
      <c r="D27" s="4">
        <v>344748.28</v>
      </c>
    </row>
    <row r="28" spans="1:4" ht="15.75" x14ac:dyDescent="0.25">
      <c r="A28" s="2">
        <v>2021</v>
      </c>
      <c r="B28" s="23" t="s">
        <v>267</v>
      </c>
      <c r="C28" s="23" t="s">
        <v>271</v>
      </c>
      <c r="D28" s="4">
        <f>D11+D12</f>
        <v>-347655.80493164063</v>
      </c>
    </row>
    <row r="29" spans="1:4" ht="15.75" x14ac:dyDescent="0.25">
      <c r="A29" s="2">
        <v>2021</v>
      </c>
      <c r="B29" s="23" t="s">
        <v>267</v>
      </c>
      <c r="C29" s="23" t="s">
        <v>261</v>
      </c>
      <c r="D29" s="4">
        <v>-17041.399383544922</v>
      </c>
    </row>
    <row r="30" spans="1:4" ht="15.75" x14ac:dyDescent="0.25">
      <c r="A30" s="2">
        <v>2021</v>
      </c>
      <c r="B30" s="23" t="s">
        <v>267</v>
      </c>
      <c r="C30" s="23" t="s">
        <v>256</v>
      </c>
      <c r="D30" s="4">
        <f>D26+D27+D29</f>
        <v>464038.07568481448</v>
      </c>
    </row>
    <row r="31" spans="1:4" ht="15.75" x14ac:dyDescent="0.25">
      <c r="A31" s="2">
        <v>2021</v>
      </c>
      <c r="B31" s="23" t="s">
        <v>265</v>
      </c>
      <c r="C31" s="23" t="s">
        <v>257</v>
      </c>
      <c r="D31" s="4">
        <f>D17</f>
        <v>548437.5</v>
      </c>
    </row>
    <row r="32" spans="1:4" ht="15.75" x14ac:dyDescent="0.25">
      <c r="A32" s="2">
        <v>2021</v>
      </c>
      <c r="B32" s="23" t="s">
        <v>265</v>
      </c>
      <c r="C32" s="23" t="s">
        <v>258</v>
      </c>
      <c r="D32" s="4">
        <v>1500000</v>
      </c>
    </row>
    <row r="33" spans="1:4" ht="15.75" x14ac:dyDescent="0.25">
      <c r="A33" s="2">
        <v>2021</v>
      </c>
      <c r="B33" s="23" t="s">
        <v>265</v>
      </c>
      <c r="C33" s="23" t="s">
        <v>259</v>
      </c>
      <c r="D33" s="4">
        <v>-975000</v>
      </c>
    </row>
    <row r="34" spans="1:4" ht="15.75" x14ac:dyDescent="0.25">
      <c r="A34" s="2">
        <v>2021</v>
      </c>
      <c r="B34" s="23" t="s">
        <v>265</v>
      </c>
      <c r="C34" s="23" t="s">
        <v>271</v>
      </c>
      <c r="D34" s="4">
        <f>D15+D16</f>
        <v>-426562.5</v>
      </c>
    </row>
    <row r="35" spans="1:4" ht="15.75" x14ac:dyDescent="0.25">
      <c r="A35" s="2">
        <v>2021</v>
      </c>
      <c r="B35" s="23" t="s">
        <v>265</v>
      </c>
      <c r="C35" s="23" t="s">
        <v>261</v>
      </c>
      <c r="D35" s="4">
        <v>426562.5</v>
      </c>
    </row>
    <row r="36" spans="1:4" ht="15.75" x14ac:dyDescent="0.25">
      <c r="A36" s="2">
        <v>2021</v>
      </c>
      <c r="B36" s="23" t="s">
        <v>265</v>
      </c>
      <c r="C36" s="23" t="s">
        <v>261</v>
      </c>
      <c r="D36" s="68">
        <v>-375000</v>
      </c>
    </row>
    <row r="37" spans="1:4" ht="15.75" x14ac:dyDescent="0.25">
      <c r="A37" s="2">
        <v>2021</v>
      </c>
      <c r="B37" s="23" t="s">
        <v>265</v>
      </c>
      <c r="C37" s="23" t="s">
        <v>256</v>
      </c>
      <c r="D37" s="68">
        <f>D31+D32+D33+D35+D36</f>
        <v>1125000</v>
      </c>
    </row>
    <row r="38" spans="1:4" ht="15.75" x14ac:dyDescent="0.25">
      <c r="A38" s="2">
        <v>2021</v>
      </c>
      <c r="B38" s="23" t="s">
        <v>269</v>
      </c>
      <c r="C38" s="23" t="s">
        <v>257</v>
      </c>
      <c r="D38" s="68">
        <f>D21</f>
        <v>86867.4296875</v>
      </c>
    </row>
    <row r="39" spans="1:4" ht="15.75" x14ac:dyDescent="0.25">
      <c r="A39" s="2">
        <v>2021</v>
      </c>
      <c r="B39" s="23" t="s">
        <v>269</v>
      </c>
      <c r="C39" s="23" t="s">
        <v>271</v>
      </c>
      <c r="D39" s="68">
        <f>D19+D20</f>
        <v>-288789.5703125</v>
      </c>
    </row>
    <row r="40" spans="1:4" ht="15.75" x14ac:dyDescent="0.25">
      <c r="A40" s="2">
        <v>2021</v>
      </c>
      <c r="B40" s="23" t="s">
        <v>269</v>
      </c>
      <c r="C40" s="23" t="s">
        <v>261</v>
      </c>
      <c r="D40" s="68">
        <v>-10858.4287109375</v>
      </c>
    </row>
    <row r="41" spans="1:4" ht="15.75" x14ac:dyDescent="0.25">
      <c r="A41" s="2">
        <v>2021</v>
      </c>
      <c r="B41" s="23" t="s">
        <v>269</v>
      </c>
      <c r="C41" s="23" t="s">
        <v>256</v>
      </c>
      <c r="D41" s="4">
        <f>D38+D40</f>
        <v>76009.0009765625</v>
      </c>
    </row>
    <row r="42" spans="1:4" ht="15.75" x14ac:dyDescent="0.25">
      <c r="A42" s="2"/>
      <c r="B42" s="23"/>
      <c r="C42" s="23"/>
      <c r="D42" s="5"/>
    </row>
    <row r="43" spans="1:4" ht="15.75" x14ac:dyDescent="0.25">
      <c r="A43" s="2"/>
      <c r="B43" s="23"/>
      <c r="C43" s="23"/>
      <c r="D43" s="5"/>
    </row>
    <row r="44" spans="1:4" ht="15.75" x14ac:dyDescent="0.25">
      <c r="A44" s="2"/>
      <c r="B44" s="23"/>
      <c r="C44" s="23"/>
      <c r="D44" s="4"/>
    </row>
    <row r="45" spans="1:4" ht="15.75" x14ac:dyDescent="0.25">
      <c r="A45" s="2"/>
      <c r="B45" s="23"/>
      <c r="C45" s="23"/>
      <c r="D45" s="68"/>
    </row>
    <row r="46" spans="1:4" ht="15.75" x14ac:dyDescent="0.25">
      <c r="A46" s="2"/>
      <c r="B46" s="23"/>
      <c r="C46" s="23"/>
      <c r="D46" s="68"/>
    </row>
    <row r="47" spans="1:4" ht="15.75" x14ac:dyDescent="0.25">
      <c r="A47" s="2"/>
      <c r="B47" s="23"/>
      <c r="C47" s="23"/>
      <c r="D47" s="4"/>
    </row>
    <row r="48" spans="1:4" ht="15.75" x14ac:dyDescent="0.25">
      <c r="A48" s="2"/>
      <c r="B48" s="23"/>
      <c r="C48" s="23"/>
      <c r="D48" s="4"/>
    </row>
    <row r="49" spans="1:4" ht="15.75" x14ac:dyDescent="0.25">
      <c r="A49" s="2"/>
      <c r="B49" s="23"/>
      <c r="C49" s="23"/>
      <c r="D49" s="4"/>
    </row>
    <row r="50" spans="1:4" ht="15.75" x14ac:dyDescent="0.25">
      <c r="A50" s="2"/>
      <c r="B50" s="23"/>
      <c r="C50" s="23"/>
      <c r="D50" s="4"/>
    </row>
    <row r="51" spans="1:4" ht="15.75" x14ac:dyDescent="0.25">
      <c r="A51" s="2"/>
      <c r="B51" s="23"/>
      <c r="C51" s="23"/>
      <c r="D51" s="4"/>
    </row>
    <row r="52" spans="1:4" ht="15.75" x14ac:dyDescent="0.25">
      <c r="A52" s="2"/>
      <c r="B52" s="23"/>
      <c r="C52" s="23"/>
      <c r="D52" s="4"/>
    </row>
    <row r="53" spans="1:4" ht="15.75" x14ac:dyDescent="0.25">
      <c r="A53" s="2"/>
      <c r="B53" s="23"/>
      <c r="C53" s="23"/>
      <c r="D53" s="4"/>
    </row>
    <row r="54" spans="1:4" ht="15.75" x14ac:dyDescent="0.25">
      <c r="A54" s="2"/>
      <c r="B54" s="23"/>
      <c r="C54" s="23"/>
      <c r="D54" s="4"/>
    </row>
    <row r="55" spans="1:4" ht="15.75" x14ac:dyDescent="0.25">
      <c r="A55" s="2"/>
      <c r="B55" s="23"/>
      <c r="C55" s="23"/>
      <c r="D55" s="4"/>
    </row>
    <row r="56" spans="1:4" ht="15.75" x14ac:dyDescent="0.25">
      <c r="A56" s="2"/>
      <c r="B56" s="23"/>
      <c r="C56" s="23"/>
      <c r="D56" s="4"/>
    </row>
    <row r="57" spans="1:4" ht="15.75" x14ac:dyDescent="0.25">
      <c r="A57" s="2"/>
      <c r="B57" s="23"/>
      <c r="C57" s="23"/>
      <c r="D57" s="4"/>
    </row>
    <row r="58" spans="1:4" ht="15.75" x14ac:dyDescent="0.25">
      <c r="A58" s="2"/>
      <c r="B58" s="23"/>
      <c r="C58" s="23"/>
      <c r="D58" s="4"/>
    </row>
    <row r="59" spans="1:4" ht="15.75" x14ac:dyDescent="0.25">
      <c r="A59" s="2"/>
      <c r="B59" s="23"/>
      <c r="C59" s="23"/>
      <c r="D59" s="4"/>
    </row>
    <row r="60" spans="1:4" ht="15.75" x14ac:dyDescent="0.25">
      <c r="A60" s="2"/>
      <c r="B60" s="23"/>
      <c r="C60" s="23"/>
      <c r="D60" s="4"/>
    </row>
    <row r="61" spans="1:4" ht="15.75" x14ac:dyDescent="0.25">
      <c r="A61" s="2"/>
      <c r="B61" s="23"/>
      <c r="C61" s="23"/>
      <c r="D61" s="4"/>
    </row>
    <row r="62" spans="1:4" ht="15.75" x14ac:dyDescent="0.25">
      <c r="A62" s="2"/>
      <c r="B62" s="23"/>
      <c r="C62" s="23"/>
      <c r="D62" s="4"/>
    </row>
    <row r="63" spans="1:4" ht="15.75" x14ac:dyDescent="0.25">
      <c r="A63" s="2"/>
      <c r="B63" s="23"/>
      <c r="C63" s="23"/>
      <c r="D63" s="4"/>
    </row>
    <row r="64" spans="1:4" ht="15.75" x14ac:dyDescent="0.25">
      <c r="A64" s="2"/>
      <c r="B64" s="23"/>
      <c r="C64" s="23"/>
      <c r="D64" s="4"/>
    </row>
    <row r="65" spans="1:4" ht="15.75" x14ac:dyDescent="0.25">
      <c r="A65" s="2"/>
      <c r="B65" s="23"/>
      <c r="C65" s="23"/>
      <c r="D65" s="4"/>
    </row>
    <row r="66" spans="1:4" ht="15.75" x14ac:dyDescent="0.25">
      <c r="A66" s="2"/>
      <c r="B66" s="23"/>
      <c r="C66" s="23"/>
      <c r="D66" s="4"/>
    </row>
    <row r="67" spans="1:4" ht="15.75" x14ac:dyDescent="0.25">
      <c r="A67" s="2"/>
      <c r="B67" s="23"/>
      <c r="C67" s="23"/>
      <c r="D67" s="4"/>
    </row>
    <row r="68" spans="1:4" ht="15.75" x14ac:dyDescent="0.25">
      <c r="A68" s="2"/>
      <c r="B68" s="23"/>
      <c r="C68" s="23"/>
      <c r="D68" s="4"/>
    </row>
    <row r="69" spans="1:4" ht="15.75" x14ac:dyDescent="0.25">
      <c r="A69" s="2"/>
      <c r="B69" s="23"/>
      <c r="C69" s="23"/>
      <c r="D69" s="4"/>
    </row>
    <row r="70" spans="1:4" ht="15.75" x14ac:dyDescent="0.25">
      <c r="A70" s="2"/>
      <c r="B70" s="23"/>
      <c r="C70" s="23"/>
      <c r="D70" s="4"/>
    </row>
    <row r="71" spans="1:4" ht="15.75" x14ac:dyDescent="0.25">
      <c r="A71" s="2"/>
      <c r="B71" s="23"/>
      <c r="C71" s="23"/>
      <c r="D71" s="4"/>
    </row>
    <row r="72" spans="1:4" ht="15.75" x14ac:dyDescent="0.25">
      <c r="A72" s="2"/>
      <c r="B72" s="23"/>
      <c r="C72" s="23"/>
      <c r="D72" s="4"/>
    </row>
    <row r="73" spans="1:4" ht="15.75" x14ac:dyDescent="0.25">
      <c r="A73" s="2"/>
      <c r="B73" s="23"/>
      <c r="C73" s="23"/>
      <c r="D73" s="4"/>
    </row>
    <row r="74" spans="1:4" ht="15.75" x14ac:dyDescent="0.25">
      <c r="A74" s="2"/>
      <c r="B74" s="23"/>
      <c r="C74" s="23"/>
      <c r="D74" s="4"/>
    </row>
    <row r="75" spans="1:4" ht="15.75" x14ac:dyDescent="0.25">
      <c r="A75" s="2"/>
      <c r="B75" s="23"/>
      <c r="C75" s="23"/>
      <c r="D75" s="4"/>
    </row>
    <row r="76" spans="1:4" ht="15.75" x14ac:dyDescent="0.25">
      <c r="A76" s="2"/>
      <c r="B76" s="23"/>
      <c r="C76" s="23"/>
      <c r="D76" s="4"/>
    </row>
    <row r="77" spans="1:4" ht="15.75" x14ac:dyDescent="0.25">
      <c r="A77" s="2"/>
      <c r="B77" s="23"/>
      <c r="C77" s="23"/>
      <c r="D77" s="4"/>
    </row>
    <row r="78" spans="1:4" ht="15.75" x14ac:dyDescent="0.25">
      <c r="A78" s="2"/>
      <c r="B78" s="23"/>
      <c r="C78" s="23"/>
      <c r="D78" s="4"/>
    </row>
    <row r="79" spans="1:4" ht="15.75" x14ac:dyDescent="0.25">
      <c r="A79" s="2"/>
      <c r="B79" s="23"/>
      <c r="C79" s="23"/>
      <c r="D79" s="4"/>
    </row>
    <row r="80" spans="1:4" ht="15.75" x14ac:dyDescent="0.25">
      <c r="A80" s="2"/>
      <c r="B80" s="23"/>
      <c r="C80" s="23"/>
      <c r="D80" s="4"/>
    </row>
    <row r="81" spans="1:4" ht="15.75" x14ac:dyDescent="0.25">
      <c r="A81" s="2"/>
      <c r="B81" s="23"/>
      <c r="C81" s="23"/>
      <c r="D81" s="4"/>
    </row>
    <row r="82" spans="1:4" ht="15.75" x14ac:dyDescent="0.25">
      <c r="A82" s="2"/>
      <c r="B82" s="23"/>
      <c r="C82" s="23"/>
      <c r="D82" s="4"/>
    </row>
    <row r="83" spans="1:4" ht="15.75" x14ac:dyDescent="0.25">
      <c r="A83" s="2"/>
      <c r="B83" s="23"/>
      <c r="C83" s="23"/>
      <c r="D83" s="4"/>
    </row>
    <row r="84" spans="1:4" ht="15.75" x14ac:dyDescent="0.25">
      <c r="A84" s="2"/>
      <c r="B84" s="23"/>
      <c r="C84" s="23"/>
      <c r="D84" s="4"/>
    </row>
    <row r="85" spans="1:4" ht="15.75" x14ac:dyDescent="0.25">
      <c r="A85" s="2"/>
      <c r="B85" s="23"/>
      <c r="C85" s="23"/>
      <c r="D85" s="4"/>
    </row>
    <row r="86" spans="1:4" ht="15.75" x14ac:dyDescent="0.25">
      <c r="A86" s="2"/>
      <c r="B86" s="23"/>
      <c r="C86" s="23"/>
      <c r="D86" s="4"/>
    </row>
    <row r="87" spans="1:4" ht="15.75" x14ac:dyDescent="0.25">
      <c r="A87" s="2"/>
      <c r="B87" s="23"/>
      <c r="C87" s="23"/>
      <c r="D87" s="4"/>
    </row>
    <row r="88" spans="1:4" ht="15.75" x14ac:dyDescent="0.25">
      <c r="A88" s="2"/>
      <c r="B88" s="23"/>
      <c r="C88" s="23"/>
      <c r="D88" s="4"/>
    </row>
    <row r="89" spans="1:4" ht="15.75" x14ac:dyDescent="0.25">
      <c r="A89" s="2"/>
      <c r="B89" s="23"/>
      <c r="C89" s="23"/>
      <c r="D89" s="4"/>
    </row>
    <row r="90" spans="1:4" ht="15.75" x14ac:dyDescent="0.25">
      <c r="A90" s="2"/>
      <c r="B90" s="23"/>
      <c r="C90" s="23"/>
      <c r="D90" s="4"/>
    </row>
    <row r="91" spans="1:4" ht="15.75" x14ac:dyDescent="0.25">
      <c r="A91" s="2"/>
      <c r="B91" s="23"/>
      <c r="C91" s="23"/>
      <c r="D91" s="4"/>
    </row>
    <row r="92" spans="1:4" ht="15.75" x14ac:dyDescent="0.25">
      <c r="A92" s="2"/>
      <c r="B92" s="23"/>
      <c r="C92" s="23"/>
      <c r="D92" s="4"/>
    </row>
    <row r="93" spans="1:4" ht="15.75" x14ac:dyDescent="0.25">
      <c r="A93" s="2"/>
      <c r="B93" s="23"/>
      <c r="C93" s="23"/>
      <c r="D93" s="4"/>
    </row>
    <row r="94" spans="1:4" ht="15.75" x14ac:dyDescent="0.25">
      <c r="A94" s="2"/>
      <c r="B94" s="23"/>
      <c r="C94" s="23"/>
      <c r="D94" s="4"/>
    </row>
    <row r="95" spans="1:4" ht="15.75" x14ac:dyDescent="0.25">
      <c r="A95" s="2"/>
      <c r="B95" s="23"/>
      <c r="C95" s="23"/>
      <c r="D95" s="4"/>
    </row>
    <row r="96" spans="1:4" ht="15.75" x14ac:dyDescent="0.25">
      <c r="A96" s="2"/>
      <c r="B96" s="23"/>
      <c r="C96" s="23"/>
      <c r="D96" s="4"/>
    </row>
    <row r="97" spans="1:4" ht="15.75" x14ac:dyDescent="0.25">
      <c r="A97" s="2"/>
      <c r="B97" s="23"/>
      <c r="C97" s="23"/>
      <c r="D97" s="4"/>
    </row>
    <row r="98" spans="1:4" ht="15.75" x14ac:dyDescent="0.25">
      <c r="A98" s="2"/>
      <c r="B98" s="23"/>
      <c r="C98" s="23"/>
      <c r="D98" s="4"/>
    </row>
    <row r="99" spans="1:4" ht="15.75" x14ac:dyDescent="0.25">
      <c r="A99" s="2"/>
      <c r="B99" s="23"/>
      <c r="C99" s="23"/>
      <c r="D99" s="4"/>
    </row>
    <row r="100" spans="1:4" ht="15.75" x14ac:dyDescent="0.25">
      <c r="A100" s="2"/>
      <c r="B100" s="23"/>
      <c r="C100" s="23"/>
      <c r="D100" s="4"/>
    </row>
    <row r="101" spans="1:4" ht="15.75" x14ac:dyDescent="0.25">
      <c r="A101" s="2"/>
      <c r="B101" s="23"/>
      <c r="C101" s="23"/>
      <c r="D101" s="4"/>
    </row>
    <row r="102" spans="1:4" ht="15.75" x14ac:dyDescent="0.25">
      <c r="A102" s="2"/>
      <c r="B102" s="23"/>
      <c r="C102" s="23"/>
      <c r="D102" s="4"/>
    </row>
    <row r="103" spans="1:4" ht="15.75" x14ac:dyDescent="0.25">
      <c r="A103" s="2"/>
      <c r="B103" s="23"/>
      <c r="C103" s="23"/>
      <c r="D103" s="4"/>
    </row>
    <row r="104" spans="1:4" ht="15.75" x14ac:dyDescent="0.25">
      <c r="A104" s="2"/>
      <c r="B104" s="23"/>
      <c r="C104" s="23"/>
      <c r="D104" s="4"/>
    </row>
    <row r="105" spans="1:4" ht="15.75" x14ac:dyDescent="0.25">
      <c r="A105" s="2"/>
      <c r="B105" s="23"/>
      <c r="C105" s="23"/>
      <c r="D105" s="4"/>
    </row>
    <row r="106" spans="1:4" ht="15.75" x14ac:dyDescent="0.25">
      <c r="A106" s="2"/>
      <c r="B106" s="23"/>
      <c r="C106" s="23"/>
      <c r="D106" s="4"/>
    </row>
    <row r="107" spans="1:4" ht="15.75" x14ac:dyDescent="0.25">
      <c r="A107" s="2"/>
      <c r="B107" s="23"/>
      <c r="C107" s="23"/>
      <c r="D107" s="4"/>
    </row>
    <row r="108" spans="1:4" ht="15.75" x14ac:dyDescent="0.25">
      <c r="A108" s="2"/>
      <c r="B108" s="23"/>
      <c r="C108" s="23"/>
      <c r="D108" s="4"/>
    </row>
    <row r="109" spans="1:4" ht="15.75" x14ac:dyDescent="0.25">
      <c r="A109" s="2"/>
      <c r="B109" s="23"/>
      <c r="C109" s="23"/>
      <c r="D109" s="4"/>
    </row>
    <row r="110" spans="1:4" ht="15.75" x14ac:dyDescent="0.25">
      <c r="A110" s="2"/>
      <c r="B110" s="23"/>
      <c r="C110" s="23"/>
      <c r="D110" s="4"/>
    </row>
    <row r="111" spans="1:4" ht="15.75" x14ac:dyDescent="0.25">
      <c r="A111" s="2"/>
      <c r="B111" s="23"/>
      <c r="C111" s="23"/>
      <c r="D111" s="4"/>
    </row>
    <row r="112" spans="1:4" ht="15.75" x14ac:dyDescent="0.25">
      <c r="A112" s="2"/>
      <c r="B112" s="23"/>
      <c r="C112" s="23"/>
      <c r="D112" s="4"/>
    </row>
    <row r="113" spans="1:4" ht="15.75" x14ac:dyDescent="0.25">
      <c r="A113" s="2"/>
      <c r="B113" s="23"/>
      <c r="C113" s="23"/>
      <c r="D113" s="4"/>
    </row>
    <row r="114" spans="1:4" ht="15.75" x14ac:dyDescent="0.25">
      <c r="A114" s="2"/>
      <c r="B114" s="23"/>
      <c r="C114" s="23"/>
      <c r="D114" s="4"/>
    </row>
    <row r="115" spans="1:4" ht="15.75" x14ac:dyDescent="0.25">
      <c r="A115" s="2"/>
      <c r="B115" s="23"/>
      <c r="C115" s="23"/>
      <c r="D115" s="4"/>
    </row>
    <row r="116" spans="1:4" ht="15.75" x14ac:dyDescent="0.25">
      <c r="A116" s="2"/>
      <c r="B116" s="23"/>
      <c r="C116" s="23"/>
      <c r="D116" s="4"/>
    </row>
    <row r="117" spans="1:4" ht="15.75" x14ac:dyDescent="0.25">
      <c r="A117" s="2"/>
      <c r="B117" s="23"/>
      <c r="C117" s="23"/>
      <c r="D117" s="4"/>
    </row>
    <row r="118" spans="1:4" ht="15.75" x14ac:dyDescent="0.25">
      <c r="A118" s="2"/>
      <c r="B118" s="23"/>
      <c r="C118" s="23"/>
      <c r="D118" s="4"/>
    </row>
    <row r="119" spans="1:4" ht="15.75" x14ac:dyDescent="0.25">
      <c r="A119" s="2"/>
      <c r="B119" s="23"/>
      <c r="C119" s="23"/>
      <c r="D119" s="4"/>
    </row>
    <row r="120" spans="1:4" ht="15.75" x14ac:dyDescent="0.25">
      <c r="A120" s="2"/>
      <c r="B120" s="23"/>
      <c r="C120" s="23"/>
      <c r="D120" s="4"/>
    </row>
    <row r="121" spans="1:4" ht="15.75" x14ac:dyDescent="0.25">
      <c r="A121" s="2"/>
      <c r="B121" s="23"/>
      <c r="C121" s="23"/>
      <c r="D121" s="4"/>
    </row>
    <row r="122" spans="1:4" ht="15.75" x14ac:dyDescent="0.25">
      <c r="A122" s="2"/>
      <c r="B122" s="23"/>
      <c r="C122" s="23"/>
      <c r="D122" s="4"/>
    </row>
    <row r="123" spans="1:4" ht="15.75" x14ac:dyDescent="0.25">
      <c r="A123" s="2"/>
      <c r="B123" s="23"/>
      <c r="C123" s="23"/>
      <c r="D123" s="4"/>
    </row>
    <row r="124" spans="1:4" ht="15.75" x14ac:dyDescent="0.25">
      <c r="A124" s="2"/>
      <c r="B124" s="23"/>
      <c r="C124" s="23"/>
      <c r="D124" s="4"/>
    </row>
    <row r="125" spans="1:4" ht="15.75" x14ac:dyDescent="0.25">
      <c r="A125" s="2"/>
      <c r="B125" s="23"/>
      <c r="C125" s="23"/>
      <c r="D125" s="4"/>
    </row>
    <row r="126" spans="1:4" ht="15.75" x14ac:dyDescent="0.25">
      <c r="A126" s="2"/>
      <c r="B126" s="23"/>
      <c r="C126" s="23"/>
      <c r="D126" s="4"/>
    </row>
    <row r="127" spans="1:4" ht="15.75" x14ac:dyDescent="0.25">
      <c r="A127" s="2"/>
      <c r="B127" s="23"/>
      <c r="C127" s="23"/>
      <c r="D127" s="4"/>
    </row>
    <row r="128" spans="1:4" ht="15.75" x14ac:dyDescent="0.25">
      <c r="A128" s="2"/>
      <c r="B128" s="23"/>
      <c r="C128" s="23"/>
      <c r="D128" s="4"/>
    </row>
    <row r="129" spans="1:4" ht="15.75" x14ac:dyDescent="0.25">
      <c r="A129" s="2"/>
      <c r="B129" s="23"/>
      <c r="C129" s="23"/>
      <c r="D129" s="4"/>
    </row>
    <row r="130" spans="1:4" ht="15.75" x14ac:dyDescent="0.25">
      <c r="A130" s="2"/>
      <c r="B130" s="23"/>
      <c r="C130" s="23"/>
      <c r="D130" s="4"/>
    </row>
    <row r="131" spans="1:4" ht="15.75" x14ac:dyDescent="0.25">
      <c r="A131" s="2"/>
      <c r="B131" s="23"/>
      <c r="C131" s="23"/>
      <c r="D131" s="4"/>
    </row>
    <row r="132" spans="1:4" ht="15.75" x14ac:dyDescent="0.25">
      <c r="A132" s="2"/>
      <c r="B132" s="23"/>
      <c r="C132" s="23"/>
      <c r="D132" s="4"/>
    </row>
    <row r="133" spans="1:4" ht="15.75" x14ac:dyDescent="0.25">
      <c r="A133" s="2"/>
      <c r="B133" s="23"/>
      <c r="C133" s="23"/>
      <c r="D133" s="4"/>
    </row>
    <row r="134" spans="1:4" ht="15.75" x14ac:dyDescent="0.25">
      <c r="A134" s="2"/>
      <c r="B134" s="23"/>
      <c r="C134" s="23"/>
      <c r="D134" s="4"/>
    </row>
    <row r="135" spans="1:4" ht="15.75" x14ac:dyDescent="0.25">
      <c r="A135" s="2"/>
      <c r="B135" s="23"/>
      <c r="C135" s="23"/>
      <c r="D135" s="4"/>
    </row>
    <row r="136" spans="1:4" ht="15.75" x14ac:dyDescent="0.25">
      <c r="A136" s="2"/>
      <c r="B136" s="23"/>
      <c r="C136" s="23"/>
      <c r="D136" s="4"/>
    </row>
    <row r="137" spans="1:4" ht="15.75" x14ac:dyDescent="0.25">
      <c r="A137" s="2"/>
      <c r="B137" s="23"/>
      <c r="C137" s="23"/>
      <c r="D137" s="4"/>
    </row>
    <row r="138" spans="1:4" ht="15.75" x14ac:dyDescent="0.25">
      <c r="A138" s="2"/>
      <c r="B138" s="23"/>
      <c r="C138" s="23"/>
      <c r="D138" s="4"/>
    </row>
    <row r="139" spans="1:4" ht="15.75" x14ac:dyDescent="0.25">
      <c r="A139" s="2"/>
      <c r="B139" s="23"/>
      <c r="C139" s="23"/>
      <c r="D139" s="4"/>
    </row>
    <row r="140" spans="1:4" ht="15.75" x14ac:dyDescent="0.25">
      <c r="A140" s="2"/>
      <c r="B140" s="23"/>
      <c r="C140" s="23"/>
      <c r="D140" s="4"/>
    </row>
    <row r="141" spans="1:4" ht="15.75" x14ac:dyDescent="0.25">
      <c r="A141" s="2"/>
      <c r="B141" s="23"/>
      <c r="C141" s="23"/>
      <c r="D141" s="4"/>
    </row>
    <row r="142" spans="1:4" ht="15.75" x14ac:dyDescent="0.25">
      <c r="A142" s="2"/>
      <c r="B142" s="23"/>
      <c r="C142" s="23"/>
      <c r="D142" s="4"/>
    </row>
    <row r="143" spans="1:4" ht="15.75" x14ac:dyDescent="0.25">
      <c r="A143" s="2"/>
      <c r="B143" s="23"/>
      <c r="C143" s="23"/>
      <c r="D143" s="4"/>
    </row>
    <row r="144" spans="1:4" ht="15.75" x14ac:dyDescent="0.25">
      <c r="A144" s="2"/>
      <c r="B144" s="23"/>
      <c r="C144" s="23"/>
      <c r="D144" s="4"/>
    </row>
    <row r="145" spans="1:4" ht="15.75" x14ac:dyDescent="0.25">
      <c r="A145" s="2"/>
      <c r="B145" s="23"/>
      <c r="C145" s="23"/>
      <c r="D145" s="4"/>
    </row>
    <row r="146" spans="1:4" ht="15.75" x14ac:dyDescent="0.25">
      <c r="A146" s="2"/>
      <c r="B146" s="23"/>
      <c r="C146" s="23"/>
      <c r="D146" s="4"/>
    </row>
    <row r="147" spans="1:4" ht="15.75" x14ac:dyDescent="0.25">
      <c r="A147" s="2"/>
      <c r="B147" s="23"/>
      <c r="C147" s="23"/>
      <c r="D147" s="4"/>
    </row>
    <row r="148" spans="1:4" ht="15.75" x14ac:dyDescent="0.25">
      <c r="A148" s="2"/>
      <c r="B148" s="23"/>
      <c r="C148" s="23"/>
      <c r="D148" s="4"/>
    </row>
    <row r="149" spans="1:4" ht="15.75" x14ac:dyDescent="0.25">
      <c r="A149" s="2"/>
      <c r="B149" s="23"/>
      <c r="C149" s="23"/>
      <c r="D149" s="4"/>
    </row>
    <row r="150" spans="1:4" ht="15.75" x14ac:dyDescent="0.25">
      <c r="A150" s="2"/>
      <c r="B150" s="23"/>
      <c r="C150" s="23"/>
      <c r="D150" s="4"/>
    </row>
    <row r="151" spans="1:4" ht="15.75" x14ac:dyDescent="0.25">
      <c r="A151" s="2"/>
      <c r="B151" s="23"/>
      <c r="C151" s="23"/>
      <c r="D151" s="4"/>
    </row>
    <row r="152" spans="1:4" ht="15.75" x14ac:dyDescent="0.25">
      <c r="A152" s="2"/>
      <c r="B152" s="23"/>
      <c r="C152" s="23"/>
      <c r="D152" s="4"/>
    </row>
    <row r="153" spans="1:4" ht="15.75" x14ac:dyDescent="0.25">
      <c r="A153" s="2"/>
      <c r="B153" s="23"/>
      <c r="C153" s="23"/>
      <c r="D153" s="4"/>
    </row>
    <row r="154" spans="1:4" ht="15.75" x14ac:dyDescent="0.25">
      <c r="A154" s="2"/>
      <c r="B154" s="23"/>
      <c r="C154" s="23"/>
      <c r="D154" s="4"/>
    </row>
    <row r="155" spans="1:4" ht="15.75" x14ac:dyDescent="0.25">
      <c r="A155" s="2"/>
      <c r="B155" s="23"/>
      <c r="C155" s="23"/>
      <c r="D155" s="4"/>
    </row>
    <row r="156" spans="1:4" ht="15.75" x14ac:dyDescent="0.25">
      <c r="A156" s="2"/>
      <c r="B156" s="23"/>
      <c r="C156" s="23"/>
      <c r="D156" s="4"/>
    </row>
    <row r="157" spans="1:4" ht="15.75" x14ac:dyDescent="0.25">
      <c r="A157" s="2"/>
      <c r="B157" s="23"/>
      <c r="C157" s="23"/>
      <c r="D157" s="4"/>
    </row>
    <row r="158" spans="1:4" ht="15.75" x14ac:dyDescent="0.25">
      <c r="A158" s="2"/>
      <c r="B158" s="23"/>
      <c r="C158" s="23"/>
      <c r="D158" s="4"/>
    </row>
    <row r="159" spans="1:4" ht="15.75" x14ac:dyDescent="0.25">
      <c r="A159" s="2"/>
      <c r="B159" s="23"/>
      <c r="C159" s="23"/>
      <c r="D159" s="4"/>
    </row>
    <row r="160" spans="1:4" ht="15.75" x14ac:dyDescent="0.25">
      <c r="A160" s="2"/>
      <c r="B160" s="23"/>
      <c r="C160" s="23"/>
      <c r="D160" s="4"/>
    </row>
    <row r="161" spans="1:4" ht="15.75" x14ac:dyDescent="0.25">
      <c r="A161" s="2"/>
      <c r="B161" s="23"/>
      <c r="C161" s="23"/>
      <c r="D161" s="4"/>
    </row>
    <row r="162" spans="1:4" ht="15.75" x14ac:dyDescent="0.25">
      <c r="A162" s="2"/>
      <c r="B162" s="23"/>
      <c r="C162" s="23"/>
      <c r="D162" s="4"/>
    </row>
    <row r="163" spans="1:4" ht="15.75" x14ac:dyDescent="0.25">
      <c r="A163" s="2"/>
      <c r="B163" s="23"/>
      <c r="C163" s="23"/>
      <c r="D163" s="4"/>
    </row>
    <row r="164" spans="1:4" ht="15.75" x14ac:dyDescent="0.25">
      <c r="A164" s="2"/>
      <c r="B164" s="23"/>
      <c r="C164" s="23"/>
      <c r="D164" s="4"/>
    </row>
    <row r="165" spans="1:4" ht="15.75" x14ac:dyDescent="0.25">
      <c r="A165" s="2"/>
      <c r="B165" s="23"/>
      <c r="C165" s="23"/>
      <c r="D165" s="4"/>
    </row>
    <row r="166" spans="1:4" ht="15.75" x14ac:dyDescent="0.25">
      <c r="A166" s="2"/>
      <c r="B166" s="23"/>
      <c r="C166" s="23"/>
      <c r="D166" s="4"/>
    </row>
    <row r="167" spans="1:4" ht="15.75" x14ac:dyDescent="0.25">
      <c r="A167" s="2"/>
      <c r="B167" s="23"/>
      <c r="C167" s="23"/>
      <c r="D167" s="4"/>
    </row>
    <row r="168" spans="1:4" ht="15.75" x14ac:dyDescent="0.25">
      <c r="A168" s="2"/>
      <c r="B168" s="23"/>
      <c r="C168" s="23"/>
      <c r="D168" s="4"/>
    </row>
    <row r="169" spans="1:4" ht="15.75" x14ac:dyDescent="0.25">
      <c r="A169" s="2"/>
      <c r="B169" s="23"/>
      <c r="C169" s="23"/>
      <c r="D169" s="4"/>
    </row>
    <row r="170" spans="1:4" ht="15.75" x14ac:dyDescent="0.25">
      <c r="A170" s="2"/>
      <c r="B170" s="23"/>
      <c r="C170" s="23"/>
      <c r="D170" s="4"/>
    </row>
    <row r="171" spans="1:4" ht="15.75" x14ac:dyDescent="0.25">
      <c r="A171" s="2"/>
      <c r="B171" s="23"/>
      <c r="C171" s="23"/>
      <c r="D171" s="4"/>
    </row>
    <row r="172" spans="1:4" ht="15.75" x14ac:dyDescent="0.25">
      <c r="A172" s="2"/>
      <c r="B172" s="23"/>
      <c r="C172" s="23"/>
      <c r="D172" s="4"/>
    </row>
    <row r="173" spans="1:4" ht="15.75" x14ac:dyDescent="0.25">
      <c r="A173" s="2"/>
      <c r="B173" s="23"/>
      <c r="C173" s="23"/>
      <c r="D173" s="4"/>
    </row>
    <row r="174" spans="1:4" ht="15.75" x14ac:dyDescent="0.25">
      <c r="A174" s="2"/>
      <c r="B174" s="23"/>
      <c r="C174" s="23"/>
      <c r="D174" s="4"/>
    </row>
    <row r="175" spans="1:4" ht="15.75" x14ac:dyDescent="0.25">
      <c r="A175" s="2"/>
      <c r="B175" s="23"/>
      <c r="C175" s="23"/>
      <c r="D175" s="4"/>
    </row>
    <row r="176" spans="1:4" ht="15.75" x14ac:dyDescent="0.25">
      <c r="A176" s="2"/>
      <c r="B176" s="23"/>
      <c r="C176" s="23"/>
      <c r="D176" s="4"/>
    </row>
    <row r="177" spans="1:4" ht="15.75" x14ac:dyDescent="0.25">
      <c r="A177" s="2"/>
      <c r="B177" s="23"/>
      <c r="C177" s="23"/>
      <c r="D177" s="4"/>
    </row>
    <row r="178" spans="1:4" ht="15.75" x14ac:dyDescent="0.25">
      <c r="A178" s="2"/>
      <c r="B178" s="23"/>
      <c r="C178" s="23"/>
      <c r="D178" s="4"/>
    </row>
    <row r="179" spans="1:4" ht="15.75" x14ac:dyDescent="0.25">
      <c r="A179" s="2"/>
      <c r="B179" s="23"/>
      <c r="C179" s="23"/>
      <c r="D179" s="4"/>
    </row>
    <row r="180" spans="1:4" ht="15.75" x14ac:dyDescent="0.25">
      <c r="A180" s="2"/>
      <c r="B180" s="23"/>
      <c r="C180" s="23"/>
      <c r="D180" s="4"/>
    </row>
    <row r="181" spans="1:4" ht="15.75" x14ac:dyDescent="0.25">
      <c r="A181" s="2"/>
      <c r="B181" s="23"/>
      <c r="C181" s="23"/>
      <c r="D181" s="4"/>
    </row>
    <row r="182" spans="1:4" ht="15.75" x14ac:dyDescent="0.25">
      <c r="A182" s="2"/>
      <c r="B182" s="23"/>
      <c r="C182" s="23"/>
      <c r="D182" s="4"/>
    </row>
    <row r="183" spans="1:4" ht="15.75" x14ac:dyDescent="0.25">
      <c r="A183" s="2"/>
      <c r="B183" s="23"/>
      <c r="C183" s="23"/>
      <c r="D183" s="4"/>
    </row>
    <row r="184" spans="1:4" ht="15.75" x14ac:dyDescent="0.25">
      <c r="A184" s="2"/>
      <c r="B184" s="23"/>
      <c r="C184" s="23"/>
      <c r="D184" s="4"/>
    </row>
    <row r="185" spans="1:4" ht="15.75" x14ac:dyDescent="0.25">
      <c r="A185" s="2"/>
      <c r="B185" s="23"/>
      <c r="C185" s="23"/>
      <c r="D185" s="4"/>
    </row>
    <row r="186" spans="1:4" ht="15.75" x14ac:dyDescent="0.25">
      <c r="A186" s="2"/>
      <c r="B186" s="23"/>
      <c r="C186" s="23"/>
      <c r="D186" s="4"/>
    </row>
    <row r="187" spans="1:4" ht="15.75" x14ac:dyDescent="0.25">
      <c r="A187" s="2"/>
      <c r="B187" s="23"/>
      <c r="C187" s="23"/>
      <c r="D187" s="4"/>
    </row>
    <row r="188" spans="1:4" ht="15.75" x14ac:dyDescent="0.25">
      <c r="A188" s="2"/>
      <c r="B188" s="23"/>
      <c r="C188" s="23"/>
      <c r="D188" s="4"/>
    </row>
    <row r="189" spans="1:4" ht="15.75" x14ac:dyDescent="0.25">
      <c r="A189" s="2"/>
      <c r="B189" s="23"/>
      <c r="C189" s="23"/>
      <c r="D189" s="4"/>
    </row>
    <row r="190" spans="1:4" ht="15.75" x14ac:dyDescent="0.25">
      <c r="A190" s="2"/>
      <c r="B190" s="23"/>
      <c r="C190" s="23"/>
      <c r="D190" s="4"/>
    </row>
    <row r="191" spans="1:4" ht="15.75" x14ac:dyDescent="0.25">
      <c r="A191" s="2"/>
      <c r="B191" s="23"/>
      <c r="C191" s="23"/>
      <c r="D191" s="4"/>
    </row>
    <row r="192" spans="1:4" ht="15.75" x14ac:dyDescent="0.25">
      <c r="A192" s="2"/>
      <c r="B192" s="23"/>
      <c r="C192" s="23"/>
      <c r="D192" s="4"/>
    </row>
    <row r="193" spans="1:4" ht="15.75" x14ac:dyDescent="0.25">
      <c r="A193" s="2"/>
      <c r="B193" s="23"/>
      <c r="C193" s="23"/>
      <c r="D193" s="4"/>
    </row>
    <row r="194" spans="1:4" ht="15.75" x14ac:dyDescent="0.25">
      <c r="A194" s="2"/>
      <c r="B194" s="23"/>
      <c r="C194" s="23"/>
      <c r="D194" s="4"/>
    </row>
    <row r="195" spans="1:4" ht="15.75" x14ac:dyDescent="0.25">
      <c r="A195" s="2"/>
      <c r="B195" s="23"/>
      <c r="C195" s="23"/>
      <c r="D195" s="4"/>
    </row>
    <row r="196" spans="1:4" ht="15.75" x14ac:dyDescent="0.25">
      <c r="A196" s="2"/>
      <c r="B196" s="23"/>
      <c r="C196" s="23"/>
      <c r="D196" s="4"/>
    </row>
    <row r="197" spans="1:4" ht="15.75" x14ac:dyDescent="0.25">
      <c r="A197" s="2"/>
      <c r="B197" s="23"/>
      <c r="C197" s="23"/>
      <c r="D197" s="4"/>
    </row>
    <row r="198" spans="1:4" ht="15.75" x14ac:dyDescent="0.25">
      <c r="A198" s="2"/>
      <c r="B198" s="23"/>
      <c r="C198" s="23"/>
      <c r="D198" s="4"/>
    </row>
    <row r="199" spans="1:4" ht="15.75" x14ac:dyDescent="0.25">
      <c r="A199" s="2"/>
      <c r="B199" s="23"/>
      <c r="C199" s="23"/>
      <c r="D199" s="4"/>
    </row>
    <row r="200" spans="1:4" ht="15.75" x14ac:dyDescent="0.25">
      <c r="A200" s="2"/>
      <c r="B200" s="23"/>
      <c r="C200" s="23"/>
      <c r="D200" s="4"/>
    </row>
    <row r="201" spans="1:4" ht="15.75" x14ac:dyDescent="0.25">
      <c r="A201" s="2"/>
      <c r="B201" s="23"/>
      <c r="C201" s="23"/>
      <c r="D201" s="4"/>
    </row>
    <row r="202" spans="1:4" ht="15.75" x14ac:dyDescent="0.25">
      <c r="A202" s="2"/>
      <c r="B202" s="23"/>
      <c r="C202" s="23"/>
      <c r="D202" s="4"/>
    </row>
    <row r="203" spans="1:4" ht="15.75" x14ac:dyDescent="0.25">
      <c r="A203" s="2"/>
      <c r="B203" s="23"/>
      <c r="C203" s="23"/>
      <c r="D203" s="4"/>
    </row>
    <row r="204" spans="1:4" ht="15.75" x14ac:dyDescent="0.25">
      <c r="A204" s="2"/>
      <c r="B204" s="23"/>
      <c r="C204" s="23"/>
      <c r="D204" s="4"/>
    </row>
    <row r="205" spans="1:4" ht="15.75" x14ac:dyDescent="0.25">
      <c r="A205" s="2"/>
      <c r="B205" s="23"/>
      <c r="C205" s="23"/>
      <c r="D205" s="4"/>
    </row>
    <row r="206" spans="1:4" ht="15.75" x14ac:dyDescent="0.25">
      <c r="A206" s="2"/>
      <c r="B206" s="23"/>
      <c r="C206" s="23"/>
      <c r="D206" s="4"/>
    </row>
    <row r="207" spans="1:4" ht="15.75" x14ac:dyDescent="0.25">
      <c r="A207" s="2"/>
      <c r="B207" s="23"/>
      <c r="C207" s="23"/>
      <c r="D207" s="4"/>
    </row>
    <row r="208" spans="1:4" ht="15.75" x14ac:dyDescent="0.25">
      <c r="A208" s="2"/>
      <c r="B208" s="23"/>
      <c r="C208" s="23"/>
      <c r="D208" s="4"/>
    </row>
    <row r="209" spans="1:4" ht="15.75" x14ac:dyDescent="0.25">
      <c r="A209" s="2"/>
      <c r="B209" s="23"/>
      <c r="C209" s="23"/>
      <c r="D209" s="4"/>
    </row>
    <row r="210" spans="1:4" ht="15.75" x14ac:dyDescent="0.25">
      <c r="A210" s="2"/>
      <c r="B210" s="23"/>
      <c r="C210" s="23"/>
      <c r="D210" s="4"/>
    </row>
    <row r="211" spans="1:4" ht="15.75" x14ac:dyDescent="0.25">
      <c r="A211" s="2"/>
      <c r="B211" s="23"/>
      <c r="C211" s="23"/>
      <c r="D211" s="4"/>
    </row>
    <row r="212" spans="1:4" ht="15.75" x14ac:dyDescent="0.25">
      <c r="A212" s="2"/>
      <c r="B212" s="23"/>
      <c r="C212" s="23"/>
      <c r="D212" s="4"/>
    </row>
    <row r="213" spans="1:4" ht="15.75" x14ac:dyDescent="0.25">
      <c r="A213" s="2"/>
      <c r="B213" s="23"/>
      <c r="C213" s="23"/>
      <c r="D213" s="4"/>
    </row>
    <row r="214" spans="1:4" ht="15.75" x14ac:dyDescent="0.25">
      <c r="A214" s="2"/>
      <c r="B214" s="23"/>
      <c r="C214" s="23"/>
      <c r="D214" s="4"/>
    </row>
    <row r="215" spans="1:4" ht="15.75" x14ac:dyDescent="0.25">
      <c r="A215" s="2"/>
      <c r="B215" s="23"/>
      <c r="C215" s="23"/>
      <c r="D215" s="4"/>
    </row>
    <row r="216" spans="1:4" ht="15.75" x14ac:dyDescent="0.25">
      <c r="A216" s="2"/>
      <c r="B216" s="23"/>
      <c r="C216" s="23"/>
      <c r="D216" s="4"/>
    </row>
    <row r="217" spans="1:4" ht="15.75" x14ac:dyDescent="0.25">
      <c r="A217" s="2"/>
      <c r="B217" s="23"/>
      <c r="C217" s="23"/>
      <c r="D217" s="4"/>
    </row>
    <row r="218" spans="1:4" ht="15.75" x14ac:dyDescent="0.25">
      <c r="A218" s="2"/>
      <c r="B218" s="23"/>
      <c r="C218" s="23"/>
      <c r="D218" s="4"/>
    </row>
    <row r="219" spans="1:4" ht="15.75" x14ac:dyDescent="0.25">
      <c r="A219" s="2"/>
      <c r="B219" s="23"/>
      <c r="C219" s="23"/>
      <c r="D219" s="4"/>
    </row>
    <row r="220" spans="1:4" ht="15.75" x14ac:dyDescent="0.25">
      <c r="A220" s="2"/>
      <c r="B220" s="23"/>
      <c r="C220" s="23"/>
      <c r="D220" s="4"/>
    </row>
    <row r="221" spans="1:4" ht="15.75" x14ac:dyDescent="0.25">
      <c r="A221" s="2"/>
      <c r="B221" s="23"/>
      <c r="C221" s="23"/>
      <c r="D221" s="4"/>
    </row>
    <row r="222" spans="1:4" ht="15.75" x14ac:dyDescent="0.25">
      <c r="A222" s="2"/>
      <c r="B222" s="23"/>
      <c r="C222" s="23"/>
      <c r="D222" s="4"/>
    </row>
    <row r="223" spans="1:4" ht="15.75" x14ac:dyDescent="0.25">
      <c r="A223" s="2"/>
      <c r="B223" s="23"/>
      <c r="C223" s="23"/>
      <c r="D223" s="4"/>
    </row>
    <row r="224" spans="1:4" ht="15.75" x14ac:dyDescent="0.25">
      <c r="A224" s="2"/>
      <c r="B224" s="23"/>
      <c r="C224" s="23"/>
      <c r="D224" s="4"/>
    </row>
    <row r="225" spans="1:4" ht="15.75" x14ac:dyDescent="0.25">
      <c r="A225" s="2"/>
      <c r="B225" s="23"/>
      <c r="C225" s="23"/>
      <c r="D225" s="4"/>
    </row>
    <row r="226" spans="1:4" ht="15.75" x14ac:dyDescent="0.25">
      <c r="A226" s="2"/>
      <c r="B226" s="23"/>
      <c r="C226" s="23"/>
      <c r="D226" s="4"/>
    </row>
    <row r="227" spans="1:4" ht="15.75" x14ac:dyDescent="0.25">
      <c r="A227" s="2"/>
      <c r="B227" s="23"/>
      <c r="C227" s="23"/>
      <c r="D227" s="4"/>
    </row>
    <row r="228" spans="1:4" ht="15.75" x14ac:dyDescent="0.25">
      <c r="A228" s="2"/>
      <c r="B228" s="23"/>
      <c r="C228" s="23"/>
      <c r="D228" s="4"/>
    </row>
    <row r="229" spans="1:4" ht="15.75" x14ac:dyDescent="0.25">
      <c r="A229" s="2"/>
      <c r="B229" s="23"/>
      <c r="C229" s="23"/>
      <c r="D229" s="4"/>
    </row>
    <row r="230" spans="1:4" ht="15.75" x14ac:dyDescent="0.25">
      <c r="A230" s="2"/>
      <c r="B230" s="23"/>
      <c r="C230" s="23"/>
      <c r="D230" s="4"/>
    </row>
    <row r="231" spans="1:4" ht="15.75" x14ac:dyDescent="0.25">
      <c r="A231" s="2"/>
      <c r="B231" s="23"/>
      <c r="C231" s="23"/>
      <c r="D231" s="4"/>
    </row>
    <row r="232" spans="1:4" ht="15.75" x14ac:dyDescent="0.25">
      <c r="A232" s="2"/>
      <c r="B232" s="23"/>
      <c r="C232" s="23"/>
      <c r="D232" s="4"/>
    </row>
    <row r="233" spans="1:4" ht="15.75" x14ac:dyDescent="0.25">
      <c r="A233" s="2"/>
      <c r="B233" s="23"/>
      <c r="C233" s="23"/>
      <c r="D233" s="4"/>
    </row>
    <row r="234" spans="1:4" ht="15.75" x14ac:dyDescent="0.25">
      <c r="A234" s="2"/>
      <c r="B234" s="23"/>
      <c r="C234" s="23"/>
      <c r="D234" s="4"/>
    </row>
    <row r="235" spans="1:4" ht="15.75" x14ac:dyDescent="0.25">
      <c r="A235" s="2"/>
      <c r="B235" s="23"/>
      <c r="C235" s="23"/>
      <c r="D235" s="4"/>
    </row>
    <row r="236" spans="1:4" ht="15.75" x14ac:dyDescent="0.25">
      <c r="A236" s="2"/>
      <c r="B236" s="23"/>
      <c r="C236" s="23"/>
      <c r="D236" s="4"/>
    </row>
    <row r="237" spans="1:4" ht="15.75" x14ac:dyDescent="0.25">
      <c r="A237" s="2"/>
      <c r="B237" s="23"/>
      <c r="C237" s="23"/>
      <c r="D237" s="4"/>
    </row>
    <row r="238" spans="1:4" ht="15.75" x14ac:dyDescent="0.25">
      <c r="A238" s="2"/>
      <c r="B238" s="23"/>
      <c r="C238" s="23"/>
      <c r="D238" s="4"/>
    </row>
    <row r="239" spans="1:4" ht="15.75" x14ac:dyDescent="0.25">
      <c r="A239" s="2"/>
      <c r="B239" s="23"/>
      <c r="C239" s="23"/>
      <c r="D239" s="4"/>
    </row>
    <row r="240" spans="1:4" ht="15.75" x14ac:dyDescent="0.25">
      <c r="A240" s="2"/>
      <c r="B240" s="23"/>
      <c r="C240" s="23"/>
      <c r="D240" s="4"/>
    </row>
    <row r="241" spans="1:4" ht="15.75" x14ac:dyDescent="0.25">
      <c r="A241" s="2"/>
      <c r="B241" s="23"/>
      <c r="C241" s="23"/>
      <c r="D241" s="4"/>
    </row>
    <row r="242" spans="1:4" ht="15.75" x14ac:dyDescent="0.25">
      <c r="A242" s="2"/>
      <c r="B242" s="23"/>
      <c r="C242" s="23"/>
      <c r="D242" s="4"/>
    </row>
    <row r="243" spans="1:4" ht="15.75" x14ac:dyDescent="0.25">
      <c r="A243" s="2"/>
      <c r="B243" s="23"/>
      <c r="C243" s="23"/>
      <c r="D243" s="4"/>
    </row>
    <row r="244" spans="1:4" ht="15.75" x14ac:dyDescent="0.25">
      <c r="A244" s="2"/>
      <c r="B244" s="23"/>
      <c r="C244" s="23"/>
      <c r="D244" s="4"/>
    </row>
    <row r="245" spans="1:4" ht="15.75" x14ac:dyDescent="0.25">
      <c r="A245" s="2"/>
      <c r="B245" s="23"/>
      <c r="C245" s="23"/>
      <c r="D245" s="4"/>
    </row>
    <row r="246" spans="1:4" ht="15.75" x14ac:dyDescent="0.25">
      <c r="A246" s="2"/>
      <c r="B246" s="23"/>
      <c r="C246" s="23"/>
      <c r="D246" s="4"/>
    </row>
    <row r="247" spans="1:4" ht="15.75" x14ac:dyDescent="0.25">
      <c r="A247" s="2"/>
      <c r="B247" s="23"/>
      <c r="C247" s="23"/>
      <c r="D247" s="4"/>
    </row>
    <row r="248" spans="1:4" ht="15.75" x14ac:dyDescent="0.25">
      <c r="A248" s="2"/>
      <c r="B248" s="23"/>
      <c r="C248" s="23"/>
      <c r="D248" s="4"/>
    </row>
    <row r="249" spans="1:4" ht="15.75" x14ac:dyDescent="0.25">
      <c r="A249" s="2"/>
      <c r="B249" s="23"/>
      <c r="C249" s="23"/>
      <c r="D249" s="4"/>
    </row>
    <row r="250" spans="1:4" ht="15.75" x14ac:dyDescent="0.25">
      <c r="A250" s="2"/>
      <c r="B250" s="23"/>
      <c r="C250" s="23"/>
      <c r="D250" s="4"/>
    </row>
    <row r="251" spans="1:4" ht="15.75" x14ac:dyDescent="0.25">
      <c r="A251" s="2"/>
      <c r="B251" s="23"/>
      <c r="C251" s="23"/>
      <c r="D251" s="4"/>
    </row>
    <row r="252" spans="1:4" ht="15.75" x14ac:dyDescent="0.25">
      <c r="A252" s="2"/>
      <c r="B252" s="23"/>
      <c r="C252" s="23"/>
      <c r="D252" s="4"/>
    </row>
    <row r="253" spans="1:4" ht="15.75" x14ac:dyDescent="0.25">
      <c r="A253" s="2"/>
      <c r="B253" s="23"/>
      <c r="C253" s="23"/>
      <c r="D253" s="4"/>
    </row>
    <row r="254" spans="1:4" ht="15.75" x14ac:dyDescent="0.25">
      <c r="A254" s="2"/>
      <c r="B254" s="23"/>
      <c r="C254" s="23"/>
      <c r="D254" s="4"/>
    </row>
    <row r="255" spans="1:4" ht="15.75" x14ac:dyDescent="0.25">
      <c r="A255" s="2"/>
      <c r="B255" s="23"/>
      <c r="C255" s="23"/>
      <c r="D255" s="4"/>
    </row>
    <row r="256" spans="1:4" ht="15.75" x14ac:dyDescent="0.25">
      <c r="A256" s="2"/>
      <c r="B256" s="23"/>
      <c r="C256" s="23"/>
      <c r="D256" s="4"/>
    </row>
    <row r="257" spans="1:4" ht="15.75" x14ac:dyDescent="0.25">
      <c r="A257" s="2"/>
      <c r="B257" s="23"/>
      <c r="C257" s="23"/>
      <c r="D257" s="4"/>
    </row>
    <row r="258" spans="1:4" ht="15.75" x14ac:dyDescent="0.25">
      <c r="A258" s="2"/>
      <c r="B258" s="23"/>
      <c r="C258" s="23"/>
      <c r="D258" s="4"/>
    </row>
    <row r="259" spans="1:4" ht="15.75" x14ac:dyDescent="0.25">
      <c r="A259" s="2"/>
      <c r="B259" s="23"/>
      <c r="C259" s="23"/>
      <c r="D259" s="4"/>
    </row>
    <row r="260" spans="1:4" ht="15.75" x14ac:dyDescent="0.25">
      <c r="A260" s="2"/>
      <c r="B260" s="23"/>
      <c r="C260" s="23"/>
      <c r="D260" s="4"/>
    </row>
    <row r="261" spans="1:4" ht="15.75" x14ac:dyDescent="0.25">
      <c r="A261" s="2"/>
      <c r="B261" s="23"/>
      <c r="C261" s="23"/>
      <c r="D261" s="4"/>
    </row>
    <row r="262" spans="1:4" ht="15.75" x14ac:dyDescent="0.25">
      <c r="A262" s="2"/>
      <c r="B262" s="23"/>
      <c r="C262" s="23"/>
      <c r="D262" s="4"/>
    </row>
    <row r="263" spans="1:4" ht="15.75" x14ac:dyDescent="0.25">
      <c r="A263" s="2"/>
      <c r="B263" s="23"/>
      <c r="C263" s="23"/>
      <c r="D263" s="4"/>
    </row>
    <row r="264" spans="1:4" ht="15.75" x14ac:dyDescent="0.25">
      <c r="A264" s="2"/>
      <c r="B264" s="23"/>
      <c r="C264" s="23"/>
      <c r="D264" s="4"/>
    </row>
    <row r="265" spans="1:4" ht="15.75" x14ac:dyDescent="0.25">
      <c r="A265" s="2"/>
      <c r="B265" s="23"/>
      <c r="C265" s="23"/>
      <c r="D265" s="4"/>
    </row>
    <row r="266" spans="1:4" ht="15.75" x14ac:dyDescent="0.25">
      <c r="A266" s="2"/>
      <c r="B266" s="23"/>
      <c r="C266" s="23"/>
      <c r="D266" s="4"/>
    </row>
    <row r="267" spans="1:4" ht="15.75" x14ac:dyDescent="0.25">
      <c r="A267" s="2"/>
      <c r="B267" s="23"/>
      <c r="C267" s="23"/>
      <c r="D267" s="4"/>
    </row>
    <row r="268" spans="1:4" ht="15.75" x14ac:dyDescent="0.25">
      <c r="A268" s="2"/>
      <c r="B268" s="23"/>
      <c r="C268" s="23"/>
      <c r="D268" s="4"/>
    </row>
    <row r="269" spans="1:4" ht="15.75" x14ac:dyDescent="0.25">
      <c r="A269" s="2"/>
      <c r="B269" s="23"/>
      <c r="C269" s="23"/>
      <c r="D269" s="4"/>
    </row>
    <row r="270" spans="1:4" ht="15.75" x14ac:dyDescent="0.25">
      <c r="A270" s="2"/>
      <c r="B270" s="23"/>
      <c r="C270" s="23"/>
      <c r="D270" s="4"/>
    </row>
    <row r="271" spans="1:4" ht="15.75" x14ac:dyDescent="0.25">
      <c r="A271" s="2"/>
      <c r="B271" s="23"/>
      <c r="C271" s="23"/>
      <c r="D271" s="4"/>
    </row>
    <row r="272" spans="1:4" ht="15.75" x14ac:dyDescent="0.25">
      <c r="A272" s="2"/>
      <c r="B272" s="23"/>
      <c r="C272" s="23"/>
      <c r="D272" s="4"/>
    </row>
    <row r="273" spans="1:4" ht="15.75" x14ac:dyDescent="0.25">
      <c r="A273" s="2"/>
      <c r="B273" s="23"/>
      <c r="C273" s="23"/>
      <c r="D273" s="4"/>
    </row>
    <row r="274" spans="1:4" ht="15.75" x14ac:dyDescent="0.25">
      <c r="A274" s="2"/>
      <c r="B274" s="23"/>
      <c r="C274" s="23"/>
      <c r="D274" s="4"/>
    </row>
    <row r="275" spans="1:4" ht="15.75" x14ac:dyDescent="0.25">
      <c r="A275" s="2"/>
      <c r="B275" s="23"/>
      <c r="C275" s="23"/>
      <c r="D275" s="4"/>
    </row>
    <row r="276" spans="1:4" ht="15.75" x14ac:dyDescent="0.25">
      <c r="A276" s="2"/>
      <c r="B276" s="23"/>
      <c r="C276" s="23"/>
      <c r="D276" s="4"/>
    </row>
    <row r="277" spans="1:4" ht="15.75" x14ac:dyDescent="0.25">
      <c r="A277" s="2"/>
      <c r="B277" s="23"/>
      <c r="C277" s="23"/>
      <c r="D277" s="4"/>
    </row>
    <row r="278" spans="1:4" ht="15.75" x14ac:dyDescent="0.25">
      <c r="A278" s="2"/>
      <c r="B278" s="23"/>
      <c r="C278" s="23"/>
      <c r="D278" s="4"/>
    </row>
    <row r="279" spans="1:4" ht="15.75" x14ac:dyDescent="0.25">
      <c r="A279" s="2"/>
      <c r="B279" s="23"/>
      <c r="C279" s="23"/>
      <c r="D279" s="4"/>
    </row>
    <row r="280" spans="1:4" ht="15.75" x14ac:dyDescent="0.25">
      <c r="A280" s="2"/>
      <c r="B280" s="23"/>
      <c r="C280" s="23"/>
      <c r="D280" s="4"/>
    </row>
    <row r="281" spans="1:4" ht="15.75" x14ac:dyDescent="0.25">
      <c r="A281" s="2"/>
      <c r="B281" s="23"/>
      <c r="C281" s="23"/>
      <c r="D281" s="4"/>
    </row>
    <row r="282" spans="1:4" ht="15.75" x14ac:dyDescent="0.25">
      <c r="A282" s="2"/>
      <c r="B282" s="23"/>
      <c r="C282" s="23"/>
      <c r="D282" s="4"/>
    </row>
    <row r="283" spans="1:4" ht="15.75" x14ac:dyDescent="0.25">
      <c r="A283" s="2"/>
      <c r="B283" s="23"/>
      <c r="C283" s="23"/>
      <c r="D283" s="4"/>
    </row>
    <row r="284" spans="1:4" ht="15.75" x14ac:dyDescent="0.25">
      <c r="A284" s="2"/>
      <c r="B284" s="23"/>
      <c r="C284" s="23"/>
      <c r="D284" s="4"/>
    </row>
    <row r="285" spans="1:4" ht="15.75" x14ac:dyDescent="0.25">
      <c r="A285" s="2"/>
      <c r="B285" s="23"/>
      <c r="C285" s="23"/>
      <c r="D285" s="4"/>
    </row>
    <row r="286" spans="1:4" ht="15.75" x14ac:dyDescent="0.25">
      <c r="A286" s="2"/>
      <c r="B286" s="23"/>
      <c r="C286" s="23"/>
      <c r="D286" s="4"/>
    </row>
    <row r="287" spans="1:4" ht="15.75" x14ac:dyDescent="0.25">
      <c r="A287" s="2"/>
      <c r="B287" s="23"/>
      <c r="C287" s="23"/>
      <c r="D287" s="4"/>
    </row>
    <row r="288" spans="1:4" ht="15.75" x14ac:dyDescent="0.25">
      <c r="A288" s="2"/>
      <c r="B288" s="23"/>
      <c r="C288" s="23"/>
      <c r="D288" s="4"/>
    </row>
    <row r="289" spans="1:4" ht="15.75" x14ac:dyDescent="0.25">
      <c r="A289" s="2"/>
      <c r="B289" s="23"/>
      <c r="C289" s="23"/>
      <c r="D289" s="4"/>
    </row>
    <row r="290" spans="1:4" ht="15.75" x14ac:dyDescent="0.25">
      <c r="A290" s="2"/>
      <c r="B290" s="23"/>
      <c r="C290" s="23"/>
      <c r="D290" s="4"/>
    </row>
    <row r="291" spans="1:4" ht="15.75" x14ac:dyDescent="0.25">
      <c r="A291" s="2"/>
      <c r="B291" s="23"/>
      <c r="C291" s="23"/>
      <c r="D291" s="4"/>
    </row>
    <row r="292" spans="1:4" ht="15.75" x14ac:dyDescent="0.25">
      <c r="A292" s="2"/>
      <c r="B292" s="23"/>
      <c r="C292" s="23"/>
      <c r="D292" s="4"/>
    </row>
    <row r="293" spans="1:4" ht="15.75" x14ac:dyDescent="0.25">
      <c r="A293" s="2"/>
      <c r="B293" s="23"/>
      <c r="C293" s="23"/>
      <c r="D293" s="4"/>
    </row>
    <row r="294" spans="1:4" ht="15.75" x14ac:dyDescent="0.25">
      <c r="A294" s="2"/>
      <c r="B294" s="23"/>
      <c r="C294" s="23"/>
      <c r="D294" s="4"/>
    </row>
    <row r="295" spans="1:4" ht="15.75" x14ac:dyDescent="0.25">
      <c r="A295" s="2"/>
      <c r="B295" s="23"/>
      <c r="C295" s="23"/>
      <c r="D295" s="4"/>
    </row>
    <row r="296" spans="1:4" ht="15.75" x14ac:dyDescent="0.25">
      <c r="A296" s="2"/>
      <c r="B296" s="23"/>
      <c r="C296" s="23"/>
      <c r="D296" s="4"/>
    </row>
    <row r="297" spans="1:4" ht="15.75" x14ac:dyDescent="0.25">
      <c r="A297" s="2"/>
      <c r="B297" s="23"/>
      <c r="C297" s="23"/>
      <c r="D297" s="4"/>
    </row>
    <row r="298" spans="1:4" ht="15.75" x14ac:dyDescent="0.25">
      <c r="A298" s="2"/>
      <c r="B298" s="23"/>
      <c r="C298" s="23"/>
      <c r="D298" s="4"/>
    </row>
    <row r="299" spans="1:4" ht="15.75" x14ac:dyDescent="0.25">
      <c r="A299" s="2"/>
      <c r="B299" s="23"/>
      <c r="C299" s="23"/>
      <c r="D299" s="4"/>
    </row>
    <row r="300" spans="1:4" ht="15.75" x14ac:dyDescent="0.25">
      <c r="A300" s="2"/>
      <c r="B300" s="23"/>
      <c r="C300" s="23"/>
      <c r="D300" s="4"/>
    </row>
    <row r="301" spans="1:4" ht="15.75" x14ac:dyDescent="0.25">
      <c r="A301" s="2"/>
      <c r="B301" s="23"/>
      <c r="C301" s="23"/>
      <c r="D301" s="4"/>
    </row>
    <row r="302" spans="1:4" ht="15.75" x14ac:dyDescent="0.25">
      <c r="A302" s="2"/>
      <c r="B302" s="23"/>
      <c r="C302" s="23"/>
      <c r="D302" s="4"/>
    </row>
    <row r="303" spans="1:4" ht="15.75" x14ac:dyDescent="0.25">
      <c r="A303" s="2"/>
      <c r="B303" s="23"/>
      <c r="C303" s="23"/>
      <c r="D303" s="4"/>
    </row>
    <row r="304" spans="1:4" ht="15.75" x14ac:dyDescent="0.25">
      <c r="A304" s="2"/>
      <c r="B304" s="23"/>
      <c r="C304" s="23"/>
      <c r="D304" s="4"/>
    </row>
    <row r="305" spans="1:4" ht="15.75" x14ac:dyDescent="0.25">
      <c r="A305" s="2"/>
      <c r="B305" s="23"/>
      <c r="C305" s="23"/>
      <c r="D305" s="4"/>
    </row>
    <row r="306" spans="1:4" ht="15.75" x14ac:dyDescent="0.25">
      <c r="A306" s="2"/>
      <c r="B306" s="23"/>
      <c r="C306" s="23"/>
      <c r="D306" s="4"/>
    </row>
    <row r="307" spans="1:4" ht="15.75" x14ac:dyDescent="0.25">
      <c r="A307" s="2"/>
      <c r="B307" s="23"/>
      <c r="C307" s="23"/>
      <c r="D307" s="4"/>
    </row>
    <row r="308" spans="1:4" ht="15.75" x14ac:dyDescent="0.25">
      <c r="A308" s="2"/>
      <c r="B308" s="23"/>
      <c r="C308" s="23"/>
      <c r="D308" s="4"/>
    </row>
    <row r="309" spans="1:4" ht="15.75" x14ac:dyDescent="0.25">
      <c r="A309" s="2"/>
      <c r="B309" s="23"/>
      <c r="C309" s="23"/>
      <c r="D309" s="4"/>
    </row>
    <row r="310" spans="1:4" ht="15.75" x14ac:dyDescent="0.25">
      <c r="A310" s="2"/>
      <c r="B310" s="23"/>
      <c r="C310" s="23"/>
      <c r="D310" s="4"/>
    </row>
    <row r="311" spans="1:4" ht="15.75" x14ac:dyDescent="0.25">
      <c r="A311" s="2"/>
      <c r="B311" s="23"/>
      <c r="C311" s="23"/>
      <c r="D311" s="4"/>
    </row>
    <row r="312" spans="1:4" ht="15.75" x14ac:dyDescent="0.25">
      <c r="A312" s="2"/>
      <c r="B312" s="23"/>
      <c r="C312" s="23"/>
      <c r="D312" s="4"/>
    </row>
    <row r="313" spans="1:4" ht="15.75" x14ac:dyDescent="0.25">
      <c r="A313" s="2"/>
      <c r="B313" s="23"/>
      <c r="C313" s="23"/>
      <c r="D313" s="4"/>
    </row>
    <row r="314" spans="1:4" ht="15.75" x14ac:dyDescent="0.25">
      <c r="A314" s="2"/>
      <c r="B314" s="23"/>
      <c r="C314" s="23"/>
      <c r="D314" s="4"/>
    </row>
    <row r="315" spans="1:4" ht="15.75" x14ac:dyDescent="0.25">
      <c r="A315" s="2"/>
      <c r="B315" s="23"/>
      <c r="C315" s="23"/>
      <c r="D315" s="4"/>
    </row>
    <row r="316" spans="1:4" ht="15.75" x14ac:dyDescent="0.25">
      <c r="A316" s="2"/>
      <c r="B316" s="23"/>
      <c r="C316" s="23"/>
      <c r="D316" s="4"/>
    </row>
    <row r="317" spans="1:4" ht="15.75" x14ac:dyDescent="0.25">
      <c r="A317" s="2"/>
      <c r="B317" s="23"/>
      <c r="C317" s="23"/>
      <c r="D317" s="4"/>
    </row>
    <row r="318" spans="1:4" ht="15.75" x14ac:dyDescent="0.25">
      <c r="A318" s="2"/>
      <c r="B318" s="23"/>
      <c r="C318" s="23"/>
      <c r="D318" s="4"/>
    </row>
    <row r="319" spans="1:4" ht="15.75" x14ac:dyDescent="0.25">
      <c r="A319" s="2"/>
      <c r="B319" s="23"/>
      <c r="C319" s="23"/>
      <c r="D319" s="4"/>
    </row>
    <row r="320" spans="1:4" ht="15.75" x14ac:dyDescent="0.25">
      <c r="A320" s="2"/>
      <c r="B320" s="23"/>
      <c r="C320" s="23"/>
      <c r="D320" s="4"/>
    </row>
    <row r="321" spans="1:4" ht="15.75" x14ac:dyDescent="0.25">
      <c r="A321" s="2"/>
      <c r="B321" s="23"/>
      <c r="C321" s="23"/>
      <c r="D321" s="4"/>
    </row>
    <row r="322" spans="1:4" ht="15.75" x14ac:dyDescent="0.25">
      <c r="A322" s="2"/>
      <c r="B322" s="23"/>
      <c r="C322" s="23"/>
      <c r="D322" s="4"/>
    </row>
    <row r="323" spans="1:4" ht="15.75" x14ac:dyDescent="0.25">
      <c r="A323" s="2"/>
      <c r="B323" s="23"/>
      <c r="C323" s="23"/>
      <c r="D323" s="4"/>
    </row>
    <row r="324" spans="1:4" ht="15.75" x14ac:dyDescent="0.25">
      <c r="A324" s="2"/>
      <c r="B324" s="23"/>
      <c r="C324" s="23"/>
      <c r="D324" s="4"/>
    </row>
    <row r="325" spans="1:4" ht="15.75" x14ac:dyDescent="0.25">
      <c r="A325" s="2"/>
      <c r="B325" s="23"/>
      <c r="C325" s="23"/>
      <c r="D325" s="4"/>
    </row>
    <row r="326" spans="1:4" ht="15.75" x14ac:dyDescent="0.25">
      <c r="A326" s="2"/>
      <c r="B326" s="23"/>
      <c r="C326" s="23"/>
      <c r="D326" s="4"/>
    </row>
    <row r="327" spans="1:4" ht="15.75" x14ac:dyDescent="0.25">
      <c r="A327" s="2"/>
      <c r="B327" s="23"/>
      <c r="C327" s="23"/>
      <c r="D327" s="4"/>
    </row>
    <row r="328" spans="1:4" ht="15.75" x14ac:dyDescent="0.25">
      <c r="A328" s="2"/>
      <c r="B328" s="23"/>
      <c r="C328" s="23"/>
      <c r="D328" s="4"/>
    </row>
    <row r="329" spans="1:4" ht="15.75" x14ac:dyDescent="0.25">
      <c r="A329" s="2"/>
      <c r="B329" s="23"/>
      <c r="C329" s="23"/>
      <c r="D329" s="4"/>
    </row>
    <row r="330" spans="1:4" ht="15.75" x14ac:dyDescent="0.25">
      <c r="A330" s="2"/>
      <c r="B330" s="23"/>
      <c r="C330" s="23"/>
      <c r="D330" s="4"/>
    </row>
    <row r="331" spans="1:4" ht="15.75" x14ac:dyDescent="0.25">
      <c r="A331" s="2"/>
      <c r="B331" s="23"/>
      <c r="C331" s="23"/>
      <c r="D331" s="4"/>
    </row>
    <row r="332" spans="1:4" ht="15.75" x14ac:dyDescent="0.25">
      <c r="A332" s="2"/>
      <c r="B332" s="23"/>
      <c r="C332" s="23"/>
      <c r="D332" s="4"/>
    </row>
    <row r="333" spans="1:4" ht="15.75" x14ac:dyDescent="0.25">
      <c r="A333" s="2"/>
      <c r="B333" s="23"/>
      <c r="C333" s="23"/>
      <c r="D333" s="4"/>
    </row>
    <row r="334" spans="1:4" ht="15.75" x14ac:dyDescent="0.25">
      <c r="A334" s="2"/>
      <c r="B334" s="23"/>
      <c r="C334" s="23"/>
      <c r="D334" s="4"/>
    </row>
    <row r="335" spans="1:4" ht="15.75" x14ac:dyDescent="0.25">
      <c r="A335" s="2"/>
      <c r="B335" s="23"/>
      <c r="C335" s="23"/>
      <c r="D335" s="4"/>
    </row>
    <row r="336" spans="1:4" ht="15.75" x14ac:dyDescent="0.25">
      <c r="A336" s="2"/>
      <c r="B336" s="23"/>
      <c r="C336" s="23"/>
      <c r="D336" s="4"/>
    </row>
    <row r="337" spans="1:4" ht="15.75" x14ac:dyDescent="0.25">
      <c r="A337" s="2"/>
      <c r="B337" s="23"/>
      <c r="C337" s="23"/>
      <c r="D337" s="4"/>
    </row>
    <row r="338" spans="1:4" ht="15.75" x14ac:dyDescent="0.25">
      <c r="A338" s="2"/>
      <c r="B338" s="23"/>
      <c r="C338" s="23"/>
      <c r="D338" s="4"/>
    </row>
    <row r="339" spans="1:4" ht="15.75" x14ac:dyDescent="0.25">
      <c r="A339" s="2"/>
      <c r="B339" s="23"/>
      <c r="C339" s="23"/>
      <c r="D339" s="4"/>
    </row>
    <row r="340" spans="1:4" ht="15.75" x14ac:dyDescent="0.25">
      <c r="A340" s="2"/>
      <c r="B340" s="23"/>
      <c r="C340" s="23"/>
      <c r="D340" s="4"/>
    </row>
    <row r="341" spans="1:4" ht="15.75" x14ac:dyDescent="0.25">
      <c r="A341" s="2"/>
      <c r="B341" s="23"/>
      <c r="C341" s="23"/>
      <c r="D341" s="4"/>
    </row>
    <row r="342" spans="1:4" ht="15.75" x14ac:dyDescent="0.25">
      <c r="A342" s="2"/>
      <c r="B342" s="23"/>
      <c r="C342" s="23"/>
      <c r="D342" s="4"/>
    </row>
    <row r="343" spans="1:4" ht="15.75" x14ac:dyDescent="0.25">
      <c r="A343" s="2"/>
      <c r="B343" s="23"/>
      <c r="C343" s="23"/>
      <c r="D343" s="4"/>
    </row>
    <row r="344" spans="1:4" ht="15.75" x14ac:dyDescent="0.25">
      <c r="A344" s="2"/>
      <c r="B344" s="23"/>
      <c r="C344" s="23"/>
      <c r="D344" s="4"/>
    </row>
    <row r="345" spans="1:4" ht="15.75" x14ac:dyDescent="0.25">
      <c r="A345" s="2"/>
      <c r="B345" s="23"/>
      <c r="C345" s="23"/>
      <c r="D345" s="4"/>
    </row>
    <row r="346" spans="1:4" ht="15.75" x14ac:dyDescent="0.25">
      <c r="A346" s="2"/>
      <c r="B346" s="23"/>
      <c r="C346" s="23"/>
      <c r="D346" s="4"/>
    </row>
    <row r="347" spans="1:4" ht="15.75" x14ac:dyDescent="0.25">
      <c r="A347" s="2"/>
      <c r="B347" s="23"/>
      <c r="C347" s="23"/>
      <c r="D347" s="4"/>
    </row>
    <row r="348" spans="1:4" ht="15.75" x14ac:dyDescent="0.25">
      <c r="A348" s="2"/>
      <c r="B348" s="23"/>
      <c r="C348" s="23"/>
      <c r="D348" s="4"/>
    </row>
    <row r="349" spans="1:4" ht="15.75" x14ac:dyDescent="0.25">
      <c r="A349" s="2"/>
      <c r="B349" s="23"/>
      <c r="C349" s="23"/>
      <c r="D349" s="4"/>
    </row>
    <row r="350" spans="1:4" ht="15.75" x14ac:dyDescent="0.25">
      <c r="A350" s="2"/>
      <c r="B350" s="23"/>
      <c r="C350" s="23"/>
      <c r="D350" s="4"/>
    </row>
    <row r="351" spans="1:4" ht="15.75" x14ac:dyDescent="0.25">
      <c r="A351" s="2"/>
      <c r="B351" s="23"/>
      <c r="C351" s="23"/>
      <c r="D351" s="4"/>
    </row>
    <row r="352" spans="1:4" ht="15.75" x14ac:dyDescent="0.25">
      <c r="A352" s="2"/>
      <c r="B352" s="23"/>
      <c r="C352" s="23"/>
      <c r="D352" s="4"/>
    </row>
    <row r="353" spans="1:4" ht="15.75" x14ac:dyDescent="0.25">
      <c r="A353" s="2"/>
      <c r="B353" s="23"/>
      <c r="C353" s="23"/>
      <c r="D353" s="4"/>
    </row>
    <row r="354" spans="1:4" ht="15.75" x14ac:dyDescent="0.25">
      <c r="A354" s="2"/>
      <c r="B354" s="23"/>
      <c r="C354" s="23"/>
      <c r="D354" s="4"/>
    </row>
    <row r="355" spans="1:4" ht="15.75" x14ac:dyDescent="0.25">
      <c r="A355" s="2"/>
      <c r="B355" s="23"/>
      <c r="C355" s="23"/>
      <c r="D355" s="4"/>
    </row>
    <row r="356" spans="1:4" ht="15.75" x14ac:dyDescent="0.25">
      <c r="A356" s="2"/>
      <c r="B356" s="23"/>
      <c r="C356" s="23"/>
      <c r="D356" s="4"/>
    </row>
    <row r="357" spans="1:4" ht="15.75" x14ac:dyDescent="0.25">
      <c r="A357" s="2"/>
      <c r="B357" s="23"/>
      <c r="C357" s="23"/>
      <c r="D357" s="4"/>
    </row>
    <row r="358" spans="1:4" ht="15.75" x14ac:dyDescent="0.25">
      <c r="A358" s="2"/>
      <c r="B358" s="23"/>
      <c r="C358" s="23"/>
      <c r="D358" s="4"/>
    </row>
    <row r="359" spans="1:4" ht="15.75" x14ac:dyDescent="0.25">
      <c r="A359" s="2"/>
      <c r="B359" s="23"/>
      <c r="C359" s="23"/>
      <c r="D359" s="4"/>
    </row>
    <row r="360" spans="1:4" ht="15.75" x14ac:dyDescent="0.25">
      <c r="A360" s="2"/>
      <c r="B360" s="23"/>
      <c r="C360" s="23"/>
      <c r="D360" s="4"/>
    </row>
    <row r="361" spans="1:4" ht="15.75" x14ac:dyDescent="0.25">
      <c r="A361" s="2"/>
      <c r="B361" s="23"/>
      <c r="C361" s="23"/>
      <c r="D361" s="4"/>
    </row>
    <row r="362" spans="1:4" ht="15.75" x14ac:dyDescent="0.25">
      <c r="A362" s="2"/>
      <c r="B362" s="23"/>
      <c r="C362" s="23"/>
      <c r="D362" s="4"/>
    </row>
    <row r="363" spans="1:4" ht="15.75" x14ac:dyDescent="0.25">
      <c r="A363" s="2"/>
      <c r="B363" s="23"/>
      <c r="C363" s="23"/>
      <c r="D363" s="4"/>
    </row>
    <row r="364" spans="1:4" ht="15.75" x14ac:dyDescent="0.25">
      <c r="A364" s="2"/>
      <c r="B364" s="23"/>
      <c r="C364" s="23"/>
      <c r="D364" s="4"/>
    </row>
    <row r="365" spans="1:4" ht="15.75" x14ac:dyDescent="0.25">
      <c r="A365" s="2"/>
      <c r="B365" s="23"/>
      <c r="C365" s="23"/>
      <c r="D365" s="4"/>
    </row>
    <row r="366" spans="1:4" ht="15.75" x14ac:dyDescent="0.25">
      <c r="A366" s="2"/>
      <c r="B366" s="23"/>
      <c r="C366" s="23"/>
      <c r="D366" s="4"/>
    </row>
    <row r="367" spans="1:4" ht="15.75" x14ac:dyDescent="0.25">
      <c r="A367" s="2"/>
      <c r="B367" s="23"/>
      <c r="C367" s="23"/>
      <c r="D367" s="4"/>
    </row>
    <row r="368" spans="1:4" ht="15.75" x14ac:dyDescent="0.25">
      <c r="A368" s="2"/>
      <c r="B368" s="23"/>
      <c r="C368" s="23"/>
      <c r="D368" s="4"/>
    </row>
    <row r="369" spans="1:4" ht="15.75" x14ac:dyDescent="0.25">
      <c r="A369" s="2"/>
      <c r="B369" s="23"/>
      <c r="C369" s="23"/>
      <c r="D369" s="4"/>
    </row>
    <row r="370" spans="1:4" ht="15.75" x14ac:dyDescent="0.25">
      <c r="A370" s="2"/>
      <c r="B370" s="23"/>
      <c r="C370" s="23"/>
      <c r="D370" s="4"/>
    </row>
    <row r="371" spans="1:4" ht="15.75" x14ac:dyDescent="0.25">
      <c r="A371" s="2"/>
      <c r="B371" s="23"/>
      <c r="C371" s="23"/>
      <c r="D371" s="4"/>
    </row>
    <row r="372" spans="1:4" ht="15.75" x14ac:dyDescent="0.25">
      <c r="A372" s="2"/>
      <c r="B372" s="23"/>
      <c r="C372" s="23"/>
      <c r="D372" s="4"/>
    </row>
    <row r="373" spans="1:4" ht="15.75" x14ac:dyDescent="0.25">
      <c r="A373" s="2"/>
      <c r="B373" s="23"/>
      <c r="C373" s="23"/>
      <c r="D373" s="4"/>
    </row>
    <row r="374" spans="1:4" ht="15.75" x14ac:dyDescent="0.25">
      <c r="A374" s="2"/>
      <c r="B374" s="23"/>
      <c r="C374" s="23"/>
      <c r="D374" s="4"/>
    </row>
    <row r="375" spans="1:4" ht="15.75" x14ac:dyDescent="0.25">
      <c r="A375" s="2"/>
      <c r="B375" s="23"/>
      <c r="C375" s="23"/>
      <c r="D375" s="4"/>
    </row>
    <row r="376" spans="1:4" ht="15.75" x14ac:dyDescent="0.25">
      <c r="A376" s="2"/>
      <c r="B376" s="23"/>
      <c r="C376" s="23"/>
      <c r="D376" s="4"/>
    </row>
    <row r="377" spans="1:4" ht="15.75" x14ac:dyDescent="0.25">
      <c r="A377" s="2"/>
      <c r="B377" s="23"/>
      <c r="C377" s="23"/>
      <c r="D377" s="4"/>
    </row>
    <row r="378" spans="1:4" ht="15.75" x14ac:dyDescent="0.25">
      <c r="A378" s="2"/>
      <c r="B378" s="23"/>
      <c r="C378" s="23"/>
      <c r="D378" s="4"/>
    </row>
    <row r="379" spans="1:4" ht="15.75" x14ac:dyDescent="0.25">
      <c r="A379" s="2"/>
      <c r="B379" s="23"/>
      <c r="C379" s="23"/>
      <c r="D379" s="4"/>
    </row>
    <row r="380" spans="1:4" ht="15.75" x14ac:dyDescent="0.25">
      <c r="A380" s="2"/>
      <c r="B380" s="23"/>
      <c r="C380" s="23"/>
      <c r="D380" s="4"/>
    </row>
    <row r="381" spans="1:4" ht="15.75" x14ac:dyDescent="0.25">
      <c r="A381" s="2"/>
      <c r="B381" s="23"/>
      <c r="C381" s="23"/>
      <c r="D381" s="4"/>
    </row>
    <row r="382" spans="1:4" ht="15.75" x14ac:dyDescent="0.25">
      <c r="A382" s="2"/>
      <c r="B382" s="23"/>
      <c r="C382" s="23"/>
      <c r="D382" s="4"/>
    </row>
    <row r="383" spans="1:4" ht="15.75" x14ac:dyDescent="0.25">
      <c r="A383" s="2"/>
      <c r="B383" s="23"/>
      <c r="C383" s="23"/>
      <c r="D383" s="4"/>
    </row>
    <row r="384" spans="1:4" ht="15.75" x14ac:dyDescent="0.25">
      <c r="A384" s="2"/>
      <c r="B384" s="23"/>
      <c r="C384" s="23"/>
      <c r="D384" s="4"/>
    </row>
    <row r="385" spans="1:4" ht="15.75" x14ac:dyDescent="0.25">
      <c r="A385" s="2"/>
      <c r="B385" s="23"/>
      <c r="C385" s="23"/>
      <c r="D385" s="4"/>
    </row>
    <row r="386" spans="1:4" ht="15.75" x14ac:dyDescent="0.25">
      <c r="A386" s="2"/>
      <c r="B386" s="23"/>
      <c r="C386" s="23"/>
      <c r="D386" s="4"/>
    </row>
    <row r="387" spans="1:4" ht="15.75" x14ac:dyDescent="0.25">
      <c r="A387" s="2"/>
      <c r="B387" s="23"/>
      <c r="C387" s="23"/>
      <c r="D387" s="4"/>
    </row>
    <row r="388" spans="1:4" ht="15.75" x14ac:dyDescent="0.25">
      <c r="A388" s="2"/>
      <c r="B388" s="23"/>
      <c r="C388" s="23"/>
      <c r="D388" s="4"/>
    </row>
    <row r="389" spans="1:4" ht="15.75" x14ac:dyDescent="0.25">
      <c r="A389" s="2"/>
      <c r="B389" s="23"/>
      <c r="C389" s="23"/>
      <c r="D389" s="4"/>
    </row>
    <row r="390" spans="1:4" ht="15.75" x14ac:dyDescent="0.25">
      <c r="A390" s="2"/>
      <c r="B390" s="23"/>
      <c r="C390" s="23"/>
      <c r="D390" s="4"/>
    </row>
    <row r="391" spans="1:4" ht="15.75" x14ac:dyDescent="0.25">
      <c r="A391" s="2"/>
      <c r="B391" s="23"/>
      <c r="C391" s="23"/>
      <c r="D391" s="4"/>
    </row>
    <row r="392" spans="1:4" ht="15.75" x14ac:dyDescent="0.25">
      <c r="A392" s="2"/>
      <c r="B392" s="23"/>
      <c r="C392" s="23"/>
      <c r="D392" s="4"/>
    </row>
    <row r="393" spans="1:4" ht="15.75" x14ac:dyDescent="0.25">
      <c r="A393" s="2"/>
      <c r="B393" s="23"/>
      <c r="C393" s="23"/>
      <c r="D393" s="4"/>
    </row>
    <row r="394" spans="1:4" ht="15.75" x14ac:dyDescent="0.25">
      <c r="A394" s="2"/>
      <c r="B394" s="23"/>
      <c r="C394" s="23"/>
      <c r="D394" s="4"/>
    </row>
    <row r="395" spans="1:4" ht="15.75" x14ac:dyDescent="0.25">
      <c r="A395" s="2"/>
      <c r="B395" s="23"/>
      <c r="C395" s="23"/>
      <c r="D395" s="4"/>
    </row>
    <row r="396" spans="1:4" ht="15.75" x14ac:dyDescent="0.25">
      <c r="A396" s="2"/>
      <c r="B396" s="23"/>
      <c r="C396" s="23"/>
      <c r="D396" s="4"/>
    </row>
    <row r="397" spans="1:4" ht="15.75" x14ac:dyDescent="0.25">
      <c r="A397" s="2"/>
      <c r="B397" s="23"/>
      <c r="C397" s="23"/>
      <c r="D397" s="4"/>
    </row>
    <row r="398" spans="1:4" ht="15.75" x14ac:dyDescent="0.25">
      <c r="A398" s="2"/>
      <c r="B398" s="23"/>
      <c r="C398" s="23"/>
      <c r="D398" s="4"/>
    </row>
    <row r="399" spans="1:4" ht="15.75" x14ac:dyDescent="0.25">
      <c r="A399" s="2"/>
      <c r="B399" s="23"/>
      <c r="C399" s="23"/>
      <c r="D399" s="4"/>
    </row>
    <row r="400" spans="1:4" ht="15.75" x14ac:dyDescent="0.25">
      <c r="A400" s="2"/>
      <c r="B400" s="23"/>
      <c r="C400" s="23"/>
      <c r="D400" s="4"/>
    </row>
    <row r="401" spans="1:4" ht="15.75" x14ac:dyDescent="0.25">
      <c r="A401" s="2"/>
      <c r="B401" s="23"/>
      <c r="C401" s="23"/>
      <c r="D401" s="4"/>
    </row>
    <row r="402" spans="1:4" ht="15.75" x14ac:dyDescent="0.25">
      <c r="A402" s="2"/>
      <c r="B402" s="23"/>
      <c r="C402" s="23"/>
      <c r="D402" s="4"/>
    </row>
    <row r="403" spans="1:4" ht="15.75" x14ac:dyDescent="0.25">
      <c r="A403" s="2"/>
      <c r="B403" s="23"/>
      <c r="C403" s="23"/>
      <c r="D403" s="4"/>
    </row>
    <row r="404" spans="1:4" ht="15.75" x14ac:dyDescent="0.25">
      <c r="A404" s="2"/>
      <c r="B404" s="23"/>
      <c r="C404" s="23"/>
      <c r="D404" s="4"/>
    </row>
    <row r="405" spans="1:4" ht="15.75" x14ac:dyDescent="0.25">
      <c r="A405" s="2"/>
      <c r="B405" s="23"/>
      <c r="C405" s="23"/>
      <c r="D405" s="4"/>
    </row>
    <row r="406" spans="1:4" ht="15.75" x14ac:dyDescent="0.25">
      <c r="A406" s="2"/>
      <c r="B406" s="23"/>
      <c r="C406" s="23"/>
      <c r="D406" s="6"/>
    </row>
    <row r="407" spans="1:4" ht="15.75" x14ac:dyDescent="0.25">
      <c r="A407" s="2"/>
      <c r="B407" s="23"/>
      <c r="C407" s="23"/>
      <c r="D407" s="6"/>
    </row>
    <row r="408" spans="1:4" ht="15.75" x14ac:dyDescent="0.25">
      <c r="A408" s="2"/>
      <c r="B408" s="23"/>
      <c r="C408" s="23"/>
      <c r="D408" s="6"/>
    </row>
    <row r="409" spans="1:4" ht="15.75" x14ac:dyDescent="0.25">
      <c r="A409" s="2"/>
      <c r="B409" s="23"/>
      <c r="C409" s="23"/>
      <c r="D409" s="71"/>
    </row>
    <row r="410" spans="1:4" ht="15.75" x14ac:dyDescent="0.25">
      <c r="A410" s="2"/>
      <c r="B410" s="23"/>
      <c r="C410" s="23"/>
      <c r="D410" s="71"/>
    </row>
    <row r="411" spans="1:4" ht="15.75" x14ac:dyDescent="0.25">
      <c r="A411" s="2"/>
      <c r="B411" s="23"/>
      <c r="C411" s="23"/>
      <c r="D411" s="71"/>
    </row>
    <row r="412" spans="1:4" ht="15.75" x14ac:dyDescent="0.25">
      <c r="A412" s="2"/>
      <c r="B412" s="23"/>
      <c r="C412" s="23"/>
      <c r="D412" s="71"/>
    </row>
    <row r="413" spans="1:4" ht="15.75" x14ac:dyDescent="0.25">
      <c r="A413" s="2"/>
      <c r="B413" s="23"/>
      <c r="C413" s="23"/>
      <c r="D413" s="71"/>
    </row>
    <row r="414" spans="1:4" ht="15.75" x14ac:dyDescent="0.25">
      <c r="A414" s="2"/>
      <c r="B414" s="23"/>
      <c r="C414" s="23"/>
      <c r="D414" s="71"/>
    </row>
    <row r="415" spans="1:4" ht="15.75" x14ac:dyDescent="0.25">
      <c r="A415" s="2"/>
      <c r="B415" s="23"/>
      <c r="C415" s="23"/>
      <c r="D415" s="71"/>
    </row>
    <row r="416" spans="1:4" ht="15.75" x14ac:dyDescent="0.25">
      <c r="A416" s="2"/>
      <c r="B416" s="23"/>
      <c r="C416" s="23"/>
      <c r="D416" s="71"/>
    </row>
    <row r="417" spans="1:4" ht="15.75" x14ac:dyDescent="0.25">
      <c r="A417" s="2"/>
      <c r="B417" s="23"/>
      <c r="C417" s="23"/>
      <c r="D417" s="71"/>
    </row>
    <row r="418" spans="1:4" ht="15.75" x14ac:dyDescent="0.25">
      <c r="A418" s="2"/>
      <c r="B418" s="23"/>
      <c r="C418" s="23"/>
      <c r="D418" s="71"/>
    </row>
    <row r="419" spans="1:4" ht="15.75" x14ac:dyDescent="0.25">
      <c r="A419" s="2"/>
      <c r="B419" s="23"/>
      <c r="C419" s="23"/>
      <c r="D419" s="71"/>
    </row>
    <row r="420" spans="1:4" ht="15.75" x14ac:dyDescent="0.25">
      <c r="A420" s="2"/>
      <c r="B420" s="23"/>
      <c r="C420" s="23"/>
      <c r="D420" s="71"/>
    </row>
    <row r="421" spans="1:4" ht="15.75" x14ac:dyDescent="0.25">
      <c r="A421" s="2"/>
      <c r="B421" s="23"/>
      <c r="C421" s="23"/>
      <c r="D421" s="71"/>
    </row>
    <row r="422" spans="1:4" ht="15.75" x14ac:dyDescent="0.25">
      <c r="A422" s="2"/>
      <c r="B422" s="23"/>
      <c r="C422" s="23"/>
      <c r="D422" s="71"/>
    </row>
    <row r="423" spans="1:4" ht="15.75" x14ac:dyDescent="0.25">
      <c r="A423" s="2"/>
      <c r="B423" s="23"/>
      <c r="C423" s="23"/>
      <c r="D423" s="71"/>
    </row>
    <row r="424" spans="1:4" ht="15.75" x14ac:dyDescent="0.25">
      <c r="A424" s="2"/>
      <c r="B424" s="23"/>
      <c r="C424" s="23"/>
      <c r="D424" s="71"/>
    </row>
    <row r="425" spans="1:4" ht="15.75" x14ac:dyDescent="0.25">
      <c r="A425" s="2"/>
      <c r="B425" s="23"/>
      <c r="C425" s="23"/>
      <c r="D425" s="71"/>
    </row>
    <row r="426" spans="1:4" ht="15.75" x14ac:dyDescent="0.25">
      <c r="A426" s="2"/>
      <c r="B426" s="23"/>
      <c r="C426" s="23"/>
      <c r="D426" s="71"/>
    </row>
    <row r="427" spans="1:4" ht="15.75" x14ac:dyDescent="0.25">
      <c r="A427" s="2"/>
      <c r="B427" s="23"/>
      <c r="C427" s="23"/>
      <c r="D427" s="71"/>
    </row>
    <row r="428" spans="1:4" ht="15.75" x14ac:dyDescent="0.25">
      <c r="A428" s="2"/>
      <c r="B428" s="23"/>
      <c r="C428" s="23"/>
      <c r="D428" s="71"/>
    </row>
    <row r="429" spans="1:4" ht="15.75" x14ac:dyDescent="0.25">
      <c r="A429" s="2"/>
      <c r="B429" s="23"/>
      <c r="C429" s="23"/>
      <c r="D429" s="71"/>
    </row>
    <row r="430" spans="1:4" ht="15.75" x14ac:dyDescent="0.25">
      <c r="A430" s="2"/>
      <c r="B430" s="23"/>
      <c r="C430" s="23"/>
      <c r="D430" s="71"/>
    </row>
    <row r="431" spans="1:4" ht="15.75" x14ac:dyDescent="0.25">
      <c r="A431" s="2"/>
      <c r="B431" s="23"/>
      <c r="C431" s="23"/>
      <c r="D431" s="71"/>
    </row>
    <row r="432" spans="1:4" ht="15.75" x14ac:dyDescent="0.25">
      <c r="A432" s="2"/>
      <c r="B432" s="23"/>
      <c r="C432" s="23"/>
      <c r="D432" s="71"/>
    </row>
    <row r="433" spans="1:4" ht="15.75" x14ac:dyDescent="0.25">
      <c r="A433" s="2"/>
      <c r="B433" s="23"/>
      <c r="C433" s="23"/>
      <c r="D433" s="71"/>
    </row>
    <row r="434" spans="1:4" ht="15.75" x14ac:dyDescent="0.25">
      <c r="A434" s="2"/>
      <c r="B434" s="23"/>
      <c r="C434" s="23"/>
      <c r="D434" s="71"/>
    </row>
    <row r="435" spans="1:4" ht="15.75" x14ac:dyDescent="0.25">
      <c r="A435" s="2"/>
      <c r="B435" s="23"/>
      <c r="C435" s="23"/>
      <c r="D435" s="71"/>
    </row>
    <row r="436" spans="1:4" ht="15.75" x14ac:dyDescent="0.25">
      <c r="A436" s="2"/>
      <c r="B436" s="23"/>
      <c r="C436" s="23"/>
      <c r="D436" s="71"/>
    </row>
    <row r="437" spans="1:4" ht="15.75" x14ac:dyDescent="0.25">
      <c r="A437" s="2"/>
      <c r="B437" s="23"/>
      <c r="C437" s="23"/>
      <c r="D437" s="71"/>
    </row>
    <row r="438" spans="1:4" ht="15.75" x14ac:dyDescent="0.25">
      <c r="A438" s="2"/>
      <c r="B438" s="23"/>
      <c r="C438" s="23"/>
      <c r="D438" s="71"/>
    </row>
    <row r="439" spans="1:4" ht="15.75" x14ac:dyDescent="0.25">
      <c r="A439" s="2"/>
      <c r="B439" s="23"/>
      <c r="C439" s="23"/>
      <c r="D439" s="71"/>
    </row>
    <row r="440" spans="1:4" ht="15.75" x14ac:dyDescent="0.25">
      <c r="A440" s="2"/>
      <c r="B440" s="23"/>
      <c r="C440" s="23"/>
      <c r="D440" s="71"/>
    </row>
    <row r="441" spans="1:4" ht="15.75" x14ac:dyDescent="0.25">
      <c r="A441" s="2"/>
      <c r="B441" s="23"/>
      <c r="C441" s="23"/>
      <c r="D441" s="71"/>
    </row>
    <row r="442" spans="1:4" ht="15.75" x14ac:dyDescent="0.25">
      <c r="A442" s="2"/>
      <c r="B442" s="23"/>
      <c r="C442" s="23"/>
      <c r="D442" s="71"/>
    </row>
    <row r="443" spans="1:4" ht="15.75" x14ac:dyDescent="0.25">
      <c r="A443" s="2"/>
      <c r="B443" s="23"/>
      <c r="C443" s="23"/>
      <c r="D443" s="71"/>
    </row>
    <row r="444" spans="1:4" ht="15.75" x14ac:dyDescent="0.25">
      <c r="A444" s="2"/>
      <c r="B444" s="23"/>
      <c r="C444" s="23"/>
      <c r="D444" s="71"/>
    </row>
    <row r="445" spans="1:4" ht="15.75" x14ac:dyDescent="0.25">
      <c r="A445" s="2"/>
      <c r="B445" s="23"/>
      <c r="C445" s="23"/>
      <c r="D445" s="71"/>
    </row>
    <row r="446" spans="1:4" ht="15.75" x14ac:dyDescent="0.25">
      <c r="A446" s="2"/>
      <c r="B446" s="23"/>
      <c r="C446" s="23"/>
      <c r="D446" s="71"/>
    </row>
    <row r="447" spans="1:4" ht="15.75" x14ac:dyDescent="0.25">
      <c r="A447" s="2"/>
      <c r="B447" s="23"/>
      <c r="C447" s="23"/>
      <c r="D447" s="71"/>
    </row>
    <row r="448" spans="1:4" ht="15.75" x14ac:dyDescent="0.25">
      <c r="A448" s="2"/>
      <c r="B448" s="23"/>
      <c r="C448" s="23"/>
      <c r="D448" s="71"/>
    </row>
    <row r="449" spans="1:4" ht="15.75" x14ac:dyDescent="0.25">
      <c r="A449" s="2"/>
      <c r="B449" s="23"/>
      <c r="C449" s="23"/>
      <c r="D449" s="71"/>
    </row>
    <row r="450" spans="1:4" ht="15.75" x14ac:dyDescent="0.25">
      <c r="A450" s="2"/>
      <c r="B450" s="23"/>
      <c r="C450" s="23"/>
      <c r="D450" s="71"/>
    </row>
    <row r="451" spans="1:4" ht="15.75" x14ac:dyDescent="0.25">
      <c r="A451" s="2"/>
      <c r="B451" s="23"/>
      <c r="C451" s="23"/>
      <c r="D451" s="71"/>
    </row>
    <row r="452" spans="1:4" ht="15.75" x14ac:dyDescent="0.25">
      <c r="A452" s="2"/>
      <c r="B452" s="23"/>
      <c r="C452" s="23"/>
      <c r="D452" s="71"/>
    </row>
    <row r="453" spans="1:4" ht="15.75" x14ac:dyDescent="0.25">
      <c r="A453" s="2"/>
      <c r="B453" s="23"/>
      <c r="C453" s="23"/>
      <c r="D453" s="71"/>
    </row>
    <row r="454" spans="1:4" ht="15.75" x14ac:dyDescent="0.25">
      <c r="A454" s="2"/>
      <c r="B454" s="23"/>
      <c r="C454" s="23"/>
      <c r="D454" s="71"/>
    </row>
    <row r="455" spans="1:4" ht="15.75" x14ac:dyDescent="0.25">
      <c r="A455" s="2"/>
      <c r="B455" s="23"/>
      <c r="C455" s="23"/>
      <c r="D455" s="71"/>
    </row>
    <row r="456" spans="1:4" ht="15.75" x14ac:dyDescent="0.25">
      <c r="A456" s="2"/>
      <c r="B456" s="23"/>
      <c r="C456" s="23"/>
      <c r="D456" s="71"/>
    </row>
    <row r="457" spans="1:4" ht="15.75" x14ac:dyDescent="0.25">
      <c r="A457" s="2"/>
      <c r="B457" s="23"/>
      <c r="C457" s="23"/>
      <c r="D457" s="71"/>
    </row>
    <row r="458" spans="1:4" ht="15.75" x14ac:dyDescent="0.25">
      <c r="A458" s="2"/>
      <c r="B458" s="23"/>
      <c r="C458" s="23"/>
      <c r="D458" s="71"/>
    </row>
    <row r="459" spans="1:4" ht="15.75" x14ac:dyDescent="0.25">
      <c r="A459" s="2"/>
      <c r="B459" s="23"/>
      <c r="C459" s="23"/>
      <c r="D459" s="71"/>
    </row>
    <row r="460" spans="1:4" ht="15.75" x14ac:dyDescent="0.25">
      <c r="A460" s="2"/>
      <c r="B460" s="23"/>
      <c r="C460" s="23"/>
      <c r="D460" s="71"/>
    </row>
    <row r="461" spans="1:4" ht="15.75" x14ac:dyDescent="0.25">
      <c r="A461" s="2"/>
      <c r="B461" s="23"/>
      <c r="C461" s="23"/>
      <c r="D461" s="71"/>
    </row>
    <row r="462" spans="1:4" ht="15.75" x14ac:dyDescent="0.25">
      <c r="A462" s="2"/>
      <c r="B462" s="23"/>
      <c r="C462" s="23"/>
      <c r="D462" s="71"/>
    </row>
    <row r="463" spans="1:4" ht="15.75" x14ac:dyDescent="0.25">
      <c r="A463" s="2"/>
      <c r="B463" s="23"/>
      <c r="C463" s="23"/>
      <c r="D463" s="71"/>
    </row>
    <row r="464" spans="1:4" ht="15.75" x14ac:dyDescent="0.25">
      <c r="A464" s="2"/>
      <c r="B464" s="23"/>
      <c r="C464" s="23"/>
      <c r="D464" s="71"/>
    </row>
    <row r="465" spans="1:4" ht="15.75" x14ac:dyDescent="0.25">
      <c r="A465" s="2"/>
      <c r="B465" s="23"/>
      <c r="C465" s="23"/>
      <c r="D465" s="71"/>
    </row>
    <row r="466" spans="1:4" ht="15.75" x14ac:dyDescent="0.25">
      <c r="A466" s="2"/>
      <c r="B466" s="23"/>
      <c r="C466" s="23"/>
      <c r="D466" s="71"/>
    </row>
    <row r="467" spans="1:4" ht="15.75" x14ac:dyDescent="0.25">
      <c r="A467" s="2"/>
      <c r="B467" s="23"/>
      <c r="C467" s="23"/>
      <c r="D467" s="71"/>
    </row>
    <row r="468" spans="1:4" ht="15.75" x14ac:dyDescent="0.25">
      <c r="A468" s="2"/>
      <c r="B468" s="23"/>
      <c r="C468" s="23"/>
      <c r="D468" s="71"/>
    </row>
    <row r="469" spans="1:4" ht="15.75" x14ac:dyDescent="0.25">
      <c r="A469" s="2"/>
      <c r="B469" s="23"/>
      <c r="C469" s="23"/>
      <c r="D469" s="71"/>
    </row>
    <row r="470" spans="1:4" ht="15.75" x14ac:dyDescent="0.25">
      <c r="A470" s="2"/>
      <c r="B470" s="23"/>
      <c r="C470" s="23"/>
      <c r="D470" s="71"/>
    </row>
    <row r="471" spans="1:4" ht="15.75" x14ac:dyDescent="0.25">
      <c r="A471" s="2"/>
      <c r="B471" s="23"/>
      <c r="C471" s="23"/>
      <c r="D471" s="71"/>
    </row>
    <row r="472" spans="1:4" ht="15.75" x14ac:dyDescent="0.25">
      <c r="A472" s="2"/>
      <c r="B472" s="23"/>
      <c r="C472" s="23"/>
      <c r="D472" s="71"/>
    </row>
    <row r="473" spans="1:4" ht="15.75" x14ac:dyDescent="0.25">
      <c r="A473" s="2"/>
      <c r="B473" s="23"/>
      <c r="C473" s="23"/>
      <c r="D473" s="71"/>
    </row>
    <row r="474" spans="1:4" ht="15.75" x14ac:dyDescent="0.25">
      <c r="A474" s="2"/>
      <c r="B474" s="23"/>
      <c r="C474" s="23"/>
      <c r="D474" s="71"/>
    </row>
    <row r="475" spans="1:4" ht="15.75" x14ac:dyDescent="0.25">
      <c r="A475" s="2"/>
      <c r="B475" s="23"/>
      <c r="C475" s="23"/>
      <c r="D475" s="71"/>
    </row>
    <row r="476" spans="1:4" ht="15.75" x14ac:dyDescent="0.25">
      <c r="A476" s="2"/>
      <c r="B476" s="23"/>
      <c r="C476" s="23"/>
      <c r="D476" s="71"/>
    </row>
    <row r="477" spans="1:4" ht="15.75" x14ac:dyDescent="0.25">
      <c r="A477" s="2"/>
      <c r="B477" s="23"/>
      <c r="C477" s="23"/>
      <c r="D477" s="71"/>
    </row>
    <row r="478" spans="1:4" ht="15.75" x14ac:dyDescent="0.25">
      <c r="A478" s="2"/>
      <c r="B478" s="23"/>
      <c r="C478" s="23"/>
      <c r="D478" s="71"/>
    </row>
    <row r="479" spans="1:4" ht="15.75" x14ac:dyDescent="0.25">
      <c r="A479" s="2"/>
      <c r="B479" s="23"/>
      <c r="C479" s="23"/>
      <c r="D479" s="71"/>
    </row>
    <row r="480" spans="1:4" ht="15.75" x14ac:dyDescent="0.25">
      <c r="A480" s="2"/>
      <c r="B480" s="23"/>
      <c r="C480" s="23"/>
      <c r="D480" s="71"/>
    </row>
    <row r="481" spans="1:4" ht="15.75" x14ac:dyDescent="0.25">
      <c r="A481" s="2"/>
      <c r="B481" s="23"/>
      <c r="C481" s="23"/>
      <c r="D481" s="71"/>
    </row>
    <row r="482" spans="1:4" ht="15.75" x14ac:dyDescent="0.25">
      <c r="A482" s="2"/>
      <c r="B482" s="23"/>
      <c r="C482" s="23"/>
      <c r="D482" s="71"/>
    </row>
    <row r="483" spans="1:4" ht="15.75" x14ac:dyDescent="0.25">
      <c r="A483" s="2"/>
      <c r="B483" s="23"/>
      <c r="C483" s="23"/>
      <c r="D483" s="71"/>
    </row>
    <row r="484" spans="1:4" ht="15.75" x14ac:dyDescent="0.25">
      <c r="A484" s="2"/>
      <c r="B484" s="23"/>
      <c r="C484" s="23"/>
      <c r="D484" s="71"/>
    </row>
    <row r="485" spans="1:4" ht="15.75" x14ac:dyDescent="0.25">
      <c r="A485" s="2"/>
      <c r="B485" s="23"/>
      <c r="C485" s="23"/>
      <c r="D485" s="71"/>
    </row>
    <row r="486" spans="1:4" ht="15.75" x14ac:dyDescent="0.25">
      <c r="A486" s="2"/>
      <c r="B486" s="23"/>
      <c r="C486" s="23"/>
      <c r="D486" s="71"/>
    </row>
    <row r="487" spans="1:4" ht="15.75" x14ac:dyDescent="0.25">
      <c r="A487" s="2"/>
      <c r="B487" s="23"/>
      <c r="C487" s="23"/>
      <c r="D487" s="71"/>
    </row>
    <row r="488" spans="1:4" ht="15.75" x14ac:dyDescent="0.25">
      <c r="A488" s="2"/>
      <c r="B488" s="23"/>
      <c r="C488" s="23"/>
      <c r="D488" s="71"/>
    </row>
    <row r="489" spans="1:4" ht="15.75" x14ac:dyDescent="0.25">
      <c r="A489" s="2"/>
      <c r="B489" s="23"/>
      <c r="C489" s="23"/>
      <c r="D489" s="71"/>
    </row>
    <row r="490" spans="1:4" ht="15.75" x14ac:dyDescent="0.25">
      <c r="A490" s="2"/>
      <c r="B490" s="23"/>
      <c r="C490" s="23"/>
      <c r="D490" s="71"/>
    </row>
    <row r="491" spans="1:4" ht="15.75" x14ac:dyDescent="0.25">
      <c r="A491" s="2"/>
      <c r="B491" s="23"/>
      <c r="C491" s="23"/>
      <c r="D491" s="71"/>
    </row>
    <row r="492" spans="1:4" ht="15.75" x14ac:dyDescent="0.25">
      <c r="A492" s="2"/>
      <c r="B492" s="23"/>
      <c r="C492" s="23"/>
      <c r="D492" s="71"/>
    </row>
    <row r="493" spans="1:4" ht="15.75" x14ac:dyDescent="0.25">
      <c r="A493" s="2"/>
      <c r="B493" s="23"/>
      <c r="C493" s="23"/>
      <c r="D493" s="71"/>
    </row>
    <row r="494" spans="1:4" ht="15.75" x14ac:dyDescent="0.25">
      <c r="A494" s="2"/>
      <c r="B494" s="23"/>
      <c r="C494" s="23"/>
      <c r="D494" s="71"/>
    </row>
    <row r="495" spans="1:4" ht="15.75" x14ac:dyDescent="0.25">
      <c r="A495" s="2"/>
      <c r="B495" s="23"/>
      <c r="C495" s="23"/>
      <c r="D495" s="71"/>
    </row>
    <row r="496" spans="1:4" ht="15.75" x14ac:dyDescent="0.25">
      <c r="A496" s="2"/>
      <c r="B496" s="23"/>
      <c r="C496" s="23"/>
      <c r="D496" s="71"/>
    </row>
    <row r="497" spans="1:4" ht="15.75" x14ac:dyDescent="0.25">
      <c r="A497" s="2"/>
      <c r="B497" s="23"/>
      <c r="C497" s="23"/>
      <c r="D497" s="71"/>
    </row>
    <row r="498" spans="1:4" ht="15.75" x14ac:dyDescent="0.25">
      <c r="A498" s="2"/>
      <c r="B498" s="23"/>
      <c r="C498" s="23"/>
      <c r="D498" s="71"/>
    </row>
    <row r="499" spans="1:4" ht="15.75" x14ac:dyDescent="0.25">
      <c r="A499" s="2"/>
      <c r="B499" s="23"/>
      <c r="C499" s="23"/>
      <c r="D499" s="71"/>
    </row>
    <row r="500" spans="1:4" ht="15.75" x14ac:dyDescent="0.25">
      <c r="A500" s="2"/>
      <c r="B500" s="23"/>
      <c r="C500" s="23"/>
      <c r="D500" s="71"/>
    </row>
    <row r="501" spans="1:4" ht="15.75" x14ac:dyDescent="0.25">
      <c r="A501" s="2"/>
      <c r="B501" s="23"/>
      <c r="C501" s="23"/>
      <c r="D501" s="71"/>
    </row>
    <row r="502" spans="1:4" ht="15.75" x14ac:dyDescent="0.25">
      <c r="A502" s="2"/>
      <c r="B502" s="23"/>
      <c r="C502" s="23"/>
      <c r="D502" s="71"/>
    </row>
    <row r="503" spans="1:4" ht="15.75" x14ac:dyDescent="0.25">
      <c r="A503" s="2"/>
      <c r="B503" s="23"/>
      <c r="C503" s="23"/>
      <c r="D503" s="71"/>
    </row>
    <row r="504" spans="1:4" ht="15.75" x14ac:dyDescent="0.25">
      <c r="A504" s="2"/>
      <c r="B504" s="23"/>
      <c r="C504" s="23"/>
      <c r="D504" s="71"/>
    </row>
    <row r="505" spans="1:4" ht="15.75" x14ac:dyDescent="0.25">
      <c r="A505" s="2"/>
      <c r="B505" s="23"/>
      <c r="C505" s="23"/>
      <c r="D505" s="71"/>
    </row>
    <row r="506" spans="1:4" ht="15.75" x14ac:dyDescent="0.25">
      <c r="A506" s="2"/>
      <c r="B506" s="23"/>
      <c r="C506" s="23"/>
      <c r="D506" s="71"/>
    </row>
    <row r="507" spans="1:4" ht="15.75" x14ac:dyDescent="0.25">
      <c r="A507" s="2"/>
      <c r="B507" s="23"/>
      <c r="C507" s="23"/>
      <c r="D507" s="71"/>
    </row>
    <row r="508" spans="1:4" ht="15.75" x14ac:dyDescent="0.25">
      <c r="A508" s="2"/>
      <c r="B508" s="23"/>
      <c r="C508" s="23"/>
      <c r="D508" s="71"/>
    </row>
    <row r="509" spans="1:4" ht="15.75" x14ac:dyDescent="0.25">
      <c r="A509" s="2"/>
      <c r="B509" s="23"/>
      <c r="C509" s="23"/>
      <c r="D509" s="71"/>
    </row>
    <row r="510" spans="1:4" ht="15.75" x14ac:dyDescent="0.25">
      <c r="A510" s="2"/>
      <c r="B510" s="23"/>
      <c r="C510" s="23"/>
      <c r="D510" s="71"/>
    </row>
    <row r="511" spans="1:4" ht="15.75" x14ac:dyDescent="0.25">
      <c r="A511" s="2"/>
      <c r="B511" s="23"/>
      <c r="C511" s="23"/>
      <c r="D511" s="71"/>
    </row>
    <row r="512" spans="1:4" ht="15.75" x14ac:dyDescent="0.25">
      <c r="A512" s="2"/>
      <c r="B512" s="23"/>
      <c r="C512" s="23"/>
      <c r="D512" s="71"/>
    </row>
    <row r="513" spans="1:4" ht="15.75" x14ac:dyDescent="0.25">
      <c r="A513" s="2"/>
      <c r="B513" s="23"/>
      <c r="C513" s="23"/>
      <c r="D513" s="71"/>
    </row>
    <row r="514" spans="1:4" ht="15.75" x14ac:dyDescent="0.25">
      <c r="A514" s="2"/>
      <c r="B514" s="23"/>
      <c r="C514" s="23"/>
      <c r="D514" s="71"/>
    </row>
    <row r="515" spans="1:4" ht="15.75" x14ac:dyDescent="0.25">
      <c r="A515" s="2"/>
      <c r="B515" s="23"/>
      <c r="C515" s="23"/>
      <c r="D515" s="71"/>
    </row>
    <row r="516" spans="1:4" ht="15.75" x14ac:dyDescent="0.25">
      <c r="A516" s="2"/>
      <c r="B516" s="23"/>
      <c r="C516" s="23"/>
      <c r="D516" s="71"/>
    </row>
    <row r="517" spans="1:4" ht="15.75" x14ac:dyDescent="0.25">
      <c r="A517" s="2"/>
      <c r="B517" s="23"/>
      <c r="C517" s="23"/>
      <c r="D517" s="71"/>
    </row>
    <row r="518" spans="1:4" ht="15.75" x14ac:dyDescent="0.25">
      <c r="A518" s="2"/>
      <c r="B518" s="23"/>
      <c r="C518" s="23"/>
      <c r="D518" s="71"/>
    </row>
    <row r="519" spans="1:4" ht="15.75" x14ac:dyDescent="0.25">
      <c r="A519" s="2"/>
      <c r="B519" s="23"/>
      <c r="C519" s="23"/>
      <c r="D519" s="71"/>
    </row>
    <row r="520" spans="1:4" ht="15.75" x14ac:dyDescent="0.25">
      <c r="A520" s="2"/>
      <c r="B520" s="23"/>
      <c r="C520" s="23"/>
      <c r="D520" s="71"/>
    </row>
    <row r="521" spans="1:4" ht="15.75" x14ac:dyDescent="0.25">
      <c r="A521" s="2"/>
      <c r="B521" s="23"/>
      <c r="C521" s="23"/>
      <c r="D521" s="71"/>
    </row>
    <row r="522" spans="1:4" ht="15.75" x14ac:dyDescent="0.25">
      <c r="A522" s="2"/>
      <c r="B522" s="23"/>
      <c r="C522" s="23"/>
      <c r="D522" s="71"/>
    </row>
    <row r="523" spans="1:4" ht="15.75" x14ac:dyDescent="0.25">
      <c r="A523" s="2"/>
      <c r="B523" s="23"/>
      <c r="C523" s="23"/>
      <c r="D523" s="71"/>
    </row>
    <row r="524" spans="1:4" ht="15.75" x14ac:dyDescent="0.25">
      <c r="A524" s="2"/>
      <c r="B524" s="23"/>
      <c r="C524" s="23"/>
      <c r="D524" s="71"/>
    </row>
    <row r="525" spans="1:4" ht="15.75" x14ac:dyDescent="0.25">
      <c r="A525" s="2"/>
      <c r="B525" s="23"/>
      <c r="C525" s="23"/>
      <c r="D525" s="71"/>
    </row>
    <row r="526" spans="1:4" ht="15.75" x14ac:dyDescent="0.25">
      <c r="A526" s="2"/>
      <c r="B526" s="23"/>
      <c r="C526" s="23"/>
      <c r="D526" s="71"/>
    </row>
    <row r="527" spans="1:4" ht="15.75" x14ac:dyDescent="0.25">
      <c r="A527" s="2"/>
      <c r="B527" s="23"/>
      <c r="C527" s="23"/>
      <c r="D527" s="71"/>
    </row>
    <row r="528" spans="1:4" ht="15.75" x14ac:dyDescent="0.25">
      <c r="A528" s="2"/>
      <c r="B528" s="23"/>
      <c r="C528" s="23"/>
      <c r="D528" s="71"/>
    </row>
    <row r="529" spans="1:4" ht="15.75" x14ac:dyDescent="0.25">
      <c r="A529" s="2"/>
      <c r="B529" s="23"/>
      <c r="C529" s="23"/>
      <c r="D529" s="71"/>
    </row>
    <row r="530" spans="1:4" ht="15.75" x14ac:dyDescent="0.25">
      <c r="A530" s="2"/>
      <c r="B530" s="23"/>
      <c r="C530" s="23"/>
      <c r="D530" s="71"/>
    </row>
    <row r="531" spans="1:4" ht="15.75" x14ac:dyDescent="0.25">
      <c r="A531" s="2"/>
      <c r="B531" s="23"/>
      <c r="C531" s="23"/>
      <c r="D531" s="71"/>
    </row>
    <row r="532" spans="1:4" ht="15.75" x14ac:dyDescent="0.25">
      <c r="A532" s="2"/>
      <c r="B532" s="23"/>
      <c r="C532" s="23"/>
      <c r="D532" s="71"/>
    </row>
    <row r="533" spans="1:4" ht="15.75" x14ac:dyDescent="0.25">
      <c r="A533" s="2"/>
      <c r="B533" s="23"/>
      <c r="C533" s="23"/>
      <c r="D533" s="71"/>
    </row>
    <row r="534" spans="1:4" ht="15.75" x14ac:dyDescent="0.25">
      <c r="A534" s="2"/>
      <c r="B534" s="23"/>
      <c r="C534" s="23"/>
      <c r="D534" s="71"/>
    </row>
    <row r="535" spans="1:4" ht="15.75" x14ac:dyDescent="0.25">
      <c r="A535" s="2"/>
      <c r="B535" s="23"/>
      <c r="C535" s="23"/>
      <c r="D535" s="71"/>
    </row>
    <row r="536" spans="1:4" ht="15.75" x14ac:dyDescent="0.25">
      <c r="A536" s="2"/>
      <c r="B536" s="23"/>
      <c r="C536" s="23"/>
      <c r="D536" s="71"/>
    </row>
    <row r="537" spans="1:4" ht="15.75" x14ac:dyDescent="0.25">
      <c r="A537" s="2"/>
      <c r="B537" s="23"/>
      <c r="C537" s="23"/>
      <c r="D537" s="71"/>
    </row>
    <row r="538" spans="1:4" ht="15.75" x14ac:dyDescent="0.25">
      <c r="A538" s="2"/>
      <c r="B538" s="23"/>
      <c r="C538" s="23"/>
      <c r="D538" s="71"/>
    </row>
    <row r="539" spans="1:4" ht="15.75" x14ac:dyDescent="0.25">
      <c r="A539" s="2"/>
      <c r="B539" s="23"/>
      <c r="C539" s="23"/>
      <c r="D539" s="71"/>
    </row>
    <row r="540" spans="1:4" ht="15.75" x14ac:dyDescent="0.25">
      <c r="A540" s="2"/>
      <c r="B540" s="23"/>
      <c r="C540" s="23"/>
      <c r="D540" s="71"/>
    </row>
    <row r="541" spans="1:4" ht="15.75" x14ac:dyDescent="0.25">
      <c r="A541" s="2"/>
      <c r="B541" s="23"/>
      <c r="C541" s="23"/>
      <c r="D541" s="6"/>
    </row>
    <row r="542" spans="1:4" ht="15.75" x14ac:dyDescent="0.25">
      <c r="A542" s="2"/>
      <c r="B542" s="23"/>
      <c r="C542" s="23"/>
      <c r="D542" s="71"/>
    </row>
    <row r="543" spans="1:4" ht="15.75" x14ac:dyDescent="0.25">
      <c r="A543" s="2"/>
      <c r="B543" s="23"/>
      <c r="C543" s="23"/>
      <c r="D543" s="71"/>
    </row>
    <row r="544" spans="1:4" ht="15.75" x14ac:dyDescent="0.25">
      <c r="A544" s="2"/>
      <c r="B544" s="23"/>
      <c r="C544" s="23"/>
      <c r="D544" s="71"/>
    </row>
    <row r="545" spans="1:4" ht="15.75" x14ac:dyDescent="0.25">
      <c r="A545" s="2"/>
      <c r="B545" s="23"/>
      <c r="C545" s="23"/>
      <c r="D545" s="71"/>
    </row>
    <row r="546" spans="1:4" ht="15.75" x14ac:dyDescent="0.25">
      <c r="A546" s="2"/>
      <c r="B546" s="23"/>
      <c r="C546" s="23"/>
      <c r="D546" s="71"/>
    </row>
    <row r="547" spans="1:4" ht="15.75" x14ac:dyDescent="0.25">
      <c r="A547" s="2"/>
      <c r="B547" s="23"/>
      <c r="C547" s="23"/>
      <c r="D547" s="71"/>
    </row>
    <row r="548" spans="1:4" ht="15.75" x14ac:dyDescent="0.25">
      <c r="A548" s="2"/>
      <c r="B548" s="23"/>
      <c r="C548" s="23"/>
      <c r="D548" s="71"/>
    </row>
    <row r="549" spans="1:4" ht="15.75" x14ac:dyDescent="0.25">
      <c r="A549" s="2"/>
      <c r="B549" s="23"/>
      <c r="C549" s="23"/>
      <c r="D549" s="71"/>
    </row>
    <row r="550" spans="1:4" ht="15.75" x14ac:dyDescent="0.25">
      <c r="A550" s="2"/>
      <c r="B550" s="23"/>
      <c r="C550" s="23"/>
      <c r="D550" s="71"/>
    </row>
    <row r="551" spans="1:4" ht="15.75" x14ac:dyDescent="0.25">
      <c r="A551" s="2"/>
      <c r="B551" s="23"/>
      <c r="C551" s="23"/>
      <c r="D551" s="71"/>
    </row>
    <row r="552" spans="1:4" ht="15.75" x14ac:dyDescent="0.25">
      <c r="A552" s="2"/>
      <c r="B552" s="23"/>
      <c r="C552" s="23"/>
      <c r="D552" s="71"/>
    </row>
    <row r="553" spans="1:4" ht="15.75" x14ac:dyDescent="0.25">
      <c r="A553" s="2"/>
      <c r="B553" s="23"/>
      <c r="C553" s="23"/>
      <c r="D553" s="71"/>
    </row>
    <row r="554" spans="1:4" ht="15.75" x14ac:dyDescent="0.25">
      <c r="A554" s="2"/>
      <c r="B554" s="23"/>
      <c r="C554" s="23"/>
      <c r="D554" s="71"/>
    </row>
    <row r="555" spans="1:4" ht="15.75" x14ac:dyDescent="0.25">
      <c r="A555" s="2"/>
      <c r="B555" s="23"/>
      <c r="C555" s="23"/>
      <c r="D555" s="71"/>
    </row>
    <row r="556" spans="1:4" ht="15.75" x14ac:dyDescent="0.25">
      <c r="A556" s="2"/>
      <c r="B556" s="23"/>
      <c r="C556" s="23"/>
      <c r="D556" s="71"/>
    </row>
    <row r="557" spans="1:4" ht="15.75" x14ac:dyDescent="0.25">
      <c r="A557" s="2"/>
      <c r="B557" s="23"/>
      <c r="C557" s="23"/>
      <c r="D557" s="71"/>
    </row>
    <row r="558" spans="1:4" ht="15.75" x14ac:dyDescent="0.25">
      <c r="A558" s="2"/>
      <c r="B558" s="23"/>
      <c r="C558" s="23"/>
      <c r="D558" s="71"/>
    </row>
    <row r="559" spans="1:4" ht="15.75" x14ac:dyDescent="0.25">
      <c r="A559" s="2"/>
      <c r="B559" s="23"/>
      <c r="C559" s="23"/>
      <c r="D559" s="71"/>
    </row>
    <row r="560" spans="1:4" ht="15.75" x14ac:dyDescent="0.25">
      <c r="A560" s="2"/>
      <c r="B560" s="23"/>
      <c r="C560" s="23"/>
      <c r="D560" s="71"/>
    </row>
    <row r="561" spans="1:4" ht="15.75" x14ac:dyDescent="0.25">
      <c r="A561" s="2"/>
      <c r="B561" s="23"/>
      <c r="C561" s="23"/>
      <c r="D561" s="71"/>
    </row>
    <row r="562" spans="1:4" ht="15.75" x14ac:dyDescent="0.25">
      <c r="A562" s="2"/>
      <c r="B562" s="23"/>
      <c r="C562" s="23"/>
      <c r="D562" s="71"/>
    </row>
    <row r="563" spans="1:4" ht="15.75" x14ac:dyDescent="0.25">
      <c r="A563" s="2"/>
      <c r="B563" s="23"/>
      <c r="C563" s="23"/>
      <c r="D563" s="71"/>
    </row>
    <row r="564" spans="1:4" ht="15.75" x14ac:dyDescent="0.25">
      <c r="A564" s="2"/>
      <c r="B564" s="23"/>
      <c r="C564" s="23"/>
      <c r="D564" s="71"/>
    </row>
    <row r="565" spans="1:4" ht="15.75" x14ac:dyDescent="0.25">
      <c r="A565" s="2"/>
      <c r="B565" s="23"/>
      <c r="C565" s="23"/>
      <c r="D565" s="71"/>
    </row>
    <row r="566" spans="1:4" ht="15.75" x14ac:dyDescent="0.25">
      <c r="A566" s="2"/>
      <c r="B566" s="23"/>
      <c r="C566" s="23"/>
      <c r="D566" s="71"/>
    </row>
    <row r="567" spans="1:4" ht="15.75" x14ac:dyDescent="0.25">
      <c r="A567" s="2"/>
      <c r="B567" s="23"/>
      <c r="C567" s="23"/>
      <c r="D567" s="71"/>
    </row>
    <row r="568" spans="1:4" ht="15.75" x14ac:dyDescent="0.25">
      <c r="A568" s="2"/>
      <c r="B568" s="23"/>
      <c r="C568" s="23"/>
      <c r="D568" s="71"/>
    </row>
    <row r="569" spans="1:4" ht="15.75" x14ac:dyDescent="0.25">
      <c r="A569" s="2"/>
      <c r="B569" s="23"/>
      <c r="C569" s="23"/>
      <c r="D569" s="71"/>
    </row>
    <row r="570" spans="1:4" ht="15.75" x14ac:dyDescent="0.25">
      <c r="A570" s="2"/>
      <c r="B570" s="23"/>
      <c r="C570" s="23"/>
      <c r="D570" s="71"/>
    </row>
    <row r="571" spans="1:4" ht="15.75" x14ac:dyDescent="0.25">
      <c r="A571" s="2"/>
      <c r="B571" s="23"/>
      <c r="C571" s="23"/>
      <c r="D571" s="71"/>
    </row>
    <row r="572" spans="1:4" ht="15.75" x14ac:dyDescent="0.25">
      <c r="A572" s="2"/>
      <c r="B572" s="23"/>
      <c r="C572" s="23"/>
      <c r="D572" s="71"/>
    </row>
    <row r="573" spans="1:4" ht="15.75" x14ac:dyDescent="0.25">
      <c r="A573" s="2"/>
      <c r="B573" s="23"/>
      <c r="C573" s="23"/>
      <c r="D573" s="71"/>
    </row>
    <row r="574" spans="1:4" ht="15.75" x14ac:dyDescent="0.25">
      <c r="A574" s="2"/>
      <c r="B574" s="23"/>
      <c r="C574" s="23"/>
      <c r="D574" s="71"/>
    </row>
    <row r="575" spans="1:4" ht="15.75" x14ac:dyDescent="0.25">
      <c r="A575" s="2"/>
      <c r="B575" s="23"/>
      <c r="C575" s="23"/>
      <c r="D575" s="71"/>
    </row>
    <row r="576" spans="1:4" ht="15.75" x14ac:dyDescent="0.25">
      <c r="A576" s="2"/>
      <c r="B576" s="23"/>
      <c r="C576" s="23"/>
      <c r="D576" s="71"/>
    </row>
    <row r="577" spans="1:4" ht="15.75" x14ac:dyDescent="0.25">
      <c r="A577" s="2"/>
      <c r="B577" s="23"/>
      <c r="C577" s="23"/>
      <c r="D577" s="71"/>
    </row>
    <row r="578" spans="1:4" ht="15.75" x14ac:dyDescent="0.25">
      <c r="A578" s="2"/>
      <c r="B578" s="23"/>
      <c r="C578" s="23"/>
      <c r="D578" s="71"/>
    </row>
    <row r="579" spans="1:4" ht="15.75" x14ac:dyDescent="0.25">
      <c r="A579" s="2"/>
      <c r="B579" s="23"/>
      <c r="C579" s="23"/>
      <c r="D579" s="71"/>
    </row>
    <row r="580" spans="1:4" ht="15.75" x14ac:dyDescent="0.25">
      <c r="A580" s="2"/>
      <c r="B580" s="23"/>
      <c r="C580" s="23"/>
      <c r="D580" s="71"/>
    </row>
    <row r="581" spans="1:4" ht="15.75" x14ac:dyDescent="0.25">
      <c r="A581" s="2"/>
      <c r="B581" s="23"/>
      <c r="C581" s="23"/>
      <c r="D581" s="71"/>
    </row>
    <row r="582" spans="1:4" ht="15.75" x14ac:dyDescent="0.25">
      <c r="A582" s="2"/>
      <c r="B582" s="23"/>
      <c r="C582" s="23"/>
      <c r="D582" s="71"/>
    </row>
    <row r="583" spans="1:4" ht="15.75" x14ac:dyDescent="0.25">
      <c r="A583" s="2"/>
      <c r="B583" s="23"/>
      <c r="C583" s="23"/>
      <c r="D583" s="71"/>
    </row>
    <row r="584" spans="1:4" ht="15.75" x14ac:dyDescent="0.25">
      <c r="A584" s="2"/>
      <c r="B584" s="23"/>
      <c r="C584" s="23"/>
      <c r="D584" s="71"/>
    </row>
    <row r="585" spans="1:4" ht="15.75" x14ac:dyDescent="0.25">
      <c r="A585" s="2"/>
      <c r="B585" s="23"/>
      <c r="C585" s="23"/>
      <c r="D585" s="71"/>
    </row>
    <row r="586" spans="1:4" ht="15.75" x14ac:dyDescent="0.25">
      <c r="A586" s="2"/>
      <c r="B586" s="23"/>
      <c r="C586" s="23"/>
      <c r="D586" s="71"/>
    </row>
    <row r="587" spans="1:4" ht="15.75" x14ac:dyDescent="0.25">
      <c r="A587" s="2"/>
      <c r="B587" s="23"/>
      <c r="C587" s="23"/>
      <c r="D587" s="71"/>
    </row>
    <row r="588" spans="1:4" ht="15.75" x14ac:dyDescent="0.25">
      <c r="A588" s="2"/>
      <c r="B588" s="23"/>
      <c r="C588" s="23"/>
      <c r="D588" s="71"/>
    </row>
    <row r="589" spans="1:4" ht="15.75" x14ac:dyDescent="0.25">
      <c r="A589" s="2"/>
      <c r="B589" s="23"/>
      <c r="C589" s="23"/>
      <c r="D589" s="71"/>
    </row>
    <row r="590" spans="1:4" ht="15.75" x14ac:dyDescent="0.25">
      <c r="A590" s="2"/>
      <c r="B590" s="23"/>
      <c r="C590" s="23"/>
      <c r="D590" s="71"/>
    </row>
    <row r="591" spans="1:4" ht="15.75" x14ac:dyDescent="0.25">
      <c r="A591" s="2"/>
      <c r="B591" s="23"/>
      <c r="C591" s="23"/>
      <c r="D591" s="71"/>
    </row>
    <row r="592" spans="1:4" ht="15.75" x14ac:dyDescent="0.25">
      <c r="A592" s="2"/>
      <c r="B592" s="23"/>
      <c r="C592" s="23"/>
      <c r="D592" s="71"/>
    </row>
    <row r="593" spans="1:4" ht="15.75" x14ac:dyDescent="0.25">
      <c r="A593" s="2"/>
      <c r="B593" s="23"/>
      <c r="C593" s="23"/>
      <c r="D593" s="71"/>
    </row>
    <row r="594" spans="1:4" ht="15.75" x14ac:dyDescent="0.25">
      <c r="A594" s="2"/>
      <c r="B594" s="23"/>
      <c r="C594" s="23"/>
      <c r="D594" s="71"/>
    </row>
    <row r="595" spans="1:4" ht="15.75" x14ac:dyDescent="0.25">
      <c r="A595" s="2"/>
      <c r="B595" s="23"/>
      <c r="C595" s="23"/>
      <c r="D595" s="71"/>
    </row>
    <row r="596" spans="1:4" ht="15.75" x14ac:dyDescent="0.25">
      <c r="A596" s="2"/>
      <c r="B596" s="23"/>
      <c r="C596" s="23"/>
      <c r="D596" s="71"/>
    </row>
    <row r="597" spans="1:4" ht="15.75" x14ac:dyDescent="0.25">
      <c r="A597" s="2"/>
      <c r="B597" s="23"/>
      <c r="C597" s="23"/>
      <c r="D597" s="71"/>
    </row>
    <row r="598" spans="1:4" ht="15.75" x14ac:dyDescent="0.25">
      <c r="A598" s="2"/>
      <c r="B598" s="23"/>
      <c r="C598" s="23"/>
      <c r="D598" s="71"/>
    </row>
    <row r="599" spans="1:4" ht="15.75" x14ac:dyDescent="0.25">
      <c r="A599" s="2"/>
      <c r="B599" s="23"/>
      <c r="C599" s="23"/>
      <c r="D599" s="71"/>
    </row>
    <row r="600" spans="1:4" ht="15.75" x14ac:dyDescent="0.25">
      <c r="A600" s="2"/>
      <c r="B600" s="23"/>
      <c r="C600" s="23"/>
      <c r="D600" s="71"/>
    </row>
    <row r="601" spans="1:4" ht="15.75" x14ac:dyDescent="0.25">
      <c r="A601" s="2"/>
      <c r="B601" s="23"/>
      <c r="C601" s="23"/>
      <c r="D601" s="71"/>
    </row>
    <row r="602" spans="1:4" ht="15.75" x14ac:dyDescent="0.25">
      <c r="A602" s="2"/>
      <c r="B602" s="23"/>
      <c r="C602" s="23"/>
      <c r="D602" s="71"/>
    </row>
    <row r="603" spans="1:4" ht="15.75" x14ac:dyDescent="0.25">
      <c r="A603" s="2"/>
      <c r="B603" s="23"/>
      <c r="C603" s="23"/>
      <c r="D603" s="71"/>
    </row>
    <row r="604" spans="1:4" ht="15.75" x14ac:dyDescent="0.25">
      <c r="A604" s="2"/>
      <c r="B604" s="23"/>
      <c r="C604" s="23"/>
      <c r="D604" s="71"/>
    </row>
    <row r="605" spans="1:4" ht="15.75" x14ac:dyDescent="0.25">
      <c r="A605" s="2"/>
      <c r="B605" s="23"/>
      <c r="C605" s="23"/>
      <c r="D605" s="71"/>
    </row>
    <row r="606" spans="1:4" ht="15.75" x14ac:dyDescent="0.25">
      <c r="A606" s="2"/>
      <c r="B606" s="23"/>
      <c r="C606" s="23"/>
      <c r="D606" s="71"/>
    </row>
    <row r="607" spans="1:4" ht="15.75" x14ac:dyDescent="0.25">
      <c r="A607" s="2"/>
      <c r="B607" s="23"/>
      <c r="C607" s="23"/>
      <c r="D607" s="71"/>
    </row>
    <row r="608" spans="1:4" ht="15.75" x14ac:dyDescent="0.25">
      <c r="A608" s="418"/>
      <c r="B608" s="419"/>
      <c r="C608" s="419"/>
      <c r="D608" s="71"/>
    </row>
    <row r="609" spans="1:4" ht="15.75" x14ac:dyDescent="0.25">
      <c r="A609" s="427"/>
      <c r="B609" s="428"/>
      <c r="C609" s="428"/>
      <c r="D609" s="71"/>
    </row>
    <row r="610" spans="1:4" ht="15.75" x14ac:dyDescent="0.25">
      <c r="A610" s="427"/>
      <c r="B610" s="428"/>
      <c r="C610" s="428"/>
      <c r="D610" s="71"/>
    </row>
    <row r="611" spans="1:4" ht="15.75" x14ac:dyDescent="0.25">
      <c r="A611" s="427"/>
      <c r="B611" s="428"/>
      <c r="C611" s="428"/>
      <c r="D611" s="71"/>
    </row>
    <row r="612" spans="1:4" ht="15.75" x14ac:dyDescent="0.25">
      <c r="A612" s="427"/>
      <c r="B612" s="428"/>
      <c r="C612" s="428"/>
      <c r="D612" s="71"/>
    </row>
    <row r="613" spans="1:4" ht="15.75" x14ac:dyDescent="0.25">
      <c r="A613" s="427"/>
      <c r="B613" s="428"/>
      <c r="C613" s="428"/>
      <c r="D613" s="71"/>
    </row>
    <row r="614" spans="1:4" ht="15.75" x14ac:dyDescent="0.25">
      <c r="A614" s="427"/>
      <c r="B614" s="428"/>
      <c r="C614" s="428"/>
      <c r="D614" s="71"/>
    </row>
    <row r="615" spans="1:4" ht="15.75" x14ac:dyDescent="0.25">
      <c r="A615" s="427"/>
      <c r="B615" s="428"/>
      <c r="C615" s="428"/>
      <c r="D615" s="71"/>
    </row>
    <row r="616" spans="1:4" ht="15.75" x14ac:dyDescent="0.25">
      <c r="A616" s="427"/>
      <c r="B616" s="428"/>
      <c r="C616" s="428"/>
      <c r="D616" s="71"/>
    </row>
    <row r="617" spans="1:4" ht="15.75" x14ac:dyDescent="0.25">
      <c r="A617" s="427"/>
      <c r="B617" s="428"/>
      <c r="C617" s="428"/>
      <c r="D617" s="71"/>
    </row>
    <row r="618" spans="1:4" ht="15.75" x14ac:dyDescent="0.25">
      <c r="A618" s="427"/>
      <c r="B618" s="428"/>
      <c r="C618" s="428"/>
      <c r="D618" s="71"/>
    </row>
    <row r="619" spans="1:4" ht="15.75" x14ac:dyDescent="0.25">
      <c r="A619" s="427"/>
      <c r="B619" s="428"/>
      <c r="C619" s="428"/>
      <c r="D619" s="71"/>
    </row>
    <row r="620" spans="1:4" ht="15.75" x14ac:dyDescent="0.25">
      <c r="A620" s="427"/>
      <c r="B620" s="428"/>
      <c r="C620" s="428"/>
      <c r="D620" s="71"/>
    </row>
    <row r="621" spans="1:4" ht="15.75" x14ac:dyDescent="0.25">
      <c r="A621" s="427"/>
      <c r="B621" s="428"/>
      <c r="C621" s="428"/>
      <c r="D621" s="71"/>
    </row>
    <row r="622" spans="1:4" ht="15.75" x14ac:dyDescent="0.25">
      <c r="A622" s="427"/>
      <c r="B622" s="428"/>
      <c r="C622" s="428"/>
      <c r="D622" s="71"/>
    </row>
    <row r="623" spans="1:4" ht="15.75" x14ac:dyDescent="0.25">
      <c r="A623" s="427"/>
      <c r="B623" s="428"/>
      <c r="C623" s="428"/>
      <c r="D623" s="71"/>
    </row>
    <row r="624" spans="1:4" ht="15.75" x14ac:dyDescent="0.25">
      <c r="A624" s="427"/>
      <c r="B624" s="428"/>
      <c r="C624" s="428"/>
      <c r="D624" s="71"/>
    </row>
    <row r="625" spans="1:4" ht="15.75" x14ac:dyDescent="0.25">
      <c r="A625" s="427"/>
      <c r="B625" s="428"/>
      <c r="C625" s="428"/>
      <c r="D625" s="71"/>
    </row>
    <row r="626" spans="1:4" ht="15.75" x14ac:dyDescent="0.25">
      <c r="A626" s="427"/>
      <c r="B626" s="428"/>
      <c r="C626" s="428"/>
      <c r="D626" s="71"/>
    </row>
    <row r="627" spans="1:4" ht="15.75" x14ac:dyDescent="0.25">
      <c r="A627" s="427"/>
      <c r="B627" s="428"/>
      <c r="C627" s="428"/>
      <c r="D627" s="71"/>
    </row>
    <row r="628" spans="1:4" ht="15.75" x14ac:dyDescent="0.25">
      <c r="A628" s="427"/>
      <c r="B628" s="428"/>
      <c r="C628" s="428"/>
      <c r="D628" s="71"/>
    </row>
    <row r="629" spans="1:4" ht="15.75" x14ac:dyDescent="0.25">
      <c r="A629" s="427"/>
      <c r="B629" s="428"/>
      <c r="C629" s="428"/>
      <c r="D629" s="71"/>
    </row>
    <row r="630" spans="1:4" ht="15.75" x14ac:dyDescent="0.25">
      <c r="A630" s="427"/>
      <c r="B630" s="428"/>
      <c r="C630" s="428"/>
      <c r="D630" s="71"/>
    </row>
    <row r="631" spans="1:4" ht="15.75" x14ac:dyDescent="0.25">
      <c r="A631" s="427"/>
      <c r="B631" s="428"/>
      <c r="C631" s="428"/>
      <c r="D631" s="71"/>
    </row>
    <row r="632" spans="1:4" ht="15.75" x14ac:dyDescent="0.25">
      <c r="A632" s="427"/>
      <c r="B632" s="428"/>
      <c r="C632" s="428"/>
      <c r="D632" s="71"/>
    </row>
    <row r="633" spans="1:4" ht="15.75" x14ac:dyDescent="0.25">
      <c r="A633" s="427"/>
      <c r="B633" s="428"/>
      <c r="C633" s="428"/>
      <c r="D633" s="71"/>
    </row>
    <row r="634" spans="1:4" ht="15.75" x14ac:dyDescent="0.25">
      <c r="A634" s="427"/>
      <c r="B634" s="428"/>
      <c r="C634" s="428"/>
      <c r="D634" s="71"/>
    </row>
    <row r="635" spans="1:4" ht="15.75" x14ac:dyDescent="0.25">
      <c r="A635" s="427"/>
      <c r="B635" s="428"/>
      <c r="C635" s="428"/>
      <c r="D635" s="71"/>
    </row>
    <row r="636" spans="1:4" ht="15.75" x14ac:dyDescent="0.25">
      <c r="A636" s="427"/>
      <c r="B636" s="428"/>
      <c r="C636" s="428"/>
      <c r="D636" s="71"/>
    </row>
    <row r="637" spans="1:4" ht="15.75" x14ac:dyDescent="0.25">
      <c r="A637" s="427"/>
      <c r="B637" s="428"/>
      <c r="C637" s="428"/>
      <c r="D637" s="71"/>
    </row>
    <row r="638" spans="1:4" ht="15.75" x14ac:dyDescent="0.25">
      <c r="A638" s="427"/>
      <c r="B638" s="428"/>
      <c r="C638" s="428"/>
      <c r="D638" s="71"/>
    </row>
    <row r="639" spans="1:4" ht="15.75" x14ac:dyDescent="0.25">
      <c r="A639" s="427"/>
      <c r="B639" s="428"/>
      <c r="C639" s="428"/>
      <c r="D639" s="71"/>
    </row>
    <row r="640" spans="1:4" ht="15.75" x14ac:dyDescent="0.25">
      <c r="A640" s="427"/>
      <c r="B640" s="428"/>
      <c r="C640" s="428"/>
      <c r="D640" s="71"/>
    </row>
    <row r="641" spans="1:4" ht="15.75" x14ac:dyDescent="0.25">
      <c r="A641" s="427"/>
      <c r="B641" s="428"/>
      <c r="C641" s="428"/>
      <c r="D641" s="71"/>
    </row>
    <row r="642" spans="1:4" ht="15.75" x14ac:dyDescent="0.25">
      <c r="A642" s="427"/>
      <c r="B642" s="428"/>
      <c r="C642" s="428"/>
      <c r="D642" s="71"/>
    </row>
    <row r="643" spans="1:4" ht="15.75" x14ac:dyDescent="0.25">
      <c r="A643" s="427"/>
      <c r="B643" s="428"/>
      <c r="C643" s="428"/>
      <c r="D643" s="71"/>
    </row>
    <row r="644" spans="1:4" ht="15.75" x14ac:dyDescent="0.25">
      <c r="A644" s="427"/>
      <c r="B644" s="428"/>
      <c r="C644" s="428"/>
      <c r="D644" s="71"/>
    </row>
    <row r="645" spans="1:4" ht="15.75" x14ac:dyDescent="0.25">
      <c r="A645" s="427"/>
      <c r="B645" s="428"/>
      <c r="C645" s="428"/>
      <c r="D645" s="71"/>
    </row>
    <row r="646" spans="1:4" ht="15.75" x14ac:dyDescent="0.25">
      <c r="A646" s="427"/>
      <c r="B646" s="428"/>
      <c r="C646" s="428"/>
      <c r="D646" s="71"/>
    </row>
    <row r="647" spans="1:4" ht="15.75" x14ac:dyDescent="0.25">
      <c r="A647" s="427"/>
      <c r="B647" s="428"/>
      <c r="C647" s="428"/>
      <c r="D647" s="71"/>
    </row>
    <row r="648" spans="1:4" ht="15.75" x14ac:dyDescent="0.25">
      <c r="A648" s="427"/>
      <c r="B648" s="428"/>
      <c r="C648" s="428"/>
      <c r="D648" s="71"/>
    </row>
    <row r="649" spans="1:4" ht="15.75" x14ac:dyDescent="0.25">
      <c r="A649" s="427"/>
      <c r="B649" s="428"/>
      <c r="C649" s="428"/>
      <c r="D649" s="71"/>
    </row>
    <row r="650" spans="1:4" ht="15.75" x14ac:dyDescent="0.25">
      <c r="A650" s="427"/>
      <c r="B650" s="428"/>
      <c r="C650" s="428"/>
      <c r="D650" s="71"/>
    </row>
    <row r="651" spans="1:4" ht="15.75" x14ac:dyDescent="0.25">
      <c r="A651" s="427"/>
      <c r="B651" s="428"/>
      <c r="C651" s="428"/>
      <c r="D651" s="71"/>
    </row>
    <row r="652" spans="1:4" ht="15.75" x14ac:dyDescent="0.25">
      <c r="A652" s="427"/>
      <c r="B652" s="428"/>
      <c r="C652" s="428"/>
      <c r="D652" s="71"/>
    </row>
    <row r="653" spans="1:4" ht="15.75" x14ac:dyDescent="0.25">
      <c r="A653" s="427"/>
      <c r="B653" s="428"/>
      <c r="C653" s="428"/>
      <c r="D653" s="71"/>
    </row>
    <row r="654" spans="1:4" ht="15.75" x14ac:dyDescent="0.25">
      <c r="A654" s="427"/>
      <c r="B654" s="428"/>
      <c r="C654" s="428"/>
      <c r="D654" s="71"/>
    </row>
    <row r="655" spans="1:4" ht="15.75" x14ac:dyDescent="0.25">
      <c r="A655" s="427"/>
      <c r="B655" s="428"/>
      <c r="C655" s="428"/>
      <c r="D655" s="71"/>
    </row>
    <row r="656" spans="1:4" ht="15.75" x14ac:dyDescent="0.25">
      <c r="A656" s="427"/>
      <c r="B656" s="428"/>
      <c r="C656" s="428"/>
      <c r="D656" s="71"/>
    </row>
    <row r="657" spans="1:4" ht="15.75" x14ac:dyDescent="0.25">
      <c r="A657" s="427"/>
      <c r="B657" s="428"/>
      <c r="C657" s="428"/>
      <c r="D657" s="71"/>
    </row>
    <row r="658" spans="1:4" ht="15.75" x14ac:dyDescent="0.25">
      <c r="A658" s="427"/>
      <c r="B658" s="428"/>
      <c r="C658" s="428"/>
      <c r="D658" s="71"/>
    </row>
    <row r="659" spans="1:4" ht="15.75" x14ac:dyDescent="0.25">
      <c r="A659" s="427"/>
      <c r="B659" s="428"/>
      <c r="C659" s="428"/>
      <c r="D659" s="71"/>
    </row>
    <row r="660" spans="1:4" ht="15.75" x14ac:dyDescent="0.25">
      <c r="A660" s="427"/>
      <c r="B660" s="428"/>
      <c r="C660" s="428"/>
      <c r="D660" s="71"/>
    </row>
    <row r="661" spans="1:4" ht="15.75" x14ac:dyDescent="0.25">
      <c r="A661" s="427"/>
      <c r="B661" s="428"/>
      <c r="C661" s="428"/>
      <c r="D661" s="71"/>
    </row>
    <row r="662" spans="1:4" ht="15.75" x14ac:dyDescent="0.25">
      <c r="A662" s="427"/>
      <c r="B662" s="428"/>
      <c r="C662" s="428"/>
      <c r="D662" s="71"/>
    </row>
    <row r="663" spans="1:4" ht="15.75" x14ac:dyDescent="0.25">
      <c r="A663" s="427"/>
      <c r="B663" s="428"/>
      <c r="C663" s="428"/>
      <c r="D663" s="71"/>
    </row>
    <row r="664" spans="1:4" ht="15.75" x14ac:dyDescent="0.25">
      <c r="A664" s="427"/>
      <c r="B664" s="428"/>
      <c r="C664" s="428"/>
      <c r="D664" s="71"/>
    </row>
    <row r="665" spans="1:4" ht="15.75" x14ac:dyDescent="0.25">
      <c r="A665" s="427"/>
      <c r="B665" s="428"/>
      <c r="C665" s="428"/>
      <c r="D665" s="71"/>
    </row>
    <row r="666" spans="1:4" ht="15.75" x14ac:dyDescent="0.25">
      <c r="A666" s="427"/>
      <c r="B666" s="428"/>
      <c r="C666" s="428"/>
      <c r="D666" s="71"/>
    </row>
    <row r="667" spans="1:4" ht="15.75" x14ac:dyDescent="0.25">
      <c r="A667" s="427"/>
      <c r="B667" s="428"/>
      <c r="C667" s="428"/>
      <c r="D667" s="71"/>
    </row>
    <row r="668" spans="1:4" ht="15.75" x14ac:dyDescent="0.25">
      <c r="A668" s="427"/>
      <c r="B668" s="428"/>
      <c r="C668" s="428"/>
      <c r="D668" s="71"/>
    </row>
    <row r="669" spans="1:4" ht="15.75" x14ac:dyDescent="0.25">
      <c r="A669" s="427"/>
      <c r="B669" s="428"/>
      <c r="C669" s="428"/>
      <c r="D669" s="71"/>
    </row>
    <row r="670" spans="1:4" ht="15.75" x14ac:dyDescent="0.25">
      <c r="A670" s="427"/>
      <c r="B670" s="428"/>
      <c r="C670" s="428"/>
      <c r="D670" s="71"/>
    </row>
    <row r="671" spans="1:4" ht="15.75" x14ac:dyDescent="0.25">
      <c r="A671" s="427"/>
      <c r="B671" s="428"/>
      <c r="C671" s="428"/>
      <c r="D671" s="71"/>
    </row>
    <row r="672" spans="1:4" ht="15.75" x14ac:dyDescent="0.25">
      <c r="A672" s="427"/>
      <c r="B672" s="428"/>
      <c r="C672" s="428"/>
      <c r="D672" s="71"/>
    </row>
    <row r="673" spans="1:4" ht="15.75" x14ac:dyDescent="0.25">
      <c r="A673" s="427"/>
      <c r="B673" s="428"/>
      <c r="C673" s="428"/>
      <c r="D673" s="71"/>
    </row>
    <row r="674" spans="1:4" ht="15.75" x14ac:dyDescent="0.25">
      <c r="A674" s="427"/>
      <c r="B674" s="428"/>
      <c r="C674" s="428"/>
      <c r="D674" s="71"/>
    </row>
    <row r="675" spans="1:4" ht="15.75" x14ac:dyDescent="0.25">
      <c r="A675" s="427"/>
      <c r="B675" s="428"/>
      <c r="C675" s="428"/>
      <c r="D675" s="71"/>
    </row>
    <row r="676" spans="1:4" ht="15.75" x14ac:dyDescent="0.25">
      <c r="A676" s="427"/>
      <c r="B676" s="428"/>
      <c r="C676" s="428"/>
      <c r="D676" s="71"/>
    </row>
    <row r="677" spans="1:4" ht="15.75" x14ac:dyDescent="0.25">
      <c r="A677" s="427"/>
      <c r="B677" s="428"/>
      <c r="C677" s="428"/>
      <c r="D677" s="71"/>
    </row>
    <row r="678" spans="1:4" ht="15.75" x14ac:dyDescent="0.25">
      <c r="A678" s="427"/>
      <c r="B678" s="428"/>
      <c r="C678" s="428"/>
      <c r="D678" s="71"/>
    </row>
    <row r="679" spans="1:4" ht="15.75" x14ac:dyDescent="0.25">
      <c r="A679" s="427"/>
      <c r="B679" s="428"/>
      <c r="C679" s="428"/>
      <c r="D679" s="71"/>
    </row>
    <row r="680" spans="1:4" ht="15.75" x14ac:dyDescent="0.25">
      <c r="A680" s="427"/>
      <c r="B680" s="428"/>
      <c r="C680" s="428"/>
      <c r="D680" s="71"/>
    </row>
    <row r="681" spans="1:4" ht="15.75" x14ac:dyDescent="0.25">
      <c r="A681" s="427"/>
      <c r="B681" s="428"/>
      <c r="C681" s="428"/>
      <c r="D681" s="71"/>
    </row>
    <row r="682" spans="1:4" ht="15.75" x14ac:dyDescent="0.25">
      <c r="A682" s="427"/>
      <c r="B682" s="428"/>
      <c r="C682" s="428"/>
      <c r="D682" s="71"/>
    </row>
    <row r="683" spans="1:4" ht="15.75" x14ac:dyDescent="0.25">
      <c r="A683" s="427"/>
      <c r="B683" s="428"/>
      <c r="C683" s="428"/>
      <c r="D683" s="71"/>
    </row>
    <row r="684" spans="1:4" ht="15.75" x14ac:dyDescent="0.25">
      <c r="A684" s="427"/>
      <c r="B684" s="428"/>
      <c r="C684" s="428"/>
      <c r="D684" s="71"/>
    </row>
    <row r="685" spans="1:4" ht="15.75" x14ac:dyDescent="0.25">
      <c r="A685" s="427"/>
      <c r="B685" s="428"/>
      <c r="C685" s="428"/>
      <c r="D685" s="71"/>
    </row>
    <row r="686" spans="1:4" ht="15.75" x14ac:dyDescent="0.25">
      <c r="A686" s="427"/>
      <c r="B686" s="428"/>
      <c r="C686" s="428"/>
      <c r="D686" s="71"/>
    </row>
    <row r="687" spans="1:4" ht="15.75" x14ac:dyDescent="0.25">
      <c r="A687" s="427"/>
      <c r="B687" s="428"/>
      <c r="C687" s="428"/>
      <c r="D687" s="71"/>
    </row>
    <row r="688" spans="1:4" ht="15.75" x14ac:dyDescent="0.25">
      <c r="A688" s="427"/>
      <c r="B688" s="428"/>
      <c r="C688" s="428"/>
      <c r="D688" s="71"/>
    </row>
    <row r="689" spans="1:4" ht="15.75" x14ac:dyDescent="0.25">
      <c r="A689" s="427"/>
      <c r="B689" s="428"/>
      <c r="C689" s="428"/>
      <c r="D689" s="71"/>
    </row>
    <row r="690" spans="1:4" ht="15.75" x14ac:dyDescent="0.25">
      <c r="A690" s="427"/>
      <c r="B690" s="428"/>
      <c r="C690" s="428"/>
      <c r="D690" s="71"/>
    </row>
    <row r="691" spans="1:4" ht="15.75" x14ac:dyDescent="0.25">
      <c r="A691" s="427"/>
      <c r="B691" s="428"/>
      <c r="C691" s="428"/>
      <c r="D691" s="71"/>
    </row>
    <row r="692" spans="1:4" ht="15.75" x14ac:dyDescent="0.25">
      <c r="A692" s="418"/>
      <c r="B692" s="419"/>
      <c r="C692" s="419"/>
      <c r="D692" s="420"/>
    </row>
    <row r="693" spans="1:4" ht="15.75" x14ac:dyDescent="0.25">
      <c r="A693" s="427"/>
      <c r="B693" s="428"/>
      <c r="C693" s="428"/>
      <c r="D693" s="429"/>
    </row>
    <row r="694" spans="1:4" ht="15.75" x14ac:dyDescent="0.25">
      <c r="A694" s="427"/>
      <c r="B694" s="428"/>
      <c r="C694" s="428"/>
      <c r="D694" s="429"/>
    </row>
    <row r="695" spans="1:4" ht="15.75" x14ac:dyDescent="0.25">
      <c r="A695" s="427"/>
      <c r="B695" s="428"/>
      <c r="C695" s="428"/>
      <c r="D695" s="429"/>
    </row>
    <row r="696" spans="1:4" ht="15.75" x14ac:dyDescent="0.25">
      <c r="A696" s="427"/>
      <c r="B696" s="428"/>
      <c r="C696" s="428"/>
      <c r="D696" s="429"/>
    </row>
    <row r="697" spans="1:4" ht="15.75" x14ac:dyDescent="0.25">
      <c r="A697" s="427"/>
      <c r="B697" s="428"/>
      <c r="C697" s="428"/>
      <c r="D697" s="429"/>
    </row>
    <row r="698" spans="1:4" ht="15.75" x14ac:dyDescent="0.25">
      <c r="A698" s="427"/>
      <c r="B698" s="428"/>
      <c r="C698" s="428"/>
      <c r="D698" s="429"/>
    </row>
    <row r="699" spans="1:4" ht="15.75" x14ac:dyDescent="0.25">
      <c r="A699" s="427"/>
      <c r="B699" s="428"/>
      <c r="C699" s="428"/>
      <c r="D699" s="429"/>
    </row>
    <row r="700" spans="1:4" ht="15.75" x14ac:dyDescent="0.25">
      <c r="A700" s="427"/>
      <c r="B700" s="428"/>
      <c r="C700" s="428"/>
      <c r="D700" s="429"/>
    </row>
    <row r="701" spans="1:4" ht="15.75" x14ac:dyDescent="0.25">
      <c r="A701" s="427"/>
      <c r="B701" s="428"/>
      <c r="C701" s="428"/>
      <c r="D701" s="429"/>
    </row>
    <row r="702" spans="1:4" ht="15.75" x14ac:dyDescent="0.25">
      <c r="A702" s="427"/>
      <c r="B702" s="428"/>
      <c r="C702" s="428"/>
      <c r="D702" s="429"/>
    </row>
    <row r="703" spans="1:4" ht="15.75" x14ac:dyDescent="0.25">
      <c r="A703" s="427"/>
      <c r="B703" s="428"/>
      <c r="C703" s="428"/>
      <c r="D703" s="429"/>
    </row>
    <row r="704" spans="1:4" ht="15.75" x14ac:dyDescent="0.25">
      <c r="A704" s="427"/>
      <c r="B704" s="428"/>
      <c r="C704" s="428"/>
      <c r="D704" s="429"/>
    </row>
    <row r="705" spans="1:4" ht="15.75" x14ac:dyDescent="0.25">
      <c r="A705" s="427"/>
      <c r="B705" s="428"/>
      <c r="C705" s="428"/>
      <c r="D705" s="429"/>
    </row>
    <row r="706" spans="1:4" ht="15.75" x14ac:dyDescent="0.25">
      <c r="A706" s="427"/>
      <c r="B706" s="428"/>
      <c r="C706" s="428"/>
      <c r="D706" s="429"/>
    </row>
    <row r="707" spans="1:4" ht="15.75" x14ac:dyDescent="0.25">
      <c r="A707" s="427"/>
      <c r="B707" s="428"/>
      <c r="C707" s="428"/>
      <c r="D707" s="429"/>
    </row>
    <row r="708" spans="1:4" ht="15.75" x14ac:dyDescent="0.25">
      <c r="A708" s="427"/>
      <c r="B708" s="428"/>
      <c r="C708" s="428"/>
      <c r="D708" s="429"/>
    </row>
    <row r="709" spans="1:4" ht="15.75" x14ac:dyDescent="0.25">
      <c r="A709" s="427"/>
      <c r="B709" s="428"/>
      <c r="C709" s="428"/>
      <c r="D709" s="429"/>
    </row>
    <row r="710" spans="1:4" ht="15.75" x14ac:dyDescent="0.25">
      <c r="A710" s="427"/>
      <c r="B710" s="428"/>
      <c r="C710" s="428"/>
      <c r="D710" s="429"/>
    </row>
    <row r="711" spans="1:4" ht="15.75" x14ac:dyDescent="0.25">
      <c r="A711" s="427"/>
      <c r="B711" s="428"/>
      <c r="C711" s="428"/>
      <c r="D711" s="429"/>
    </row>
    <row r="712" spans="1:4" ht="15.75" x14ac:dyDescent="0.25">
      <c r="A712" s="427"/>
      <c r="B712" s="428"/>
      <c r="C712" s="428"/>
      <c r="D712" s="429"/>
    </row>
    <row r="713" spans="1:4" ht="15.75" x14ac:dyDescent="0.25">
      <c r="A713" s="427"/>
      <c r="B713" s="428"/>
      <c r="C713" s="428"/>
      <c r="D713" s="429"/>
    </row>
    <row r="714" spans="1:4" ht="15.75" x14ac:dyDescent="0.25">
      <c r="A714" s="427"/>
      <c r="B714" s="428"/>
      <c r="C714" s="428"/>
      <c r="D714" s="429"/>
    </row>
    <row r="715" spans="1:4" ht="15.75" x14ac:dyDescent="0.25">
      <c r="A715" s="427"/>
      <c r="B715" s="428"/>
      <c r="C715" s="428"/>
      <c r="D715" s="429"/>
    </row>
    <row r="716" spans="1:4" ht="15.75" x14ac:dyDescent="0.25">
      <c r="A716" s="427"/>
      <c r="B716" s="428"/>
      <c r="C716" s="428"/>
      <c r="D716" s="429"/>
    </row>
    <row r="717" spans="1:4" ht="15.75" x14ac:dyDescent="0.25">
      <c r="A717" s="427"/>
      <c r="B717" s="428"/>
      <c r="C717" s="428"/>
      <c r="D717" s="429"/>
    </row>
    <row r="718" spans="1:4" ht="15.75" x14ac:dyDescent="0.25">
      <c r="A718" s="427"/>
      <c r="B718" s="428"/>
      <c r="C718" s="428"/>
      <c r="D718" s="429"/>
    </row>
    <row r="719" spans="1:4" ht="15.75" x14ac:dyDescent="0.25">
      <c r="A719" s="427"/>
      <c r="B719" s="428"/>
      <c r="C719" s="428"/>
      <c r="D719" s="429"/>
    </row>
    <row r="720" spans="1:4" ht="15.75" x14ac:dyDescent="0.25">
      <c r="A720" s="427"/>
      <c r="B720" s="428"/>
      <c r="C720" s="428"/>
      <c r="D720" s="429"/>
    </row>
    <row r="721" spans="1:4" ht="15.75" x14ac:dyDescent="0.25">
      <c r="A721" s="427"/>
      <c r="B721" s="428"/>
      <c r="C721" s="428"/>
      <c r="D721" s="429"/>
    </row>
    <row r="722" spans="1:4" ht="15.75" x14ac:dyDescent="0.25">
      <c r="A722" s="427"/>
      <c r="B722" s="428"/>
      <c r="C722" s="428"/>
      <c r="D722" s="429"/>
    </row>
    <row r="723" spans="1:4" ht="15.75" x14ac:dyDescent="0.25">
      <c r="A723" s="427"/>
      <c r="B723" s="428"/>
      <c r="C723" s="428"/>
      <c r="D723" s="429"/>
    </row>
    <row r="724" spans="1:4" ht="15.75" x14ac:dyDescent="0.25">
      <c r="A724" s="427"/>
      <c r="B724" s="428"/>
      <c r="C724" s="428"/>
      <c r="D724" s="429"/>
    </row>
    <row r="725" spans="1:4" ht="15.75" x14ac:dyDescent="0.25">
      <c r="A725" s="427"/>
      <c r="B725" s="428"/>
      <c r="C725" s="428"/>
      <c r="D725" s="429"/>
    </row>
    <row r="726" spans="1:4" ht="15.75" x14ac:dyDescent="0.25">
      <c r="A726" s="427"/>
      <c r="B726" s="428"/>
      <c r="C726" s="428"/>
      <c r="D726" s="429"/>
    </row>
    <row r="727" spans="1:4" ht="15.75" x14ac:dyDescent="0.25">
      <c r="A727" s="427"/>
      <c r="B727" s="428"/>
      <c r="C727" s="428"/>
      <c r="D727" s="429"/>
    </row>
    <row r="728" spans="1:4" ht="15.75" x14ac:dyDescent="0.25">
      <c r="A728" s="427"/>
      <c r="B728" s="428"/>
      <c r="C728" s="428"/>
      <c r="D728" s="429"/>
    </row>
    <row r="729" spans="1:4" ht="15.75" x14ac:dyDescent="0.25">
      <c r="A729" s="427"/>
      <c r="B729" s="428"/>
      <c r="C729" s="428"/>
      <c r="D729" s="429"/>
    </row>
    <row r="730" spans="1:4" ht="15.75" x14ac:dyDescent="0.25">
      <c r="A730" s="427"/>
      <c r="B730" s="428"/>
      <c r="C730" s="428"/>
      <c r="D730" s="429"/>
    </row>
    <row r="731" spans="1:4" ht="15.75" x14ac:dyDescent="0.25">
      <c r="A731" s="427"/>
      <c r="B731" s="428"/>
      <c r="C731" s="428"/>
      <c r="D731" s="429"/>
    </row>
    <row r="732" spans="1:4" ht="15.75" x14ac:dyDescent="0.25">
      <c r="A732" s="427"/>
      <c r="B732" s="428"/>
      <c r="C732" s="428"/>
      <c r="D732" s="429"/>
    </row>
    <row r="733" spans="1:4" ht="15.75" x14ac:dyDescent="0.25">
      <c r="A733" s="427"/>
      <c r="B733" s="428"/>
      <c r="C733" s="428"/>
      <c r="D733" s="429"/>
    </row>
    <row r="734" spans="1:4" ht="15.75" x14ac:dyDescent="0.25">
      <c r="A734" s="427"/>
      <c r="B734" s="428"/>
      <c r="C734" s="428"/>
      <c r="D734" s="429"/>
    </row>
    <row r="735" spans="1:4" ht="15.75" x14ac:dyDescent="0.25">
      <c r="A735" s="427"/>
      <c r="B735" s="428"/>
      <c r="C735" s="428"/>
      <c r="D735" s="429"/>
    </row>
    <row r="736" spans="1:4" ht="15.75" x14ac:dyDescent="0.25">
      <c r="A736" s="427"/>
      <c r="B736" s="428"/>
      <c r="C736" s="428"/>
      <c r="D736" s="429"/>
    </row>
    <row r="737" spans="1:4" ht="15.75" x14ac:dyDescent="0.25">
      <c r="A737" s="427"/>
      <c r="B737" s="428"/>
      <c r="C737" s="428"/>
      <c r="D737" s="429"/>
    </row>
    <row r="738" spans="1:4" ht="15.75" x14ac:dyDescent="0.25">
      <c r="A738" s="427"/>
      <c r="B738" s="428"/>
      <c r="C738" s="428"/>
      <c r="D738" s="429"/>
    </row>
    <row r="739" spans="1:4" ht="15.75" x14ac:dyDescent="0.25">
      <c r="A739" s="427"/>
      <c r="B739" s="428"/>
      <c r="C739" s="428"/>
      <c r="D739" s="429"/>
    </row>
    <row r="740" spans="1:4" ht="15.75" x14ac:dyDescent="0.25">
      <c r="A740" s="427"/>
      <c r="B740" s="428"/>
      <c r="C740" s="428"/>
      <c r="D740" s="429"/>
    </row>
    <row r="741" spans="1:4" ht="15.75" x14ac:dyDescent="0.25">
      <c r="A741" s="427"/>
      <c r="B741" s="428"/>
      <c r="C741" s="428"/>
      <c r="D741" s="429"/>
    </row>
    <row r="742" spans="1:4" ht="15.75" x14ac:dyDescent="0.25">
      <c r="A742" s="427"/>
      <c r="B742" s="428"/>
      <c r="C742" s="428"/>
      <c r="D742" s="429"/>
    </row>
    <row r="743" spans="1:4" ht="15.75" x14ac:dyDescent="0.25">
      <c r="A743" s="427"/>
      <c r="B743" s="428"/>
      <c r="C743" s="428"/>
      <c r="D743" s="429"/>
    </row>
    <row r="744" spans="1:4" ht="15.75" x14ac:dyDescent="0.25">
      <c r="A744" s="427"/>
      <c r="B744" s="428"/>
      <c r="C744" s="428"/>
      <c r="D744" s="429"/>
    </row>
    <row r="745" spans="1:4" ht="15.75" x14ac:dyDescent="0.25">
      <c r="A745" s="427"/>
      <c r="B745" s="428"/>
      <c r="C745" s="428"/>
      <c r="D745" s="429"/>
    </row>
    <row r="746" spans="1:4" ht="15.75" x14ac:dyDescent="0.25">
      <c r="A746" s="427"/>
      <c r="B746" s="428"/>
      <c r="C746" s="428"/>
      <c r="D746" s="429"/>
    </row>
    <row r="747" spans="1:4" ht="15.75" x14ac:dyDescent="0.25">
      <c r="A747" s="427"/>
      <c r="B747" s="428"/>
      <c r="C747" s="428"/>
      <c r="D747" s="429"/>
    </row>
    <row r="748" spans="1:4" ht="15.75" x14ac:dyDescent="0.25">
      <c r="A748" s="427"/>
      <c r="B748" s="428"/>
      <c r="C748" s="428"/>
      <c r="D748" s="429"/>
    </row>
    <row r="749" spans="1:4" ht="15.75" x14ac:dyDescent="0.25">
      <c r="A749" s="427"/>
      <c r="B749" s="428"/>
      <c r="C749" s="428"/>
      <c r="D749" s="429"/>
    </row>
    <row r="750" spans="1:4" ht="15.75" x14ac:dyDescent="0.25">
      <c r="A750" s="427"/>
      <c r="B750" s="428"/>
      <c r="C750" s="428"/>
      <c r="D750" s="429"/>
    </row>
    <row r="751" spans="1:4" ht="15.75" x14ac:dyDescent="0.25">
      <c r="A751" s="427"/>
      <c r="B751" s="428"/>
      <c r="C751" s="428"/>
      <c r="D751" s="429"/>
    </row>
    <row r="752" spans="1:4" ht="15.75" x14ac:dyDescent="0.25">
      <c r="A752" s="427"/>
      <c r="B752" s="428"/>
      <c r="C752" s="428"/>
      <c r="D752" s="429"/>
    </row>
    <row r="753" spans="1:4" ht="15.75" x14ac:dyDescent="0.25">
      <c r="A753" s="427"/>
      <c r="B753" s="428"/>
      <c r="C753" s="428"/>
      <c r="D753" s="429"/>
    </row>
    <row r="754" spans="1:4" ht="15.75" x14ac:dyDescent="0.25">
      <c r="A754" s="427"/>
      <c r="B754" s="428"/>
      <c r="C754" s="428"/>
      <c r="D754" s="429"/>
    </row>
    <row r="755" spans="1:4" ht="15.75" x14ac:dyDescent="0.25">
      <c r="A755" s="427"/>
      <c r="B755" s="428"/>
      <c r="C755" s="428"/>
      <c r="D755" s="429"/>
    </row>
    <row r="756" spans="1:4" ht="15.75" x14ac:dyDescent="0.25">
      <c r="A756" s="427"/>
      <c r="B756" s="428"/>
      <c r="C756" s="428"/>
      <c r="D756" s="429"/>
    </row>
    <row r="757" spans="1:4" ht="15.75" x14ac:dyDescent="0.25">
      <c r="A757" s="427"/>
      <c r="B757" s="428"/>
      <c r="C757" s="428"/>
      <c r="D757" s="429"/>
    </row>
    <row r="758" spans="1:4" ht="15.75" x14ac:dyDescent="0.25">
      <c r="A758" s="427"/>
      <c r="B758" s="428"/>
      <c r="C758" s="428"/>
      <c r="D758" s="429"/>
    </row>
    <row r="759" spans="1:4" ht="15.75" x14ac:dyDescent="0.25">
      <c r="A759" s="427"/>
      <c r="B759" s="428"/>
      <c r="C759" s="428"/>
      <c r="D759" s="429"/>
    </row>
    <row r="760" spans="1:4" ht="15.75" x14ac:dyDescent="0.25">
      <c r="A760" s="427"/>
      <c r="B760" s="428"/>
      <c r="C760" s="428"/>
      <c r="D760" s="429"/>
    </row>
    <row r="761" spans="1:4" ht="15.75" x14ac:dyDescent="0.25">
      <c r="A761" s="427"/>
      <c r="B761" s="428"/>
      <c r="C761" s="428"/>
      <c r="D761" s="429"/>
    </row>
    <row r="762" spans="1:4" ht="15.75" x14ac:dyDescent="0.25">
      <c r="A762" s="427"/>
      <c r="B762" s="428"/>
      <c r="C762" s="428"/>
      <c r="D762" s="429"/>
    </row>
    <row r="763" spans="1:4" ht="15.75" x14ac:dyDescent="0.25">
      <c r="A763" s="427"/>
      <c r="B763" s="428"/>
      <c r="C763" s="428"/>
      <c r="D763" s="429"/>
    </row>
    <row r="764" spans="1:4" ht="15.75" x14ac:dyDescent="0.25">
      <c r="A764" s="427"/>
      <c r="B764" s="428"/>
      <c r="C764" s="428"/>
      <c r="D764" s="429"/>
    </row>
    <row r="765" spans="1:4" ht="15.75" x14ac:dyDescent="0.25">
      <c r="A765" s="427"/>
      <c r="B765" s="428"/>
      <c r="C765" s="428"/>
      <c r="D765" s="429"/>
    </row>
    <row r="766" spans="1:4" ht="15.75" x14ac:dyDescent="0.25">
      <c r="A766" s="427"/>
      <c r="B766" s="428"/>
      <c r="C766" s="428"/>
      <c r="D766" s="429"/>
    </row>
    <row r="767" spans="1:4" ht="15.75" x14ac:dyDescent="0.25">
      <c r="A767" s="427"/>
      <c r="B767" s="428"/>
      <c r="C767" s="428"/>
      <c r="D767" s="429"/>
    </row>
    <row r="768" spans="1:4" ht="15.75" x14ac:dyDescent="0.25">
      <c r="A768" s="427"/>
      <c r="B768" s="428"/>
      <c r="C768" s="428"/>
      <c r="D768" s="429"/>
    </row>
    <row r="769" spans="1:4" ht="15.75" x14ac:dyDescent="0.25">
      <c r="A769" s="427"/>
      <c r="B769" s="428"/>
      <c r="C769" s="428"/>
      <c r="D769" s="429"/>
    </row>
    <row r="770" spans="1:4" ht="15.75" x14ac:dyDescent="0.25">
      <c r="A770" s="427"/>
      <c r="B770" s="428"/>
      <c r="C770" s="428"/>
      <c r="D770" s="429"/>
    </row>
    <row r="771" spans="1:4" ht="15.75" x14ac:dyDescent="0.25">
      <c r="A771" s="427"/>
      <c r="B771" s="428"/>
      <c r="C771" s="428"/>
      <c r="D771" s="429"/>
    </row>
    <row r="772" spans="1:4" ht="15.75" x14ac:dyDescent="0.25">
      <c r="A772" s="427"/>
      <c r="B772" s="428"/>
      <c r="C772" s="428"/>
      <c r="D772" s="429"/>
    </row>
    <row r="773" spans="1:4" ht="15.75" x14ac:dyDescent="0.25">
      <c r="A773" s="427"/>
      <c r="B773" s="428"/>
      <c r="C773" s="428"/>
      <c r="D773" s="429"/>
    </row>
    <row r="774" spans="1:4" ht="15.75" x14ac:dyDescent="0.25">
      <c r="A774" s="427"/>
      <c r="B774" s="428"/>
      <c r="C774" s="428"/>
      <c r="D774" s="429"/>
    </row>
    <row r="775" spans="1:4" ht="15.75" x14ac:dyDescent="0.25">
      <c r="A775" s="427"/>
      <c r="B775" s="428"/>
      <c r="C775" s="428"/>
      <c r="D775" s="429"/>
    </row>
    <row r="776" spans="1:4" ht="15.75" x14ac:dyDescent="0.25">
      <c r="A776" s="427"/>
      <c r="B776" s="428"/>
      <c r="C776" s="428"/>
      <c r="D776" s="429"/>
    </row>
    <row r="777" spans="1:4" ht="15.75" x14ac:dyDescent="0.25">
      <c r="A777" s="427"/>
      <c r="B777" s="428"/>
      <c r="C777" s="428"/>
      <c r="D777" s="429"/>
    </row>
    <row r="778" spans="1:4" ht="15.75" x14ac:dyDescent="0.25">
      <c r="A778" s="427"/>
      <c r="B778" s="428"/>
      <c r="C778" s="428"/>
      <c r="D778" s="429"/>
    </row>
    <row r="779" spans="1:4" ht="15.75" x14ac:dyDescent="0.25">
      <c r="A779" s="427"/>
      <c r="B779" s="428"/>
      <c r="C779" s="428"/>
      <c r="D779" s="429"/>
    </row>
    <row r="780" spans="1:4" ht="15.75" x14ac:dyDescent="0.25">
      <c r="A780" s="427"/>
      <c r="B780" s="428"/>
      <c r="C780" s="428"/>
      <c r="D780" s="429"/>
    </row>
    <row r="781" spans="1:4" ht="15.75" x14ac:dyDescent="0.25">
      <c r="A781" s="427"/>
      <c r="B781" s="428"/>
      <c r="C781" s="428"/>
      <c r="D781" s="429"/>
    </row>
    <row r="782" spans="1:4" ht="15.75" x14ac:dyDescent="0.25">
      <c r="A782" s="427"/>
      <c r="B782" s="428"/>
      <c r="C782" s="428"/>
      <c r="D782" s="429"/>
    </row>
    <row r="783" spans="1:4" ht="15.75" x14ac:dyDescent="0.25">
      <c r="A783" s="427"/>
      <c r="B783" s="428"/>
      <c r="C783" s="428"/>
      <c r="D783" s="429"/>
    </row>
    <row r="784" spans="1:4" ht="15.75" x14ac:dyDescent="0.25">
      <c r="A784" s="427"/>
      <c r="B784" s="428"/>
      <c r="C784" s="428"/>
      <c r="D784" s="429"/>
    </row>
    <row r="785" spans="1:4" ht="15.75" x14ac:dyDescent="0.25">
      <c r="A785" s="427"/>
      <c r="B785" s="428"/>
      <c r="C785" s="428"/>
      <c r="D785" s="429"/>
    </row>
    <row r="786" spans="1:4" ht="15.75" x14ac:dyDescent="0.25">
      <c r="A786" s="427"/>
      <c r="B786" s="428"/>
      <c r="C786" s="428"/>
      <c r="D786" s="429"/>
    </row>
    <row r="787" spans="1:4" ht="15.75" x14ac:dyDescent="0.25">
      <c r="A787" s="427"/>
      <c r="B787" s="428"/>
      <c r="C787" s="428"/>
      <c r="D787" s="429"/>
    </row>
    <row r="788" spans="1:4" ht="15.75" x14ac:dyDescent="0.25">
      <c r="A788" s="427"/>
      <c r="B788" s="428"/>
      <c r="C788" s="428"/>
      <c r="D788" s="429"/>
    </row>
    <row r="789" spans="1:4" ht="15.75" x14ac:dyDescent="0.25">
      <c r="A789" s="427"/>
      <c r="B789" s="428"/>
      <c r="C789" s="428"/>
      <c r="D789" s="429"/>
    </row>
    <row r="790" spans="1:4" ht="15.75" x14ac:dyDescent="0.25">
      <c r="A790" s="427"/>
      <c r="B790" s="428"/>
      <c r="C790" s="428"/>
      <c r="D790" s="429"/>
    </row>
    <row r="791" spans="1:4" ht="15.75" x14ac:dyDescent="0.25">
      <c r="A791" s="427"/>
      <c r="B791" s="428"/>
      <c r="C791" s="428"/>
      <c r="D791" s="429"/>
    </row>
    <row r="792" spans="1:4" ht="15.75" x14ac:dyDescent="0.25">
      <c r="A792" s="427"/>
      <c r="B792" s="428"/>
      <c r="C792" s="428"/>
      <c r="D792" s="429"/>
    </row>
    <row r="793" spans="1:4" ht="15.75" x14ac:dyDescent="0.25">
      <c r="A793" s="427"/>
      <c r="B793" s="428"/>
      <c r="C793" s="428"/>
      <c r="D793" s="429"/>
    </row>
    <row r="794" spans="1:4" ht="15.75" x14ac:dyDescent="0.25">
      <c r="A794" s="427"/>
      <c r="B794" s="428"/>
      <c r="C794" s="428"/>
      <c r="D794" s="429"/>
    </row>
    <row r="795" spans="1:4" ht="15.75" x14ac:dyDescent="0.25">
      <c r="A795" s="427"/>
      <c r="B795" s="428"/>
      <c r="C795" s="428"/>
      <c r="D795" s="429"/>
    </row>
    <row r="796" spans="1:4" ht="15.75" x14ac:dyDescent="0.25">
      <c r="A796" s="427"/>
      <c r="B796" s="428"/>
      <c r="C796" s="428"/>
      <c r="D796" s="429"/>
    </row>
    <row r="797" spans="1:4" ht="15.75" x14ac:dyDescent="0.25">
      <c r="A797" s="427"/>
      <c r="B797" s="428"/>
      <c r="C797" s="428"/>
      <c r="D797" s="429"/>
    </row>
    <row r="798" spans="1:4" ht="15.75" x14ac:dyDescent="0.25">
      <c r="A798" s="427"/>
      <c r="B798" s="428"/>
      <c r="C798" s="428"/>
      <c r="D798" s="429"/>
    </row>
    <row r="799" spans="1:4" ht="15.75" x14ac:dyDescent="0.25">
      <c r="A799" s="427"/>
      <c r="B799" s="428"/>
      <c r="C799" s="428"/>
      <c r="D799" s="429"/>
    </row>
    <row r="800" spans="1:4" ht="15.75" x14ac:dyDescent="0.25">
      <c r="A800" s="427"/>
      <c r="B800" s="428"/>
      <c r="C800" s="428"/>
      <c r="D800" s="429"/>
    </row>
    <row r="801" spans="1:4" ht="15.75" x14ac:dyDescent="0.25">
      <c r="A801" s="427"/>
      <c r="B801" s="428"/>
      <c r="C801" s="428"/>
      <c r="D801" s="429"/>
    </row>
    <row r="802" spans="1:4" ht="15.75" x14ac:dyDescent="0.25">
      <c r="A802" s="427"/>
      <c r="B802" s="428"/>
      <c r="C802" s="428"/>
      <c r="D802" s="429"/>
    </row>
    <row r="803" spans="1:4" ht="15.75" x14ac:dyDescent="0.25">
      <c r="A803" s="427"/>
      <c r="B803" s="428"/>
      <c r="C803" s="428"/>
      <c r="D803" s="429"/>
    </row>
    <row r="804" spans="1:4" ht="15.75" x14ac:dyDescent="0.25">
      <c r="A804" s="427"/>
      <c r="B804" s="428"/>
      <c r="C804" s="428"/>
      <c r="D804" s="429"/>
    </row>
    <row r="805" spans="1:4" ht="15.75" x14ac:dyDescent="0.25">
      <c r="A805" s="427"/>
      <c r="B805" s="428"/>
      <c r="C805" s="428"/>
      <c r="D805" s="429"/>
    </row>
    <row r="806" spans="1:4" ht="15.75" x14ac:dyDescent="0.25">
      <c r="A806" s="427"/>
      <c r="B806" s="428"/>
      <c r="C806" s="428"/>
      <c r="D806" s="429"/>
    </row>
    <row r="807" spans="1:4" ht="15.75" x14ac:dyDescent="0.25">
      <c r="A807" s="427"/>
      <c r="B807" s="428"/>
      <c r="C807" s="428"/>
      <c r="D807" s="429"/>
    </row>
    <row r="808" spans="1:4" ht="15.75" x14ac:dyDescent="0.25">
      <c r="A808" s="427"/>
      <c r="B808" s="428"/>
      <c r="C808" s="428"/>
      <c r="D808" s="429"/>
    </row>
    <row r="809" spans="1:4" ht="15.75" x14ac:dyDescent="0.25">
      <c r="A809" s="427"/>
      <c r="B809" s="428"/>
      <c r="C809" s="428"/>
      <c r="D809" s="429"/>
    </row>
    <row r="810" spans="1:4" ht="15.75" x14ac:dyDescent="0.25">
      <c r="A810" s="427"/>
      <c r="B810" s="428"/>
      <c r="C810" s="428"/>
      <c r="D810" s="429"/>
    </row>
    <row r="811" spans="1:4" ht="15.75" x14ac:dyDescent="0.25">
      <c r="A811" s="427"/>
      <c r="B811" s="428"/>
      <c r="C811" s="428"/>
      <c r="D811" s="429"/>
    </row>
    <row r="812" spans="1:4" ht="15.75" x14ac:dyDescent="0.25">
      <c r="A812" s="427"/>
      <c r="B812" s="428"/>
      <c r="C812" s="428"/>
      <c r="D812" s="429"/>
    </row>
    <row r="813" spans="1:4" ht="15.75" x14ac:dyDescent="0.25">
      <c r="A813" s="427"/>
      <c r="B813" s="428"/>
      <c r="C813" s="428"/>
      <c r="D813" s="429"/>
    </row>
    <row r="814" spans="1:4" ht="15.75" x14ac:dyDescent="0.25">
      <c r="A814" s="427"/>
      <c r="B814" s="428"/>
      <c r="C814" s="428"/>
      <c r="D814" s="429"/>
    </row>
    <row r="815" spans="1:4" ht="15.75" x14ac:dyDescent="0.25">
      <c r="A815" s="427"/>
      <c r="B815" s="428"/>
      <c r="C815" s="428"/>
      <c r="D815" s="429"/>
    </row>
    <row r="816" spans="1:4" ht="15.75" x14ac:dyDescent="0.25">
      <c r="A816" s="427"/>
      <c r="B816" s="428"/>
      <c r="C816" s="428"/>
      <c r="D816" s="429"/>
    </row>
    <row r="817" spans="1:4" ht="15.75" x14ac:dyDescent="0.25">
      <c r="A817" s="427"/>
      <c r="B817" s="428"/>
      <c r="C817" s="428"/>
      <c r="D817" s="429"/>
    </row>
    <row r="818" spans="1:4" ht="15.75" x14ac:dyDescent="0.25">
      <c r="A818" s="427"/>
      <c r="B818" s="428"/>
      <c r="C818" s="428"/>
      <c r="D818" s="429"/>
    </row>
    <row r="819" spans="1:4" ht="15.75" x14ac:dyDescent="0.25">
      <c r="A819" s="427"/>
      <c r="B819" s="428"/>
      <c r="C819" s="428"/>
      <c r="D819" s="429"/>
    </row>
    <row r="820" spans="1:4" ht="15.75" x14ac:dyDescent="0.25">
      <c r="A820" s="427"/>
      <c r="B820" s="428"/>
      <c r="C820" s="428"/>
      <c r="D820" s="429"/>
    </row>
    <row r="821" spans="1:4" ht="15.75" x14ac:dyDescent="0.25">
      <c r="A821" s="427"/>
      <c r="B821" s="428"/>
      <c r="C821" s="428"/>
      <c r="D821" s="429"/>
    </row>
    <row r="822" spans="1:4" ht="15.75" x14ac:dyDescent="0.25">
      <c r="A822" s="427"/>
      <c r="B822" s="428"/>
      <c r="C822" s="428"/>
      <c r="D822" s="429"/>
    </row>
    <row r="823" spans="1:4" ht="15.75" x14ac:dyDescent="0.25">
      <c r="A823" s="427"/>
      <c r="B823" s="428"/>
      <c r="C823" s="428"/>
      <c r="D823" s="429"/>
    </row>
    <row r="824" spans="1:4" ht="15.75" x14ac:dyDescent="0.25">
      <c r="A824" s="427"/>
      <c r="B824" s="428"/>
      <c r="C824" s="428"/>
      <c r="D824" s="429"/>
    </row>
    <row r="825" spans="1:4" ht="15.75" x14ac:dyDescent="0.25">
      <c r="A825" s="427"/>
      <c r="B825" s="428"/>
      <c r="C825" s="428"/>
      <c r="D825" s="429"/>
    </row>
    <row r="826" spans="1:4" ht="15.75" x14ac:dyDescent="0.25">
      <c r="A826" s="427"/>
      <c r="B826" s="428"/>
      <c r="C826" s="428"/>
      <c r="D826" s="429"/>
    </row>
    <row r="827" spans="1:4" ht="15.75" x14ac:dyDescent="0.25">
      <c r="A827" s="427"/>
      <c r="B827" s="428"/>
      <c r="C827" s="428"/>
      <c r="D827" s="429"/>
    </row>
    <row r="828" spans="1:4" ht="15.75" x14ac:dyDescent="0.25">
      <c r="A828" s="427"/>
      <c r="B828" s="428"/>
      <c r="C828" s="428"/>
      <c r="D828" s="429"/>
    </row>
    <row r="829" spans="1:4" ht="15.75" x14ac:dyDescent="0.25">
      <c r="A829" s="427"/>
      <c r="B829" s="428"/>
      <c r="C829" s="428"/>
      <c r="D829" s="429"/>
    </row>
    <row r="830" spans="1:4" ht="15.75" x14ac:dyDescent="0.25">
      <c r="A830" s="427"/>
      <c r="B830" s="428"/>
      <c r="C830" s="428"/>
      <c r="D830" s="429"/>
    </row>
    <row r="831" spans="1:4" ht="15.75" x14ac:dyDescent="0.25">
      <c r="A831" s="427"/>
      <c r="B831" s="428"/>
      <c r="C831" s="428"/>
      <c r="D831" s="429"/>
    </row>
    <row r="832" spans="1:4" ht="15.75" x14ac:dyDescent="0.25">
      <c r="A832" s="427"/>
      <c r="B832" s="428"/>
      <c r="C832" s="428"/>
      <c r="D832" s="429"/>
    </row>
    <row r="833" spans="1:4" ht="15.75" x14ac:dyDescent="0.25">
      <c r="A833" s="427"/>
      <c r="B833" s="428"/>
      <c r="C833" s="428"/>
      <c r="D833" s="429"/>
    </row>
    <row r="834" spans="1:4" ht="15.75" x14ac:dyDescent="0.25">
      <c r="A834" s="427"/>
      <c r="B834" s="428"/>
      <c r="C834" s="428"/>
      <c r="D834" s="429"/>
    </row>
    <row r="835" spans="1:4" ht="15.75" x14ac:dyDescent="0.25">
      <c r="A835" s="427"/>
      <c r="B835" s="428"/>
      <c r="C835" s="428"/>
      <c r="D835" s="429"/>
    </row>
    <row r="836" spans="1:4" ht="15.75" x14ac:dyDescent="0.25">
      <c r="A836" s="427"/>
      <c r="B836" s="428"/>
      <c r="C836" s="428"/>
      <c r="D836" s="429"/>
    </row>
    <row r="837" spans="1:4" ht="15.75" x14ac:dyDescent="0.25">
      <c r="A837" s="427"/>
      <c r="B837" s="428"/>
      <c r="C837" s="428"/>
      <c r="D837" s="429"/>
    </row>
    <row r="838" spans="1:4" ht="15.75" x14ac:dyDescent="0.25">
      <c r="A838" s="427"/>
      <c r="B838" s="428"/>
      <c r="C838" s="428"/>
      <c r="D838" s="429"/>
    </row>
    <row r="839" spans="1:4" ht="15.75" x14ac:dyDescent="0.25">
      <c r="A839" s="427"/>
      <c r="B839" s="428"/>
      <c r="C839" s="428"/>
      <c r="D839" s="429"/>
    </row>
    <row r="840" spans="1:4" ht="15.75" x14ac:dyDescent="0.25">
      <c r="A840" s="427"/>
      <c r="B840" s="428"/>
      <c r="C840" s="428"/>
      <c r="D840" s="429"/>
    </row>
    <row r="841" spans="1:4" ht="15.75" x14ac:dyDescent="0.25">
      <c r="A841" s="427"/>
      <c r="B841" s="428"/>
      <c r="C841" s="428"/>
      <c r="D841" s="429"/>
    </row>
    <row r="842" spans="1:4" ht="15.75" x14ac:dyDescent="0.25">
      <c r="A842" s="427"/>
      <c r="B842" s="428"/>
      <c r="C842" s="428"/>
      <c r="D842" s="429"/>
    </row>
    <row r="843" spans="1:4" ht="15.75" x14ac:dyDescent="0.25">
      <c r="A843" s="427"/>
      <c r="B843" s="428"/>
      <c r="C843" s="428"/>
      <c r="D843" s="429"/>
    </row>
    <row r="844" spans="1:4" ht="15.75" x14ac:dyDescent="0.25">
      <c r="A844" s="427"/>
      <c r="B844" s="428"/>
      <c r="C844" s="428"/>
      <c r="D844" s="429"/>
    </row>
    <row r="845" spans="1:4" ht="15.75" x14ac:dyDescent="0.25">
      <c r="A845" s="427"/>
      <c r="B845" s="428"/>
      <c r="C845" s="428"/>
      <c r="D845" s="429"/>
    </row>
    <row r="846" spans="1:4" ht="15.75" x14ac:dyDescent="0.25">
      <c r="A846" s="427"/>
      <c r="B846" s="428"/>
      <c r="C846" s="428"/>
      <c r="D846" s="429"/>
    </row>
    <row r="847" spans="1:4" ht="15.75" x14ac:dyDescent="0.25">
      <c r="A847" s="427"/>
      <c r="B847" s="428"/>
      <c r="C847" s="428"/>
      <c r="D847" s="429"/>
    </row>
    <row r="848" spans="1:4" ht="15.75" x14ac:dyDescent="0.25">
      <c r="A848" s="427"/>
      <c r="B848" s="428"/>
      <c r="C848" s="428"/>
      <c r="D848" s="429"/>
    </row>
    <row r="849" spans="1:4" ht="15.75" x14ac:dyDescent="0.25">
      <c r="A849" s="427"/>
      <c r="B849" s="428"/>
      <c r="C849" s="428"/>
      <c r="D849" s="429"/>
    </row>
    <row r="850" spans="1:4" ht="15.75" x14ac:dyDescent="0.25">
      <c r="A850" s="427"/>
      <c r="B850" s="428"/>
      <c r="C850" s="428"/>
      <c r="D850" s="429"/>
    </row>
    <row r="851" spans="1:4" ht="15.75" x14ac:dyDescent="0.25">
      <c r="A851" s="427"/>
      <c r="B851" s="428"/>
      <c r="C851" s="428"/>
      <c r="D851" s="429"/>
    </row>
    <row r="852" spans="1:4" ht="15.75" x14ac:dyDescent="0.25">
      <c r="A852" s="427"/>
      <c r="B852" s="428"/>
      <c r="C852" s="428"/>
      <c r="D852" s="429"/>
    </row>
    <row r="853" spans="1:4" ht="15.75" x14ac:dyDescent="0.25">
      <c r="A853" s="427"/>
      <c r="B853" s="428"/>
      <c r="C853" s="428"/>
      <c r="D853" s="429"/>
    </row>
    <row r="854" spans="1:4" ht="15.75" x14ac:dyDescent="0.25">
      <c r="A854" s="427"/>
      <c r="B854" s="428"/>
      <c r="C854" s="428"/>
      <c r="D854" s="429"/>
    </row>
    <row r="855" spans="1:4" ht="15.75" x14ac:dyDescent="0.25">
      <c r="A855" s="427"/>
      <c r="B855" s="428"/>
      <c r="C855" s="428"/>
      <c r="D855" s="429"/>
    </row>
    <row r="856" spans="1:4" ht="15.75" x14ac:dyDescent="0.25">
      <c r="A856" s="427"/>
      <c r="B856" s="428"/>
      <c r="C856" s="428"/>
      <c r="D856" s="429"/>
    </row>
    <row r="857" spans="1:4" ht="15.75" x14ac:dyDescent="0.25">
      <c r="A857" s="427"/>
      <c r="B857" s="428"/>
      <c r="C857" s="428"/>
      <c r="D857" s="429"/>
    </row>
    <row r="858" spans="1:4" ht="15.75" x14ac:dyDescent="0.25">
      <c r="A858" s="427"/>
      <c r="B858" s="428"/>
      <c r="C858" s="428"/>
      <c r="D858" s="429"/>
    </row>
    <row r="859" spans="1:4" ht="15.75" x14ac:dyDescent="0.25">
      <c r="A859" s="427"/>
      <c r="B859" s="428"/>
      <c r="C859" s="428"/>
      <c r="D859" s="429"/>
    </row>
    <row r="860" spans="1:4" ht="15.75" x14ac:dyDescent="0.25">
      <c r="A860" s="427"/>
      <c r="B860" s="428"/>
      <c r="C860" s="428"/>
      <c r="D860" s="429"/>
    </row>
    <row r="861" spans="1:4" ht="15.75" x14ac:dyDescent="0.25">
      <c r="A861" s="427"/>
      <c r="B861" s="428"/>
      <c r="C861" s="428"/>
      <c r="D861" s="429"/>
    </row>
    <row r="862" spans="1:4" ht="15.75" x14ac:dyDescent="0.25">
      <c r="A862" s="427"/>
      <c r="B862" s="428"/>
      <c r="C862" s="428"/>
      <c r="D862" s="429"/>
    </row>
    <row r="863" spans="1:4" ht="15.75" x14ac:dyDescent="0.25">
      <c r="A863" s="427"/>
      <c r="B863" s="428"/>
      <c r="C863" s="428"/>
      <c r="D863" s="429"/>
    </row>
    <row r="864" spans="1:4" ht="15.75" x14ac:dyDescent="0.25">
      <c r="A864" s="427"/>
      <c r="B864" s="428"/>
      <c r="C864" s="428"/>
      <c r="D864" s="429"/>
    </row>
    <row r="865" spans="1:4" ht="15.75" x14ac:dyDescent="0.25">
      <c r="A865" s="427"/>
      <c r="B865" s="428"/>
      <c r="C865" s="428"/>
      <c r="D865" s="429"/>
    </row>
    <row r="866" spans="1:4" ht="15.75" x14ac:dyDescent="0.25">
      <c r="A866" s="427"/>
      <c r="B866" s="428"/>
      <c r="C866" s="428"/>
      <c r="D866" s="429"/>
    </row>
    <row r="867" spans="1:4" ht="15.75" x14ac:dyDescent="0.25">
      <c r="A867" s="427"/>
      <c r="B867" s="428"/>
      <c r="C867" s="428"/>
      <c r="D867" s="429"/>
    </row>
    <row r="868" spans="1:4" ht="15.75" x14ac:dyDescent="0.25">
      <c r="A868" s="427"/>
      <c r="B868" s="428"/>
      <c r="C868" s="428"/>
      <c r="D868" s="429"/>
    </row>
    <row r="869" spans="1:4" ht="15.75" x14ac:dyDescent="0.25">
      <c r="A869" s="427"/>
      <c r="B869" s="428"/>
      <c r="C869" s="428"/>
      <c r="D869" s="429"/>
    </row>
    <row r="870" spans="1:4" ht="15.75" x14ac:dyDescent="0.25">
      <c r="A870" s="427"/>
      <c r="B870" s="428"/>
      <c r="C870" s="428"/>
      <c r="D870" s="429"/>
    </row>
    <row r="871" spans="1:4" ht="15.75" x14ac:dyDescent="0.25">
      <c r="A871" s="427"/>
      <c r="B871" s="428"/>
      <c r="C871" s="428"/>
      <c r="D871" s="429"/>
    </row>
    <row r="872" spans="1:4" ht="15.75" x14ac:dyDescent="0.25">
      <c r="A872" s="427"/>
      <c r="B872" s="428"/>
      <c r="C872" s="428"/>
      <c r="D872" s="429"/>
    </row>
    <row r="873" spans="1:4" ht="15.75" x14ac:dyDescent="0.25">
      <c r="A873" s="427"/>
      <c r="B873" s="428"/>
      <c r="C873" s="428"/>
      <c r="D873" s="429"/>
    </row>
    <row r="874" spans="1:4" ht="15.75" x14ac:dyDescent="0.25">
      <c r="A874" s="427"/>
      <c r="B874" s="428"/>
      <c r="C874" s="428"/>
      <c r="D874" s="429"/>
    </row>
    <row r="875" spans="1:4" ht="15.75" x14ac:dyDescent="0.25">
      <c r="A875" s="427"/>
      <c r="B875" s="428"/>
      <c r="C875" s="428"/>
      <c r="D875" s="429"/>
    </row>
    <row r="876" spans="1:4" ht="15.75" x14ac:dyDescent="0.25">
      <c r="A876" s="427"/>
      <c r="B876" s="428"/>
      <c r="C876" s="428"/>
      <c r="D876" s="429"/>
    </row>
    <row r="877" spans="1:4" ht="15.75" x14ac:dyDescent="0.25">
      <c r="A877" s="427"/>
      <c r="B877" s="428"/>
      <c r="C877" s="428"/>
      <c r="D877" s="429"/>
    </row>
    <row r="878" spans="1:4" ht="15.75" x14ac:dyDescent="0.25">
      <c r="A878" s="427"/>
      <c r="B878" s="428"/>
      <c r="C878" s="428"/>
      <c r="D878" s="429"/>
    </row>
    <row r="879" spans="1:4" ht="15.75" x14ac:dyDescent="0.25">
      <c r="A879" s="427"/>
      <c r="B879" s="428"/>
      <c r="C879" s="428"/>
      <c r="D879" s="429"/>
    </row>
    <row r="880" spans="1:4" ht="15.75" x14ac:dyDescent="0.25">
      <c r="A880" s="427"/>
      <c r="B880" s="428"/>
      <c r="C880" s="428"/>
      <c r="D880" s="429"/>
    </row>
    <row r="881" spans="1:4" ht="15.75" x14ac:dyDescent="0.25">
      <c r="A881" s="427"/>
      <c r="B881" s="428"/>
      <c r="C881" s="428"/>
      <c r="D881" s="429"/>
    </row>
    <row r="882" spans="1:4" ht="15.75" x14ac:dyDescent="0.25">
      <c r="A882" s="427"/>
      <c r="B882" s="428"/>
      <c r="C882" s="428"/>
      <c r="D882" s="429"/>
    </row>
    <row r="883" spans="1:4" ht="15.75" x14ac:dyDescent="0.25">
      <c r="A883" s="427"/>
      <c r="B883" s="428"/>
      <c r="C883" s="428"/>
      <c r="D883" s="429"/>
    </row>
    <row r="884" spans="1:4" ht="15.75" x14ac:dyDescent="0.25">
      <c r="A884" s="427"/>
      <c r="B884" s="428"/>
      <c r="C884" s="428"/>
      <c r="D884" s="429"/>
    </row>
    <row r="885" spans="1:4" ht="15.75" x14ac:dyDescent="0.25">
      <c r="A885" s="427"/>
      <c r="B885" s="428"/>
      <c r="C885" s="428"/>
      <c r="D885" s="429"/>
    </row>
    <row r="886" spans="1:4" ht="15.75" x14ac:dyDescent="0.25">
      <c r="A886" s="427"/>
      <c r="B886" s="428"/>
      <c r="C886" s="428"/>
      <c r="D886" s="429"/>
    </row>
    <row r="887" spans="1:4" ht="15.75" x14ac:dyDescent="0.25">
      <c r="A887" s="427"/>
      <c r="B887" s="428"/>
      <c r="C887" s="428"/>
      <c r="D887" s="429"/>
    </row>
    <row r="888" spans="1:4" ht="15.75" x14ac:dyDescent="0.25">
      <c r="A888" s="427"/>
      <c r="B888" s="428"/>
      <c r="C888" s="428"/>
      <c r="D888" s="429"/>
    </row>
    <row r="889" spans="1:4" ht="15.75" x14ac:dyDescent="0.25">
      <c r="A889" s="427"/>
      <c r="B889" s="428"/>
      <c r="C889" s="428"/>
      <c r="D889" s="429"/>
    </row>
    <row r="890" spans="1:4" ht="15.75" x14ac:dyDescent="0.25">
      <c r="A890" s="427"/>
      <c r="B890" s="428"/>
      <c r="C890" s="428"/>
      <c r="D890" s="429"/>
    </row>
    <row r="891" spans="1:4" ht="15.75" x14ac:dyDescent="0.25">
      <c r="A891" s="427"/>
      <c r="B891" s="428"/>
      <c r="C891" s="428"/>
      <c r="D891" s="429"/>
    </row>
    <row r="892" spans="1:4" ht="15.75" x14ac:dyDescent="0.25">
      <c r="A892" s="427"/>
      <c r="B892" s="428"/>
      <c r="C892" s="428"/>
      <c r="D892" s="429"/>
    </row>
    <row r="893" spans="1:4" ht="15.75" x14ac:dyDescent="0.25">
      <c r="A893" s="427"/>
      <c r="B893" s="428"/>
      <c r="C893" s="428"/>
      <c r="D893" s="429"/>
    </row>
    <row r="894" spans="1:4" ht="15.75" x14ac:dyDescent="0.25">
      <c r="A894" s="427"/>
      <c r="B894" s="428"/>
      <c r="C894" s="428"/>
      <c r="D894" s="429"/>
    </row>
    <row r="895" spans="1:4" ht="15.75" x14ac:dyDescent="0.25">
      <c r="A895" s="427"/>
      <c r="B895" s="428"/>
      <c r="C895" s="428"/>
      <c r="D895" s="429"/>
    </row>
    <row r="896" spans="1:4" ht="15.75" x14ac:dyDescent="0.25">
      <c r="A896" s="427"/>
      <c r="B896" s="428"/>
      <c r="C896" s="428"/>
      <c r="D896" s="429"/>
    </row>
    <row r="897" spans="1:4" ht="15.75" x14ac:dyDescent="0.25">
      <c r="A897" s="427"/>
      <c r="B897" s="428"/>
      <c r="C897" s="428"/>
      <c r="D897" s="429"/>
    </row>
    <row r="898" spans="1:4" ht="15.75" x14ac:dyDescent="0.25">
      <c r="A898" s="427"/>
      <c r="B898" s="428"/>
      <c r="C898" s="428"/>
      <c r="D898" s="429"/>
    </row>
    <row r="899" spans="1:4" ht="15.75" x14ac:dyDescent="0.25">
      <c r="A899" s="427"/>
      <c r="B899" s="428"/>
      <c r="C899" s="428"/>
      <c r="D899" s="429"/>
    </row>
    <row r="900" spans="1:4" ht="15.75" x14ac:dyDescent="0.25">
      <c r="A900" s="427"/>
      <c r="B900" s="428"/>
      <c r="C900" s="428"/>
      <c r="D900" s="429"/>
    </row>
    <row r="901" spans="1:4" ht="15.75" x14ac:dyDescent="0.25">
      <c r="A901" s="427"/>
      <c r="B901" s="428"/>
      <c r="C901" s="428"/>
      <c r="D901" s="429"/>
    </row>
    <row r="902" spans="1:4" ht="15.75" x14ac:dyDescent="0.25">
      <c r="A902" s="427"/>
      <c r="B902" s="428"/>
      <c r="C902" s="428"/>
      <c r="D902" s="429"/>
    </row>
    <row r="903" spans="1:4" ht="15.75" x14ac:dyDescent="0.25">
      <c r="A903" s="427"/>
      <c r="B903" s="428"/>
      <c r="C903" s="428"/>
      <c r="D903" s="429"/>
    </row>
    <row r="904" spans="1:4" ht="15.75" x14ac:dyDescent="0.25">
      <c r="A904" s="427"/>
      <c r="B904" s="428"/>
      <c r="C904" s="428"/>
      <c r="D904" s="429"/>
    </row>
    <row r="905" spans="1:4" ht="15.75" x14ac:dyDescent="0.25">
      <c r="A905" s="427"/>
      <c r="B905" s="428"/>
      <c r="C905" s="428"/>
      <c r="D905" s="429"/>
    </row>
    <row r="906" spans="1:4" ht="15.75" x14ac:dyDescent="0.25">
      <c r="A906" s="427"/>
      <c r="B906" s="428"/>
      <c r="C906" s="428"/>
      <c r="D906" s="429"/>
    </row>
    <row r="907" spans="1:4" ht="15.75" x14ac:dyDescent="0.25">
      <c r="A907" s="427"/>
      <c r="B907" s="428"/>
      <c r="C907" s="428"/>
      <c r="D907" s="429"/>
    </row>
    <row r="908" spans="1:4" ht="15.75" x14ac:dyDescent="0.25">
      <c r="A908" s="427"/>
      <c r="B908" s="428"/>
      <c r="C908" s="428"/>
      <c r="D908" s="429"/>
    </row>
    <row r="909" spans="1:4" ht="15.75" x14ac:dyDescent="0.25">
      <c r="A909" s="427"/>
      <c r="B909" s="428"/>
      <c r="C909" s="428"/>
      <c r="D909" s="429"/>
    </row>
    <row r="910" spans="1:4" ht="15.75" x14ac:dyDescent="0.25">
      <c r="A910" s="427"/>
      <c r="B910" s="428"/>
      <c r="C910" s="428"/>
      <c r="D910" s="429"/>
    </row>
    <row r="911" spans="1:4" ht="15.75" x14ac:dyDescent="0.25">
      <c r="A911" s="427"/>
      <c r="B911" s="428"/>
      <c r="C911" s="428"/>
      <c r="D911" s="429"/>
    </row>
    <row r="912" spans="1:4" ht="15.75" x14ac:dyDescent="0.25">
      <c r="A912" s="427"/>
      <c r="B912" s="428"/>
      <c r="C912" s="428"/>
      <c r="D912" s="429"/>
    </row>
    <row r="913" spans="1:4" ht="15.75" x14ac:dyDescent="0.25">
      <c r="A913" s="427"/>
      <c r="B913" s="428"/>
      <c r="C913" s="428"/>
      <c r="D913" s="429"/>
    </row>
    <row r="914" spans="1:4" ht="15.75" x14ac:dyDescent="0.25">
      <c r="A914" s="427"/>
      <c r="B914" s="428"/>
      <c r="C914" s="428"/>
      <c r="D914" s="429"/>
    </row>
    <row r="915" spans="1:4" ht="15.75" x14ac:dyDescent="0.25">
      <c r="A915" s="427"/>
      <c r="B915" s="428"/>
      <c r="C915" s="428"/>
      <c r="D915" s="429"/>
    </row>
    <row r="916" spans="1:4" ht="15.75" x14ac:dyDescent="0.25">
      <c r="A916" s="427"/>
      <c r="B916" s="428"/>
      <c r="C916" s="428"/>
      <c r="D916" s="429"/>
    </row>
    <row r="917" spans="1:4" ht="15.75" x14ac:dyDescent="0.25">
      <c r="A917" s="427"/>
      <c r="B917" s="428"/>
      <c r="C917" s="428"/>
      <c r="D917" s="429"/>
    </row>
    <row r="918" spans="1:4" ht="15.75" x14ac:dyDescent="0.25">
      <c r="A918" s="427"/>
      <c r="B918" s="428"/>
      <c r="C918" s="428"/>
      <c r="D918" s="429"/>
    </row>
    <row r="919" spans="1:4" ht="15.75" x14ac:dyDescent="0.25">
      <c r="A919" s="427"/>
      <c r="B919" s="428"/>
      <c r="C919" s="428"/>
      <c r="D919" s="429"/>
    </row>
    <row r="920" spans="1:4" ht="15.75" x14ac:dyDescent="0.25">
      <c r="A920" s="427"/>
      <c r="B920" s="428"/>
      <c r="C920" s="428"/>
      <c r="D920" s="429"/>
    </row>
    <row r="921" spans="1:4" ht="15.75" x14ac:dyDescent="0.25">
      <c r="A921" s="427"/>
      <c r="B921" s="428"/>
      <c r="C921" s="428"/>
      <c r="D921" s="429"/>
    </row>
    <row r="922" spans="1:4" ht="15.75" x14ac:dyDescent="0.25">
      <c r="A922" s="427"/>
      <c r="B922" s="428"/>
      <c r="C922" s="428"/>
      <c r="D922" s="429"/>
    </row>
    <row r="923" spans="1:4" ht="15.75" x14ac:dyDescent="0.25">
      <c r="A923" s="427"/>
      <c r="B923" s="428"/>
      <c r="C923" s="428"/>
      <c r="D923" s="429"/>
    </row>
    <row r="924" spans="1:4" ht="15.75" x14ac:dyDescent="0.25">
      <c r="A924" s="427"/>
      <c r="B924" s="428"/>
      <c r="C924" s="428"/>
      <c r="D924" s="429"/>
    </row>
    <row r="925" spans="1:4" ht="15.75" x14ac:dyDescent="0.25">
      <c r="A925" s="427"/>
      <c r="B925" s="428"/>
      <c r="C925" s="428"/>
      <c r="D925" s="429"/>
    </row>
    <row r="926" spans="1:4" ht="15.75" x14ac:dyDescent="0.25">
      <c r="A926" s="427"/>
      <c r="B926" s="428"/>
      <c r="C926" s="428"/>
      <c r="D926" s="429"/>
    </row>
    <row r="927" spans="1:4" ht="15.75" x14ac:dyDescent="0.25">
      <c r="A927" s="427"/>
      <c r="B927" s="428"/>
      <c r="C927" s="428"/>
      <c r="D927" s="429"/>
    </row>
    <row r="928" spans="1:4" ht="15.75" x14ac:dyDescent="0.25">
      <c r="A928" s="427"/>
      <c r="B928" s="428"/>
      <c r="C928" s="428"/>
      <c r="D928" s="429"/>
    </row>
    <row r="929" spans="1:4" ht="15.75" x14ac:dyDescent="0.25">
      <c r="A929" s="427"/>
      <c r="B929" s="428"/>
      <c r="C929" s="428"/>
      <c r="D929" s="429"/>
    </row>
    <row r="930" spans="1:4" ht="15.75" x14ac:dyDescent="0.25">
      <c r="A930" s="427"/>
      <c r="B930" s="428"/>
      <c r="C930" s="428"/>
      <c r="D930" s="429"/>
    </row>
    <row r="931" spans="1:4" ht="15.75" x14ac:dyDescent="0.25">
      <c r="A931" s="427"/>
      <c r="B931" s="428"/>
      <c r="C931" s="428"/>
      <c r="D931" s="429"/>
    </row>
    <row r="932" spans="1:4" ht="15.75" x14ac:dyDescent="0.25">
      <c r="A932" s="427"/>
      <c r="B932" s="428"/>
      <c r="C932" s="428"/>
      <c r="D932" s="429"/>
    </row>
    <row r="933" spans="1:4" ht="15.75" x14ac:dyDescent="0.25">
      <c r="A933" s="427"/>
      <c r="B933" s="428"/>
      <c r="C933" s="428"/>
      <c r="D933" s="429"/>
    </row>
    <row r="934" spans="1:4" ht="15.75" x14ac:dyDescent="0.25">
      <c r="A934" s="427"/>
      <c r="B934" s="428"/>
      <c r="C934" s="428"/>
      <c r="D934" s="429"/>
    </row>
    <row r="935" spans="1:4" ht="15.75" x14ac:dyDescent="0.25">
      <c r="A935" s="427"/>
      <c r="B935" s="428"/>
      <c r="C935" s="428"/>
      <c r="D935" s="429"/>
    </row>
    <row r="936" spans="1:4" ht="15.75" x14ac:dyDescent="0.25">
      <c r="A936" s="427"/>
      <c r="B936" s="428"/>
      <c r="C936" s="428"/>
      <c r="D936" s="429"/>
    </row>
    <row r="937" spans="1:4" ht="15.75" x14ac:dyDescent="0.25">
      <c r="A937" s="427"/>
      <c r="B937" s="428"/>
      <c r="C937" s="428"/>
      <c r="D937" s="429"/>
    </row>
    <row r="938" spans="1:4" ht="15.75" x14ac:dyDescent="0.25">
      <c r="A938" s="427"/>
      <c r="B938" s="428"/>
      <c r="C938" s="428"/>
      <c r="D938" s="429"/>
    </row>
    <row r="939" spans="1:4" ht="15.75" x14ac:dyDescent="0.25">
      <c r="A939" s="427"/>
      <c r="B939" s="428"/>
      <c r="C939" s="428"/>
      <c r="D939" s="429"/>
    </row>
    <row r="940" spans="1:4" ht="15.75" x14ac:dyDescent="0.25">
      <c r="A940" s="427"/>
      <c r="B940" s="428"/>
      <c r="C940" s="428"/>
      <c r="D940" s="429"/>
    </row>
    <row r="941" spans="1:4" ht="15.75" x14ac:dyDescent="0.25">
      <c r="A941" s="427"/>
      <c r="B941" s="428"/>
      <c r="C941" s="428"/>
      <c r="D941" s="429"/>
    </row>
    <row r="942" spans="1:4" ht="15.75" x14ac:dyDescent="0.25">
      <c r="A942" s="427"/>
      <c r="B942" s="428"/>
      <c r="C942" s="428"/>
      <c r="D942" s="429"/>
    </row>
    <row r="943" spans="1:4" ht="15.75" x14ac:dyDescent="0.25">
      <c r="A943" s="427"/>
      <c r="B943" s="428"/>
      <c r="C943" s="428"/>
      <c r="D943" s="429"/>
    </row>
    <row r="944" spans="1:4" ht="15.75" x14ac:dyDescent="0.25">
      <c r="A944" s="427"/>
      <c r="B944" s="428"/>
      <c r="C944" s="428"/>
      <c r="D944" s="429"/>
    </row>
    <row r="945" spans="1:4" ht="15.75" x14ac:dyDescent="0.25">
      <c r="A945" s="427"/>
      <c r="B945" s="428"/>
      <c r="C945" s="428"/>
      <c r="D945" s="429"/>
    </row>
    <row r="946" spans="1:4" ht="15.75" x14ac:dyDescent="0.25">
      <c r="A946" s="427"/>
      <c r="B946" s="428"/>
      <c r="C946" s="428"/>
      <c r="D946" s="429"/>
    </row>
    <row r="947" spans="1:4" ht="15.75" x14ac:dyDescent="0.25">
      <c r="A947" s="427"/>
      <c r="B947" s="428"/>
      <c r="C947" s="428"/>
      <c r="D947" s="429"/>
    </row>
    <row r="948" spans="1:4" ht="15.75" x14ac:dyDescent="0.25">
      <c r="A948" s="427"/>
      <c r="B948" s="428"/>
      <c r="C948" s="428"/>
      <c r="D948" s="429"/>
    </row>
    <row r="949" spans="1:4" ht="15.75" x14ac:dyDescent="0.25">
      <c r="A949" s="427"/>
      <c r="B949" s="428"/>
      <c r="C949" s="428"/>
      <c r="D949" s="429"/>
    </row>
    <row r="950" spans="1:4" ht="15.75" x14ac:dyDescent="0.25">
      <c r="A950" s="427"/>
      <c r="B950" s="428"/>
      <c r="C950" s="428"/>
      <c r="D950" s="429"/>
    </row>
    <row r="951" spans="1:4" ht="15.75" x14ac:dyDescent="0.25">
      <c r="A951" s="427"/>
      <c r="B951" s="428"/>
      <c r="C951" s="428"/>
      <c r="D951" s="429"/>
    </row>
    <row r="952" spans="1:4" ht="15.75" x14ac:dyDescent="0.25">
      <c r="A952" s="427"/>
      <c r="B952" s="428"/>
      <c r="C952" s="428"/>
      <c r="D952" s="429"/>
    </row>
    <row r="953" spans="1:4" ht="15.75" x14ac:dyDescent="0.25">
      <c r="A953" s="427"/>
      <c r="B953" s="428"/>
      <c r="C953" s="428"/>
      <c r="D953" s="429"/>
    </row>
    <row r="954" spans="1:4" ht="15.75" x14ac:dyDescent="0.25">
      <c r="A954" s="427"/>
      <c r="B954" s="428"/>
      <c r="C954" s="428"/>
      <c r="D954" s="429"/>
    </row>
    <row r="955" spans="1:4" ht="15.75" x14ac:dyDescent="0.25">
      <c r="A955" s="427"/>
      <c r="B955" s="428"/>
      <c r="C955" s="428"/>
      <c r="D955" s="429"/>
    </row>
    <row r="956" spans="1:4" ht="15.75" x14ac:dyDescent="0.25">
      <c r="A956" s="427"/>
      <c r="B956" s="428"/>
      <c r="C956" s="428"/>
      <c r="D956" s="429"/>
    </row>
    <row r="957" spans="1:4" ht="15.75" x14ac:dyDescent="0.25">
      <c r="A957" s="427"/>
      <c r="B957" s="428"/>
      <c r="C957" s="428"/>
      <c r="D957" s="429"/>
    </row>
    <row r="958" spans="1:4" ht="15.75" x14ac:dyDescent="0.25">
      <c r="A958" s="427"/>
      <c r="B958" s="428"/>
      <c r="C958" s="428"/>
      <c r="D958" s="429"/>
    </row>
    <row r="959" spans="1:4" ht="15.75" x14ac:dyDescent="0.25">
      <c r="A959" s="427"/>
      <c r="B959" s="428"/>
      <c r="C959" s="428"/>
      <c r="D959" s="429"/>
    </row>
    <row r="960" spans="1:4" ht="15.75" x14ac:dyDescent="0.25">
      <c r="A960" s="427"/>
      <c r="B960" s="428"/>
      <c r="C960" s="428"/>
      <c r="D960" s="429"/>
    </row>
    <row r="961" spans="1:4" ht="15.75" x14ac:dyDescent="0.25">
      <c r="A961" s="427"/>
      <c r="B961" s="428"/>
      <c r="C961" s="428"/>
      <c r="D961" s="429"/>
    </row>
    <row r="962" spans="1:4" ht="15.75" x14ac:dyDescent="0.25">
      <c r="A962" s="427"/>
      <c r="B962" s="428"/>
      <c r="C962" s="428"/>
      <c r="D962" s="429"/>
    </row>
    <row r="963" spans="1:4" ht="15.75" x14ac:dyDescent="0.25">
      <c r="A963" s="427"/>
      <c r="B963" s="428"/>
      <c r="C963" s="428"/>
      <c r="D963" s="429"/>
    </row>
    <row r="964" spans="1:4" ht="15.75" x14ac:dyDescent="0.25">
      <c r="A964" s="427"/>
      <c r="B964" s="428"/>
      <c r="C964" s="428"/>
      <c r="D964" s="429"/>
    </row>
    <row r="965" spans="1:4" ht="15.75" x14ac:dyDescent="0.25">
      <c r="A965" s="427"/>
      <c r="B965" s="428"/>
      <c r="C965" s="428"/>
      <c r="D965" s="429"/>
    </row>
    <row r="966" spans="1:4" ht="15.75" x14ac:dyDescent="0.25">
      <c r="A966" s="427"/>
      <c r="B966" s="428"/>
      <c r="C966" s="428"/>
      <c r="D966" s="429"/>
    </row>
    <row r="967" spans="1:4" ht="15.75" x14ac:dyDescent="0.25">
      <c r="A967" s="427"/>
      <c r="B967" s="428"/>
      <c r="C967" s="428"/>
      <c r="D967" s="429"/>
    </row>
    <row r="968" spans="1:4" ht="15.75" x14ac:dyDescent="0.25">
      <c r="A968" s="427"/>
      <c r="B968" s="428"/>
      <c r="C968" s="428"/>
      <c r="D968" s="429"/>
    </row>
    <row r="969" spans="1:4" ht="15.75" x14ac:dyDescent="0.25">
      <c r="A969" s="427"/>
      <c r="B969" s="428"/>
      <c r="C969" s="428"/>
      <c r="D969" s="429"/>
    </row>
    <row r="970" spans="1:4" ht="15.75" x14ac:dyDescent="0.25">
      <c r="A970" s="427"/>
      <c r="B970" s="428"/>
      <c r="C970" s="428"/>
      <c r="D970" s="429"/>
    </row>
    <row r="971" spans="1:4" ht="15.75" x14ac:dyDescent="0.25">
      <c r="A971" s="427"/>
      <c r="B971" s="428"/>
      <c r="C971" s="428"/>
      <c r="D971" s="429"/>
    </row>
    <row r="972" spans="1:4" ht="15.75" x14ac:dyDescent="0.25">
      <c r="A972" s="427"/>
      <c r="B972" s="428"/>
      <c r="C972" s="428"/>
      <c r="D972" s="429"/>
    </row>
    <row r="973" spans="1:4" ht="15.75" x14ac:dyDescent="0.25">
      <c r="A973" s="427"/>
      <c r="B973" s="428"/>
      <c r="C973" s="428"/>
      <c r="D973" s="429"/>
    </row>
    <row r="974" spans="1:4" ht="15.75" x14ac:dyDescent="0.25">
      <c r="A974" s="427"/>
      <c r="B974" s="428"/>
      <c r="C974" s="428"/>
      <c r="D974" s="429"/>
    </row>
    <row r="975" spans="1:4" ht="15.75" x14ac:dyDescent="0.25">
      <c r="A975" s="427"/>
      <c r="B975" s="428"/>
      <c r="C975" s="428"/>
      <c r="D975" s="429"/>
    </row>
    <row r="976" spans="1:4" ht="15.75" x14ac:dyDescent="0.25">
      <c r="A976" s="427"/>
      <c r="B976" s="428"/>
      <c r="C976" s="428"/>
      <c r="D976" s="429"/>
    </row>
    <row r="977" spans="1:4" ht="15.75" x14ac:dyDescent="0.25">
      <c r="A977" s="427"/>
      <c r="B977" s="428"/>
      <c r="C977" s="428"/>
      <c r="D977" s="429"/>
    </row>
    <row r="978" spans="1:4" ht="15.75" x14ac:dyDescent="0.25">
      <c r="A978" s="427"/>
      <c r="B978" s="428"/>
      <c r="C978" s="428"/>
      <c r="D978" s="429"/>
    </row>
    <row r="979" spans="1:4" ht="15.75" x14ac:dyDescent="0.25">
      <c r="A979" s="427"/>
      <c r="B979" s="428"/>
      <c r="C979" s="428"/>
      <c r="D979" s="429"/>
    </row>
    <row r="980" spans="1:4" ht="15.75" x14ac:dyDescent="0.25">
      <c r="A980" s="427"/>
      <c r="B980" s="428"/>
      <c r="C980" s="428"/>
      <c r="D980" s="429"/>
    </row>
    <row r="981" spans="1:4" ht="15.75" x14ac:dyDescent="0.25">
      <c r="A981" s="427"/>
      <c r="B981" s="428"/>
      <c r="C981" s="428"/>
      <c r="D981" s="429"/>
    </row>
    <row r="982" spans="1:4" ht="15.75" x14ac:dyDescent="0.25">
      <c r="A982" s="427"/>
      <c r="B982" s="428"/>
      <c r="C982" s="428"/>
      <c r="D982" s="429"/>
    </row>
    <row r="983" spans="1:4" ht="15.75" x14ac:dyDescent="0.25">
      <c r="A983" s="427"/>
      <c r="B983" s="428"/>
      <c r="C983" s="428"/>
      <c r="D983" s="429"/>
    </row>
    <row r="984" spans="1:4" ht="15.75" x14ac:dyDescent="0.25">
      <c r="A984" s="427"/>
      <c r="B984" s="428"/>
      <c r="C984" s="428"/>
      <c r="D984" s="429"/>
    </row>
    <row r="985" spans="1:4" ht="15.75" x14ac:dyDescent="0.25">
      <c r="A985" s="427"/>
      <c r="B985" s="428"/>
      <c r="C985" s="428"/>
      <c r="D985" s="429"/>
    </row>
    <row r="986" spans="1:4" ht="15.75" x14ac:dyDescent="0.25">
      <c r="A986" s="427"/>
      <c r="B986" s="428"/>
      <c r="C986" s="428"/>
      <c r="D986" s="429"/>
    </row>
    <row r="987" spans="1:4" ht="15.75" x14ac:dyDescent="0.25">
      <c r="A987" s="427"/>
      <c r="B987" s="428"/>
      <c r="C987" s="428"/>
      <c r="D987" s="429"/>
    </row>
    <row r="988" spans="1:4" ht="15.75" x14ac:dyDescent="0.25">
      <c r="A988" s="427"/>
      <c r="B988" s="428"/>
      <c r="C988" s="428"/>
      <c r="D988" s="429"/>
    </row>
    <row r="989" spans="1:4" ht="15.75" x14ac:dyDescent="0.25">
      <c r="A989" s="427"/>
      <c r="B989" s="428"/>
      <c r="C989" s="428"/>
      <c r="D989" s="429"/>
    </row>
    <row r="990" spans="1:4" ht="15.75" x14ac:dyDescent="0.25">
      <c r="A990" s="427"/>
      <c r="B990" s="428"/>
      <c r="C990" s="428"/>
      <c r="D990" s="429"/>
    </row>
    <row r="991" spans="1:4" ht="15.75" x14ac:dyDescent="0.25">
      <c r="A991" s="427"/>
      <c r="B991" s="428"/>
      <c r="C991" s="428"/>
      <c r="D991" s="429"/>
    </row>
    <row r="992" spans="1:4" ht="15.75" x14ac:dyDescent="0.25">
      <c r="A992" s="427"/>
      <c r="B992" s="428"/>
      <c r="C992" s="428"/>
      <c r="D992" s="429"/>
    </row>
    <row r="993" spans="1:4" ht="15.75" x14ac:dyDescent="0.25">
      <c r="A993" s="427"/>
      <c r="B993" s="428"/>
      <c r="C993" s="428"/>
      <c r="D993" s="429"/>
    </row>
    <row r="994" spans="1:4" ht="15.75" x14ac:dyDescent="0.25">
      <c r="A994" s="427"/>
      <c r="B994" s="428"/>
      <c r="C994" s="428"/>
      <c r="D994" s="429"/>
    </row>
    <row r="995" spans="1:4" ht="15.75" x14ac:dyDescent="0.25">
      <c r="A995" s="427"/>
      <c r="B995" s="428"/>
      <c r="C995" s="428"/>
      <c r="D995" s="429"/>
    </row>
    <row r="996" spans="1:4" ht="15.75" x14ac:dyDescent="0.25">
      <c r="A996" s="427"/>
      <c r="B996" s="428"/>
      <c r="C996" s="428"/>
      <c r="D996" s="429"/>
    </row>
    <row r="997" spans="1:4" ht="15.75" x14ac:dyDescent="0.25">
      <c r="A997" s="427"/>
      <c r="B997" s="428"/>
      <c r="C997" s="428"/>
      <c r="D997" s="429"/>
    </row>
    <row r="998" spans="1:4" ht="15.75" x14ac:dyDescent="0.25">
      <c r="A998" s="427"/>
      <c r="B998" s="428"/>
      <c r="C998" s="428"/>
      <c r="D998" s="429"/>
    </row>
    <row r="999" spans="1:4" ht="15.75" x14ac:dyDescent="0.25">
      <c r="A999" s="427"/>
      <c r="B999" s="428"/>
      <c r="C999" s="428"/>
      <c r="D999" s="429"/>
    </row>
    <row r="1000" spans="1:4" ht="15.75" x14ac:dyDescent="0.25">
      <c r="A1000" s="427"/>
      <c r="B1000" s="428"/>
      <c r="C1000" s="428"/>
      <c r="D1000" s="429"/>
    </row>
    <row r="1001" spans="1:4" ht="15.75" x14ac:dyDescent="0.25">
      <c r="A1001" s="427"/>
      <c r="B1001" s="428"/>
      <c r="C1001" s="428"/>
      <c r="D1001" s="429"/>
    </row>
    <row r="1002" spans="1:4" ht="15.75" x14ac:dyDescent="0.25">
      <c r="A1002" s="427"/>
      <c r="B1002" s="428"/>
      <c r="C1002" s="428"/>
      <c r="D1002" s="429"/>
    </row>
    <row r="1003" spans="1:4" ht="15.75" x14ac:dyDescent="0.25">
      <c r="A1003" s="427"/>
      <c r="B1003" s="428"/>
      <c r="C1003" s="428"/>
      <c r="D1003" s="429"/>
    </row>
    <row r="1004" spans="1:4" ht="15.75" x14ac:dyDescent="0.25">
      <c r="A1004" s="427"/>
      <c r="B1004" s="428"/>
      <c r="C1004" s="428"/>
      <c r="D1004" s="429"/>
    </row>
    <row r="1005" spans="1:4" ht="15.75" x14ac:dyDescent="0.25">
      <c r="A1005" s="427"/>
      <c r="B1005" s="428"/>
      <c r="C1005" s="428"/>
      <c r="D1005" s="429"/>
    </row>
    <row r="1006" spans="1:4" ht="15.75" x14ac:dyDescent="0.25">
      <c r="A1006" s="427"/>
      <c r="B1006" s="428"/>
      <c r="C1006" s="428"/>
      <c r="D1006" s="429"/>
    </row>
    <row r="1007" spans="1:4" ht="15.75" x14ac:dyDescent="0.25">
      <c r="A1007" s="427"/>
      <c r="B1007" s="428"/>
      <c r="C1007" s="428"/>
      <c r="D1007" s="429"/>
    </row>
    <row r="1008" spans="1:4" ht="15.75" x14ac:dyDescent="0.25">
      <c r="A1008" s="427"/>
      <c r="B1008" s="428"/>
      <c r="C1008" s="428"/>
      <c r="D1008" s="429"/>
    </row>
    <row r="1009" spans="1:4" ht="15.75" x14ac:dyDescent="0.25">
      <c r="A1009" s="427"/>
      <c r="B1009" s="428"/>
      <c r="C1009" s="428"/>
      <c r="D1009" s="429"/>
    </row>
    <row r="1010" spans="1:4" ht="15.75" x14ac:dyDescent="0.25">
      <c r="A1010" s="427"/>
      <c r="B1010" s="428"/>
      <c r="C1010" s="428"/>
      <c r="D1010" s="429"/>
    </row>
    <row r="1011" spans="1:4" ht="15.75" x14ac:dyDescent="0.25">
      <c r="A1011" s="427"/>
      <c r="B1011" s="428"/>
      <c r="C1011" s="428"/>
      <c r="D1011" s="429"/>
    </row>
    <row r="1012" spans="1:4" ht="15.75" x14ac:dyDescent="0.25">
      <c r="A1012" s="427"/>
      <c r="B1012" s="428"/>
      <c r="C1012" s="428"/>
      <c r="D1012" s="429"/>
    </row>
    <row r="1013" spans="1:4" ht="15.75" x14ac:dyDescent="0.25">
      <c r="A1013" s="427"/>
      <c r="B1013" s="428"/>
      <c r="C1013" s="428"/>
      <c r="D1013" s="429"/>
    </row>
    <row r="1014" spans="1:4" ht="15.75" x14ac:dyDescent="0.25">
      <c r="A1014" s="427"/>
      <c r="B1014" s="428"/>
      <c r="C1014" s="428"/>
      <c r="D1014" s="429"/>
    </row>
    <row r="1015" spans="1:4" ht="15.75" x14ac:dyDescent="0.25">
      <c r="A1015" s="427"/>
      <c r="B1015" s="428"/>
      <c r="C1015" s="428"/>
      <c r="D1015" s="429"/>
    </row>
    <row r="1016" spans="1:4" ht="15.75" x14ac:dyDescent="0.25">
      <c r="A1016" s="427"/>
      <c r="B1016" s="428"/>
      <c r="C1016" s="428"/>
      <c r="D1016" s="429"/>
    </row>
    <row r="1017" spans="1:4" ht="15.75" x14ac:dyDescent="0.25">
      <c r="A1017" s="427"/>
      <c r="B1017" s="428"/>
      <c r="C1017" s="428"/>
      <c r="D1017" s="429"/>
    </row>
    <row r="1018" spans="1:4" ht="15.75" x14ac:dyDescent="0.25">
      <c r="A1018" s="427"/>
      <c r="B1018" s="428"/>
      <c r="C1018" s="428"/>
      <c r="D1018" s="429"/>
    </row>
    <row r="1019" spans="1:4" ht="15.75" x14ac:dyDescent="0.25">
      <c r="A1019" s="427"/>
      <c r="B1019" s="428"/>
      <c r="C1019" s="428"/>
      <c r="D1019" s="429"/>
    </row>
    <row r="1020" spans="1:4" ht="15.75" x14ac:dyDescent="0.25">
      <c r="A1020" s="427"/>
      <c r="B1020" s="428"/>
      <c r="C1020" s="428"/>
      <c r="D1020" s="429"/>
    </row>
    <row r="1021" spans="1:4" ht="15.75" x14ac:dyDescent="0.25">
      <c r="A1021" s="427"/>
      <c r="B1021" s="428"/>
      <c r="C1021" s="428"/>
      <c r="D1021" s="429"/>
    </row>
    <row r="1022" spans="1:4" ht="15.75" x14ac:dyDescent="0.25">
      <c r="A1022" s="427"/>
      <c r="B1022" s="428"/>
      <c r="C1022" s="428"/>
      <c r="D1022" s="429"/>
    </row>
    <row r="1023" spans="1:4" ht="15.75" x14ac:dyDescent="0.25">
      <c r="A1023" s="427"/>
      <c r="B1023" s="428"/>
      <c r="C1023" s="428"/>
      <c r="D1023" s="429"/>
    </row>
    <row r="1024" spans="1:4" ht="15.75" x14ac:dyDescent="0.25">
      <c r="A1024" s="427"/>
      <c r="B1024" s="428"/>
      <c r="C1024" s="428"/>
      <c r="D1024" s="429"/>
    </row>
    <row r="1025" spans="1:4" ht="15.75" x14ac:dyDescent="0.25">
      <c r="A1025" s="427"/>
      <c r="B1025" s="428"/>
      <c r="C1025" s="428"/>
      <c r="D1025" s="429"/>
    </row>
    <row r="1026" spans="1:4" ht="15.75" x14ac:dyDescent="0.25">
      <c r="A1026" s="427"/>
      <c r="B1026" s="428"/>
      <c r="C1026" s="428"/>
      <c r="D1026" s="429"/>
    </row>
    <row r="1027" spans="1:4" ht="15.75" x14ac:dyDescent="0.25">
      <c r="A1027" s="427"/>
      <c r="B1027" s="428"/>
      <c r="C1027" s="428"/>
      <c r="D1027" s="429"/>
    </row>
    <row r="1028" spans="1:4" ht="15.75" x14ac:dyDescent="0.25">
      <c r="A1028" s="427"/>
      <c r="B1028" s="428"/>
      <c r="C1028" s="428"/>
      <c r="D1028" s="429"/>
    </row>
    <row r="1029" spans="1:4" ht="15.75" x14ac:dyDescent="0.25">
      <c r="A1029" s="427"/>
      <c r="B1029" s="428"/>
      <c r="C1029" s="428"/>
      <c r="D1029" s="429"/>
    </row>
    <row r="1030" spans="1:4" ht="15.75" x14ac:dyDescent="0.25">
      <c r="A1030" s="427"/>
      <c r="B1030" s="428"/>
      <c r="C1030" s="428"/>
      <c r="D1030" s="429"/>
    </row>
    <row r="1031" spans="1:4" ht="15.75" x14ac:dyDescent="0.25">
      <c r="A1031" s="427"/>
      <c r="B1031" s="428"/>
      <c r="C1031" s="428"/>
      <c r="D1031" s="429"/>
    </row>
    <row r="1032" spans="1:4" ht="15.75" x14ac:dyDescent="0.25">
      <c r="A1032" s="427"/>
      <c r="B1032" s="428"/>
      <c r="C1032" s="428"/>
      <c r="D1032" s="429"/>
    </row>
    <row r="1033" spans="1:4" ht="15.75" x14ac:dyDescent="0.25">
      <c r="A1033" s="427"/>
      <c r="B1033" s="428"/>
      <c r="C1033" s="428"/>
      <c r="D1033" s="429"/>
    </row>
    <row r="1034" spans="1:4" ht="15.75" x14ac:dyDescent="0.25">
      <c r="A1034" s="427"/>
      <c r="B1034" s="428"/>
      <c r="C1034" s="428"/>
      <c r="D1034" s="429"/>
    </row>
    <row r="1035" spans="1:4" ht="15.75" x14ac:dyDescent="0.25">
      <c r="A1035" s="427"/>
      <c r="B1035" s="428"/>
      <c r="C1035" s="428"/>
      <c r="D1035" s="429"/>
    </row>
    <row r="1036" spans="1:4" ht="15.75" x14ac:dyDescent="0.25">
      <c r="A1036" s="427"/>
      <c r="B1036" s="428"/>
      <c r="C1036" s="428"/>
      <c r="D1036" s="429"/>
    </row>
    <row r="1037" spans="1:4" ht="15.75" x14ac:dyDescent="0.25">
      <c r="A1037" s="427"/>
      <c r="B1037" s="428"/>
      <c r="C1037" s="428"/>
      <c r="D1037" s="429"/>
    </row>
    <row r="1038" spans="1:4" ht="15.75" x14ac:dyDescent="0.25">
      <c r="A1038" s="427"/>
      <c r="B1038" s="428"/>
      <c r="C1038" s="428"/>
      <c r="D1038" s="429"/>
    </row>
    <row r="1039" spans="1:4" ht="15.75" x14ac:dyDescent="0.25">
      <c r="A1039" s="427"/>
      <c r="B1039" s="428"/>
      <c r="C1039" s="428"/>
      <c r="D1039" s="429"/>
    </row>
    <row r="1040" spans="1:4" ht="15.75" x14ac:dyDescent="0.25">
      <c r="A1040" s="427"/>
      <c r="B1040" s="428"/>
      <c r="C1040" s="428"/>
      <c r="D1040" s="429"/>
    </row>
    <row r="1041" spans="1:4" ht="15.75" x14ac:dyDescent="0.25">
      <c r="A1041" s="427"/>
      <c r="B1041" s="428"/>
      <c r="C1041" s="428"/>
      <c r="D1041" s="429"/>
    </row>
    <row r="1042" spans="1:4" ht="15.75" x14ac:dyDescent="0.25">
      <c r="A1042" s="427"/>
      <c r="B1042" s="428"/>
      <c r="C1042" s="428"/>
      <c r="D1042" s="429"/>
    </row>
    <row r="1043" spans="1:4" ht="15.75" x14ac:dyDescent="0.25">
      <c r="A1043" s="427"/>
      <c r="B1043" s="428"/>
      <c r="C1043" s="428"/>
      <c r="D1043" s="429"/>
    </row>
    <row r="1044" spans="1:4" ht="15.75" x14ac:dyDescent="0.25">
      <c r="A1044" s="427"/>
      <c r="B1044" s="428"/>
      <c r="C1044" s="428"/>
      <c r="D1044" s="429"/>
    </row>
    <row r="1045" spans="1:4" ht="15.75" x14ac:dyDescent="0.25">
      <c r="A1045" s="427"/>
      <c r="B1045" s="428"/>
      <c r="C1045" s="428"/>
      <c r="D1045" s="429"/>
    </row>
    <row r="1046" spans="1:4" ht="15.75" x14ac:dyDescent="0.25">
      <c r="A1046" s="427"/>
      <c r="B1046" s="428"/>
      <c r="C1046" s="428"/>
      <c r="D1046" s="429"/>
    </row>
    <row r="1047" spans="1:4" ht="15.75" x14ac:dyDescent="0.25">
      <c r="A1047" s="427"/>
      <c r="B1047" s="428"/>
      <c r="C1047" s="428"/>
      <c r="D1047" s="429"/>
    </row>
    <row r="1048" spans="1:4" ht="15.75" x14ac:dyDescent="0.25">
      <c r="A1048" s="427"/>
      <c r="B1048" s="428"/>
      <c r="C1048" s="428"/>
      <c r="D1048" s="429"/>
    </row>
    <row r="1049" spans="1:4" ht="15.75" x14ac:dyDescent="0.25">
      <c r="A1049" s="427"/>
      <c r="B1049" s="428"/>
      <c r="C1049" s="428"/>
      <c r="D1049" s="429"/>
    </row>
    <row r="1050" spans="1:4" ht="15.75" x14ac:dyDescent="0.25">
      <c r="A1050" s="427"/>
      <c r="B1050" s="428"/>
      <c r="C1050" s="428"/>
      <c r="D1050" s="429"/>
    </row>
    <row r="1051" spans="1:4" ht="15.75" x14ac:dyDescent="0.25">
      <c r="A1051" s="427"/>
      <c r="B1051" s="428"/>
      <c r="C1051" s="428"/>
      <c r="D1051" s="429"/>
    </row>
    <row r="1052" spans="1:4" ht="15.75" x14ac:dyDescent="0.25">
      <c r="A1052" s="427"/>
      <c r="B1052" s="428"/>
      <c r="C1052" s="428"/>
      <c r="D1052" s="429"/>
    </row>
    <row r="1053" spans="1:4" ht="15.75" x14ac:dyDescent="0.25">
      <c r="A1053" s="427"/>
      <c r="B1053" s="428"/>
      <c r="C1053" s="428"/>
      <c r="D1053" s="429"/>
    </row>
    <row r="1054" spans="1:4" ht="15.75" x14ac:dyDescent="0.25">
      <c r="A1054" s="427"/>
      <c r="B1054" s="428"/>
      <c r="C1054" s="428"/>
      <c r="D1054" s="429"/>
    </row>
    <row r="1055" spans="1:4" ht="15.75" x14ac:dyDescent="0.25">
      <c r="A1055" s="427"/>
      <c r="B1055" s="428"/>
      <c r="C1055" s="428"/>
      <c r="D1055" s="429"/>
    </row>
    <row r="1056" spans="1:4" ht="15.75" x14ac:dyDescent="0.25">
      <c r="A1056" s="427"/>
      <c r="B1056" s="428"/>
      <c r="C1056" s="428"/>
      <c r="D1056" s="429"/>
    </row>
    <row r="1057" spans="1:4" ht="15.75" x14ac:dyDescent="0.25">
      <c r="A1057" s="427"/>
      <c r="B1057" s="428"/>
      <c r="C1057" s="428"/>
      <c r="D1057" s="429"/>
    </row>
    <row r="1058" spans="1:4" ht="15.75" x14ac:dyDescent="0.25">
      <c r="A1058" s="427"/>
      <c r="B1058" s="428"/>
      <c r="C1058" s="428"/>
      <c r="D1058" s="429"/>
    </row>
    <row r="1059" spans="1:4" ht="15.75" x14ac:dyDescent="0.25">
      <c r="A1059" s="427"/>
      <c r="B1059" s="428"/>
      <c r="C1059" s="428"/>
      <c r="D1059" s="429"/>
    </row>
    <row r="1060" spans="1:4" ht="15.75" x14ac:dyDescent="0.25">
      <c r="A1060" s="427"/>
      <c r="B1060" s="428"/>
      <c r="C1060" s="428"/>
      <c r="D1060" s="429"/>
    </row>
    <row r="1061" spans="1:4" ht="15.75" x14ac:dyDescent="0.25">
      <c r="A1061" s="427"/>
      <c r="B1061" s="428"/>
      <c r="C1061" s="428"/>
      <c r="D1061" s="429"/>
    </row>
    <row r="1062" spans="1:4" ht="15.75" x14ac:dyDescent="0.25">
      <c r="A1062" s="427"/>
      <c r="B1062" s="428"/>
      <c r="C1062" s="428"/>
      <c r="D1062" s="429"/>
    </row>
    <row r="1063" spans="1:4" ht="15.75" x14ac:dyDescent="0.25">
      <c r="A1063" s="427"/>
      <c r="B1063" s="428"/>
      <c r="C1063" s="428"/>
      <c r="D1063" s="429"/>
    </row>
    <row r="1064" spans="1:4" ht="15.75" x14ac:dyDescent="0.25">
      <c r="A1064" s="427"/>
      <c r="B1064" s="428"/>
      <c r="C1064" s="428"/>
      <c r="D1064" s="429"/>
    </row>
    <row r="1065" spans="1:4" ht="15.75" x14ac:dyDescent="0.25">
      <c r="A1065" s="427"/>
      <c r="B1065" s="428"/>
      <c r="C1065" s="428"/>
      <c r="D1065" s="429"/>
    </row>
    <row r="1066" spans="1:4" ht="15.75" x14ac:dyDescent="0.25">
      <c r="A1066" s="427"/>
      <c r="B1066" s="428"/>
      <c r="C1066" s="428"/>
      <c r="D1066" s="429"/>
    </row>
    <row r="1067" spans="1:4" ht="15.75" x14ac:dyDescent="0.25">
      <c r="A1067" s="427"/>
      <c r="B1067" s="428"/>
      <c r="C1067" s="428"/>
      <c r="D1067" s="429"/>
    </row>
    <row r="1068" spans="1:4" ht="15.75" x14ac:dyDescent="0.25">
      <c r="A1068" s="427"/>
      <c r="B1068" s="428"/>
      <c r="C1068" s="428"/>
      <c r="D1068" s="429"/>
    </row>
    <row r="1069" spans="1:4" ht="15.75" x14ac:dyDescent="0.25">
      <c r="A1069" s="427"/>
      <c r="B1069" s="428"/>
      <c r="C1069" s="428"/>
      <c r="D1069" s="429"/>
    </row>
    <row r="1070" spans="1:4" ht="15.75" x14ac:dyDescent="0.25">
      <c r="A1070" s="427"/>
      <c r="B1070" s="428"/>
      <c r="C1070" s="428"/>
      <c r="D1070" s="429"/>
    </row>
    <row r="1071" spans="1:4" ht="15.75" x14ac:dyDescent="0.25">
      <c r="A1071" s="427"/>
      <c r="B1071" s="428"/>
      <c r="C1071" s="428"/>
      <c r="D1071" s="429"/>
    </row>
    <row r="1072" spans="1:4" ht="15.75" x14ac:dyDescent="0.25">
      <c r="A1072" s="427"/>
      <c r="B1072" s="428"/>
      <c r="C1072" s="428"/>
      <c r="D1072" s="429"/>
    </row>
    <row r="1073" spans="1:4" ht="15.75" x14ac:dyDescent="0.25">
      <c r="A1073" s="427"/>
      <c r="B1073" s="428"/>
      <c r="C1073" s="428"/>
      <c r="D1073" s="429"/>
    </row>
    <row r="1074" spans="1:4" ht="15.75" x14ac:dyDescent="0.25">
      <c r="A1074" s="427"/>
      <c r="B1074" s="428"/>
      <c r="C1074" s="428"/>
      <c r="D1074" s="429"/>
    </row>
    <row r="1075" spans="1:4" ht="15.75" x14ac:dyDescent="0.25">
      <c r="A1075" s="427"/>
      <c r="B1075" s="428"/>
      <c r="C1075" s="428"/>
      <c r="D1075" s="429"/>
    </row>
    <row r="1076" spans="1:4" ht="15.75" x14ac:dyDescent="0.25">
      <c r="A1076" s="427"/>
      <c r="B1076" s="428"/>
      <c r="C1076" s="428"/>
      <c r="D1076" s="429"/>
    </row>
    <row r="1077" spans="1:4" ht="15.75" x14ac:dyDescent="0.25">
      <c r="A1077" s="427"/>
      <c r="B1077" s="428"/>
      <c r="C1077" s="428"/>
      <c r="D1077" s="429"/>
    </row>
    <row r="1078" spans="1:4" ht="15.75" x14ac:dyDescent="0.25">
      <c r="A1078" s="427"/>
      <c r="B1078" s="428"/>
      <c r="C1078" s="428"/>
      <c r="D1078" s="429"/>
    </row>
    <row r="1079" spans="1:4" ht="15.75" x14ac:dyDescent="0.25">
      <c r="A1079" s="427"/>
      <c r="B1079" s="428"/>
      <c r="C1079" s="428"/>
      <c r="D1079" s="429"/>
    </row>
    <row r="1080" spans="1:4" ht="15.75" x14ac:dyDescent="0.25">
      <c r="A1080" s="427"/>
      <c r="B1080" s="428"/>
      <c r="C1080" s="428"/>
      <c r="D1080" s="429"/>
    </row>
    <row r="1081" spans="1:4" ht="15.75" x14ac:dyDescent="0.25">
      <c r="A1081" s="427"/>
      <c r="B1081" s="428"/>
      <c r="C1081" s="428"/>
      <c r="D1081" s="429"/>
    </row>
    <row r="1082" spans="1:4" ht="15.75" x14ac:dyDescent="0.25">
      <c r="A1082" s="427"/>
      <c r="B1082" s="428"/>
      <c r="C1082" s="428"/>
      <c r="D1082" s="429"/>
    </row>
    <row r="1083" spans="1:4" ht="15.75" x14ac:dyDescent="0.25">
      <c r="A1083" s="427"/>
      <c r="B1083" s="428"/>
      <c r="C1083" s="428"/>
      <c r="D1083" s="429"/>
    </row>
    <row r="1084" spans="1:4" ht="15.75" x14ac:dyDescent="0.25">
      <c r="A1084" s="427"/>
      <c r="B1084" s="428"/>
      <c r="C1084" s="428"/>
      <c r="D1084" s="429"/>
    </row>
    <row r="1085" spans="1:4" ht="15.75" x14ac:dyDescent="0.25">
      <c r="A1085" s="427"/>
      <c r="B1085" s="428"/>
      <c r="C1085" s="428"/>
      <c r="D1085" s="429"/>
    </row>
    <row r="1086" spans="1:4" ht="15.75" x14ac:dyDescent="0.25">
      <c r="A1086" s="427"/>
      <c r="B1086" s="428"/>
      <c r="C1086" s="428"/>
      <c r="D1086" s="429"/>
    </row>
    <row r="1087" spans="1:4" ht="15.75" x14ac:dyDescent="0.25">
      <c r="A1087" s="427"/>
      <c r="B1087" s="428"/>
      <c r="C1087" s="428"/>
      <c r="D1087" s="429"/>
    </row>
    <row r="1088" spans="1:4" ht="15.75" x14ac:dyDescent="0.25">
      <c r="A1088" s="427"/>
      <c r="B1088" s="428"/>
      <c r="C1088" s="428"/>
      <c r="D1088" s="429"/>
    </row>
    <row r="1089" spans="1:4" ht="15.75" x14ac:dyDescent="0.25">
      <c r="A1089" s="427"/>
      <c r="B1089" s="428"/>
      <c r="C1089" s="428"/>
      <c r="D1089" s="429"/>
    </row>
    <row r="1090" spans="1:4" ht="15.75" x14ac:dyDescent="0.25">
      <c r="A1090" s="427"/>
      <c r="B1090" s="428"/>
      <c r="C1090" s="428"/>
      <c r="D1090" s="429"/>
    </row>
    <row r="1091" spans="1:4" ht="15.75" x14ac:dyDescent="0.25">
      <c r="A1091" s="427"/>
      <c r="B1091" s="428"/>
      <c r="C1091" s="428"/>
      <c r="D1091" s="429"/>
    </row>
    <row r="1092" spans="1:4" ht="15.75" x14ac:dyDescent="0.25">
      <c r="A1092" s="427"/>
      <c r="B1092" s="428"/>
      <c r="C1092" s="428"/>
      <c r="D1092" s="429"/>
    </row>
    <row r="1093" spans="1:4" ht="15.75" x14ac:dyDescent="0.25">
      <c r="A1093" s="427"/>
      <c r="B1093" s="428"/>
      <c r="C1093" s="428"/>
      <c r="D1093" s="429"/>
    </row>
    <row r="1094" spans="1:4" ht="15.75" x14ac:dyDescent="0.25">
      <c r="A1094" s="427"/>
      <c r="B1094" s="428"/>
      <c r="C1094" s="428"/>
      <c r="D1094" s="429"/>
    </row>
    <row r="1095" spans="1:4" ht="15.75" x14ac:dyDescent="0.25">
      <c r="A1095" s="427"/>
      <c r="B1095" s="428"/>
      <c r="C1095" s="428"/>
      <c r="D1095" s="429"/>
    </row>
    <row r="1096" spans="1:4" ht="15.75" x14ac:dyDescent="0.25">
      <c r="A1096" s="427"/>
      <c r="B1096" s="428"/>
      <c r="C1096" s="428"/>
      <c r="D1096" s="429"/>
    </row>
    <row r="1097" spans="1:4" ht="15.75" x14ac:dyDescent="0.25">
      <c r="A1097" s="427"/>
      <c r="B1097" s="428"/>
      <c r="C1097" s="428"/>
      <c r="D1097" s="429"/>
    </row>
    <row r="1098" spans="1:4" ht="15.75" x14ac:dyDescent="0.25">
      <c r="A1098" s="427"/>
      <c r="B1098" s="428"/>
      <c r="C1098" s="428"/>
      <c r="D1098" s="429"/>
    </row>
    <row r="1099" spans="1:4" ht="15.75" x14ac:dyDescent="0.25">
      <c r="A1099" s="427"/>
      <c r="B1099" s="428"/>
      <c r="C1099" s="428"/>
      <c r="D1099" s="429"/>
    </row>
    <row r="1100" spans="1:4" ht="15.75" x14ac:dyDescent="0.25">
      <c r="A1100" s="427"/>
      <c r="B1100" s="428"/>
      <c r="C1100" s="428"/>
      <c r="D1100" s="429"/>
    </row>
    <row r="1101" spans="1:4" ht="15.75" x14ac:dyDescent="0.25">
      <c r="A1101" s="427"/>
      <c r="B1101" s="428"/>
      <c r="C1101" s="428"/>
      <c r="D1101" s="429"/>
    </row>
    <row r="1102" spans="1:4" ht="15.75" x14ac:dyDescent="0.25">
      <c r="A1102" s="427"/>
      <c r="B1102" s="428"/>
      <c r="C1102" s="428"/>
      <c r="D1102" s="429"/>
    </row>
    <row r="1103" spans="1:4" ht="15.75" x14ac:dyDescent="0.25">
      <c r="A1103" s="427"/>
      <c r="B1103" s="428"/>
      <c r="C1103" s="428"/>
      <c r="D1103" s="429"/>
    </row>
    <row r="1104" spans="1:4" ht="15.75" x14ac:dyDescent="0.25">
      <c r="A1104" s="427"/>
      <c r="B1104" s="428"/>
      <c r="C1104" s="428"/>
      <c r="D1104" s="429"/>
    </row>
    <row r="1105" spans="1:4" ht="15.75" x14ac:dyDescent="0.25">
      <c r="A1105" s="427"/>
      <c r="B1105" s="428"/>
      <c r="C1105" s="428"/>
      <c r="D1105" s="429"/>
    </row>
    <row r="1106" spans="1:4" ht="15.75" x14ac:dyDescent="0.25">
      <c r="A1106" s="427"/>
      <c r="B1106" s="428"/>
      <c r="C1106" s="428"/>
      <c r="D1106" s="429"/>
    </row>
    <row r="1107" spans="1:4" ht="15.75" x14ac:dyDescent="0.25">
      <c r="A1107" s="427"/>
      <c r="B1107" s="428"/>
      <c r="C1107" s="428"/>
      <c r="D1107" s="429"/>
    </row>
    <row r="1108" spans="1:4" ht="15.75" x14ac:dyDescent="0.25">
      <c r="A1108" s="427"/>
      <c r="B1108" s="428"/>
      <c r="C1108" s="428"/>
      <c r="D1108" s="429"/>
    </row>
    <row r="1109" spans="1:4" ht="15.75" x14ac:dyDescent="0.25">
      <c r="A1109" s="427"/>
      <c r="B1109" s="428"/>
      <c r="C1109" s="428"/>
      <c r="D1109" s="429"/>
    </row>
    <row r="1110" spans="1:4" ht="15.75" x14ac:dyDescent="0.25">
      <c r="A1110" s="427"/>
      <c r="B1110" s="428"/>
      <c r="C1110" s="428"/>
      <c r="D1110" s="429"/>
    </row>
    <row r="1111" spans="1:4" ht="15.75" x14ac:dyDescent="0.25">
      <c r="A1111" s="427"/>
      <c r="B1111" s="428"/>
      <c r="C1111" s="428"/>
      <c r="D1111" s="429"/>
    </row>
    <row r="1112" spans="1:4" ht="15.75" x14ac:dyDescent="0.25">
      <c r="A1112" s="427"/>
      <c r="B1112" s="428"/>
      <c r="C1112" s="428"/>
      <c r="D1112" s="429"/>
    </row>
    <row r="1113" spans="1:4" ht="15.75" x14ac:dyDescent="0.25">
      <c r="A1113" s="427"/>
      <c r="B1113" s="428"/>
      <c r="C1113" s="428"/>
      <c r="D1113" s="429"/>
    </row>
    <row r="1114" spans="1:4" ht="15.75" x14ac:dyDescent="0.25">
      <c r="A1114" s="427"/>
      <c r="B1114" s="428"/>
      <c r="C1114" s="428"/>
      <c r="D1114" s="429"/>
    </row>
    <row r="1115" spans="1:4" ht="15.75" x14ac:dyDescent="0.25">
      <c r="A1115" s="427"/>
      <c r="B1115" s="428"/>
      <c r="C1115" s="428"/>
      <c r="D1115" s="429"/>
    </row>
    <row r="1116" spans="1:4" ht="15.75" x14ac:dyDescent="0.25">
      <c r="A1116" s="427"/>
      <c r="B1116" s="428"/>
      <c r="C1116" s="428"/>
      <c r="D1116" s="429"/>
    </row>
    <row r="1117" spans="1:4" ht="15.75" x14ac:dyDescent="0.25">
      <c r="A1117" s="427"/>
      <c r="B1117" s="428"/>
      <c r="C1117" s="428"/>
      <c r="D1117" s="429"/>
    </row>
    <row r="1118" spans="1:4" ht="15.75" x14ac:dyDescent="0.25">
      <c r="A1118" s="427"/>
      <c r="B1118" s="428"/>
      <c r="C1118" s="428"/>
      <c r="D1118" s="429"/>
    </row>
    <row r="1119" spans="1:4" ht="15.75" x14ac:dyDescent="0.25">
      <c r="A1119" s="427"/>
      <c r="B1119" s="428"/>
      <c r="C1119" s="428"/>
      <c r="D1119" s="429"/>
    </row>
    <row r="1120" spans="1:4" ht="15.75" x14ac:dyDescent="0.25">
      <c r="A1120" s="427"/>
      <c r="B1120" s="428"/>
      <c r="C1120" s="428"/>
      <c r="D1120" s="429"/>
    </row>
    <row r="1121" spans="1:4" ht="15.75" x14ac:dyDescent="0.25">
      <c r="A1121" s="427"/>
      <c r="B1121" s="428"/>
      <c r="C1121" s="428"/>
      <c r="D1121" s="429"/>
    </row>
    <row r="1122" spans="1:4" ht="15.75" x14ac:dyDescent="0.25">
      <c r="A1122" s="427"/>
      <c r="B1122" s="428"/>
      <c r="C1122" s="428"/>
      <c r="D1122" s="429"/>
    </row>
    <row r="1123" spans="1:4" ht="15.75" x14ac:dyDescent="0.25">
      <c r="A1123" s="427"/>
      <c r="B1123" s="428"/>
      <c r="C1123" s="428"/>
      <c r="D1123" s="429"/>
    </row>
    <row r="1124" spans="1:4" ht="15.75" x14ac:dyDescent="0.25">
      <c r="A1124" s="427"/>
      <c r="B1124" s="428"/>
      <c r="C1124" s="428"/>
      <c r="D1124" s="429"/>
    </row>
    <row r="1125" spans="1:4" ht="15.75" x14ac:dyDescent="0.25">
      <c r="A1125" s="427"/>
      <c r="B1125" s="428"/>
      <c r="C1125" s="428"/>
      <c r="D1125" s="429"/>
    </row>
    <row r="1126" spans="1:4" ht="15.75" x14ac:dyDescent="0.25">
      <c r="A1126" s="427"/>
      <c r="B1126" s="428"/>
      <c r="C1126" s="428"/>
      <c r="D1126" s="429"/>
    </row>
    <row r="1127" spans="1:4" ht="15.75" x14ac:dyDescent="0.25">
      <c r="A1127" s="427"/>
      <c r="B1127" s="428"/>
      <c r="C1127" s="428"/>
      <c r="D1127" s="429"/>
    </row>
    <row r="1128" spans="1:4" ht="15.75" x14ac:dyDescent="0.25">
      <c r="A1128" s="427"/>
      <c r="B1128" s="428"/>
      <c r="C1128" s="428"/>
      <c r="D1128" s="429"/>
    </row>
    <row r="1129" spans="1:4" ht="15.75" x14ac:dyDescent="0.25">
      <c r="A1129" s="427"/>
      <c r="B1129" s="428"/>
      <c r="C1129" s="428"/>
      <c r="D1129" s="429"/>
    </row>
    <row r="1130" spans="1:4" ht="15.75" x14ac:dyDescent="0.25">
      <c r="A1130" s="427"/>
      <c r="B1130" s="428"/>
      <c r="C1130" s="428"/>
      <c r="D1130" s="429"/>
    </row>
    <row r="1131" spans="1:4" ht="15.75" x14ac:dyDescent="0.25">
      <c r="A1131" s="427"/>
      <c r="B1131" s="428"/>
      <c r="C1131" s="428"/>
      <c r="D1131" s="429"/>
    </row>
    <row r="1132" spans="1:4" ht="15.75" x14ac:dyDescent="0.25">
      <c r="A1132" s="427"/>
      <c r="B1132" s="428"/>
      <c r="C1132" s="428"/>
      <c r="D1132" s="429"/>
    </row>
    <row r="1133" spans="1:4" ht="15.75" x14ac:dyDescent="0.25">
      <c r="A1133" s="427"/>
      <c r="B1133" s="428"/>
      <c r="C1133" s="428"/>
      <c r="D1133" s="429"/>
    </row>
    <row r="1134" spans="1:4" ht="15.75" x14ac:dyDescent="0.25">
      <c r="A1134" s="427"/>
      <c r="B1134" s="428"/>
      <c r="C1134" s="428"/>
      <c r="D1134" s="429"/>
    </row>
    <row r="1135" spans="1:4" ht="15.75" x14ac:dyDescent="0.25">
      <c r="A1135" s="427"/>
      <c r="B1135" s="428"/>
      <c r="C1135" s="428"/>
      <c r="D1135" s="429"/>
    </row>
    <row r="1136" spans="1:4" ht="15.75" x14ac:dyDescent="0.25">
      <c r="A1136" s="427"/>
      <c r="B1136" s="428"/>
      <c r="C1136" s="428"/>
      <c r="D1136" s="429"/>
    </row>
    <row r="1137" spans="1:4" ht="15.75" x14ac:dyDescent="0.25">
      <c r="A1137" s="427"/>
      <c r="B1137" s="428"/>
      <c r="C1137" s="428"/>
      <c r="D1137" s="429"/>
    </row>
    <row r="1138" spans="1:4" ht="15.75" x14ac:dyDescent="0.25">
      <c r="A1138" s="427"/>
      <c r="B1138" s="428"/>
      <c r="C1138" s="428"/>
      <c r="D1138" s="429"/>
    </row>
    <row r="1139" spans="1:4" ht="15.75" x14ac:dyDescent="0.25">
      <c r="A1139" s="427"/>
      <c r="B1139" s="428"/>
      <c r="C1139" s="428"/>
      <c r="D1139" s="429"/>
    </row>
    <row r="1140" spans="1:4" ht="15.75" x14ac:dyDescent="0.25">
      <c r="A1140" s="427"/>
      <c r="B1140" s="428"/>
      <c r="C1140" s="428"/>
      <c r="D1140" s="429"/>
    </row>
    <row r="1141" spans="1:4" ht="15.75" x14ac:dyDescent="0.25">
      <c r="A1141" s="427"/>
      <c r="B1141" s="428"/>
      <c r="C1141" s="428"/>
      <c r="D1141" s="429"/>
    </row>
    <row r="1142" spans="1:4" ht="15.75" x14ac:dyDescent="0.25">
      <c r="A1142" s="427"/>
      <c r="B1142" s="428"/>
      <c r="C1142" s="428"/>
      <c r="D1142" s="429"/>
    </row>
    <row r="1143" spans="1:4" ht="15.75" x14ac:dyDescent="0.25">
      <c r="A1143" s="427"/>
      <c r="B1143" s="428"/>
      <c r="C1143" s="428"/>
      <c r="D1143" s="429"/>
    </row>
    <row r="1144" spans="1:4" ht="15.75" x14ac:dyDescent="0.25">
      <c r="A1144" s="427"/>
      <c r="B1144" s="428"/>
      <c r="C1144" s="428"/>
      <c r="D1144" s="429"/>
    </row>
    <row r="1145" spans="1:4" ht="15.75" x14ac:dyDescent="0.25">
      <c r="A1145" s="427"/>
      <c r="B1145" s="428"/>
      <c r="C1145" s="428"/>
      <c r="D1145" s="429"/>
    </row>
    <row r="1146" spans="1:4" ht="15.75" x14ac:dyDescent="0.25">
      <c r="A1146" s="427"/>
      <c r="B1146" s="428"/>
      <c r="C1146" s="428"/>
      <c r="D1146" s="429"/>
    </row>
    <row r="1147" spans="1:4" ht="15.75" x14ac:dyDescent="0.25">
      <c r="A1147" s="427"/>
      <c r="B1147" s="428"/>
      <c r="C1147" s="428"/>
      <c r="D1147" s="429"/>
    </row>
    <row r="1148" spans="1:4" ht="15.75" x14ac:dyDescent="0.25">
      <c r="A1148" s="427"/>
      <c r="B1148" s="428"/>
      <c r="C1148" s="428"/>
      <c r="D1148" s="429"/>
    </row>
    <row r="1149" spans="1:4" ht="15.75" x14ac:dyDescent="0.25">
      <c r="A1149" s="427"/>
      <c r="B1149" s="428"/>
      <c r="C1149" s="428"/>
      <c r="D1149" s="429"/>
    </row>
    <row r="1150" spans="1:4" ht="15.75" x14ac:dyDescent="0.25">
      <c r="A1150" s="427"/>
      <c r="B1150" s="428"/>
      <c r="C1150" s="428"/>
      <c r="D1150" s="429"/>
    </row>
    <row r="1151" spans="1:4" ht="15.75" x14ac:dyDescent="0.25">
      <c r="A1151" s="427"/>
      <c r="B1151" s="428"/>
      <c r="C1151" s="428"/>
      <c r="D1151" s="429"/>
    </row>
    <row r="1152" spans="1:4" ht="15.75" x14ac:dyDescent="0.25">
      <c r="A1152" s="427"/>
      <c r="B1152" s="428"/>
      <c r="C1152" s="428"/>
      <c r="D1152" s="429"/>
    </row>
    <row r="1153" spans="1:4" ht="15.75" x14ac:dyDescent="0.25">
      <c r="A1153" s="427"/>
      <c r="B1153" s="428"/>
      <c r="C1153" s="428"/>
      <c r="D1153" s="429"/>
    </row>
    <row r="1154" spans="1:4" ht="15.75" x14ac:dyDescent="0.25">
      <c r="A1154" s="427"/>
      <c r="B1154" s="428"/>
      <c r="C1154" s="428"/>
      <c r="D1154" s="429"/>
    </row>
    <row r="1155" spans="1:4" ht="15.75" x14ac:dyDescent="0.25">
      <c r="A1155" s="427"/>
      <c r="B1155" s="428"/>
      <c r="C1155" s="428"/>
      <c r="D1155" s="429"/>
    </row>
    <row r="1156" spans="1:4" ht="15.75" x14ac:dyDescent="0.25">
      <c r="A1156" s="427"/>
      <c r="B1156" s="428"/>
      <c r="C1156" s="428"/>
      <c r="D1156" s="429"/>
    </row>
    <row r="1157" spans="1:4" ht="15.75" x14ac:dyDescent="0.25">
      <c r="A1157" s="427"/>
      <c r="B1157" s="428"/>
      <c r="C1157" s="428"/>
      <c r="D1157" s="429"/>
    </row>
    <row r="1158" spans="1:4" ht="15.75" x14ac:dyDescent="0.25">
      <c r="A1158" s="427"/>
      <c r="B1158" s="428"/>
      <c r="C1158" s="428"/>
      <c r="D1158" s="429"/>
    </row>
    <row r="1159" spans="1:4" ht="15.75" x14ac:dyDescent="0.25">
      <c r="A1159" s="427"/>
      <c r="B1159" s="428"/>
      <c r="C1159" s="428"/>
      <c r="D1159" s="429"/>
    </row>
    <row r="1160" spans="1:4" ht="15.75" x14ac:dyDescent="0.25">
      <c r="A1160" s="427"/>
      <c r="B1160" s="428"/>
      <c r="C1160" s="428"/>
      <c r="D1160" s="429"/>
    </row>
    <row r="1161" spans="1:4" ht="15.75" x14ac:dyDescent="0.25">
      <c r="A1161" s="427"/>
      <c r="B1161" s="428"/>
      <c r="C1161" s="428"/>
      <c r="D1161" s="429"/>
    </row>
    <row r="1162" spans="1:4" ht="15.75" x14ac:dyDescent="0.25">
      <c r="A1162" s="427"/>
      <c r="B1162" s="428"/>
      <c r="C1162" s="428"/>
      <c r="D1162" s="429"/>
    </row>
    <row r="1163" spans="1:4" ht="15.75" x14ac:dyDescent="0.25">
      <c r="A1163" s="427"/>
      <c r="B1163" s="428"/>
      <c r="C1163" s="428"/>
      <c r="D1163" s="429"/>
    </row>
    <row r="1164" spans="1:4" ht="15.75" x14ac:dyDescent="0.25">
      <c r="A1164" s="427"/>
      <c r="B1164" s="428"/>
      <c r="C1164" s="428"/>
      <c r="D1164" s="429"/>
    </row>
    <row r="1165" spans="1:4" ht="15.75" x14ac:dyDescent="0.25">
      <c r="A1165" s="427"/>
      <c r="B1165" s="428"/>
      <c r="C1165" s="428"/>
      <c r="D1165" s="429"/>
    </row>
    <row r="1166" spans="1:4" ht="15.75" x14ac:dyDescent="0.25">
      <c r="A1166" s="427"/>
      <c r="B1166" s="428"/>
      <c r="C1166" s="428"/>
      <c r="D1166" s="429"/>
    </row>
    <row r="1167" spans="1:4" ht="15.75" x14ac:dyDescent="0.25">
      <c r="A1167" s="427"/>
      <c r="B1167" s="428"/>
      <c r="C1167" s="428"/>
      <c r="D1167" s="429"/>
    </row>
    <row r="1168" spans="1:4" ht="15.75" x14ac:dyDescent="0.25">
      <c r="A1168" s="427"/>
      <c r="B1168" s="428"/>
      <c r="C1168" s="428"/>
      <c r="D1168" s="429"/>
    </row>
    <row r="1169" spans="1:4" ht="15.75" x14ac:dyDescent="0.25">
      <c r="A1169" s="427"/>
      <c r="B1169" s="428"/>
      <c r="C1169" s="428"/>
      <c r="D1169" s="429"/>
    </row>
    <row r="1170" spans="1:4" ht="15.75" x14ac:dyDescent="0.25">
      <c r="A1170" s="427"/>
      <c r="B1170" s="428"/>
      <c r="C1170" s="428"/>
      <c r="D1170" s="429"/>
    </row>
    <row r="1171" spans="1:4" ht="15.75" x14ac:dyDescent="0.25">
      <c r="A1171" s="427"/>
      <c r="B1171" s="428"/>
      <c r="C1171" s="428"/>
      <c r="D1171" s="429"/>
    </row>
    <row r="1172" spans="1:4" ht="15.75" x14ac:dyDescent="0.25">
      <c r="A1172" s="427"/>
      <c r="B1172" s="428"/>
      <c r="C1172" s="428"/>
      <c r="D1172" s="429"/>
    </row>
    <row r="1173" spans="1:4" ht="15.75" x14ac:dyDescent="0.25">
      <c r="A1173" s="427"/>
      <c r="B1173" s="428"/>
      <c r="C1173" s="428"/>
      <c r="D1173" s="429"/>
    </row>
    <row r="1174" spans="1:4" ht="15.75" x14ac:dyDescent="0.25">
      <c r="A1174" s="427"/>
      <c r="B1174" s="428"/>
      <c r="C1174" s="428"/>
      <c r="D1174" s="429"/>
    </row>
    <row r="1175" spans="1:4" ht="15.75" x14ac:dyDescent="0.25">
      <c r="A1175" s="427"/>
      <c r="B1175" s="428"/>
      <c r="C1175" s="428"/>
      <c r="D1175" s="429"/>
    </row>
    <row r="1176" spans="1:4" ht="15.75" x14ac:dyDescent="0.25">
      <c r="A1176" s="427"/>
      <c r="B1176" s="428"/>
      <c r="C1176" s="428"/>
      <c r="D1176" s="429"/>
    </row>
    <row r="1177" spans="1:4" ht="15.75" x14ac:dyDescent="0.25">
      <c r="A1177" s="427"/>
      <c r="B1177" s="428"/>
      <c r="C1177" s="428"/>
      <c r="D1177" s="429"/>
    </row>
    <row r="1178" spans="1:4" ht="15.75" x14ac:dyDescent="0.25">
      <c r="A1178" s="427"/>
      <c r="B1178" s="428"/>
      <c r="C1178" s="428"/>
      <c r="D1178" s="429"/>
    </row>
    <row r="1179" spans="1:4" ht="15.75" x14ac:dyDescent="0.25">
      <c r="A1179" s="427"/>
      <c r="B1179" s="428"/>
      <c r="C1179" s="428"/>
      <c r="D1179" s="429"/>
    </row>
    <row r="1180" spans="1:4" ht="15.75" x14ac:dyDescent="0.25">
      <c r="A1180" s="427"/>
      <c r="B1180" s="428"/>
      <c r="C1180" s="428"/>
      <c r="D1180" s="429"/>
    </row>
    <row r="1181" spans="1:4" ht="15.75" x14ac:dyDescent="0.25">
      <c r="A1181" s="427"/>
      <c r="B1181" s="428"/>
      <c r="C1181" s="428"/>
      <c r="D1181" s="429"/>
    </row>
    <row r="1182" spans="1:4" ht="15.75" x14ac:dyDescent="0.25">
      <c r="A1182" s="427"/>
      <c r="B1182" s="428"/>
      <c r="C1182" s="428"/>
      <c r="D1182" s="429"/>
    </row>
    <row r="1183" spans="1:4" ht="15.75" x14ac:dyDescent="0.25">
      <c r="A1183" s="427"/>
      <c r="B1183" s="428"/>
      <c r="C1183" s="428"/>
      <c r="D1183" s="429"/>
    </row>
    <row r="1184" spans="1:4" ht="15.75" x14ac:dyDescent="0.25">
      <c r="A1184" s="427"/>
      <c r="B1184" s="428"/>
      <c r="C1184" s="428"/>
      <c r="D1184" s="429"/>
    </row>
    <row r="1185" spans="1:4" ht="15.75" x14ac:dyDescent="0.25">
      <c r="A1185" s="427"/>
      <c r="B1185" s="428"/>
      <c r="C1185" s="428"/>
      <c r="D1185" s="429"/>
    </row>
    <row r="1186" spans="1:4" ht="15.75" x14ac:dyDescent="0.25">
      <c r="A1186" s="427"/>
      <c r="B1186" s="428"/>
      <c r="C1186" s="428"/>
      <c r="D1186" s="429"/>
    </row>
    <row r="1187" spans="1:4" ht="15.75" x14ac:dyDescent="0.25">
      <c r="A1187" s="427"/>
      <c r="B1187" s="428"/>
      <c r="C1187" s="428"/>
      <c r="D1187" s="429"/>
    </row>
    <row r="1188" spans="1:4" ht="15.75" x14ac:dyDescent="0.25">
      <c r="A1188" s="427"/>
      <c r="B1188" s="428"/>
      <c r="C1188" s="428"/>
      <c r="D1188" s="429"/>
    </row>
    <row r="1189" spans="1:4" ht="15.75" x14ac:dyDescent="0.25">
      <c r="A1189" s="427"/>
      <c r="B1189" s="428"/>
      <c r="C1189" s="428"/>
      <c r="D1189" s="429"/>
    </row>
    <row r="1190" spans="1:4" ht="15.75" x14ac:dyDescent="0.25">
      <c r="A1190" s="427"/>
      <c r="B1190" s="428"/>
      <c r="C1190" s="428"/>
      <c r="D1190" s="429"/>
    </row>
    <row r="1191" spans="1:4" ht="15.75" x14ac:dyDescent="0.25">
      <c r="A1191" s="427"/>
      <c r="B1191" s="428"/>
      <c r="C1191" s="428"/>
      <c r="D1191" s="429"/>
    </row>
    <row r="1192" spans="1:4" ht="15.75" x14ac:dyDescent="0.25">
      <c r="A1192" s="427"/>
      <c r="B1192" s="428"/>
      <c r="C1192" s="428"/>
      <c r="D1192" s="429"/>
    </row>
    <row r="1193" spans="1:4" ht="15.75" x14ac:dyDescent="0.25">
      <c r="A1193" s="427"/>
      <c r="B1193" s="428"/>
      <c r="C1193" s="428"/>
      <c r="D1193" s="429"/>
    </row>
    <row r="1194" spans="1:4" ht="15.75" x14ac:dyDescent="0.25">
      <c r="A1194" s="427"/>
      <c r="B1194" s="428"/>
      <c r="C1194" s="428"/>
      <c r="D1194" s="429"/>
    </row>
    <row r="1195" spans="1:4" ht="15.75" x14ac:dyDescent="0.25">
      <c r="A1195" s="427"/>
      <c r="B1195" s="428"/>
      <c r="C1195" s="428"/>
      <c r="D1195" s="429"/>
    </row>
    <row r="1196" spans="1:4" ht="15.75" x14ac:dyDescent="0.25">
      <c r="A1196" s="427"/>
      <c r="B1196" s="428"/>
      <c r="C1196" s="428"/>
      <c r="D1196" s="429"/>
    </row>
    <row r="1197" spans="1:4" ht="15.75" x14ac:dyDescent="0.25">
      <c r="A1197" s="427"/>
      <c r="B1197" s="428"/>
      <c r="C1197" s="428"/>
      <c r="D1197" s="429"/>
    </row>
    <row r="1198" spans="1:4" ht="15.75" x14ac:dyDescent="0.25">
      <c r="A1198" s="427"/>
      <c r="B1198" s="428"/>
      <c r="C1198" s="428"/>
      <c r="D1198" s="429"/>
    </row>
    <row r="1199" spans="1:4" ht="15.75" x14ac:dyDescent="0.25">
      <c r="A1199" s="427"/>
      <c r="B1199" s="428"/>
      <c r="C1199" s="428"/>
      <c r="D1199" s="429"/>
    </row>
    <row r="1200" spans="1:4" ht="15.75" x14ac:dyDescent="0.25">
      <c r="A1200" s="427"/>
      <c r="B1200" s="428"/>
      <c r="C1200" s="428"/>
      <c r="D1200" s="429"/>
    </row>
    <row r="1201" spans="1:4" ht="15.75" x14ac:dyDescent="0.25">
      <c r="A1201" s="427"/>
      <c r="B1201" s="428"/>
      <c r="C1201" s="428"/>
      <c r="D1201" s="429"/>
    </row>
    <row r="1202" spans="1:4" ht="15.75" x14ac:dyDescent="0.25">
      <c r="A1202" s="427"/>
      <c r="B1202" s="428"/>
      <c r="C1202" s="428"/>
      <c r="D1202" s="429"/>
    </row>
    <row r="1203" spans="1:4" ht="15.75" x14ac:dyDescent="0.25">
      <c r="A1203" s="427"/>
      <c r="B1203" s="428"/>
      <c r="C1203" s="428"/>
      <c r="D1203" s="429"/>
    </row>
    <row r="1204" spans="1:4" ht="15.75" x14ac:dyDescent="0.25">
      <c r="A1204" s="427"/>
      <c r="B1204" s="428"/>
      <c r="C1204" s="428"/>
      <c r="D1204" s="429"/>
    </row>
    <row r="1205" spans="1:4" ht="15.75" x14ac:dyDescent="0.25">
      <c r="A1205" s="427"/>
      <c r="B1205" s="428"/>
      <c r="C1205" s="428"/>
      <c r="D1205" s="429"/>
    </row>
    <row r="1206" spans="1:4" ht="15.75" x14ac:dyDescent="0.25">
      <c r="A1206" s="427"/>
      <c r="B1206" s="428"/>
      <c r="C1206" s="428"/>
      <c r="D1206" s="429"/>
    </row>
    <row r="1207" spans="1:4" ht="15.75" x14ac:dyDescent="0.25">
      <c r="A1207" s="427"/>
      <c r="B1207" s="428"/>
      <c r="C1207" s="428"/>
      <c r="D1207" s="429"/>
    </row>
    <row r="1208" spans="1:4" ht="15.75" x14ac:dyDescent="0.25">
      <c r="A1208" s="427"/>
      <c r="B1208" s="428"/>
      <c r="C1208" s="428"/>
      <c r="D1208" s="429"/>
    </row>
    <row r="1209" spans="1:4" ht="15.75" x14ac:dyDescent="0.25">
      <c r="A1209" s="427"/>
      <c r="B1209" s="428"/>
      <c r="C1209" s="428"/>
      <c r="D1209" s="429"/>
    </row>
    <row r="1210" spans="1:4" ht="15.75" x14ac:dyDescent="0.25">
      <c r="A1210" s="427"/>
      <c r="B1210" s="428"/>
      <c r="C1210" s="428"/>
      <c r="D1210" s="429"/>
    </row>
    <row r="1211" spans="1:4" ht="15.75" x14ac:dyDescent="0.25">
      <c r="A1211" s="427"/>
      <c r="B1211" s="428"/>
      <c r="C1211" s="428"/>
      <c r="D1211" s="429"/>
    </row>
    <row r="1212" spans="1:4" ht="15.75" x14ac:dyDescent="0.25">
      <c r="A1212" s="427"/>
      <c r="B1212" s="428"/>
      <c r="C1212" s="428"/>
      <c r="D1212" s="429"/>
    </row>
    <row r="1213" spans="1:4" ht="15.75" x14ac:dyDescent="0.25">
      <c r="A1213" s="427"/>
      <c r="B1213" s="428"/>
      <c r="C1213" s="428"/>
      <c r="D1213" s="429"/>
    </row>
    <row r="1214" spans="1:4" ht="15.75" x14ac:dyDescent="0.25">
      <c r="A1214" s="427"/>
      <c r="B1214" s="428"/>
      <c r="C1214" s="428"/>
      <c r="D1214" s="429"/>
    </row>
    <row r="1215" spans="1:4" ht="15.75" x14ac:dyDescent="0.25">
      <c r="A1215" s="427"/>
      <c r="B1215" s="428"/>
      <c r="C1215" s="428"/>
      <c r="D1215" s="429"/>
    </row>
    <row r="1216" spans="1:4" ht="15.75" x14ac:dyDescent="0.25">
      <c r="A1216" s="427"/>
      <c r="B1216" s="428"/>
      <c r="C1216" s="428"/>
      <c r="D1216" s="429"/>
    </row>
    <row r="1217" spans="1:4" ht="15.75" x14ac:dyDescent="0.25">
      <c r="A1217" s="427"/>
      <c r="B1217" s="428"/>
      <c r="C1217" s="428"/>
      <c r="D1217" s="429"/>
    </row>
    <row r="1218" spans="1:4" ht="15.75" x14ac:dyDescent="0.25">
      <c r="A1218" s="427"/>
      <c r="B1218" s="428"/>
      <c r="C1218" s="428"/>
      <c r="D1218" s="429"/>
    </row>
    <row r="1219" spans="1:4" ht="15.75" x14ac:dyDescent="0.25">
      <c r="A1219" s="427"/>
      <c r="B1219" s="428"/>
      <c r="C1219" s="428"/>
      <c r="D1219" s="429"/>
    </row>
    <row r="1220" spans="1:4" ht="15.75" x14ac:dyDescent="0.25">
      <c r="A1220" s="427"/>
      <c r="B1220" s="428"/>
      <c r="C1220" s="428"/>
      <c r="D1220" s="429"/>
    </row>
    <row r="1221" spans="1:4" ht="15.75" x14ac:dyDescent="0.25">
      <c r="A1221" s="427"/>
      <c r="B1221" s="428"/>
      <c r="C1221" s="428"/>
      <c r="D1221" s="429"/>
    </row>
    <row r="1222" spans="1:4" ht="15.75" x14ac:dyDescent="0.25">
      <c r="A1222" s="427"/>
      <c r="B1222" s="428"/>
      <c r="C1222" s="428"/>
      <c r="D1222" s="429"/>
    </row>
    <row r="1223" spans="1:4" ht="15.75" x14ac:dyDescent="0.25">
      <c r="A1223" s="427"/>
      <c r="B1223" s="428"/>
      <c r="C1223" s="428"/>
      <c r="D1223" s="429"/>
    </row>
    <row r="1224" spans="1:4" ht="15.75" x14ac:dyDescent="0.25">
      <c r="A1224" s="427"/>
      <c r="B1224" s="428"/>
      <c r="C1224" s="428"/>
      <c r="D1224" s="429"/>
    </row>
    <row r="1225" spans="1:4" ht="15.75" x14ac:dyDescent="0.25">
      <c r="A1225" s="427"/>
      <c r="B1225" s="428"/>
      <c r="C1225" s="428"/>
      <c r="D1225" s="429"/>
    </row>
    <row r="1226" spans="1:4" ht="15.75" x14ac:dyDescent="0.25">
      <c r="A1226" s="427"/>
      <c r="B1226" s="428"/>
      <c r="C1226" s="428"/>
      <c r="D1226" s="429"/>
    </row>
    <row r="1227" spans="1:4" ht="15.75" x14ac:dyDescent="0.25">
      <c r="A1227" s="427"/>
      <c r="B1227" s="428"/>
      <c r="C1227" s="428"/>
      <c r="D1227" s="429"/>
    </row>
    <row r="1228" spans="1:4" ht="15.75" x14ac:dyDescent="0.25">
      <c r="A1228" s="427"/>
      <c r="B1228" s="428"/>
      <c r="C1228" s="428"/>
      <c r="D1228" s="429"/>
    </row>
    <row r="1229" spans="1:4" ht="15.75" x14ac:dyDescent="0.25">
      <c r="A1229" s="427"/>
      <c r="B1229" s="428"/>
      <c r="C1229" s="428"/>
      <c r="D1229" s="429"/>
    </row>
    <row r="1230" spans="1:4" ht="15.75" x14ac:dyDescent="0.25">
      <c r="A1230" s="427"/>
      <c r="B1230" s="428"/>
      <c r="C1230" s="428"/>
      <c r="D1230" s="429"/>
    </row>
    <row r="1231" spans="1:4" ht="15.75" x14ac:dyDescent="0.25">
      <c r="A1231" s="427"/>
      <c r="B1231" s="428"/>
      <c r="C1231" s="428"/>
      <c r="D1231" s="429"/>
    </row>
    <row r="1232" spans="1:4" ht="15.75" x14ac:dyDescent="0.25">
      <c r="A1232" s="427"/>
      <c r="B1232" s="428"/>
      <c r="C1232" s="428"/>
      <c r="D1232" s="429"/>
    </row>
    <row r="1233" spans="1:4" ht="15.75" x14ac:dyDescent="0.25">
      <c r="A1233" s="427"/>
      <c r="B1233" s="428"/>
      <c r="C1233" s="428"/>
      <c r="D1233" s="429"/>
    </row>
    <row r="1234" spans="1:4" ht="15.75" x14ac:dyDescent="0.25">
      <c r="A1234" s="427"/>
      <c r="B1234" s="428"/>
      <c r="C1234" s="428"/>
      <c r="D1234" s="429"/>
    </row>
    <row r="1235" spans="1:4" ht="15.75" x14ac:dyDescent="0.25">
      <c r="A1235" s="427"/>
      <c r="B1235" s="428"/>
      <c r="C1235" s="428"/>
      <c r="D1235" s="429"/>
    </row>
    <row r="1236" spans="1:4" ht="15.75" x14ac:dyDescent="0.25">
      <c r="A1236" s="427"/>
      <c r="B1236" s="428"/>
      <c r="C1236" s="428"/>
      <c r="D1236" s="429"/>
    </row>
    <row r="1237" spans="1:4" ht="15.75" x14ac:dyDescent="0.25">
      <c r="A1237" s="427"/>
      <c r="B1237" s="428"/>
      <c r="C1237" s="428"/>
      <c r="D1237" s="429"/>
    </row>
    <row r="1238" spans="1:4" ht="15.75" x14ac:dyDescent="0.25">
      <c r="A1238" s="427"/>
      <c r="B1238" s="428"/>
      <c r="C1238" s="428"/>
      <c r="D1238" s="429"/>
    </row>
    <row r="1239" spans="1:4" ht="15.75" x14ac:dyDescent="0.25">
      <c r="A1239" s="427"/>
      <c r="B1239" s="428"/>
      <c r="C1239" s="428"/>
      <c r="D1239" s="429"/>
    </row>
    <row r="1240" spans="1:4" ht="15.75" x14ac:dyDescent="0.25">
      <c r="A1240" s="427"/>
      <c r="B1240" s="428"/>
      <c r="C1240" s="428"/>
      <c r="D1240" s="429"/>
    </row>
    <row r="1241" spans="1:4" ht="15.75" x14ac:dyDescent="0.25">
      <c r="A1241" s="427"/>
      <c r="B1241" s="428"/>
      <c r="C1241" s="428"/>
      <c r="D1241" s="429"/>
    </row>
    <row r="1242" spans="1:4" ht="15.75" x14ac:dyDescent="0.25">
      <c r="A1242" s="427"/>
      <c r="B1242" s="428"/>
      <c r="C1242" s="428"/>
      <c r="D1242" s="429"/>
    </row>
    <row r="1243" spans="1:4" ht="15.75" x14ac:dyDescent="0.25">
      <c r="A1243" s="427"/>
      <c r="B1243" s="428"/>
      <c r="C1243" s="428"/>
      <c r="D1243" s="429"/>
    </row>
    <row r="1244" spans="1:4" ht="15.75" x14ac:dyDescent="0.25">
      <c r="A1244" s="427"/>
      <c r="B1244" s="428"/>
      <c r="C1244" s="428"/>
      <c r="D1244" s="429"/>
    </row>
    <row r="1245" spans="1:4" ht="15.75" x14ac:dyDescent="0.25">
      <c r="A1245" s="427"/>
      <c r="B1245" s="428"/>
      <c r="C1245" s="428"/>
      <c r="D1245" s="429"/>
    </row>
    <row r="1246" spans="1:4" ht="15.75" x14ac:dyDescent="0.25">
      <c r="A1246" s="427"/>
      <c r="B1246" s="428"/>
      <c r="C1246" s="428"/>
      <c r="D1246" s="429"/>
    </row>
    <row r="1247" spans="1:4" ht="15.75" x14ac:dyDescent="0.25">
      <c r="A1247" s="427"/>
      <c r="B1247" s="428"/>
      <c r="C1247" s="428"/>
      <c r="D1247" s="429"/>
    </row>
    <row r="1248" spans="1:4" ht="15.75" x14ac:dyDescent="0.25">
      <c r="A1248" s="427"/>
      <c r="B1248" s="428"/>
      <c r="C1248" s="428"/>
      <c r="D1248" s="429"/>
    </row>
    <row r="1249" spans="1:4" ht="15.75" x14ac:dyDescent="0.25">
      <c r="A1249" s="427"/>
      <c r="B1249" s="428"/>
      <c r="C1249" s="428"/>
      <c r="D1249" s="429"/>
    </row>
    <row r="1250" spans="1:4" ht="15.75" x14ac:dyDescent="0.25">
      <c r="A1250" s="427"/>
      <c r="B1250" s="428"/>
      <c r="C1250" s="428"/>
      <c r="D1250" s="429"/>
    </row>
    <row r="1251" spans="1:4" ht="15.75" x14ac:dyDescent="0.25">
      <c r="A1251" s="427"/>
      <c r="B1251" s="428"/>
      <c r="C1251" s="428"/>
      <c r="D1251" s="429"/>
    </row>
    <row r="1252" spans="1:4" ht="15.75" x14ac:dyDescent="0.25">
      <c r="A1252" s="427"/>
      <c r="B1252" s="428"/>
      <c r="C1252" s="428"/>
      <c r="D1252" s="429"/>
    </row>
    <row r="1253" spans="1:4" ht="15.75" x14ac:dyDescent="0.25">
      <c r="A1253" s="427"/>
      <c r="B1253" s="428"/>
      <c r="C1253" s="428"/>
      <c r="D1253" s="429"/>
    </row>
    <row r="1254" spans="1:4" ht="15.75" x14ac:dyDescent="0.25">
      <c r="A1254" s="427"/>
      <c r="B1254" s="428"/>
      <c r="C1254" s="428"/>
      <c r="D1254" s="429"/>
    </row>
    <row r="1255" spans="1:4" ht="15.75" x14ac:dyDescent="0.25">
      <c r="A1255" s="427"/>
      <c r="B1255" s="428"/>
      <c r="C1255" s="428"/>
      <c r="D1255" s="429"/>
    </row>
    <row r="1256" spans="1:4" ht="15.75" x14ac:dyDescent="0.25">
      <c r="A1256" s="427"/>
      <c r="B1256" s="428"/>
      <c r="C1256" s="428"/>
      <c r="D1256" s="429"/>
    </row>
    <row r="1257" spans="1:4" ht="15.75" x14ac:dyDescent="0.25">
      <c r="A1257" s="427"/>
      <c r="B1257" s="428"/>
      <c r="C1257" s="428"/>
      <c r="D1257" s="429"/>
    </row>
    <row r="1258" spans="1:4" ht="15.75" x14ac:dyDescent="0.25">
      <c r="A1258" s="427"/>
      <c r="B1258" s="428"/>
      <c r="C1258" s="428"/>
      <c r="D1258" s="429"/>
    </row>
    <row r="1259" spans="1:4" ht="15.75" x14ac:dyDescent="0.25">
      <c r="A1259" s="427"/>
      <c r="B1259" s="428"/>
      <c r="C1259" s="428"/>
      <c r="D1259" s="429"/>
    </row>
    <row r="1260" spans="1:4" ht="15.75" x14ac:dyDescent="0.25">
      <c r="A1260" s="427"/>
      <c r="B1260" s="428"/>
      <c r="C1260" s="428"/>
      <c r="D1260" s="429"/>
    </row>
    <row r="1261" spans="1:4" ht="15.75" x14ac:dyDescent="0.25">
      <c r="A1261" s="427"/>
      <c r="B1261" s="428"/>
      <c r="C1261" s="428"/>
      <c r="D1261" s="429"/>
    </row>
    <row r="1262" spans="1:4" ht="15.75" x14ac:dyDescent="0.25">
      <c r="A1262" s="427"/>
      <c r="B1262" s="428"/>
      <c r="C1262" s="428"/>
      <c r="D1262" s="429"/>
    </row>
    <row r="1263" spans="1:4" ht="15.75" x14ac:dyDescent="0.25">
      <c r="A1263" s="427"/>
      <c r="B1263" s="428"/>
      <c r="C1263" s="428"/>
      <c r="D1263" s="429"/>
    </row>
    <row r="1264" spans="1:4" ht="15.75" x14ac:dyDescent="0.25">
      <c r="A1264" s="427"/>
      <c r="B1264" s="428"/>
      <c r="C1264" s="428"/>
      <c r="D1264" s="429"/>
    </row>
    <row r="1265" spans="1:4" ht="15.75" x14ac:dyDescent="0.25">
      <c r="A1265" s="427"/>
      <c r="B1265" s="428"/>
      <c r="C1265" s="428"/>
      <c r="D1265" s="429"/>
    </row>
    <row r="1266" spans="1:4" ht="15.75" x14ac:dyDescent="0.25">
      <c r="A1266" s="427"/>
      <c r="B1266" s="428"/>
      <c r="C1266" s="428"/>
      <c r="D1266" s="429"/>
    </row>
    <row r="1267" spans="1:4" ht="15.75" x14ac:dyDescent="0.25">
      <c r="A1267" s="427"/>
      <c r="B1267" s="428"/>
      <c r="C1267" s="428"/>
      <c r="D1267" s="429"/>
    </row>
    <row r="1268" spans="1:4" ht="15.75" x14ac:dyDescent="0.25">
      <c r="A1268" s="427"/>
      <c r="B1268" s="428"/>
      <c r="C1268" s="428"/>
      <c r="D1268" s="429"/>
    </row>
    <row r="1269" spans="1:4" ht="15.75" x14ac:dyDescent="0.25">
      <c r="A1269" s="427"/>
      <c r="B1269" s="428"/>
      <c r="C1269" s="428"/>
      <c r="D1269" s="429"/>
    </row>
    <row r="1270" spans="1:4" ht="15.75" x14ac:dyDescent="0.25">
      <c r="A1270" s="427"/>
      <c r="B1270" s="428"/>
      <c r="C1270" s="428"/>
      <c r="D1270" s="429"/>
    </row>
    <row r="1271" spans="1:4" ht="15.75" x14ac:dyDescent="0.25">
      <c r="A1271" s="427"/>
      <c r="B1271" s="428"/>
      <c r="C1271" s="428"/>
      <c r="D1271" s="429"/>
    </row>
    <row r="1272" spans="1:4" ht="15.75" x14ac:dyDescent="0.25">
      <c r="A1272" s="427"/>
      <c r="B1272" s="428"/>
      <c r="C1272" s="428"/>
      <c r="D1272" s="429"/>
    </row>
    <row r="1273" spans="1:4" ht="15.75" x14ac:dyDescent="0.25">
      <c r="A1273" s="427"/>
      <c r="B1273" s="428"/>
      <c r="C1273" s="428"/>
      <c r="D1273" s="429"/>
    </row>
    <row r="1274" spans="1:4" ht="15.75" x14ac:dyDescent="0.25">
      <c r="A1274" s="427"/>
      <c r="B1274" s="428"/>
      <c r="C1274" s="428"/>
      <c r="D1274" s="429"/>
    </row>
    <row r="1275" spans="1:4" ht="15.75" x14ac:dyDescent="0.25">
      <c r="A1275" s="427"/>
      <c r="B1275" s="428"/>
      <c r="C1275" s="428"/>
      <c r="D1275" s="429"/>
    </row>
    <row r="1276" spans="1:4" ht="15.75" x14ac:dyDescent="0.25">
      <c r="A1276" s="427"/>
      <c r="B1276" s="428"/>
      <c r="C1276" s="428"/>
      <c r="D1276" s="429"/>
    </row>
    <row r="1277" spans="1:4" ht="15.75" x14ac:dyDescent="0.25">
      <c r="A1277" s="427"/>
      <c r="B1277" s="428"/>
      <c r="C1277" s="428"/>
      <c r="D1277" s="429"/>
    </row>
    <row r="1278" spans="1:4" ht="15.75" x14ac:dyDescent="0.25">
      <c r="A1278" s="427"/>
      <c r="B1278" s="428"/>
      <c r="C1278" s="428"/>
      <c r="D1278" s="429"/>
    </row>
    <row r="1279" spans="1:4" ht="15.75" x14ac:dyDescent="0.25">
      <c r="A1279" s="427"/>
      <c r="B1279" s="428"/>
      <c r="C1279" s="428"/>
      <c r="D1279" s="429"/>
    </row>
    <row r="1280" spans="1:4" ht="15.75" x14ac:dyDescent="0.25">
      <c r="A1280" s="427"/>
      <c r="B1280" s="428"/>
      <c r="C1280" s="428"/>
      <c r="D1280" s="429"/>
    </row>
    <row r="1281" spans="1:4" ht="15.75" x14ac:dyDescent="0.25">
      <c r="A1281" s="427"/>
      <c r="B1281" s="428"/>
      <c r="C1281" s="428"/>
      <c r="D1281" s="429"/>
    </row>
    <row r="1282" spans="1:4" ht="15.75" x14ac:dyDescent="0.25">
      <c r="A1282" s="427"/>
      <c r="B1282" s="428"/>
      <c r="C1282" s="428"/>
      <c r="D1282" s="429"/>
    </row>
    <row r="1283" spans="1:4" ht="15.75" x14ac:dyDescent="0.25">
      <c r="A1283" s="427"/>
      <c r="B1283" s="428"/>
      <c r="C1283" s="428"/>
      <c r="D1283" s="429"/>
    </row>
    <row r="1284" spans="1:4" ht="15.75" x14ac:dyDescent="0.25">
      <c r="A1284" s="427"/>
      <c r="B1284" s="428"/>
      <c r="C1284" s="428"/>
      <c r="D1284" s="429"/>
    </row>
    <row r="1285" spans="1:4" ht="15.75" x14ac:dyDescent="0.25">
      <c r="A1285" s="427"/>
      <c r="B1285" s="428"/>
      <c r="C1285" s="428"/>
      <c r="D1285" s="429"/>
    </row>
    <row r="1286" spans="1:4" ht="15.75" x14ac:dyDescent="0.25">
      <c r="A1286" s="427"/>
      <c r="B1286" s="428"/>
      <c r="C1286" s="428"/>
      <c r="D1286" s="429"/>
    </row>
    <row r="1287" spans="1:4" ht="15.75" x14ac:dyDescent="0.25">
      <c r="A1287" s="427"/>
      <c r="B1287" s="428"/>
      <c r="C1287" s="428"/>
      <c r="D1287" s="429"/>
    </row>
    <row r="1288" spans="1:4" ht="15.75" x14ac:dyDescent="0.25">
      <c r="A1288" s="427"/>
      <c r="B1288" s="428"/>
      <c r="C1288" s="428"/>
      <c r="D1288" s="429"/>
    </row>
    <row r="1289" spans="1:4" ht="15.75" x14ac:dyDescent="0.25">
      <c r="A1289" s="427"/>
      <c r="B1289" s="428"/>
      <c r="C1289" s="428"/>
      <c r="D1289" s="429"/>
    </row>
    <row r="1290" spans="1:4" ht="15.75" x14ac:dyDescent="0.25">
      <c r="A1290" s="427"/>
      <c r="B1290" s="428"/>
      <c r="C1290" s="428"/>
      <c r="D1290" s="429"/>
    </row>
    <row r="1291" spans="1:4" ht="15.75" x14ac:dyDescent="0.25">
      <c r="A1291" s="427"/>
      <c r="B1291" s="428"/>
      <c r="C1291" s="428"/>
      <c r="D1291" s="429"/>
    </row>
    <row r="1292" spans="1:4" ht="15.75" x14ac:dyDescent="0.25">
      <c r="A1292" s="427"/>
      <c r="B1292" s="428"/>
      <c r="C1292" s="428"/>
      <c r="D1292" s="429"/>
    </row>
    <row r="1293" spans="1:4" ht="15.75" x14ac:dyDescent="0.25">
      <c r="A1293" s="427"/>
      <c r="B1293" s="428"/>
      <c r="C1293" s="428"/>
      <c r="D1293" s="429"/>
    </row>
    <row r="1294" spans="1:4" ht="15.75" x14ac:dyDescent="0.25">
      <c r="A1294" s="427"/>
      <c r="B1294" s="428"/>
      <c r="C1294" s="428"/>
      <c r="D1294" s="429"/>
    </row>
    <row r="1295" spans="1:4" ht="15.75" x14ac:dyDescent="0.25">
      <c r="A1295" s="427"/>
      <c r="B1295" s="428"/>
      <c r="C1295" s="428"/>
      <c r="D1295" s="429"/>
    </row>
    <row r="1296" spans="1:4" ht="15.75" x14ac:dyDescent="0.25">
      <c r="A1296" s="427"/>
      <c r="B1296" s="428"/>
      <c r="C1296" s="428"/>
      <c r="D1296" s="429"/>
    </row>
    <row r="1297" spans="1:4" ht="15.75" x14ac:dyDescent="0.25">
      <c r="A1297" s="427"/>
      <c r="B1297" s="428"/>
      <c r="C1297" s="428"/>
      <c r="D1297" s="429"/>
    </row>
    <row r="1298" spans="1:4" ht="15.75" x14ac:dyDescent="0.25">
      <c r="A1298" s="427"/>
      <c r="B1298" s="428"/>
      <c r="C1298" s="428"/>
      <c r="D1298" s="429"/>
    </row>
    <row r="1299" spans="1:4" ht="15.75" x14ac:dyDescent="0.25">
      <c r="A1299" s="427"/>
      <c r="B1299" s="428"/>
      <c r="C1299" s="428"/>
      <c r="D1299" s="429"/>
    </row>
    <row r="1300" spans="1:4" ht="15.75" x14ac:dyDescent="0.25">
      <c r="A1300" s="427"/>
      <c r="B1300" s="428"/>
      <c r="C1300" s="428"/>
      <c r="D1300" s="429"/>
    </row>
    <row r="1301" spans="1:4" ht="15.75" x14ac:dyDescent="0.25">
      <c r="A1301" s="427"/>
      <c r="B1301" s="428"/>
      <c r="C1301" s="428"/>
      <c r="D1301" s="429"/>
    </row>
    <row r="1302" spans="1:4" ht="15.75" x14ac:dyDescent="0.25">
      <c r="A1302" s="427"/>
      <c r="B1302" s="428"/>
      <c r="C1302" s="428"/>
      <c r="D1302" s="429"/>
    </row>
    <row r="1303" spans="1:4" ht="15.75" x14ac:dyDescent="0.25">
      <c r="A1303" s="427"/>
      <c r="B1303" s="428"/>
      <c r="C1303" s="428"/>
      <c r="D1303" s="429"/>
    </row>
    <row r="1304" spans="1:4" ht="15.75" x14ac:dyDescent="0.25">
      <c r="A1304" s="427"/>
      <c r="B1304" s="428"/>
      <c r="C1304" s="428"/>
      <c r="D1304" s="429"/>
    </row>
    <row r="1305" spans="1:4" ht="15.75" x14ac:dyDescent="0.25">
      <c r="A1305" s="427"/>
      <c r="B1305" s="428"/>
      <c r="C1305" s="428"/>
      <c r="D1305" s="429"/>
    </row>
    <row r="1306" spans="1:4" ht="15.75" x14ac:dyDescent="0.25">
      <c r="A1306" s="427"/>
      <c r="B1306" s="428"/>
      <c r="C1306" s="428"/>
      <c r="D1306" s="429"/>
    </row>
    <row r="1307" spans="1:4" ht="15.75" x14ac:dyDescent="0.25">
      <c r="A1307" s="427"/>
      <c r="B1307" s="428"/>
      <c r="C1307" s="428"/>
      <c r="D1307" s="429"/>
    </row>
    <row r="1308" spans="1:4" ht="15.75" x14ac:dyDescent="0.25">
      <c r="A1308" s="427"/>
      <c r="B1308" s="428"/>
      <c r="C1308" s="428"/>
      <c r="D1308" s="429"/>
    </row>
    <row r="1309" spans="1:4" ht="15.75" x14ac:dyDescent="0.25">
      <c r="A1309" s="427"/>
      <c r="B1309" s="428"/>
      <c r="C1309" s="428"/>
      <c r="D1309" s="429"/>
    </row>
    <row r="1310" spans="1:4" ht="15.75" x14ac:dyDescent="0.25">
      <c r="A1310" s="427"/>
      <c r="B1310" s="428"/>
      <c r="C1310" s="428"/>
      <c r="D1310" s="429"/>
    </row>
    <row r="1311" spans="1:4" ht="15.75" x14ac:dyDescent="0.25">
      <c r="A1311" s="427"/>
      <c r="B1311" s="428"/>
      <c r="C1311" s="428"/>
      <c r="D1311" s="429"/>
    </row>
    <row r="1312" spans="1:4" ht="15.75" x14ac:dyDescent="0.25">
      <c r="A1312" s="427"/>
      <c r="B1312" s="428"/>
      <c r="C1312" s="428"/>
      <c r="D1312" s="429"/>
    </row>
    <row r="1313" spans="1:4" ht="15.75" x14ac:dyDescent="0.25">
      <c r="A1313" s="427"/>
      <c r="B1313" s="428"/>
      <c r="C1313" s="428"/>
      <c r="D1313" s="429"/>
    </row>
    <row r="1314" spans="1:4" ht="15.75" x14ac:dyDescent="0.25">
      <c r="A1314" s="427"/>
      <c r="B1314" s="428"/>
      <c r="C1314" s="428"/>
      <c r="D1314" s="429"/>
    </row>
    <row r="1315" spans="1:4" ht="15.75" x14ac:dyDescent="0.25">
      <c r="A1315" s="427"/>
      <c r="B1315" s="428"/>
      <c r="C1315" s="428"/>
      <c r="D1315" s="429"/>
    </row>
    <row r="1316" spans="1:4" ht="15.75" x14ac:dyDescent="0.25">
      <c r="A1316" s="427"/>
      <c r="B1316" s="428"/>
      <c r="C1316" s="428"/>
      <c r="D1316" s="429"/>
    </row>
    <row r="1317" spans="1:4" ht="15.75" x14ac:dyDescent="0.25">
      <c r="A1317" s="427"/>
      <c r="B1317" s="428"/>
      <c r="C1317" s="428"/>
      <c r="D1317" s="429"/>
    </row>
    <row r="1318" spans="1:4" ht="15.75" x14ac:dyDescent="0.25">
      <c r="A1318" s="427"/>
      <c r="B1318" s="428"/>
      <c r="C1318" s="428"/>
      <c r="D1318" s="429"/>
    </row>
    <row r="1319" spans="1:4" ht="15.75" x14ac:dyDescent="0.25">
      <c r="A1319" s="427"/>
      <c r="B1319" s="428"/>
      <c r="C1319" s="428"/>
      <c r="D1319" s="429"/>
    </row>
    <row r="1320" spans="1:4" ht="15.75" x14ac:dyDescent="0.25">
      <c r="A1320" s="427"/>
      <c r="B1320" s="428"/>
      <c r="C1320" s="428"/>
      <c r="D1320" s="429"/>
    </row>
    <row r="1321" spans="1:4" ht="15.75" x14ac:dyDescent="0.25">
      <c r="A1321" s="427"/>
      <c r="B1321" s="428"/>
      <c r="C1321" s="428"/>
      <c r="D1321" s="429"/>
    </row>
    <row r="1322" spans="1:4" ht="15.75" x14ac:dyDescent="0.25">
      <c r="A1322" s="427"/>
      <c r="B1322" s="428"/>
      <c r="C1322" s="428"/>
      <c r="D1322" s="429"/>
    </row>
    <row r="1323" spans="1:4" ht="15.75" x14ac:dyDescent="0.25">
      <c r="A1323" s="427"/>
      <c r="B1323" s="428"/>
      <c r="C1323" s="428"/>
      <c r="D1323" s="429"/>
    </row>
    <row r="1324" spans="1:4" ht="15.75" x14ac:dyDescent="0.25">
      <c r="A1324" s="427"/>
      <c r="B1324" s="428"/>
      <c r="C1324" s="428"/>
      <c r="D1324" s="429"/>
    </row>
    <row r="1325" spans="1:4" ht="15.75" x14ac:dyDescent="0.25">
      <c r="A1325" s="427"/>
      <c r="B1325" s="428"/>
      <c r="C1325" s="428"/>
      <c r="D1325" s="429"/>
    </row>
    <row r="1326" spans="1:4" ht="15.75" x14ac:dyDescent="0.25">
      <c r="A1326" s="427"/>
      <c r="B1326" s="428"/>
      <c r="C1326" s="428"/>
      <c r="D1326" s="429"/>
    </row>
    <row r="1327" spans="1:4" ht="15.75" x14ac:dyDescent="0.25">
      <c r="A1327" s="427"/>
      <c r="B1327" s="428"/>
      <c r="C1327" s="428"/>
      <c r="D1327" s="429"/>
    </row>
    <row r="1328" spans="1:4" ht="15.75" x14ac:dyDescent="0.25">
      <c r="A1328" s="427"/>
      <c r="B1328" s="428"/>
      <c r="C1328" s="428"/>
      <c r="D1328" s="429"/>
    </row>
    <row r="1329" spans="1:4" ht="15.75" x14ac:dyDescent="0.25">
      <c r="A1329" s="427"/>
      <c r="B1329" s="428"/>
      <c r="C1329" s="428"/>
      <c r="D1329" s="429"/>
    </row>
    <row r="1330" spans="1:4" ht="15.75" x14ac:dyDescent="0.25">
      <c r="A1330" s="427"/>
      <c r="B1330" s="428"/>
      <c r="C1330" s="428"/>
      <c r="D1330" s="429"/>
    </row>
    <row r="1331" spans="1:4" ht="15.75" x14ac:dyDescent="0.25">
      <c r="A1331" s="427"/>
      <c r="B1331" s="428"/>
      <c r="C1331" s="428"/>
      <c r="D1331" s="429"/>
    </row>
    <row r="1332" spans="1:4" ht="15.75" x14ac:dyDescent="0.25">
      <c r="A1332" s="427"/>
      <c r="B1332" s="428"/>
      <c r="C1332" s="428"/>
      <c r="D1332" s="429"/>
    </row>
    <row r="1333" spans="1:4" ht="15.75" x14ac:dyDescent="0.25">
      <c r="A1333" s="427"/>
      <c r="B1333" s="428"/>
      <c r="C1333" s="428"/>
      <c r="D1333" s="429"/>
    </row>
    <row r="1334" spans="1:4" ht="15.75" x14ac:dyDescent="0.25">
      <c r="A1334" s="427"/>
      <c r="B1334" s="428"/>
      <c r="C1334" s="428"/>
      <c r="D1334" s="429"/>
    </row>
    <row r="1335" spans="1:4" ht="15.75" x14ac:dyDescent="0.25">
      <c r="A1335" s="427"/>
      <c r="B1335" s="428"/>
      <c r="C1335" s="428"/>
      <c r="D1335" s="429"/>
    </row>
    <row r="1336" spans="1:4" ht="15.75" x14ac:dyDescent="0.25">
      <c r="A1336" s="427"/>
      <c r="B1336" s="428"/>
      <c r="C1336" s="428"/>
      <c r="D1336" s="429"/>
    </row>
    <row r="1337" spans="1:4" ht="15.75" x14ac:dyDescent="0.25">
      <c r="A1337" s="427"/>
      <c r="B1337" s="428"/>
      <c r="C1337" s="428"/>
      <c r="D1337" s="429"/>
    </row>
    <row r="1338" spans="1:4" ht="15.75" x14ac:dyDescent="0.25">
      <c r="A1338" s="427"/>
      <c r="B1338" s="428"/>
      <c r="C1338" s="428"/>
      <c r="D1338" s="429"/>
    </row>
    <row r="1339" spans="1:4" ht="15.75" x14ac:dyDescent="0.25">
      <c r="A1339" s="427"/>
      <c r="B1339" s="428"/>
      <c r="C1339" s="428"/>
      <c r="D1339" s="429"/>
    </row>
    <row r="1340" spans="1:4" ht="15.75" x14ac:dyDescent="0.25">
      <c r="A1340" s="427"/>
      <c r="B1340" s="428"/>
      <c r="C1340" s="428"/>
      <c r="D1340" s="429"/>
    </row>
    <row r="1341" spans="1:4" ht="15.75" x14ac:dyDescent="0.25">
      <c r="A1341" s="427"/>
      <c r="B1341" s="428"/>
      <c r="C1341" s="428"/>
      <c r="D1341" s="429"/>
    </row>
    <row r="1342" spans="1:4" ht="15.75" x14ac:dyDescent="0.25">
      <c r="A1342" s="427"/>
      <c r="B1342" s="428"/>
      <c r="C1342" s="428"/>
      <c r="D1342" s="429"/>
    </row>
    <row r="1343" spans="1:4" ht="15.75" x14ac:dyDescent="0.25">
      <c r="A1343" s="427"/>
      <c r="B1343" s="428"/>
      <c r="C1343" s="428"/>
      <c r="D1343" s="429"/>
    </row>
    <row r="1344" spans="1:4" ht="15.75" x14ac:dyDescent="0.25">
      <c r="A1344" s="427"/>
      <c r="B1344" s="428"/>
      <c r="C1344" s="428"/>
      <c r="D1344" s="429"/>
    </row>
    <row r="1345" spans="1:4" ht="15.75" x14ac:dyDescent="0.25">
      <c r="A1345" s="427"/>
      <c r="B1345" s="428"/>
      <c r="C1345" s="428"/>
      <c r="D1345" s="429"/>
    </row>
    <row r="1346" spans="1:4" ht="15.75" x14ac:dyDescent="0.25">
      <c r="A1346" s="427"/>
      <c r="B1346" s="428"/>
      <c r="C1346" s="428"/>
      <c r="D1346" s="429"/>
    </row>
    <row r="1347" spans="1:4" ht="15.75" x14ac:dyDescent="0.25">
      <c r="A1347" s="427"/>
      <c r="B1347" s="428"/>
      <c r="C1347" s="428"/>
      <c r="D1347" s="429"/>
    </row>
    <row r="1348" spans="1:4" ht="15.75" x14ac:dyDescent="0.25">
      <c r="A1348" s="427"/>
      <c r="B1348" s="428"/>
      <c r="C1348" s="428"/>
      <c r="D1348" s="429"/>
    </row>
    <row r="1349" spans="1:4" ht="15.75" x14ac:dyDescent="0.25">
      <c r="A1349" s="427"/>
      <c r="B1349" s="428"/>
      <c r="C1349" s="428"/>
      <c r="D1349" s="429"/>
    </row>
    <row r="1350" spans="1:4" ht="15.75" x14ac:dyDescent="0.25">
      <c r="A1350" s="427"/>
      <c r="B1350" s="428"/>
      <c r="C1350" s="428"/>
      <c r="D1350" s="429"/>
    </row>
    <row r="1351" spans="1:4" ht="15.75" x14ac:dyDescent="0.25">
      <c r="A1351" s="427"/>
      <c r="B1351" s="428"/>
      <c r="C1351" s="428"/>
      <c r="D1351" s="429"/>
    </row>
    <row r="1352" spans="1:4" ht="15.75" x14ac:dyDescent="0.25">
      <c r="A1352" s="427"/>
      <c r="B1352" s="428"/>
      <c r="C1352" s="428"/>
      <c r="D1352" s="429"/>
    </row>
    <row r="1353" spans="1:4" ht="15.75" x14ac:dyDescent="0.25">
      <c r="A1353" s="427"/>
      <c r="B1353" s="428"/>
      <c r="C1353" s="428"/>
      <c r="D1353" s="429"/>
    </row>
    <row r="1354" spans="1:4" ht="15.75" x14ac:dyDescent="0.25">
      <c r="A1354" s="427"/>
      <c r="B1354" s="428"/>
      <c r="C1354" s="428"/>
      <c r="D1354" s="429"/>
    </row>
    <row r="1355" spans="1:4" ht="15.75" x14ac:dyDescent="0.25">
      <c r="A1355" s="427"/>
      <c r="B1355" s="428"/>
      <c r="C1355" s="428"/>
      <c r="D1355" s="429"/>
    </row>
    <row r="1356" spans="1:4" ht="15.75" x14ac:dyDescent="0.25">
      <c r="A1356" s="427"/>
      <c r="B1356" s="428"/>
      <c r="C1356" s="428"/>
      <c r="D1356" s="429"/>
    </row>
    <row r="1357" spans="1:4" ht="15.75" x14ac:dyDescent="0.25">
      <c r="A1357" s="427"/>
      <c r="B1357" s="428"/>
      <c r="C1357" s="428"/>
      <c r="D1357" s="429"/>
    </row>
    <row r="1358" spans="1:4" ht="15.75" x14ac:dyDescent="0.25">
      <c r="A1358" s="427"/>
      <c r="B1358" s="428"/>
      <c r="C1358" s="428"/>
      <c r="D1358" s="429"/>
    </row>
    <row r="1359" spans="1:4" ht="15.75" x14ac:dyDescent="0.25">
      <c r="A1359" s="427"/>
      <c r="B1359" s="428"/>
      <c r="C1359" s="428"/>
      <c r="D1359" s="429"/>
    </row>
    <row r="1360" spans="1:4" ht="15.75" x14ac:dyDescent="0.25">
      <c r="A1360" s="427"/>
      <c r="B1360" s="428"/>
      <c r="C1360" s="428"/>
      <c r="D1360" s="429"/>
    </row>
    <row r="1361" spans="1:4" ht="15.75" x14ac:dyDescent="0.25">
      <c r="A1361" s="427"/>
      <c r="B1361" s="428"/>
      <c r="C1361" s="428"/>
      <c r="D1361" s="429"/>
    </row>
    <row r="1362" spans="1:4" ht="15.75" x14ac:dyDescent="0.25">
      <c r="A1362" s="427"/>
      <c r="B1362" s="428"/>
      <c r="C1362" s="428"/>
      <c r="D1362" s="429"/>
    </row>
    <row r="1363" spans="1:4" ht="15.75" x14ac:dyDescent="0.25">
      <c r="A1363" s="427"/>
      <c r="B1363" s="428"/>
      <c r="C1363" s="428"/>
      <c r="D1363" s="429"/>
    </row>
    <row r="1364" spans="1:4" ht="15.75" x14ac:dyDescent="0.25">
      <c r="A1364" s="427"/>
      <c r="B1364" s="428"/>
      <c r="C1364" s="428"/>
      <c r="D1364" s="429"/>
    </row>
    <row r="1365" spans="1:4" ht="15.75" x14ac:dyDescent="0.25">
      <c r="A1365" s="427"/>
      <c r="B1365" s="428"/>
      <c r="C1365" s="428"/>
      <c r="D1365" s="429"/>
    </row>
    <row r="1366" spans="1:4" ht="15.75" x14ac:dyDescent="0.25">
      <c r="A1366" s="427"/>
      <c r="B1366" s="428"/>
      <c r="C1366" s="428"/>
      <c r="D1366" s="429"/>
    </row>
    <row r="1367" spans="1:4" ht="15.75" x14ac:dyDescent="0.25">
      <c r="A1367" s="427"/>
      <c r="B1367" s="428"/>
      <c r="C1367" s="428"/>
      <c r="D1367" s="429"/>
    </row>
    <row r="1368" spans="1:4" ht="15.75" x14ac:dyDescent="0.25">
      <c r="A1368" s="427"/>
      <c r="B1368" s="428"/>
      <c r="C1368" s="428"/>
      <c r="D1368" s="429"/>
    </row>
    <row r="1369" spans="1:4" ht="15.75" x14ac:dyDescent="0.25">
      <c r="A1369" s="427"/>
      <c r="B1369" s="428"/>
      <c r="C1369" s="428"/>
      <c r="D1369" s="429"/>
    </row>
    <row r="1370" spans="1:4" ht="15.75" x14ac:dyDescent="0.25">
      <c r="A1370" s="427"/>
      <c r="B1370" s="428"/>
      <c r="C1370" s="428"/>
      <c r="D1370" s="429"/>
    </row>
    <row r="1371" spans="1:4" ht="15.75" x14ac:dyDescent="0.25">
      <c r="A1371" s="427"/>
      <c r="B1371" s="428"/>
      <c r="C1371" s="428"/>
      <c r="D1371" s="429"/>
    </row>
    <row r="1372" spans="1:4" ht="15.75" x14ac:dyDescent="0.25">
      <c r="A1372" s="427"/>
      <c r="B1372" s="428"/>
      <c r="C1372" s="428"/>
      <c r="D1372" s="429"/>
    </row>
    <row r="1373" spans="1:4" ht="15.75" x14ac:dyDescent="0.25">
      <c r="A1373" s="427"/>
      <c r="B1373" s="428"/>
      <c r="C1373" s="428"/>
      <c r="D1373" s="429"/>
    </row>
    <row r="1374" spans="1:4" ht="15.75" x14ac:dyDescent="0.25">
      <c r="A1374" s="427"/>
      <c r="B1374" s="428"/>
      <c r="C1374" s="428"/>
      <c r="D1374" s="429"/>
    </row>
    <row r="1375" spans="1:4" ht="15.75" x14ac:dyDescent="0.25">
      <c r="A1375" s="427"/>
      <c r="B1375" s="428"/>
      <c r="C1375" s="428"/>
      <c r="D1375" s="429"/>
    </row>
    <row r="1376" spans="1:4" ht="15.75" x14ac:dyDescent="0.25">
      <c r="A1376" s="427"/>
      <c r="B1376" s="428"/>
      <c r="C1376" s="428"/>
      <c r="D1376" s="429"/>
    </row>
    <row r="1377" spans="1:4" ht="15.75" x14ac:dyDescent="0.25">
      <c r="A1377" s="427"/>
      <c r="B1377" s="428"/>
      <c r="C1377" s="428"/>
      <c r="D1377" s="429"/>
    </row>
    <row r="1378" spans="1:4" ht="15.75" x14ac:dyDescent="0.25">
      <c r="A1378" s="427"/>
      <c r="B1378" s="428"/>
      <c r="C1378" s="428"/>
      <c r="D1378" s="429"/>
    </row>
    <row r="1379" spans="1:4" ht="15.75" x14ac:dyDescent="0.25">
      <c r="A1379" s="427"/>
      <c r="B1379" s="428"/>
      <c r="C1379" s="428"/>
      <c r="D1379" s="429"/>
    </row>
    <row r="1380" spans="1:4" ht="15.75" x14ac:dyDescent="0.25">
      <c r="A1380" s="427"/>
      <c r="B1380" s="428"/>
      <c r="C1380" s="428"/>
      <c r="D1380" s="429"/>
    </row>
    <row r="1381" spans="1:4" ht="15.75" x14ac:dyDescent="0.25">
      <c r="A1381" s="427"/>
      <c r="B1381" s="428"/>
      <c r="C1381" s="428"/>
      <c r="D1381" s="429"/>
    </row>
    <row r="1382" spans="1:4" ht="15.75" x14ac:dyDescent="0.25">
      <c r="A1382" s="427"/>
      <c r="B1382" s="428"/>
      <c r="C1382" s="428"/>
      <c r="D1382" s="429"/>
    </row>
    <row r="1383" spans="1:4" ht="15.75" x14ac:dyDescent="0.25">
      <c r="A1383" s="427"/>
      <c r="B1383" s="428"/>
      <c r="C1383" s="428"/>
      <c r="D1383" s="429"/>
    </row>
    <row r="1384" spans="1:4" ht="15.75" x14ac:dyDescent="0.25">
      <c r="A1384" s="427"/>
      <c r="B1384" s="428"/>
      <c r="C1384" s="428"/>
      <c r="D1384" s="429"/>
    </row>
    <row r="1385" spans="1:4" ht="15.75" x14ac:dyDescent="0.25">
      <c r="A1385" s="427"/>
      <c r="B1385" s="428"/>
      <c r="C1385" s="428"/>
      <c r="D1385" s="429"/>
    </row>
    <row r="1386" spans="1:4" ht="15.75" x14ac:dyDescent="0.25">
      <c r="A1386" s="427"/>
      <c r="B1386" s="428"/>
      <c r="C1386" s="428"/>
      <c r="D1386" s="429"/>
    </row>
    <row r="1387" spans="1:4" ht="15.75" x14ac:dyDescent="0.25">
      <c r="A1387" s="427"/>
      <c r="B1387" s="428"/>
      <c r="C1387" s="428"/>
      <c r="D1387" s="429"/>
    </row>
    <row r="1388" spans="1:4" ht="15.75" x14ac:dyDescent="0.25">
      <c r="A1388" s="427"/>
      <c r="B1388" s="428"/>
      <c r="C1388" s="428"/>
      <c r="D1388" s="429"/>
    </row>
    <row r="1389" spans="1:4" ht="15.75" x14ac:dyDescent="0.25">
      <c r="A1389" s="427"/>
      <c r="B1389" s="428"/>
      <c r="C1389" s="428"/>
      <c r="D1389" s="429"/>
    </row>
    <row r="1390" spans="1:4" ht="15.75" x14ac:dyDescent="0.25">
      <c r="A1390" s="427"/>
      <c r="B1390" s="428"/>
      <c r="C1390" s="428"/>
      <c r="D1390" s="429"/>
    </row>
    <row r="1391" spans="1:4" ht="15.75" x14ac:dyDescent="0.25">
      <c r="A1391" s="427"/>
      <c r="B1391" s="428"/>
      <c r="C1391" s="428"/>
      <c r="D1391" s="429"/>
    </row>
    <row r="1392" spans="1:4" ht="15.75" x14ac:dyDescent="0.25">
      <c r="A1392" s="427"/>
      <c r="B1392" s="428"/>
      <c r="C1392" s="428"/>
      <c r="D1392" s="429"/>
    </row>
    <row r="1393" spans="1:4" ht="15.75" x14ac:dyDescent="0.25">
      <c r="A1393" s="427"/>
      <c r="B1393" s="428"/>
      <c r="C1393" s="428"/>
      <c r="D1393" s="429"/>
    </row>
    <row r="1394" spans="1:4" ht="15.75" x14ac:dyDescent="0.25">
      <c r="A1394" s="427"/>
      <c r="B1394" s="428"/>
      <c r="C1394" s="428"/>
      <c r="D1394" s="429"/>
    </row>
    <row r="1395" spans="1:4" ht="15.75" x14ac:dyDescent="0.25">
      <c r="A1395" s="427"/>
      <c r="B1395" s="428"/>
      <c r="C1395" s="428"/>
      <c r="D1395" s="429"/>
    </row>
    <row r="1396" spans="1:4" ht="15.75" x14ac:dyDescent="0.25">
      <c r="A1396" s="427"/>
      <c r="B1396" s="428"/>
      <c r="C1396" s="428"/>
      <c r="D1396" s="429"/>
    </row>
    <row r="1397" spans="1:4" ht="15.75" x14ac:dyDescent="0.25">
      <c r="A1397" s="427"/>
      <c r="B1397" s="428"/>
      <c r="C1397" s="428"/>
      <c r="D1397" s="429"/>
    </row>
    <row r="1398" spans="1:4" ht="15.75" x14ac:dyDescent="0.25">
      <c r="A1398" s="427"/>
      <c r="B1398" s="428"/>
      <c r="C1398" s="428"/>
      <c r="D1398" s="429"/>
    </row>
    <row r="1399" spans="1:4" ht="15.75" x14ac:dyDescent="0.25">
      <c r="A1399" s="427"/>
      <c r="B1399" s="428"/>
      <c r="C1399" s="428"/>
      <c r="D1399" s="429"/>
    </row>
    <row r="1400" spans="1:4" ht="15.75" x14ac:dyDescent="0.25">
      <c r="A1400" s="427"/>
      <c r="B1400" s="428"/>
      <c r="C1400" s="428"/>
      <c r="D1400" s="429"/>
    </row>
    <row r="1401" spans="1:4" ht="15.75" x14ac:dyDescent="0.25">
      <c r="A1401" s="427"/>
      <c r="B1401" s="428"/>
      <c r="C1401" s="428"/>
      <c r="D1401" s="429"/>
    </row>
    <row r="1402" spans="1:4" ht="15.75" x14ac:dyDescent="0.25">
      <c r="A1402" s="427"/>
      <c r="B1402" s="428"/>
      <c r="C1402" s="428"/>
      <c r="D1402" s="429"/>
    </row>
    <row r="1403" spans="1:4" ht="15.75" x14ac:dyDescent="0.25">
      <c r="A1403" s="427"/>
      <c r="B1403" s="428"/>
      <c r="C1403" s="428"/>
      <c r="D1403" s="429"/>
    </row>
    <row r="1404" spans="1:4" ht="15.75" x14ac:dyDescent="0.25">
      <c r="A1404" s="427"/>
      <c r="B1404" s="428"/>
      <c r="C1404" s="428"/>
      <c r="D1404" s="429"/>
    </row>
    <row r="1405" spans="1:4" ht="15.75" x14ac:dyDescent="0.25">
      <c r="A1405" s="427"/>
      <c r="B1405" s="428"/>
      <c r="C1405" s="428"/>
      <c r="D1405" s="429"/>
    </row>
    <row r="1406" spans="1:4" ht="15.75" x14ac:dyDescent="0.25">
      <c r="A1406" s="427"/>
      <c r="B1406" s="428"/>
      <c r="C1406" s="428"/>
      <c r="D1406" s="429"/>
    </row>
    <row r="1407" spans="1:4" ht="15.75" x14ac:dyDescent="0.25">
      <c r="A1407" s="427"/>
      <c r="B1407" s="428"/>
      <c r="C1407" s="428"/>
      <c r="D1407" s="429"/>
    </row>
    <row r="1408" spans="1:4" ht="15.75" x14ac:dyDescent="0.25">
      <c r="A1408" s="427"/>
      <c r="B1408" s="428"/>
      <c r="C1408" s="428"/>
      <c r="D1408" s="429"/>
    </row>
    <row r="1409" spans="1:4" ht="15.75" x14ac:dyDescent="0.25">
      <c r="A1409" s="427"/>
      <c r="B1409" s="428"/>
      <c r="C1409" s="428"/>
      <c r="D1409" s="429"/>
    </row>
    <row r="1410" spans="1:4" ht="15.75" x14ac:dyDescent="0.25">
      <c r="A1410" s="427"/>
      <c r="B1410" s="428"/>
      <c r="C1410" s="428"/>
      <c r="D1410" s="429"/>
    </row>
    <row r="1411" spans="1:4" ht="15.75" x14ac:dyDescent="0.25">
      <c r="A1411" s="427"/>
      <c r="B1411" s="428"/>
      <c r="C1411" s="428"/>
      <c r="D1411" s="429"/>
    </row>
    <row r="1412" spans="1:4" ht="15.75" x14ac:dyDescent="0.25">
      <c r="A1412" s="427"/>
      <c r="B1412" s="428"/>
      <c r="C1412" s="428"/>
      <c r="D1412" s="429"/>
    </row>
    <row r="1413" spans="1:4" ht="15.75" x14ac:dyDescent="0.25">
      <c r="A1413" s="427"/>
      <c r="B1413" s="428"/>
      <c r="C1413" s="428"/>
      <c r="D1413" s="429"/>
    </row>
    <row r="1414" spans="1:4" ht="15.75" x14ac:dyDescent="0.25">
      <c r="A1414" s="427"/>
      <c r="B1414" s="428"/>
      <c r="C1414" s="428"/>
      <c r="D1414" s="429"/>
    </row>
    <row r="1415" spans="1:4" ht="15.75" x14ac:dyDescent="0.25">
      <c r="A1415" s="427"/>
      <c r="B1415" s="428"/>
      <c r="C1415" s="428"/>
      <c r="D1415" s="429"/>
    </row>
    <row r="1416" spans="1:4" ht="15.75" x14ac:dyDescent="0.25">
      <c r="A1416" s="427"/>
      <c r="B1416" s="428"/>
      <c r="C1416" s="428"/>
      <c r="D1416" s="429"/>
    </row>
    <row r="1417" spans="1:4" ht="15.75" x14ac:dyDescent="0.25">
      <c r="A1417" s="427"/>
      <c r="B1417" s="428"/>
      <c r="C1417" s="428"/>
      <c r="D1417" s="429"/>
    </row>
    <row r="1418" spans="1:4" ht="15.75" x14ac:dyDescent="0.25">
      <c r="A1418" s="427"/>
      <c r="B1418" s="428"/>
      <c r="C1418" s="428"/>
      <c r="D1418" s="429"/>
    </row>
    <row r="1419" spans="1:4" ht="15.75" x14ac:dyDescent="0.25">
      <c r="A1419" s="427"/>
      <c r="B1419" s="428"/>
      <c r="C1419" s="428"/>
      <c r="D1419" s="429"/>
    </row>
    <row r="1420" spans="1:4" ht="15.75" x14ac:dyDescent="0.25">
      <c r="A1420" s="427"/>
      <c r="B1420" s="428"/>
      <c r="C1420" s="428"/>
      <c r="D1420" s="429"/>
    </row>
    <row r="1421" spans="1:4" ht="15.75" x14ac:dyDescent="0.25">
      <c r="A1421" s="427"/>
      <c r="B1421" s="428"/>
      <c r="C1421" s="428"/>
      <c r="D1421" s="429"/>
    </row>
    <row r="1422" spans="1:4" ht="15.75" x14ac:dyDescent="0.25">
      <c r="A1422" s="427"/>
      <c r="B1422" s="428"/>
      <c r="C1422" s="428"/>
      <c r="D1422" s="429"/>
    </row>
    <row r="1423" spans="1:4" ht="15.75" x14ac:dyDescent="0.25">
      <c r="A1423" s="427"/>
      <c r="B1423" s="428"/>
      <c r="C1423" s="428"/>
      <c r="D1423" s="429"/>
    </row>
    <row r="1424" spans="1:4" ht="15.75" x14ac:dyDescent="0.25">
      <c r="A1424" s="427"/>
      <c r="B1424" s="428"/>
      <c r="C1424" s="428"/>
      <c r="D1424" s="429"/>
    </row>
    <row r="1425" spans="1:4" ht="15.75" x14ac:dyDescent="0.25">
      <c r="A1425" s="427"/>
      <c r="B1425" s="428"/>
      <c r="C1425" s="428"/>
      <c r="D1425" s="429"/>
    </row>
    <row r="1426" spans="1:4" ht="15.75" x14ac:dyDescent="0.25">
      <c r="A1426" s="427"/>
      <c r="B1426" s="428"/>
      <c r="C1426" s="428"/>
      <c r="D1426" s="429"/>
    </row>
    <row r="1427" spans="1:4" ht="15.75" x14ac:dyDescent="0.25">
      <c r="A1427" s="427"/>
      <c r="B1427" s="428"/>
      <c r="C1427" s="428"/>
      <c r="D1427" s="429"/>
    </row>
    <row r="1428" spans="1:4" ht="15.75" x14ac:dyDescent="0.25">
      <c r="A1428" s="427"/>
      <c r="B1428" s="428"/>
      <c r="C1428" s="428"/>
      <c r="D1428" s="429"/>
    </row>
    <row r="1429" spans="1:4" ht="15.75" x14ac:dyDescent="0.25">
      <c r="A1429" s="427"/>
      <c r="B1429" s="428"/>
      <c r="C1429" s="428"/>
      <c r="D1429" s="429"/>
    </row>
    <row r="1430" spans="1:4" ht="15.75" x14ac:dyDescent="0.25">
      <c r="A1430" s="427"/>
      <c r="B1430" s="428"/>
      <c r="C1430" s="428"/>
      <c r="D1430" s="429"/>
    </row>
    <row r="1431" spans="1:4" ht="15.75" x14ac:dyDescent="0.25">
      <c r="A1431" s="427"/>
      <c r="B1431" s="428"/>
      <c r="C1431" s="428"/>
      <c r="D1431" s="429"/>
    </row>
    <row r="1432" spans="1:4" ht="15.75" x14ac:dyDescent="0.25">
      <c r="A1432" s="427"/>
      <c r="B1432" s="428"/>
      <c r="C1432" s="428"/>
      <c r="D1432" s="429"/>
    </row>
    <row r="1433" spans="1:4" ht="15.75" x14ac:dyDescent="0.25">
      <c r="A1433" s="427"/>
      <c r="B1433" s="428"/>
      <c r="C1433" s="428"/>
      <c r="D1433" s="429"/>
    </row>
    <row r="1434" spans="1:4" ht="15.75" x14ac:dyDescent="0.25">
      <c r="A1434" s="427"/>
      <c r="B1434" s="428"/>
      <c r="C1434" s="428"/>
      <c r="D1434" s="429"/>
    </row>
    <row r="1435" spans="1:4" ht="15.75" x14ac:dyDescent="0.25">
      <c r="A1435" s="427"/>
      <c r="B1435" s="428"/>
      <c r="C1435" s="428"/>
      <c r="D1435" s="429"/>
    </row>
    <row r="1436" spans="1:4" ht="15.75" x14ac:dyDescent="0.25">
      <c r="A1436" s="427"/>
      <c r="B1436" s="428"/>
      <c r="C1436" s="428"/>
      <c r="D1436" s="429"/>
    </row>
    <row r="1437" spans="1:4" ht="15.75" x14ac:dyDescent="0.25">
      <c r="A1437" s="427"/>
      <c r="B1437" s="428"/>
      <c r="C1437" s="428"/>
      <c r="D1437" s="429"/>
    </row>
    <row r="1438" spans="1:4" ht="15.75" x14ac:dyDescent="0.25">
      <c r="A1438" s="427"/>
      <c r="B1438" s="428"/>
      <c r="C1438" s="428"/>
      <c r="D1438" s="429"/>
    </row>
    <row r="1439" spans="1:4" ht="15.75" x14ac:dyDescent="0.25">
      <c r="A1439" s="427"/>
      <c r="B1439" s="428"/>
      <c r="C1439" s="428"/>
      <c r="D1439" s="429"/>
    </row>
    <row r="1440" spans="1:4" ht="15.75" x14ac:dyDescent="0.25">
      <c r="A1440" s="427"/>
      <c r="B1440" s="428"/>
      <c r="C1440" s="428"/>
      <c r="D1440" s="429"/>
    </row>
    <row r="1441" spans="1:4" ht="15.75" x14ac:dyDescent="0.25">
      <c r="A1441" s="427"/>
      <c r="B1441" s="428"/>
      <c r="C1441" s="428"/>
      <c r="D1441" s="429"/>
    </row>
    <row r="1442" spans="1:4" ht="15.75" x14ac:dyDescent="0.25">
      <c r="A1442" s="427"/>
      <c r="B1442" s="428"/>
      <c r="C1442" s="428"/>
      <c r="D1442" s="429"/>
    </row>
    <row r="1443" spans="1:4" ht="15.75" x14ac:dyDescent="0.25">
      <c r="A1443" s="427"/>
      <c r="B1443" s="428"/>
      <c r="C1443" s="428"/>
      <c r="D1443" s="429"/>
    </row>
    <row r="1444" spans="1:4" ht="15.75" x14ac:dyDescent="0.25">
      <c r="A1444" s="427"/>
      <c r="B1444" s="428"/>
      <c r="C1444" s="428"/>
      <c r="D1444" s="429"/>
    </row>
    <row r="1445" spans="1:4" ht="15.75" x14ac:dyDescent="0.25">
      <c r="A1445" s="427"/>
      <c r="B1445" s="428"/>
      <c r="C1445" s="428"/>
      <c r="D1445" s="429"/>
    </row>
    <row r="1446" spans="1:4" ht="15.75" x14ac:dyDescent="0.25">
      <c r="A1446" s="427"/>
      <c r="B1446" s="428"/>
      <c r="C1446" s="428"/>
      <c r="D1446" s="429"/>
    </row>
    <row r="1447" spans="1:4" ht="15.75" x14ac:dyDescent="0.25">
      <c r="A1447" s="427"/>
      <c r="B1447" s="428"/>
      <c r="C1447" s="428"/>
      <c r="D1447" s="429"/>
    </row>
    <row r="1448" spans="1:4" ht="15.75" x14ac:dyDescent="0.25">
      <c r="A1448" s="427"/>
      <c r="B1448" s="428"/>
      <c r="C1448" s="428"/>
      <c r="D1448" s="429"/>
    </row>
    <row r="1449" spans="1:4" ht="15.75" x14ac:dyDescent="0.25">
      <c r="A1449" s="427"/>
      <c r="B1449" s="428"/>
      <c r="C1449" s="428"/>
      <c r="D1449" s="429"/>
    </row>
    <row r="1450" spans="1:4" ht="15.75" x14ac:dyDescent="0.25">
      <c r="A1450" s="427"/>
      <c r="B1450" s="428"/>
      <c r="C1450" s="428"/>
      <c r="D1450" s="429"/>
    </row>
    <row r="1451" spans="1:4" ht="15.75" x14ac:dyDescent="0.25">
      <c r="A1451" s="427"/>
      <c r="B1451" s="428"/>
      <c r="C1451" s="428"/>
      <c r="D1451" s="429"/>
    </row>
    <row r="1452" spans="1:4" ht="15.75" x14ac:dyDescent="0.25">
      <c r="A1452" s="427"/>
      <c r="B1452" s="428"/>
      <c r="C1452" s="428"/>
      <c r="D1452" s="429"/>
    </row>
    <row r="1453" spans="1:4" ht="15.75" x14ac:dyDescent="0.25">
      <c r="A1453" s="427"/>
      <c r="B1453" s="428"/>
      <c r="C1453" s="428"/>
      <c r="D1453" s="429"/>
    </row>
    <row r="1454" spans="1:4" ht="15.75" x14ac:dyDescent="0.25">
      <c r="A1454" s="427"/>
      <c r="B1454" s="428"/>
      <c r="C1454" s="428"/>
      <c r="D1454" s="429"/>
    </row>
    <row r="1455" spans="1:4" ht="15.75" x14ac:dyDescent="0.25">
      <c r="A1455" s="427"/>
      <c r="B1455" s="428"/>
      <c r="C1455" s="428"/>
      <c r="D1455" s="429"/>
    </row>
    <row r="1456" spans="1:4" ht="15.75" x14ac:dyDescent="0.25">
      <c r="A1456" s="427"/>
      <c r="B1456" s="428"/>
      <c r="C1456" s="428"/>
      <c r="D1456" s="429"/>
    </row>
    <row r="1457" spans="1:4" ht="15.75" x14ac:dyDescent="0.25">
      <c r="A1457" s="427"/>
      <c r="B1457" s="428"/>
      <c r="C1457" s="428"/>
      <c r="D1457" s="429"/>
    </row>
    <row r="1458" spans="1:4" ht="15.75" x14ac:dyDescent="0.25">
      <c r="A1458" s="427"/>
      <c r="B1458" s="428"/>
      <c r="C1458" s="428"/>
      <c r="D1458" s="429"/>
    </row>
    <row r="1459" spans="1:4" ht="15.75" x14ac:dyDescent="0.25">
      <c r="A1459" s="427"/>
      <c r="B1459" s="428"/>
      <c r="C1459" s="428"/>
      <c r="D1459" s="429"/>
    </row>
    <row r="1460" spans="1:4" ht="15.75" x14ac:dyDescent="0.25">
      <c r="A1460" s="427"/>
      <c r="B1460" s="428"/>
      <c r="C1460" s="428"/>
      <c r="D1460" s="429"/>
    </row>
    <row r="1461" spans="1:4" ht="15.75" x14ac:dyDescent="0.25">
      <c r="A1461" s="427"/>
      <c r="B1461" s="428"/>
      <c r="C1461" s="428"/>
      <c r="D1461" s="429"/>
    </row>
    <row r="1462" spans="1:4" ht="15.75" x14ac:dyDescent="0.25">
      <c r="A1462" s="427"/>
      <c r="B1462" s="428"/>
      <c r="C1462" s="428"/>
      <c r="D1462" s="429"/>
    </row>
    <row r="1463" spans="1:4" ht="15.75" x14ac:dyDescent="0.25">
      <c r="A1463" s="427"/>
      <c r="B1463" s="428"/>
      <c r="C1463" s="428"/>
      <c r="D1463" s="429"/>
    </row>
    <row r="1464" spans="1:4" ht="15.75" x14ac:dyDescent="0.25">
      <c r="A1464" s="427"/>
      <c r="B1464" s="428"/>
      <c r="C1464" s="428"/>
      <c r="D1464" s="429"/>
    </row>
    <row r="1465" spans="1:4" ht="15.75" x14ac:dyDescent="0.25">
      <c r="A1465" s="427"/>
      <c r="B1465" s="428"/>
      <c r="C1465" s="428"/>
      <c r="D1465" s="429"/>
    </row>
    <row r="1466" spans="1:4" ht="15.75" x14ac:dyDescent="0.25">
      <c r="A1466" s="427"/>
      <c r="B1466" s="428"/>
      <c r="C1466" s="428"/>
      <c r="D1466" s="429"/>
    </row>
    <row r="1467" spans="1:4" ht="15.75" x14ac:dyDescent="0.25">
      <c r="A1467" s="427"/>
      <c r="B1467" s="428"/>
      <c r="C1467" s="428"/>
      <c r="D1467" s="429"/>
    </row>
    <row r="1468" spans="1:4" ht="15.75" x14ac:dyDescent="0.25">
      <c r="A1468" s="427"/>
      <c r="B1468" s="428"/>
      <c r="C1468" s="428"/>
      <c r="D1468" s="429"/>
    </row>
    <row r="1469" spans="1:4" ht="15.75" x14ac:dyDescent="0.25">
      <c r="A1469" s="427"/>
      <c r="B1469" s="428"/>
      <c r="C1469" s="428"/>
      <c r="D1469" s="429"/>
    </row>
    <row r="1470" spans="1:4" ht="15.75" x14ac:dyDescent="0.25">
      <c r="A1470" s="427"/>
      <c r="B1470" s="428"/>
      <c r="C1470" s="428"/>
      <c r="D1470" s="429"/>
    </row>
    <row r="1471" spans="1:4" ht="15.75" x14ac:dyDescent="0.25">
      <c r="A1471" s="427"/>
      <c r="B1471" s="428"/>
      <c r="C1471" s="428"/>
      <c r="D1471" s="429"/>
    </row>
    <row r="1472" spans="1:4" ht="15.75" x14ac:dyDescent="0.25">
      <c r="A1472" s="427"/>
      <c r="B1472" s="428"/>
      <c r="C1472" s="428"/>
      <c r="D1472" s="429"/>
    </row>
    <row r="1473" spans="1:4" ht="15.75" x14ac:dyDescent="0.25">
      <c r="A1473" s="427"/>
      <c r="B1473" s="428"/>
      <c r="C1473" s="428"/>
      <c r="D1473" s="429"/>
    </row>
    <row r="1474" spans="1:4" ht="15.75" x14ac:dyDescent="0.25">
      <c r="A1474" s="427"/>
      <c r="B1474" s="428"/>
      <c r="C1474" s="428"/>
      <c r="D1474" s="429"/>
    </row>
    <row r="1475" spans="1:4" ht="15.75" x14ac:dyDescent="0.25">
      <c r="A1475" s="427"/>
      <c r="B1475" s="428"/>
      <c r="C1475" s="428"/>
      <c r="D1475" s="429"/>
    </row>
    <row r="1476" spans="1:4" ht="15.75" x14ac:dyDescent="0.25">
      <c r="A1476" s="427"/>
      <c r="B1476" s="428"/>
      <c r="C1476" s="428"/>
      <c r="D1476" s="429"/>
    </row>
    <row r="1477" spans="1:4" ht="15.75" x14ac:dyDescent="0.25">
      <c r="A1477" s="427"/>
      <c r="B1477" s="428"/>
      <c r="C1477" s="428"/>
      <c r="D1477" s="429"/>
    </row>
    <row r="1478" spans="1:4" ht="15.75" x14ac:dyDescent="0.25">
      <c r="A1478" s="427"/>
      <c r="B1478" s="428"/>
      <c r="C1478" s="428"/>
      <c r="D1478" s="429"/>
    </row>
    <row r="1479" spans="1:4" ht="15.75" x14ac:dyDescent="0.25">
      <c r="A1479" s="427"/>
      <c r="B1479" s="428"/>
      <c r="C1479" s="428"/>
      <c r="D1479" s="429"/>
    </row>
    <row r="1480" spans="1:4" ht="15.75" x14ac:dyDescent="0.25">
      <c r="A1480" s="427"/>
      <c r="B1480" s="428"/>
      <c r="C1480" s="428"/>
      <c r="D1480" s="429"/>
    </row>
    <row r="1481" spans="1:4" ht="15.75" x14ac:dyDescent="0.25">
      <c r="A1481" s="427"/>
      <c r="B1481" s="428"/>
      <c r="C1481" s="428"/>
      <c r="D1481" s="429"/>
    </row>
    <row r="1482" spans="1:4" ht="15.75" x14ac:dyDescent="0.25">
      <c r="A1482" s="427"/>
      <c r="B1482" s="428"/>
      <c r="C1482" s="428"/>
      <c r="D1482" s="429"/>
    </row>
    <row r="1483" spans="1:4" ht="15.75" x14ac:dyDescent="0.25">
      <c r="A1483" s="427"/>
      <c r="B1483" s="428"/>
      <c r="C1483" s="428"/>
      <c r="D1483" s="429"/>
    </row>
    <row r="1484" spans="1:4" ht="15.75" x14ac:dyDescent="0.25">
      <c r="A1484" s="427"/>
      <c r="B1484" s="428"/>
      <c r="C1484" s="428"/>
      <c r="D1484" s="429"/>
    </row>
    <row r="1485" spans="1:4" ht="15.75" x14ac:dyDescent="0.25">
      <c r="A1485" s="427"/>
      <c r="B1485" s="428"/>
      <c r="C1485" s="428"/>
      <c r="D1485" s="429"/>
    </row>
    <row r="1486" spans="1:4" ht="15.75" x14ac:dyDescent="0.25">
      <c r="A1486" s="427"/>
      <c r="B1486" s="428"/>
      <c r="C1486" s="428"/>
      <c r="D1486" s="429"/>
    </row>
    <row r="1487" spans="1:4" ht="15.75" x14ac:dyDescent="0.25">
      <c r="A1487" s="427"/>
      <c r="B1487" s="428"/>
      <c r="C1487" s="428"/>
      <c r="D1487" s="429"/>
    </row>
    <row r="1488" spans="1:4" ht="15.75" x14ac:dyDescent="0.25">
      <c r="A1488" s="427"/>
      <c r="B1488" s="428"/>
      <c r="C1488" s="428"/>
      <c r="D1488" s="429"/>
    </row>
    <row r="1489" spans="1:4" ht="15.75" x14ac:dyDescent="0.25">
      <c r="A1489" s="427"/>
      <c r="B1489" s="428"/>
      <c r="C1489" s="428"/>
      <c r="D1489" s="429"/>
    </row>
    <row r="1490" spans="1:4" ht="15.75" x14ac:dyDescent="0.25">
      <c r="A1490" s="427"/>
      <c r="B1490" s="428"/>
      <c r="C1490" s="428"/>
      <c r="D1490" s="429"/>
    </row>
    <row r="1491" spans="1:4" ht="15.75" x14ac:dyDescent="0.25">
      <c r="A1491" s="427"/>
      <c r="B1491" s="428"/>
      <c r="C1491" s="428"/>
      <c r="D1491" s="429"/>
    </row>
    <row r="1492" spans="1:4" ht="15.75" x14ac:dyDescent="0.25">
      <c r="A1492" s="427"/>
      <c r="B1492" s="428"/>
      <c r="C1492" s="428"/>
      <c r="D1492" s="429"/>
    </row>
    <row r="1493" spans="1:4" ht="15.75" x14ac:dyDescent="0.25">
      <c r="A1493" s="427"/>
      <c r="B1493" s="428"/>
      <c r="C1493" s="428"/>
      <c r="D1493" s="429"/>
    </row>
    <row r="1494" spans="1:4" ht="15.75" x14ac:dyDescent="0.25">
      <c r="A1494" s="427"/>
      <c r="B1494" s="428"/>
      <c r="C1494" s="428"/>
      <c r="D1494" s="429"/>
    </row>
    <row r="1495" spans="1:4" ht="15.75" x14ac:dyDescent="0.25">
      <c r="A1495" s="427"/>
      <c r="B1495" s="428"/>
      <c r="C1495" s="428"/>
      <c r="D1495" s="429"/>
    </row>
    <row r="1496" spans="1:4" ht="15.75" x14ac:dyDescent="0.25">
      <c r="A1496" s="427"/>
      <c r="B1496" s="428"/>
      <c r="C1496" s="428"/>
      <c r="D1496" s="429"/>
    </row>
    <row r="1497" spans="1:4" ht="15.75" x14ac:dyDescent="0.25">
      <c r="A1497" s="427"/>
      <c r="B1497" s="428"/>
      <c r="C1497" s="428"/>
      <c r="D1497" s="429"/>
    </row>
    <row r="1498" spans="1:4" ht="15.75" x14ac:dyDescent="0.25">
      <c r="A1498" s="427"/>
      <c r="B1498" s="428"/>
      <c r="C1498" s="428"/>
      <c r="D1498" s="429"/>
    </row>
    <row r="1499" spans="1:4" ht="15.75" x14ac:dyDescent="0.25">
      <c r="A1499" s="427"/>
      <c r="B1499" s="428"/>
      <c r="C1499" s="428"/>
      <c r="D1499" s="429"/>
    </row>
    <row r="1500" spans="1:4" ht="15.75" x14ac:dyDescent="0.25">
      <c r="A1500" s="427"/>
      <c r="B1500" s="428"/>
      <c r="C1500" s="428"/>
      <c r="D1500" s="429"/>
    </row>
    <row r="1501" spans="1:4" ht="15.75" x14ac:dyDescent="0.25">
      <c r="A1501" s="427"/>
      <c r="B1501" s="428"/>
      <c r="C1501" s="428"/>
      <c r="D1501" s="429"/>
    </row>
    <row r="1502" spans="1:4" ht="15.75" x14ac:dyDescent="0.25">
      <c r="A1502" s="427"/>
      <c r="B1502" s="428"/>
      <c r="C1502" s="428"/>
      <c r="D1502" s="429"/>
    </row>
    <row r="1503" spans="1:4" ht="15.75" x14ac:dyDescent="0.25">
      <c r="A1503" s="427"/>
      <c r="B1503" s="428"/>
      <c r="C1503" s="428"/>
      <c r="D1503" s="429"/>
    </row>
    <row r="1504" spans="1:4" ht="15.75" x14ac:dyDescent="0.25">
      <c r="A1504" s="427"/>
      <c r="B1504" s="428"/>
      <c r="C1504" s="428"/>
      <c r="D1504" s="429"/>
    </row>
    <row r="1505" spans="1:4" ht="15.75" x14ac:dyDescent="0.25">
      <c r="A1505" s="427"/>
      <c r="B1505" s="428"/>
      <c r="C1505" s="428"/>
      <c r="D1505" s="429"/>
    </row>
    <row r="1506" spans="1:4" ht="15.75" x14ac:dyDescent="0.25">
      <c r="A1506" s="427"/>
      <c r="B1506" s="428"/>
      <c r="C1506" s="428"/>
      <c r="D1506" s="429"/>
    </row>
    <row r="1507" spans="1:4" ht="15.75" x14ac:dyDescent="0.25">
      <c r="A1507" s="427"/>
      <c r="B1507" s="428"/>
      <c r="C1507" s="428"/>
      <c r="D1507" s="429"/>
    </row>
    <row r="1508" spans="1:4" ht="15.75" x14ac:dyDescent="0.25">
      <c r="A1508" s="427"/>
      <c r="B1508" s="428"/>
      <c r="C1508" s="428"/>
      <c r="D1508" s="429"/>
    </row>
    <row r="1509" spans="1:4" ht="15.75" x14ac:dyDescent="0.25">
      <c r="A1509" s="427"/>
      <c r="B1509" s="428"/>
      <c r="C1509" s="428"/>
      <c r="D1509" s="429"/>
    </row>
    <row r="1510" spans="1:4" ht="15.75" x14ac:dyDescent="0.25">
      <c r="A1510" s="427"/>
      <c r="B1510" s="428"/>
      <c r="C1510" s="428"/>
      <c r="D1510" s="429"/>
    </row>
    <row r="1511" spans="1:4" ht="15.75" x14ac:dyDescent="0.25">
      <c r="A1511" s="427"/>
      <c r="B1511" s="428"/>
      <c r="C1511" s="428"/>
      <c r="D1511" s="429"/>
    </row>
    <row r="1512" spans="1:4" ht="15.75" x14ac:dyDescent="0.25">
      <c r="A1512" s="427"/>
      <c r="B1512" s="428"/>
      <c r="C1512" s="428"/>
      <c r="D1512" s="429"/>
    </row>
    <row r="1513" spans="1:4" ht="15.75" x14ac:dyDescent="0.25">
      <c r="A1513" s="427"/>
      <c r="B1513" s="428"/>
      <c r="C1513" s="428"/>
      <c r="D1513" s="429"/>
    </row>
    <row r="1514" spans="1:4" ht="15.75" x14ac:dyDescent="0.25">
      <c r="A1514" s="427"/>
      <c r="B1514" s="428"/>
      <c r="C1514" s="428"/>
      <c r="D1514" s="429"/>
    </row>
    <row r="1515" spans="1:4" ht="15.75" x14ac:dyDescent="0.25">
      <c r="A1515" s="427"/>
      <c r="B1515" s="428"/>
      <c r="C1515" s="428"/>
      <c r="D1515" s="429"/>
    </row>
    <row r="1516" spans="1:4" ht="15.75" x14ac:dyDescent="0.25">
      <c r="A1516" s="427"/>
      <c r="B1516" s="428"/>
      <c r="C1516" s="428"/>
      <c r="D1516" s="429"/>
    </row>
    <row r="1517" spans="1:4" ht="15.75" x14ac:dyDescent="0.25">
      <c r="A1517" s="427"/>
      <c r="B1517" s="428"/>
      <c r="C1517" s="428"/>
      <c r="D1517" s="429"/>
    </row>
    <row r="1518" spans="1:4" ht="15.75" x14ac:dyDescent="0.25">
      <c r="A1518" s="427"/>
      <c r="B1518" s="428"/>
      <c r="C1518" s="428"/>
      <c r="D1518" s="429"/>
    </row>
    <row r="1519" spans="1:4" ht="15.75" x14ac:dyDescent="0.25">
      <c r="A1519" s="427"/>
      <c r="B1519" s="428"/>
      <c r="C1519" s="428"/>
      <c r="D1519" s="429"/>
    </row>
    <row r="1520" spans="1:4" ht="15.75" x14ac:dyDescent="0.25">
      <c r="A1520" s="427"/>
      <c r="B1520" s="428"/>
      <c r="C1520" s="428"/>
      <c r="D1520" s="429"/>
    </row>
    <row r="1521" spans="1:4" ht="15.75" x14ac:dyDescent="0.25">
      <c r="A1521" s="427"/>
      <c r="B1521" s="428"/>
      <c r="C1521" s="428"/>
      <c r="D1521" s="429"/>
    </row>
    <row r="1522" spans="1:4" ht="15.75" x14ac:dyDescent="0.25">
      <c r="A1522" s="427"/>
      <c r="B1522" s="428"/>
      <c r="C1522" s="428"/>
      <c r="D1522" s="429"/>
    </row>
    <row r="1523" spans="1:4" ht="15.75" x14ac:dyDescent="0.25">
      <c r="A1523" s="427"/>
      <c r="B1523" s="428"/>
      <c r="C1523" s="428"/>
      <c r="D1523" s="429"/>
    </row>
    <row r="1524" spans="1:4" ht="15.75" x14ac:dyDescent="0.25">
      <c r="A1524" s="427"/>
      <c r="B1524" s="428"/>
      <c r="C1524" s="428"/>
      <c r="D1524" s="429"/>
    </row>
    <row r="1525" spans="1:4" ht="15.75" x14ac:dyDescent="0.25">
      <c r="A1525" s="427"/>
      <c r="B1525" s="428"/>
      <c r="C1525" s="428"/>
      <c r="D1525" s="429"/>
    </row>
    <row r="1526" spans="1:4" ht="15.75" x14ac:dyDescent="0.25">
      <c r="A1526" s="427"/>
      <c r="B1526" s="428"/>
      <c r="C1526" s="428"/>
      <c r="D1526" s="429"/>
    </row>
    <row r="1527" spans="1:4" ht="15.75" x14ac:dyDescent="0.25">
      <c r="A1527" s="427"/>
      <c r="B1527" s="428"/>
      <c r="C1527" s="428"/>
      <c r="D1527" s="429"/>
    </row>
    <row r="1528" spans="1:4" ht="15.75" x14ac:dyDescent="0.25">
      <c r="A1528" s="427"/>
      <c r="B1528" s="428"/>
      <c r="C1528" s="428"/>
      <c r="D1528" s="429"/>
    </row>
    <row r="1529" spans="1:4" ht="15.75" x14ac:dyDescent="0.25">
      <c r="A1529" s="427"/>
      <c r="B1529" s="428"/>
      <c r="C1529" s="428"/>
      <c r="D1529" s="429"/>
    </row>
    <row r="1530" spans="1:4" ht="15.75" x14ac:dyDescent="0.25">
      <c r="A1530" s="427"/>
      <c r="B1530" s="428"/>
      <c r="C1530" s="428"/>
      <c r="D1530" s="429"/>
    </row>
    <row r="1531" spans="1:4" ht="15.75" x14ac:dyDescent="0.25">
      <c r="A1531" s="427"/>
      <c r="B1531" s="428"/>
      <c r="C1531" s="428"/>
      <c r="D1531" s="429"/>
    </row>
    <row r="1532" spans="1:4" ht="15.75" x14ac:dyDescent="0.25">
      <c r="A1532" s="427"/>
      <c r="B1532" s="428"/>
      <c r="C1532" s="428"/>
      <c r="D1532" s="429"/>
    </row>
    <row r="1533" spans="1:4" ht="15.75" x14ac:dyDescent="0.25">
      <c r="A1533" s="427"/>
      <c r="B1533" s="428"/>
      <c r="C1533" s="428"/>
      <c r="D1533" s="429"/>
    </row>
    <row r="1534" spans="1:4" ht="15.75" x14ac:dyDescent="0.25">
      <c r="A1534" s="427"/>
      <c r="B1534" s="428"/>
      <c r="C1534" s="428"/>
      <c r="D1534" s="429"/>
    </row>
    <row r="1535" spans="1:4" ht="15.75" x14ac:dyDescent="0.25">
      <c r="A1535" s="427"/>
      <c r="B1535" s="428"/>
      <c r="C1535" s="428"/>
      <c r="D1535" s="429"/>
    </row>
    <row r="1536" spans="1:4" ht="15.75" x14ac:dyDescent="0.25">
      <c r="A1536" s="427"/>
      <c r="B1536" s="428"/>
      <c r="C1536" s="428"/>
      <c r="D1536" s="429"/>
    </row>
    <row r="1537" spans="1:4" ht="15.75" x14ac:dyDescent="0.25">
      <c r="A1537" s="427"/>
      <c r="B1537" s="428"/>
      <c r="C1537" s="428"/>
      <c r="D1537" s="429"/>
    </row>
    <row r="1538" spans="1:4" ht="15.75" x14ac:dyDescent="0.25">
      <c r="A1538" s="427"/>
      <c r="B1538" s="428"/>
      <c r="C1538" s="428"/>
      <c r="D1538" s="429"/>
    </row>
    <row r="1539" spans="1:4" ht="15.75" x14ac:dyDescent="0.25">
      <c r="A1539" s="427"/>
      <c r="B1539" s="428"/>
      <c r="C1539" s="428"/>
      <c r="D1539" s="429"/>
    </row>
    <row r="1540" spans="1:4" ht="15.75" x14ac:dyDescent="0.25">
      <c r="A1540" s="427"/>
      <c r="B1540" s="428"/>
      <c r="C1540" s="428"/>
      <c r="D1540" s="429"/>
    </row>
    <row r="1541" spans="1:4" ht="15.75" x14ac:dyDescent="0.25">
      <c r="A1541" s="427"/>
      <c r="B1541" s="428"/>
      <c r="C1541" s="428"/>
      <c r="D1541" s="429"/>
    </row>
    <row r="1542" spans="1:4" ht="15.75" x14ac:dyDescent="0.25">
      <c r="A1542" s="427"/>
      <c r="B1542" s="428"/>
      <c r="C1542" s="428"/>
      <c r="D1542" s="429"/>
    </row>
    <row r="1543" spans="1:4" ht="15.75" x14ac:dyDescent="0.25">
      <c r="A1543" s="427"/>
      <c r="B1543" s="428"/>
      <c r="C1543" s="428"/>
      <c r="D1543" s="429"/>
    </row>
    <row r="1544" spans="1:4" ht="15.75" x14ac:dyDescent="0.25">
      <c r="A1544" s="427"/>
      <c r="B1544" s="428"/>
      <c r="C1544" s="428"/>
      <c r="D1544" s="429"/>
    </row>
    <row r="1545" spans="1:4" ht="15.75" x14ac:dyDescent="0.25">
      <c r="A1545" s="427"/>
      <c r="B1545" s="428"/>
      <c r="C1545" s="428"/>
      <c r="D1545" s="429"/>
    </row>
    <row r="1546" spans="1:4" ht="15.75" x14ac:dyDescent="0.25">
      <c r="A1546" s="427"/>
      <c r="B1546" s="428"/>
      <c r="C1546" s="428"/>
      <c r="D1546" s="429"/>
    </row>
    <row r="1547" spans="1:4" ht="15.75" x14ac:dyDescent="0.25">
      <c r="A1547" s="427"/>
      <c r="B1547" s="428"/>
      <c r="C1547" s="428"/>
      <c r="D1547" s="429"/>
    </row>
    <row r="1548" spans="1:4" ht="15.75" x14ac:dyDescent="0.25">
      <c r="A1548" s="427"/>
      <c r="B1548" s="428"/>
      <c r="C1548" s="428"/>
      <c r="D1548" s="429"/>
    </row>
    <row r="1549" spans="1:4" ht="15.75" x14ac:dyDescent="0.25">
      <c r="A1549" s="427"/>
      <c r="B1549" s="428"/>
      <c r="C1549" s="428"/>
      <c r="D1549" s="429"/>
    </row>
    <row r="1550" spans="1:4" ht="15.75" x14ac:dyDescent="0.25">
      <c r="A1550" s="427"/>
      <c r="B1550" s="428"/>
      <c r="C1550" s="428"/>
      <c r="D1550" s="429"/>
    </row>
    <row r="1551" spans="1:4" ht="15.75" x14ac:dyDescent="0.25">
      <c r="A1551" s="427"/>
      <c r="B1551" s="428"/>
      <c r="C1551" s="428"/>
      <c r="D1551" s="429"/>
    </row>
    <row r="1552" spans="1:4" ht="15.75" x14ac:dyDescent="0.25">
      <c r="A1552" s="427"/>
      <c r="B1552" s="428"/>
      <c r="C1552" s="428"/>
      <c r="D1552" s="429"/>
    </row>
    <row r="1553" spans="1:4" ht="15.75" x14ac:dyDescent="0.25">
      <c r="A1553" s="427"/>
      <c r="B1553" s="428"/>
      <c r="C1553" s="428"/>
      <c r="D1553" s="429"/>
    </row>
    <row r="1554" spans="1:4" ht="15.75" x14ac:dyDescent="0.25">
      <c r="A1554" s="427"/>
      <c r="B1554" s="428"/>
      <c r="C1554" s="428"/>
      <c r="D1554" s="429"/>
    </row>
    <row r="1555" spans="1:4" ht="15.75" x14ac:dyDescent="0.25">
      <c r="A1555" s="427"/>
      <c r="B1555" s="428"/>
      <c r="C1555" s="428"/>
      <c r="D1555" s="429"/>
    </row>
    <row r="1556" spans="1:4" ht="15.75" x14ac:dyDescent="0.25">
      <c r="A1556" s="427"/>
      <c r="B1556" s="428"/>
      <c r="C1556" s="428"/>
      <c r="D1556" s="429"/>
    </row>
    <row r="1557" spans="1:4" ht="15.75" x14ac:dyDescent="0.25">
      <c r="A1557" s="427"/>
      <c r="B1557" s="428"/>
      <c r="C1557" s="428"/>
      <c r="D1557" s="429"/>
    </row>
    <row r="1558" spans="1:4" ht="15.75" x14ac:dyDescent="0.25">
      <c r="A1558" s="427"/>
      <c r="B1558" s="428"/>
      <c r="C1558" s="428"/>
      <c r="D1558" s="429"/>
    </row>
    <row r="1559" spans="1:4" ht="15.75" x14ac:dyDescent="0.25">
      <c r="A1559" s="427"/>
      <c r="B1559" s="428"/>
      <c r="C1559" s="428"/>
      <c r="D1559" s="429"/>
    </row>
    <row r="1560" spans="1:4" ht="15.75" x14ac:dyDescent="0.25">
      <c r="A1560" s="427"/>
      <c r="B1560" s="428"/>
      <c r="C1560" s="428"/>
      <c r="D1560" s="429"/>
    </row>
    <row r="1561" spans="1:4" ht="15.75" x14ac:dyDescent="0.25">
      <c r="A1561" s="427"/>
      <c r="B1561" s="428"/>
      <c r="C1561" s="428"/>
      <c r="D1561" s="429"/>
    </row>
    <row r="1562" spans="1:4" ht="15.75" x14ac:dyDescent="0.25">
      <c r="A1562" s="427"/>
      <c r="B1562" s="428"/>
      <c r="C1562" s="428"/>
      <c r="D1562" s="429"/>
    </row>
    <row r="1563" spans="1:4" ht="15.75" x14ac:dyDescent="0.25">
      <c r="A1563" s="427"/>
      <c r="B1563" s="428"/>
      <c r="C1563" s="428"/>
      <c r="D1563" s="429"/>
    </row>
    <row r="1564" spans="1:4" ht="15.75" x14ac:dyDescent="0.25">
      <c r="A1564" s="427"/>
      <c r="B1564" s="428"/>
      <c r="C1564" s="428"/>
      <c r="D1564" s="429"/>
    </row>
    <row r="1565" spans="1:4" ht="15.75" x14ac:dyDescent="0.25">
      <c r="A1565" s="427"/>
      <c r="B1565" s="428"/>
      <c r="C1565" s="428"/>
      <c r="D1565" s="429"/>
    </row>
    <row r="1566" spans="1:4" ht="15.75" x14ac:dyDescent="0.25">
      <c r="A1566" s="427"/>
      <c r="B1566" s="428"/>
      <c r="C1566" s="428"/>
      <c r="D1566" s="429"/>
    </row>
    <row r="1567" spans="1:4" ht="15.75" x14ac:dyDescent="0.25">
      <c r="A1567" s="427"/>
      <c r="B1567" s="428"/>
      <c r="C1567" s="428"/>
      <c r="D1567" s="429"/>
    </row>
    <row r="1568" spans="1:4" ht="15.75" x14ac:dyDescent="0.25">
      <c r="A1568" s="427"/>
      <c r="B1568" s="428"/>
      <c r="C1568" s="428"/>
      <c r="D1568" s="429"/>
    </row>
    <row r="1569" spans="1:4" ht="15.75" x14ac:dyDescent="0.25">
      <c r="A1569" s="427"/>
      <c r="B1569" s="428"/>
      <c r="C1569" s="428"/>
      <c r="D1569" s="429"/>
    </row>
    <row r="1570" spans="1:4" ht="15.75" x14ac:dyDescent="0.25">
      <c r="A1570" s="427"/>
      <c r="B1570" s="428"/>
      <c r="C1570" s="428"/>
      <c r="D1570" s="429"/>
    </row>
    <row r="1571" spans="1:4" ht="15.75" x14ac:dyDescent="0.25">
      <c r="A1571" s="427"/>
      <c r="B1571" s="428"/>
      <c r="C1571" s="428"/>
      <c r="D1571" s="429"/>
    </row>
    <row r="1572" spans="1:4" ht="15.75" x14ac:dyDescent="0.25">
      <c r="A1572" s="427"/>
      <c r="B1572" s="428"/>
      <c r="C1572" s="428"/>
      <c r="D1572" s="429"/>
    </row>
    <row r="1573" spans="1:4" ht="15.75" x14ac:dyDescent="0.25">
      <c r="A1573" s="427"/>
      <c r="B1573" s="428"/>
      <c r="C1573" s="428"/>
      <c r="D1573" s="429"/>
    </row>
    <row r="1574" spans="1:4" ht="15.75" x14ac:dyDescent="0.25">
      <c r="A1574" s="427"/>
      <c r="B1574" s="428"/>
      <c r="C1574" s="428"/>
      <c r="D1574" s="429"/>
    </row>
    <row r="1575" spans="1:4" ht="15.75" x14ac:dyDescent="0.25">
      <c r="A1575" s="427"/>
      <c r="B1575" s="428"/>
      <c r="C1575" s="428"/>
      <c r="D1575" s="429"/>
    </row>
    <row r="1576" spans="1:4" ht="15.75" x14ac:dyDescent="0.25">
      <c r="A1576" s="427"/>
      <c r="B1576" s="428"/>
      <c r="C1576" s="428"/>
      <c r="D1576" s="429"/>
    </row>
    <row r="1577" spans="1:4" ht="15.75" x14ac:dyDescent="0.25">
      <c r="A1577" s="427"/>
      <c r="B1577" s="428"/>
      <c r="C1577" s="428"/>
      <c r="D1577" s="429"/>
    </row>
    <row r="1578" spans="1:4" ht="15.75" x14ac:dyDescent="0.25">
      <c r="A1578" s="427"/>
      <c r="B1578" s="428"/>
      <c r="C1578" s="428"/>
      <c r="D1578" s="429"/>
    </row>
    <row r="1579" spans="1:4" ht="15.75" x14ac:dyDescent="0.25">
      <c r="A1579" s="427"/>
      <c r="B1579" s="428"/>
      <c r="C1579" s="428"/>
      <c r="D1579" s="429"/>
    </row>
    <row r="1580" spans="1:4" ht="15.75" x14ac:dyDescent="0.25">
      <c r="A1580" s="427"/>
      <c r="B1580" s="428"/>
      <c r="C1580" s="428"/>
      <c r="D1580" s="429"/>
    </row>
    <row r="1581" spans="1:4" ht="15.75" x14ac:dyDescent="0.25">
      <c r="A1581" s="427"/>
      <c r="B1581" s="428"/>
      <c r="C1581" s="428"/>
      <c r="D1581" s="429"/>
    </row>
    <row r="1582" spans="1:4" ht="15.75" x14ac:dyDescent="0.25">
      <c r="A1582" s="427"/>
      <c r="B1582" s="428"/>
      <c r="C1582" s="428"/>
      <c r="D1582" s="429"/>
    </row>
    <row r="1583" spans="1:4" ht="15.75" x14ac:dyDescent="0.25">
      <c r="A1583" s="427"/>
      <c r="B1583" s="428"/>
      <c r="C1583" s="428"/>
      <c r="D1583" s="429"/>
    </row>
    <row r="1584" spans="1:4" ht="15.75" x14ac:dyDescent="0.25">
      <c r="A1584" s="427"/>
      <c r="B1584" s="428"/>
      <c r="C1584" s="428"/>
      <c r="D1584" s="429"/>
    </row>
    <row r="1585" spans="1:4" ht="15.75" x14ac:dyDescent="0.25">
      <c r="A1585" s="427"/>
      <c r="B1585" s="428"/>
      <c r="C1585" s="428"/>
      <c r="D1585" s="429"/>
    </row>
    <row r="1586" spans="1:4" ht="15.75" x14ac:dyDescent="0.25">
      <c r="A1586" s="427"/>
      <c r="B1586" s="428"/>
      <c r="C1586" s="428"/>
      <c r="D1586" s="429"/>
    </row>
    <row r="1587" spans="1:4" ht="15.75" x14ac:dyDescent="0.25">
      <c r="A1587" s="427"/>
      <c r="B1587" s="428"/>
      <c r="C1587" s="428"/>
      <c r="D1587" s="429"/>
    </row>
    <row r="1588" spans="1:4" ht="15.75" x14ac:dyDescent="0.25">
      <c r="A1588" s="427"/>
      <c r="B1588" s="428"/>
      <c r="C1588" s="428"/>
      <c r="D1588" s="429"/>
    </row>
    <row r="1589" spans="1:4" ht="15.75" x14ac:dyDescent="0.25">
      <c r="A1589" s="427"/>
      <c r="B1589" s="428"/>
      <c r="C1589" s="428"/>
      <c r="D1589" s="429"/>
    </row>
    <row r="1590" spans="1:4" ht="15.75" x14ac:dyDescent="0.25">
      <c r="A1590" s="427"/>
      <c r="B1590" s="428"/>
      <c r="C1590" s="428"/>
      <c r="D1590" s="429"/>
    </row>
    <row r="1591" spans="1:4" ht="15.75" x14ac:dyDescent="0.25">
      <c r="A1591" s="427"/>
      <c r="B1591" s="428"/>
      <c r="C1591" s="428"/>
      <c r="D1591" s="429"/>
    </row>
    <row r="1592" spans="1:4" ht="15.75" x14ac:dyDescent="0.25">
      <c r="A1592" s="427"/>
      <c r="B1592" s="428"/>
      <c r="C1592" s="428"/>
      <c r="D1592" s="429"/>
    </row>
    <row r="1593" spans="1:4" ht="15.75" x14ac:dyDescent="0.25">
      <c r="A1593" s="427"/>
      <c r="B1593" s="428"/>
      <c r="C1593" s="428"/>
      <c r="D1593" s="429"/>
    </row>
    <row r="1594" spans="1:4" ht="15.75" x14ac:dyDescent="0.25">
      <c r="A1594" s="427"/>
      <c r="B1594" s="428"/>
      <c r="C1594" s="428"/>
      <c r="D1594" s="429"/>
    </row>
    <row r="1595" spans="1:4" ht="15.75" x14ac:dyDescent="0.25">
      <c r="A1595" s="427"/>
      <c r="B1595" s="428"/>
      <c r="C1595" s="428"/>
      <c r="D1595" s="429"/>
    </row>
    <row r="1596" spans="1:4" ht="15.75" x14ac:dyDescent="0.25">
      <c r="A1596" s="427"/>
      <c r="B1596" s="428"/>
      <c r="C1596" s="428"/>
      <c r="D1596" s="429"/>
    </row>
    <row r="1597" spans="1:4" ht="15.75" x14ac:dyDescent="0.25">
      <c r="A1597" s="427"/>
      <c r="B1597" s="428"/>
      <c r="C1597" s="428"/>
      <c r="D1597" s="429"/>
    </row>
    <row r="1598" spans="1:4" ht="15.75" x14ac:dyDescent="0.25">
      <c r="A1598" s="427"/>
      <c r="B1598" s="428"/>
      <c r="C1598" s="428"/>
      <c r="D1598" s="429"/>
    </row>
    <row r="1599" spans="1:4" ht="15.75" x14ac:dyDescent="0.25">
      <c r="A1599" s="427"/>
      <c r="B1599" s="428"/>
      <c r="C1599" s="428"/>
      <c r="D1599" s="429"/>
    </row>
    <row r="1600" spans="1:4" ht="15.75" x14ac:dyDescent="0.25">
      <c r="A1600" s="427"/>
      <c r="B1600" s="428"/>
      <c r="C1600" s="428"/>
      <c r="D1600" s="429"/>
    </row>
    <row r="1601" spans="1:4" ht="15.75" x14ac:dyDescent="0.25">
      <c r="A1601" s="427"/>
      <c r="B1601" s="428"/>
      <c r="C1601" s="428"/>
      <c r="D1601" s="429"/>
    </row>
    <row r="1602" spans="1:4" ht="15.75" x14ac:dyDescent="0.25">
      <c r="A1602" s="427"/>
      <c r="B1602" s="428"/>
      <c r="C1602" s="428"/>
      <c r="D1602" s="429"/>
    </row>
    <row r="1603" spans="1:4" ht="15.75" x14ac:dyDescent="0.25">
      <c r="A1603" s="427"/>
      <c r="B1603" s="428"/>
      <c r="C1603" s="428"/>
      <c r="D1603" s="429"/>
    </row>
    <row r="1604" spans="1:4" ht="15.75" x14ac:dyDescent="0.25">
      <c r="A1604" s="427"/>
      <c r="B1604" s="428"/>
      <c r="C1604" s="428"/>
      <c r="D1604" s="429"/>
    </row>
    <row r="1605" spans="1:4" ht="15.75" x14ac:dyDescent="0.25">
      <c r="A1605" s="427"/>
      <c r="B1605" s="428"/>
      <c r="C1605" s="428"/>
      <c r="D1605" s="429"/>
    </row>
    <row r="1606" spans="1:4" ht="15.75" x14ac:dyDescent="0.25">
      <c r="A1606" s="427"/>
      <c r="B1606" s="428"/>
      <c r="C1606" s="428"/>
      <c r="D1606" s="429"/>
    </row>
    <row r="1607" spans="1:4" ht="15.75" x14ac:dyDescent="0.25">
      <c r="A1607" s="427"/>
      <c r="B1607" s="428"/>
      <c r="C1607" s="428"/>
      <c r="D1607" s="429"/>
    </row>
    <row r="1608" spans="1:4" ht="15.75" x14ac:dyDescent="0.25">
      <c r="A1608" s="427"/>
      <c r="B1608" s="428"/>
      <c r="C1608" s="428"/>
      <c r="D1608" s="429"/>
    </row>
    <row r="1609" spans="1:4" ht="15.75" x14ac:dyDescent="0.25">
      <c r="A1609" s="427"/>
      <c r="B1609" s="428"/>
      <c r="C1609" s="428"/>
      <c r="D1609" s="429"/>
    </row>
    <row r="1610" spans="1:4" ht="15.75" x14ac:dyDescent="0.25">
      <c r="A1610" s="427"/>
      <c r="B1610" s="428"/>
      <c r="C1610" s="428"/>
      <c r="D1610" s="429"/>
    </row>
    <row r="1611" spans="1:4" ht="15.75" x14ac:dyDescent="0.25">
      <c r="A1611" s="427"/>
      <c r="B1611" s="428"/>
      <c r="C1611" s="428"/>
      <c r="D1611" s="429"/>
    </row>
    <row r="1612" spans="1:4" ht="15.75" x14ac:dyDescent="0.25">
      <c r="A1612" s="427"/>
      <c r="B1612" s="428"/>
      <c r="C1612" s="428"/>
      <c r="D1612" s="429"/>
    </row>
    <row r="1613" spans="1:4" ht="15.75" x14ac:dyDescent="0.25">
      <c r="A1613" s="427"/>
      <c r="B1613" s="428"/>
      <c r="C1613" s="428"/>
      <c r="D1613" s="429"/>
    </row>
    <row r="1614" spans="1:4" ht="15.75" x14ac:dyDescent="0.25">
      <c r="A1614" s="427"/>
      <c r="B1614" s="428"/>
      <c r="C1614" s="428"/>
      <c r="D1614" s="429"/>
    </row>
    <row r="1615" spans="1:4" ht="15.75" x14ac:dyDescent="0.25">
      <c r="A1615" s="427"/>
      <c r="B1615" s="428"/>
      <c r="C1615" s="428"/>
      <c r="D1615" s="429"/>
    </row>
    <row r="1616" spans="1:4" ht="15.75" x14ac:dyDescent="0.25">
      <c r="A1616" s="427"/>
      <c r="B1616" s="428"/>
      <c r="C1616" s="428"/>
      <c r="D1616" s="429"/>
    </row>
    <row r="1617" spans="1:4" ht="15.75" x14ac:dyDescent="0.25">
      <c r="A1617" s="427"/>
      <c r="B1617" s="428"/>
      <c r="C1617" s="428"/>
      <c r="D1617" s="429"/>
    </row>
    <row r="1618" spans="1:4" ht="15.75" x14ac:dyDescent="0.25">
      <c r="A1618" s="427"/>
      <c r="B1618" s="428"/>
      <c r="C1618" s="428"/>
      <c r="D1618" s="429"/>
    </row>
    <row r="1619" spans="1:4" ht="15.75" x14ac:dyDescent="0.25">
      <c r="A1619" s="427"/>
      <c r="B1619" s="428"/>
      <c r="C1619" s="428"/>
      <c r="D1619" s="429"/>
    </row>
    <row r="1620" spans="1:4" ht="15.75" x14ac:dyDescent="0.25">
      <c r="A1620" s="427"/>
      <c r="B1620" s="428"/>
      <c r="C1620" s="428"/>
      <c r="D1620" s="429"/>
    </row>
    <row r="1621" spans="1:4" ht="15.75" x14ac:dyDescent="0.25">
      <c r="A1621" s="427"/>
      <c r="B1621" s="428"/>
      <c r="C1621" s="428"/>
      <c r="D1621" s="429"/>
    </row>
    <row r="1622" spans="1:4" ht="15.75" x14ac:dyDescent="0.25">
      <c r="A1622" s="427"/>
      <c r="B1622" s="428"/>
      <c r="C1622" s="428"/>
      <c r="D1622" s="429"/>
    </row>
    <row r="1623" spans="1:4" ht="15.75" x14ac:dyDescent="0.25">
      <c r="A1623" s="427"/>
      <c r="B1623" s="428"/>
      <c r="C1623" s="428"/>
      <c r="D1623" s="429"/>
    </row>
    <row r="1624" spans="1:4" ht="15.75" x14ac:dyDescent="0.25">
      <c r="A1624" s="427"/>
      <c r="B1624" s="428"/>
      <c r="C1624" s="428"/>
      <c r="D1624" s="429"/>
    </row>
    <row r="1625" spans="1:4" ht="15.75" x14ac:dyDescent="0.25">
      <c r="A1625" s="427"/>
      <c r="B1625" s="428"/>
      <c r="C1625" s="428"/>
      <c r="D1625" s="429"/>
    </row>
    <row r="1626" spans="1:4" ht="15.75" x14ac:dyDescent="0.25">
      <c r="A1626" s="427"/>
      <c r="B1626" s="428"/>
      <c r="C1626" s="428"/>
      <c r="D1626" s="429"/>
    </row>
    <row r="1627" spans="1:4" ht="15.75" x14ac:dyDescent="0.25">
      <c r="A1627" s="427"/>
      <c r="B1627" s="428"/>
      <c r="C1627" s="428"/>
      <c r="D1627" s="429"/>
    </row>
    <row r="1628" spans="1:4" ht="15.75" x14ac:dyDescent="0.25">
      <c r="A1628" s="427"/>
      <c r="B1628" s="428"/>
      <c r="C1628" s="428"/>
      <c r="D1628" s="429"/>
    </row>
    <row r="1629" spans="1:4" ht="15.75" x14ac:dyDescent="0.25">
      <c r="A1629" s="427"/>
      <c r="B1629" s="428"/>
      <c r="C1629" s="428"/>
      <c r="D1629" s="429"/>
    </row>
    <row r="1630" spans="1:4" ht="15.75" x14ac:dyDescent="0.25">
      <c r="A1630" s="427"/>
      <c r="B1630" s="428"/>
      <c r="C1630" s="428"/>
      <c r="D1630" s="429"/>
    </row>
    <row r="1631" spans="1:4" ht="15.75" x14ac:dyDescent="0.25">
      <c r="A1631" s="427"/>
      <c r="B1631" s="428"/>
      <c r="C1631" s="428"/>
      <c r="D1631" s="429"/>
    </row>
    <row r="1632" spans="1:4" ht="15.75" x14ac:dyDescent="0.25">
      <c r="A1632" s="427"/>
      <c r="B1632" s="428"/>
      <c r="C1632" s="428"/>
      <c r="D1632" s="429"/>
    </row>
    <row r="1633" spans="1:4" ht="15.75" x14ac:dyDescent="0.25">
      <c r="A1633" s="427"/>
      <c r="B1633" s="428"/>
      <c r="C1633" s="428"/>
      <c r="D1633" s="429"/>
    </row>
    <row r="1634" spans="1:4" ht="15.75" x14ac:dyDescent="0.25">
      <c r="A1634" s="427"/>
      <c r="B1634" s="428"/>
      <c r="C1634" s="428"/>
      <c r="D1634" s="429"/>
    </row>
    <row r="1635" spans="1:4" ht="15.75" x14ac:dyDescent="0.25">
      <c r="A1635" s="427"/>
      <c r="B1635" s="428"/>
      <c r="C1635" s="428"/>
      <c r="D1635" s="429"/>
    </row>
    <row r="1636" spans="1:4" ht="15.75" x14ac:dyDescent="0.25">
      <c r="A1636" s="427"/>
      <c r="B1636" s="428"/>
      <c r="C1636" s="428"/>
      <c r="D1636" s="429"/>
    </row>
    <row r="1637" spans="1:4" ht="15.75" x14ac:dyDescent="0.25">
      <c r="A1637" s="427"/>
      <c r="B1637" s="428"/>
      <c r="C1637" s="428"/>
      <c r="D1637" s="429"/>
    </row>
    <row r="1638" spans="1:4" ht="15.75" x14ac:dyDescent="0.25">
      <c r="A1638" s="427"/>
      <c r="B1638" s="428"/>
      <c r="C1638" s="428"/>
      <c r="D1638" s="429"/>
    </row>
    <row r="1639" spans="1:4" ht="15.75" x14ac:dyDescent="0.25">
      <c r="A1639" s="427"/>
      <c r="B1639" s="428"/>
      <c r="C1639" s="428"/>
      <c r="D1639" s="429"/>
    </row>
    <row r="1640" spans="1:4" ht="15.75" x14ac:dyDescent="0.25">
      <c r="A1640" s="427"/>
      <c r="B1640" s="428"/>
      <c r="C1640" s="428"/>
      <c r="D1640" s="429"/>
    </row>
    <row r="1641" spans="1:4" ht="15.75" x14ac:dyDescent="0.25">
      <c r="A1641" s="427"/>
      <c r="B1641" s="428"/>
      <c r="C1641" s="428"/>
      <c r="D1641" s="429"/>
    </row>
    <row r="1642" spans="1:4" ht="15.75" x14ac:dyDescent="0.25">
      <c r="A1642" s="427"/>
      <c r="B1642" s="428"/>
      <c r="C1642" s="428"/>
      <c r="D1642" s="429"/>
    </row>
    <row r="1643" spans="1:4" ht="15.75" x14ac:dyDescent="0.25">
      <c r="A1643" s="427"/>
      <c r="B1643" s="428"/>
      <c r="C1643" s="428"/>
      <c r="D1643" s="429"/>
    </row>
    <row r="1644" spans="1:4" ht="15.75" x14ac:dyDescent="0.25">
      <c r="A1644" s="427"/>
      <c r="B1644" s="428"/>
      <c r="C1644" s="428"/>
      <c r="D1644" s="429"/>
    </row>
    <row r="1645" spans="1:4" ht="15.75" x14ac:dyDescent="0.25">
      <c r="A1645" s="427"/>
      <c r="B1645" s="428"/>
      <c r="C1645" s="428"/>
      <c r="D1645" s="429"/>
    </row>
    <row r="1646" spans="1:4" ht="15.75" x14ac:dyDescent="0.25">
      <c r="A1646" s="427"/>
      <c r="B1646" s="428"/>
      <c r="C1646" s="428"/>
      <c r="D1646" s="429"/>
    </row>
    <row r="1647" spans="1:4" ht="15.75" x14ac:dyDescent="0.25">
      <c r="A1647" s="427"/>
      <c r="B1647" s="428"/>
      <c r="C1647" s="428"/>
      <c r="D1647" s="429"/>
    </row>
    <row r="1648" spans="1:4" ht="15.75" x14ac:dyDescent="0.25">
      <c r="A1648" s="427"/>
      <c r="B1648" s="428"/>
      <c r="C1648" s="428"/>
      <c r="D1648" s="429"/>
    </row>
    <row r="1649" spans="1:4" ht="15.75" x14ac:dyDescent="0.25">
      <c r="A1649" s="427"/>
      <c r="B1649" s="428"/>
      <c r="C1649" s="428"/>
      <c r="D1649" s="429"/>
    </row>
    <row r="1650" spans="1:4" ht="15.75" x14ac:dyDescent="0.25">
      <c r="A1650" s="427"/>
      <c r="B1650" s="428"/>
      <c r="C1650" s="428"/>
      <c r="D1650" s="429"/>
    </row>
    <row r="1651" spans="1:4" ht="15.75" x14ac:dyDescent="0.25">
      <c r="A1651" s="427"/>
      <c r="B1651" s="428"/>
      <c r="C1651" s="428"/>
      <c r="D1651" s="429"/>
    </row>
    <row r="1652" spans="1:4" ht="15.75" x14ac:dyDescent="0.25">
      <c r="A1652" s="427"/>
      <c r="B1652" s="428"/>
      <c r="C1652" s="428"/>
      <c r="D1652" s="429"/>
    </row>
    <row r="1653" spans="1:4" ht="15.75" x14ac:dyDescent="0.25">
      <c r="A1653" s="427"/>
      <c r="B1653" s="428"/>
      <c r="C1653" s="428"/>
      <c r="D1653" s="429"/>
    </row>
    <row r="1654" spans="1:4" ht="15.75" x14ac:dyDescent="0.25">
      <c r="A1654" s="427"/>
      <c r="B1654" s="428"/>
      <c r="C1654" s="428"/>
      <c r="D1654" s="429"/>
    </row>
    <row r="1655" spans="1:4" ht="15.75" x14ac:dyDescent="0.25">
      <c r="A1655" s="427"/>
      <c r="B1655" s="428"/>
      <c r="C1655" s="428"/>
      <c r="D1655" s="429"/>
    </row>
    <row r="1656" spans="1:4" ht="15.75" x14ac:dyDescent="0.25">
      <c r="A1656" s="427"/>
      <c r="B1656" s="428"/>
      <c r="C1656" s="428"/>
      <c r="D1656" s="429"/>
    </row>
    <row r="1657" spans="1:4" ht="15.75" x14ac:dyDescent="0.25">
      <c r="A1657" s="427"/>
      <c r="B1657" s="428"/>
      <c r="C1657" s="428"/>
      <c r="D1657" s="429"/>
    </row>
    <row r="1658" spans="1:4" ht="15.75" x14ac:dyDescent="0.25">
      <c r="A1658" s="427"/>
      <c r="B1658" s="428"/>
      <c r="C1658" s="428"/>
      <c r="D1658" s="429"/>
    </row>
    <row r="1659" spans="1:4" ht="15.75" x14ac:dyDescent="0.25">
      <c r="A1659" s="427"/>
      <c r="B1659" s="428"/>
      <c r="C1659" s="428"/>
      <c r="D1659" s="429"/>
    </row>
    <row r="1660" spans="1:4" ht="15.75" x14ac:dyDescent="0.25">
      <c r="A1660" s="427"/>
      <c r="B1660" s="428"/>
      <c r="C1660" s="428"/>
      <c r="D1660" s="429"/>
    </row>
    <row r="1661" spans="1:4" ht="15.75" x14ac:dyDescent="0.25">
      <c r="A1661" s="427"/>
      <c r="B1661" s="428"/>
      <c r="C1661" s="428"/>
      <c r="D1661" s="429"/>
    </row>
    <row r="1662" spans="1:4" ht="15.75" x14ac:dyDescent="0.25">
      <c r="A1662" s="427"/>
      <c r="B1662" s="428"/>
      <c r="C1662" s="428"/>
      <c r="D1662" s="429"/>
    </row>
    <row r="1663" spans="1:4" ht="15.75" x14ac:dyDescent="0.25">
      <c r="A1663" s="427"/>
      <c r="B1663" s="428"/>
      <c r="C1663" s="428"/>
      <c r="D1663" s="429"/>
    </row>
    <row r="1664" spans="1:4" ht="15.75" x14ac:dyDescent="0.25">
      <c r="A1664" s="427"/>
      <c r="B1664" s="428"/>
      <c r="C1664" s="428"/>
      <c r="D1664" s="429"/>
    </row>
    <row r="1665" spans="1:4" ht="15.75" x14ac:dyDescent="0.25">
      <c r="A1665" s="427"/>
      <c r="B1665" s="428"/>
      <c r="C1665" s="428"/>
      <c r="D1665" s="429"/>
    </row>
    <row r="1666" spans="1:4" ht="15.75" x14ac:dyDescent="0.25">
      <c r="A1666" s="427"/>
      <c r="B1666" s="428"/>
      <c r="C1666" s="428"/>
      <c r="D1666" s="429"/>
    </row>
    <row r="1667" spans="1:4" ht="15.75" x14ac:dyDescent="0.25">
      <c r="A1667" s="427"/>
      <c r="B1667" s="428"/>
      <c r="C1667" s="428"/>
      <c r="D1667" s="429"/>
    </row>
    <row r="1668" spans="1:4" ht="15.75" x14ac:dyDescent="0.25">
      <c r="A1668" s="427"/>
      <c r="B1668" s="428"/>
      <c r="C1668" s="428"/>
      <c r="D1668" s="429"/>
    </row>
    <row r="1669" spans="1:4" ht="15.75" x14ac:dyDescent="0.25">
      <c r="A1669" s="427"/>
      <c r="B1669" s="428"/>
      <c r="C1669" s="428"/>
      <c r="D1669" s="429"/>
    </row>
    <row r="1670" spans="1:4" ht="15.75" x14ac:dyDescent="0.25">
      <c r="A1670" s="427"/>
      <c r="B1670" s="428"/>
      <c r="C1670" s="428"/>
      <c r="D1670" s="429"/>
    </row>
    <row r="1671" spans="1:4" ht="15.75" x14ac:dyDescent="0.25">
      <c r="A1671" s="427"/>
      <c r="B1671" s="428"/>
      <c r="C1671" s="428"/>
      <c r="D1671" s="429"/>
    </row>
    <row r="1672" spans="1:4" ht="15.75" x14ac:dyDescent="0.25">
      <c r="A1672" s="427"/>
      <c r="B1672" s="428"/>
      <c r="C1672" s="428"/>
      <c r="D1672" s="429"/>
    </row>
    <row r="1673" spans="1:4" ht="15.75" x14ac:dyDescent="0.25">
      <c r="A1673" s="427"/>
      <c r="B1673" s="428"/>
      <c r="C1673" s="428"/>
      <c r="D1673" s="429"/>
    </row>
    <row r="1674" spans="1:4" ht="15.75" x14ac:dyDescent="0.25">
      <c r="A1674" s="427"/>
      <c r="B1674" s="428"/>
      <c r="C1674" s="428"/>
      <c r="D1674" s="429"/>
    </row>
    <row r="1675" spans="1:4" ht="15.75" x14ac:dyDescent="0.25">
      <c r="A1675" s="427"/>
      <c r="B1675" s="428"/>
      <c r="C1675" s="428"/>
      <c r="D1675" s="429"/>
    </row>
    <row r="1676" spans="1:4" ht="15.75" x14ac:dyDescent="0.25">
      <c r="A1676" s="427"/>
      <c r="B1676" s="428"/>
      <c r="C1676" s="428"/>
      <c r="D1676" s="429"/>
    </row>
    <row r="1677" spans="1:4" ht="15.75" x14ac:dyDescent="0.25">
      <c r="A1677" s="427"/>
      <c r="B1677" s="428"/>
      <c r="C1677" s="428"/>
      <c r="D1677" s="429"/>
    </row>
    <row r="1678" spans="1:4" ht="15.75" x14ac:dyDescent="0.25">
      <c r="A1678" s="427"/>
      <c r="B1678" s="428"/>
      <c r="C1678" s="428"/>
      <c r="D1678" s="429"/>
    </row>
    <row r="1679" spans="1:4" ht="15.75" x14ac:dyDescent="0.25">
      <c r="A1679" s="427"/>
      <c r="B1679" s="428"/>
      <c r="C1679" s="428"/>
      <c r="D1679" s="429"/>
    </row>
    <row r="1680" spans="1:4" ht="15.75" x14ac:dyDescent="0.25">
      <c r="A1680" s="427"/>
      <c r="B1680" s="428"/>
      <c r="C1680" s="428"/>
      <c r="D1680" s="429"/>
    </row>
    <row r="1681" spans="1:4" ht="15.75" x14ac:dyDescent="0.25">
      <c r="A1681" s="427"/>
      <c r="B1681" s="428"/>
      <c r="C1681" s="428"/>
      <c r="D1681" s="429"/>
    </row>
    <row r="1682" spans="1:4" ht="15.75" x14ac:dyDescent="0.25">
      <c r="A1682" s="427"/>
      <c r="B1682" s="428"/>
      <c r="C1682" s="428"/>
      <c r="D1682" s="429"/>
    </row>
    <row r="1683" spans="1:4" ht="15.75" x14ac:dyDescent="0.25">
      <c r="A1683" s="427"/>
      <c r="B1683" s="428"/>
      <c r="C1683" s="428"/>
      <c r="D1683" s="429"/>
    </row>
    <row r="1684" spans="1:4" ht="15.75" x14ac:dyDescent="0.25">
      <c r="A1684" s="427"/>
      <c r="B1684" s="428"/>
      <c r="C1684" s="428"/>
      <c r="D1684" s="429"/>
    </row>
    <row r="1685" spans="1:4" ht="15.75" x14ac:dyDescent="0.25">
      <c r="A1685" s="427"/>
      <c r="B1685" s="428"/>
      <c r="C1685" s="428"/>
      <c r="D1685" s="429"/>
    </row>
    <row r="1686" spans="1:4" ht="15.75" x14ac:dyDescent="0.25">
      <c r="A1686" s="427"/>
      <c r="B1686" s="428"/>
      <c r="C1686" s="428"/>
      <c r="D1686" s="429"/>
    </row>
    <row r="1687" spans="1:4" ht="15.75" x14ac:dyDescent="0.25">
      <c r="A1687" s="427"/>
      <c r="B1687" s="428"/>
      <c r="C1687" s="428"/>
      <c r="D1687" s="429"/>
    </row>
    <row r="1688" spans="1:4" ht="15.75" x14ac:dyDescent="0.25">
      <c r="A1688" s="427"/>
      <c r="B1688" s="428"/>
      <c r="C1688" s="428"/>
      <c r="D1688" s="429"/>
    </row>
    <row r="1689" spans="1:4" ht="15.75" x14ac:dyDescent="0.25">
      <c r="A1689" s="427"/>
      <c r="B1689" s="428"/>
      <c r="C1689" s="428"/>
      <c r="D1689" s="429"/>
    </row>
    <row r="1690" spans="1:4" ht="15.75" x14ac:dyDescent="0.25">
      <c r="A1690" s="427"/>
      <c r="B1690" s="428"/>
      <c r="C1690" s="428"/>
      <c r="D1690" s="429"/>
    </row>
    <row r="1691" spans="1:4" ht="15.75" x14ac:dyDescent="0.25">
      <c r="A1691" s="427"/>
      <c r="B1691" s="428"/>
      <c r="C1691" s="428"/>
      <c r="D1691" s="429"/>
    </row>
    <row r="1692" spans="1:4" ht="15.75" x14ac:dyDescent="0.25">
      <c r="A1692" s="427"/>
      <c r="B1692" s="428"/>
      <c r="C1692" s="428"/>
      <c r="D1692" s="429"/>
    </row>
    <row r="1693" spans="1:4" ht="15.75" x14ac:dyDescent="0.25">
      <c r="A1693" s="427"/>
      <c r="B1693" s="428"/>
      <c r="C1693" s="428"/>
      <c r="D1693" s="429"/>
    </row>
    <row r="1694" spans="1:4" ht="15.75" x14ac:dyDescent="0.25">
      <c r="A1694" s="427"/>
      <c r="B1694" s="428"/>
      <c r="C1694" s="428"/>
      <c r="D1694" s="429"/>
    </row>
    <row r="1695" spans="1:4" ht="15.75" x14ac:dyDescent="0.25">
      <c r="A1695" s="427"/>
      <c r="B1695" s="428"/>
      <c r="C1695" s="428"/>
      <c r="D1695" s="429"/>
    </row>
    <row r="1696" spans="1:4" ht="15.75" x14ac:dyDescent="0.25">
      <c r="A1696" s="427"/>
      <c r="B1696" s="428"/>
      <c r="C1696" s="428"/>
      <c r="D1696" s="429"/>
    </row>
    <row r="1697" spans="1:4" ht="15.75" x14ac:dyDescent="0.25">
      <c r="A1697" s="427"/>
      <c r="B1697" s="428"/>
      <c r="C1697" s="428"/>
      <c r="D1697" s="429"/>
    </row>
    <row r="1698" spans="1:4" ht="15.75" x14ac:dyDescent="0.25">
      <c r="A1698" s="427"/>
      <c r="B1698" s="428"/>
      <c r="C1698" s="428"/>
      <c r="D1698" s="429"/>
    </row>
    <row r="1699" spans="1:4" ht="15.75" x14ac:dyDescent="0.25">
      <c r="A1699" s="427"/>
      <c r="B1699" s="428"/>
      <c r="C1699" s="428"/>
      <c r="D1699" s="429"/>
    </row>
    <row r="1700" spans="1:4" ht="15.75" x14ac:dyDescent="0.25">
      <c r="A1700" s="427"/>
      <c r="B1700" s="428"/>
      <c r="C1700" s="428"/>
      <c r="D1700" s="429"/>
    </row>
    <row r="1701" spans="1:4" ht="15.75" x14ac:dyDescent="0.25">
      <c r="A1701" s="427"/>
      <c r="B1701" s="428"/>
      <c r="C1701" s="428"/>
      <c r="D1701" s="429"/>
    </row>
    <row r="1702" spans="1:4" ht="15.75" x14ac:dyDescent="0.25">
      <c r="A1702" s="427"/>
      <c r="B1702" s="428"/>
      <c r="C1702" s="428"/>
      <c r="D1702" s="429"/>
    </row>
    <row r="1703" spans="1:4" ht="15.75" x14ac:dyDescent="0.25">
      <c r="A1703" s="427"/>
      <c r="B1703" s="428"/>
      <c r="C1703" s="428"/>
      <c r="D1703" s="429"/>
    </row>
    <row r="1704" spans="1:4" ht="15.75" x14ac:dyDescent="0.25">
      <c r="A1704" s="427"/>
      <c r="B1704" s="428"/>
      <c r="C1704" s="428"/>
      <c r="D1704" s="429"/>
    </row>
    <row r="1705" spans="1:4" ht="15.75" x14ac:dyDescent="0.25">
      <c r="A1705" s="427"/>
      <c r="B1705" s="428"/>
      <c r="C1705" s="428"/>
      <c r="D1705" s="429"/>
    </row>
    <row r="1706" spans="1:4" ht="15.75" x14ac:dyDescent="0.25">
      <c r="A1706" s="427"/>
      <c r="B1706" s="428"/>
      <c r="C1706" s="428"/>
      <c r="D1706" s="429"/>
    </row>
    <row r="1707" spans="1:4" ht="15.75" x14ac:dyDescent="0.25">
      <c r="A1707" s="427"/>
      <c r="B1707" s="428"/>
      <c r="C1707" s="428"/>
      <c r="D1707" s="429"/>
    </row>
    <row r="1708" spans="1:4" ht="15.75" x14ac:dyDescent="0.25">
      <c r="A1708" s="427"/>
      <c r="B1708" s="428"/>
      <c r="C1708" s="428"/>
      <c r="D1708" s="429"/>
    </row>
    <row r="1709" spans="1:4" ht="15.75" x14ac:dyDescent="0.25">
      <c r="A1709" s="427"/>
      <c r="B1709" s="428"/>
      <c r="C1709" s="428"/>
      <c r="D1709" s="429"/>
    </row>
    <row r="1710" spans="1:4" ht="15.75" x14ac:dyDescent="0.25">
      <c r="A1710" s="427"/>
      <c r="B1710" s="428"/>
      <c r="C1710" s="428"/>
      <c r="D1710" s="429"/>
    </row>
    <row r="1711" spans="1:4" ht="15.75" x14ac:dyDescent="0.25">
      <c r="A1711" s="427"/>
      <c r="B1711" s="428"/>
      <c r="C1711" s="428"/>
      <c r="D1711" s="429"/>
    </row>
    <row r="1712" spans="1:4" ht="15.75" x14ac:dyDescent="0.25">
      <c r="A1712" s="427"/>
      <c r="B1712" s="428"/>
      <c r="C1712" s="428"/>
      <c r="D1712" s="429"/>
    </row>
    <row r="1713" spans="1:4" ht="15.75" x14ac:dyDescent="0.25">
      <c r="A1713" s="427"/>
      <c r="B1713" s="428"/>
      <c r="C1713" s="428"/>
      <c r="D1713" s="429"/>
    </row>
    <row r="1714" spans="1:4" ht="15.75" x14ac:dyDescent="0.25">
      <c r="A1714" s="427"/>
      <c r="B1714" s="428"/>
      <c r="C1714" s="428"/>
      <c r="D1714" s="429"/>
    </row>
    <row r="1715" spans="1:4" ht="15.75" x14ac:dyDescent="0.25">
      <c r="A1715" s="427"/>
      <c r="B1715" s="428"/>
      <c r="C1715" s="428"/>
      <c r="D1715" s="429"/>
    </row>
    <row r="1716" spans="1:4" ht="15.75" x14ac:dyDescent="0.25">
      <c r="A1716" s="427"/>
      <c r="B1716" s="428"/>
      <c r="C1716" s="428"/>
      <c r="D1716" s="429"/>
    </row>
    <row r="1717" spans="1:4" ht="15.75" x14ac:dyDescent="0.25">
      <c r="A1717" s="427"/>
      <c r="B1717" s="428"/>
      <c r="C1717" s="428"/>
      <c r="D1717" s="429"/>
    </row>
    <row r="1718" spans="1:4" ht="15.75" x14ac:dyDescent="0.25">
      <c r="A1718" s="427"/>
      <c r="B1718" s="428"/>
      <c r="C1718" s="428"/>
      <c r="D1718" s="429"/>
    </row>
    <row r="1719" spans="1:4" ht="15.75" x14ac:dyDescent="0.25">
      <c r="A1719" s="427"/>
      <c r="B1719" s="428"/>
      <c r="C1719" s="428"/>
      <c r="D1719" s="429"/>
    </row>
    <row r="1720" spans="1:4" ht="15.75" x14ac:dyDescent="0.25">
      <c r="A1720" s="427"/>
      <c r="B1720" s="428"/>
      <c r="C1720" s="428"/>
      <c r="D1720" s="429"/>
    </row>
    <row r="1721" spans="1:4" ht="15.75" x14ac:dyDescent="0.25">
      <c r="A1721" s="427"/>
      <c r="B1721" s="428"/>
      <c r="C1721" s="428"/>
      <c r="D1721" s="429"/>
    </row>
    <row r="1722" spans="1:4" ht="15.75" x14ac:dyDescent="0.25">
      <c r="A1722" s="427"/>
      <c r="B1722" s="428"/>
      <c r="C1722" s="428"/>
      <c r="D1722" s="429"/>
    </row>
    <row r="1723" spans="1:4" ht="15.75" x14ac:dyDescent="0.25">
      <c r="A1723" s="427"/>
      <c r="B1723" s="428"/>
      <c r="C1723" s="428"/>
      <c r="D1723" s="429"/>
    </row>
    <row r="1724" spans="1:4" ht="15.75" x14ac:dyDescent="0.25">
      <c r="A1724" s="427"/>
      <c r="B1724" s="428"/>
      <c r="C1724" s="428"/>
      <c r="D1724" s="429"/>
    </row>
    <row r="1725" spans="1:4" ht="15.75" x14ac:dyDescent="0.25">
      <c r="A1725" s="427"/>
      <c r="B1725" s="428"/>
      <c r="C1725" s="428"/>
      <c r="D1725" s="429"/>
    </row>
    <row r="1726" spans="1:4" ht="15.75" x14ac:dyDescent="0.25">
      <c r="A1726" s="427"/>
      <c r="B1726" s="428"/>
      <c r="C1726" s="428"/>
      <c r="D1726" s="429"/>
    </row>
    <row r="1727" spans="1:4" ht="15.75" x14ac:dyDescent="0.25">
      <c r="A1727" s="427"/>
      <c r="B1727" s="428"/>
      <c r="C1727" s="428"/>
      <c r="D1727" s="429"/>
    </row>
    <row r="1728" spans="1:4" ht="15.75" x14ac:dyDescent="0.25">
      <c r="A1728" s="427"/>
      <c r="B1728" s="428"/>
      <c r="C1728" s="428"/>
      <c r="D1728" s="429"/>
    </row>
    <row r="1729" spans="1:4" ht="15.75" x14ac:dyDescent="0.25">
      <c r="A1729" s="427"/>
      <c r="B1729" s="428"/>
      <c r="C1729" s="428"/>
      <c r="D1729" s="429"/>
    </row>
    <row r="1730" spans="1:4" ht="15.75" x14ac:dyDescent="0.25">
      <c r="A1730" s="427"/>
      <c r="B1730" s="428"/>
      <c r="C1730" s="428"/>
      <c r="D1730" s="429"/>
    </row>
    <row r="1731" spans="1:4" ht="15.75" x14ac:dyDescent="0.25">
      <c r="A1731" s="427"/>
      <c r="B1731" s="428"/>
      <c r="C1731" s="428"/>
      <c r="D1731" s="429"/>
    </row>
    <row r="1732" spans="1:4" ht="15.75" x14ac:dyDescent="0.25">
      <c r="A1732" s="427"/>
      <c r="B1732" s="428"/>
      <c r="C1732" s="428"/>
      <c r="D1732" s="429"/>
    </row>
    <row r="1733" spans="1:4" ht="15.75" x14ac:dyDescent="0.25">
      <c r="A1733" s="427"/>
      <c r="B1733" s="428"/>
      <c r="C1733" s="428"/>
      <c r="D1733" s="429"/>
    </row>
    <row r="1734" spans="1:4" ht="15.75" x14ac:dyDescent="0.25">
      <c r="A1734" s="427"/>
      <c r="B1734" s="428"/>
      <c r="C1734" s="428"/>
      <c r="D1734" s="429"/>
    </row>
    <row r="1735" spans="1:4" ht="15.75" x14ac:dyDescent="0.25">
      <c r="A1735" s="427"/>
      <c r="B1735" s="428"/>
      <c r="C1735" s="428"/>
      <c r="D1735" s="429"/>
    </row>
    <row r="1736" spans="1:4" ht="15.75" x14ac:dyDescent="0.25">
      <c r="A1736" s="427"/>
      <c r="B1736" s="428"/>
      <c r="C1736" s="428"/>
      <c r="D1736" s="429"/>
    </row>
    <row r="1737" spans="1:4" ht="15.75" x14ac:dyDescent="0.25">
      <c r="A1737" s="427"/>
      <c r="B1737" s="428"/>
      <c r="C1737" s="428"/>
      <c r="D1737" s="429"/>
    </row>
    <row r="1738" spans="1:4" ht="15.75" x14ac:dyDescent="0.25">
      <c r="A1738" s="427"/>
      <c r="B1738" s="428"/>
      <c r="C1738" s="428"/>
      <c r="D1738" s="429"/>
    </row>
    <row r="1739" spans="1:4" ht="15.75" x14ac:dyDescent="0.25">
      <c r="A1739" s="427"/>
      <c r="B1739" s="428"/>
      <c r="C1739" s="428"/>
      <c r="D1739" s="429"/>
    </row>
    <row r="1740" spans="1:4" ht="15.75" x14ac:dyDescent="0.25">
      <c r="A1740" s="427"/>
      <c r="B1740" s="428"/>
      <c r="C1740" s="428"/>
      <c r="D1740" s="429"/>
    </row>
    <row r="1741" spans="1:4" ht="15.75" x14ac:dyDescent="0.25">
      <c r="A1741" s="427"/>
      <c r="B1741" s="428"/>
      <c r="C1741" s="428"/>
      <c r="D1741" s="429"/>
    </row>
    <row r="1742" spans="1:4" ht="15.75" x14ac:dyDescent="0.25">
      <c r="A1742" s="427"/>
      <c r="B1742" s="428"/>
      <c r="C1742" s="428"/>
      <c r="D1742" s="429"/>
    </row>
    <row r="1743" spans="1:4" ht="15.75" x14ac:dyDescent="0.25">
      <c r="A1743" s="427"/>
      <c r="B1743" s="428"/>
      <c r="C1743" s="428"/>
      <c r="D1743" s="429"/>
    </row>
    <row r="1744" spans="1:4" ht="15.75" x14ac:dyDescent="0.25">
      <c r="A1744" s="427"/>
      <c r="B1744" s="428"/>
      <c r="C1744" s="428"/>
      <c r="D1744" s="429"/>
    </row>
    <row r="1745" spans="1:4" ht="15.75" x14ac:dyDescent="0.25">
      <c r="A1745" s="427"/>
      <c r="B1745" s="428"/>
      <c r="C1745" s="428"/>
      <c r="D1745" s="429"/>
    </row>
    <row r="1746" spans="1:4" ht="15.75" x14ac:dyDescent="0.25">
      <c r="A1746" s="427"/>
      <c r="B1746" s="428"/>
      <c r="C1746" s="428"/>
      <c r="D1746" s="429"/>
    </row>
    <row r="1747" spans="1:4" ht="15.75" x14ac:dyDescent="0.25">
      <c r="A1747" s="427"/>
      <c r="B1747" s="428"/>
      <c r="C1747" s="428"/>
      <c r="D1747" s="429"/>
    </row>
    <row r="1748" spans="1:4" ht="15.75" x14ac:dyDescent="0.25">
      <c r="A1748" s="427"/>
      <c r="B1748" s="428"/>
      <c r="C1748" s="428"/>
      <c r="D1748" s="429"/>
    </row>
    <row r="1749" spans="1:4" ht="15.75" x14ac:dyDescent="0.25">
      <c r="A1749" s="427"/>
      <c r="B1749" s="428"/>
      <c r="C1749" s="428"/>
      <c r="D1749" s="429"/>
    </row>
    <row r="1750" spans="1:4" ht="15.75" x14ac:dyDescent="0.25">
      <c r="A1750" s="427"/>
      <c r="B1750" s="428"/>
      <c r="C1750" s="428"/>
      <c r="D1750" s="429"/>
    </row>
    <row r="1751" spans="1:4" ht="15.75" x14ac:dyDescent="0.25">
      <c r="A1751" s="427"/>
      <c r="B1751" s="428"/>
      <c r="C1751" s="428"/>
      <c r="D1751" s="429"/>
    </row>
    <row r="1752" spans="1:4" ht="15.75" x14ac:dyDescent="0.25">
      <c r="A1752" s="427"/>
      <c r="B1752" s="428"/>
      <c r="C1752" s="428"/>
      <c r="D1752" s="429"/>
    </row>
    <row r="1753" spans="1:4" ht="15.75" x14ac:dyDescent="0.25">
      <c r="A1753" s="427"/>
      <c r="B1753" s="428"/>
      <c r="C1753" s="428"/>
      <c r="D1753" s="429"/>
    </row>
    <row r="1754" spans="1:4" ht="15.75" x14ac:dyDescent="0.25">
      <c r="A1754" s="427"/>
      <c r="B1754" s="428"/>
      <c r="C1754" s="428"/>
      <c r="D1754" s="429"/>
    </row>
    <row r="1755" spans="1:4" ht="15.75" x14ac:dyDescent="0.25">
      <c r="A1755" s="427"/>
      <c r="B1755" s="428"/>
      <c r="C1755" s="428"/>
      <c r="D1755" s="429"/>
    </row>
    <row r="1756" spans="1:4" ht="15.75" x14ac:dyDescent="0.25">
      <c r="A1756" s="427"/>
      <c r="B1756" s="428"/>
      <c r="C1756" s="428"/>
      <c r="D1756" s="429"/>
    </row>
    <row r="1757" spans="1:4" ht="15.75" x14ac:dyDescent="0.25">
      <c r="A1757" s="427"/>
      <c r="B1757" s="428"/>
      <c r="C1757" s="428"/>
      <c r="D1757" s="429"/>
    </row>
    <row r="1758" spans="1:4" ht="15.75" x14ac:dyDescent="0.25">
      <c r="A1758" s="427"/>
      <c r="B1758" s="428"/>
      <c r="C1758" s="428"/>
      <c r="D1758" s="429"/>
    </row>
    <row r="1759" spans="1:4" ht="15.75" x14ac:dyDescent="0.25">
      <c r="A1759" s="427"/>
      <c r="B1759" s="428"/>
      <c r="C1759" s="428"/>
      <c r="D1759" s="429"/>
    </row>
    <row r="1760" spans="1:4" ht="15.75" x14ac:dyDescent="0.25">
      <c r="A1760" s="427"/>
      <c r="B1760" s="428"/>
      <c r="C1760" s="428"/>
      <c r="D1760" s="429"/>
    </row>
    <row r="1761" spans="1:4" ht="15.75" x14ac:dyDescent="0.25">
      <c r="A1761" s="427"/>
      <c r="B1761" s="428"/>
      <c r="C1761" s="428"/>
      <c r="D1761" s="429"/>
    </row>
    <row r="1762" spans="1:4" ht="15.75" x14ac:dyDescent="0.25">
      <c r="A1762" s="427"/>
      <c r="B1762" s="428"/>
      <c r="C1762" s="428"/>
      <c r="D1762" s="429"/>
    </row>
    <row r="1763" spans="1:4" ht="15.75" x14ac:dyDescent="0.25">
      <c r="A1763" s="427"/>
      <c r="B1763" s="428"/>
      <c r="C1763" s="428"/>
      <c r="D1763" s="429"/>
    </row>
    <row r="1764" spans="1:4" ht="15.75" x14ac:dyDescent="0.25">
      <c r="A1764" s="427"/>
      <c r="B1764" s="428"/>
      <c r="C1764" s="428"/>
      <c r="D1764" s="429"/>
    </row>
    <row r="1765" spans="1:4" ht="15.75" x14ac:dyDescent="0.25">
      <c r="A1765" s="427"/>
      <c r="B1765" s="428"/>
      <c r="C1765" s="428"/>
      <c r="D1765" s="429"/>
    </row>
    <row r="1766" spans="1:4" ht="15.75" x14ac:dyDescent="0.25">
      <c r="A1766" s="427"/>
      <c r="B1766" s="428"/>
      <c r="C1766" s="428"/>
      <c r="D1766" s="429"/>
    </row>
    <row r="1767" spans="1:4" ht="15.75" x14ac:dyDescent="0.25">
      <c r="A1767" s="427"/>
      <c r="B1767" s="428"/>
      <c r="C1767" s="428"/>
      <c r="D1767" s="429"/>
    </row>
    <row r="1768" spans="1:4" ht="15.75" x14ac:dyDescent="0.25">
      <c r="A1768" s="427"/>
      <c r="B1768" s="428"/>
      <c r="C1768" s="428"/>
      <c r="D1768" s="429"/>
    </row>
    <row r="1769" spans="1:4" ht="15.75" x14ac:dyDescent="0.25">
      <c r="A1769" s="427"/>
      <c r="B1769" s="428"/>
      <c r="C1769" s="428"/>
      <c r="D1769" s="429"/>
    </row>
    <row r="1770" spans="1:4" ht="15.75" x14ac:dyDescent="0.25">
      <c r="A1770" s="427"/>
      <c r="B1770" s="428"/>
      <c r="C1770" s="428"/>
      <c r="D1770" s="429"/>
    </row>
    <row r="1771" spans="1:4" ht="15.75" x14ac:dyDescent="0.25">
      <c r="A1771" s="427"/>
      <c r="B1771" s="428"/>
      <c r="C1771" s="428"/>
      <c r="D1771" s="429"/>
    </row>
    <row r="1772" spans="1:4" ht="15.75" x14ac:dyDescent="0.25">
      <c r="A1772" s="427"/>
      <c r="B1772" s="428"/>
      <c r="C1772" s="428"/>
      <c r="D1772" s="429"/>
    </row>
    <row r="1773" spans="1:4" ht="15.75" x14ac:dyDescent="0.25">
      <c r="A1773" s="427"/>
      <c r="B1773" s="428"/>
      <c r="C1773" s="428"/>
      <c r="D1773" s="429"/>
    </row>
    <row r="1774" spans="1:4" ht="15.75" x14ac:dyDescent="0.25">
      <c r="A1774" s="427"/>
      <c r="B1774" s="428"/>
      <c r="C1774" s="428"/>
      <c r="D1774" s="429"/>
    </row>
    <row r="1775" spans="1:4" ht="15.75" x14ac:dyDescent="0.25">
      <c r="A1775" s="427"/>
      <c r="B1775" s="428"/>
      <c r="C1775" s="428"/>
      <c r="D1775" s="429"/>
    </row>
    <row r="1776" spans="1:4" ht="15.75" x14ac:dyDescent="0.25">
      <c r="A1776" s="427"/>
      <c r="B1776" s="428"/>
      <c r="C1776" s="428"/>
      <c r="D1776" s="429"/>
    </row>
    <row r="1777" spans="1:4" ht="15.75" x14ac:dyDescent="0.25">
      <c r="A1777" s="427"/>
      <c r="B1777" s="428"/>
      <c r="C1777" s="428"/>
      <c r="D1777" s="429"/>
    </row>
    <row r="1778" spans="1:4" ht="15.75" x14ac:dyDescent="0.25">
      <c r="A1778" s="427"/>
      <c r="B1778" s="428"/>
      <c r="C1778" s="428"/>
      <c r="D1778" s="429"/>
    </row>
    <row r="1779" spans="1:4" ht="15.75" x14ac:dyDescent="0.25">
      <c r="A1779" s="427"/>
      <c r="B1779" s="428"/>
      <c r="C1779" s="428"/>
      <c r="D1779" s="429"/>
    </row>
    <row r="1780" spans="1:4" ht="15.75" x14ac:dyDescent="0.25">
      <c r="A1780" s="427"/>
      <c r="B1780" s="428"/>
      <c r="C1780" s="428"/>
      <c r="D1780" s="429"/>
    </row>
    <row r="1781" spans="1:4" ht="15.75" x14ac:dyDescent="0.25">
      <c r="A1781" s="427"/>
      <c r="B1781" s="428"/>
      <c r="C1781" s="428"/>
      <c r="D1781" s="429"/>
    </row>
    <row r="1782" spans="1:4" ht="15.75" x14ac:dyDescent="0.25">
      <c r="A1782" s="427"/>
      <c r="B1782" s="428"/>
      <c r="C1782" s="428"/>
      <c r="D1782" s="429"/>
    </row>
    <row r="1783" spans="1:4" ht="15.75" x14ac:dyDescent="0.25">
      <c r="A1783" s="427"/>
      <c r="B1783" s="428"/>
      <c r="C1783" s="428"/>
      <c r="D1783" s="429"/>
    </row>
    <row r="1784" spans="1:4" ht="15.75" x14ac:dyDescent="0.25">
      <c r="A1784" s="427"/>
      <c r="B1784" s="428"/>
      <c r="C1784" s="428"/>
      <c r="D1784" s="429"/>
    </row>
    <row r="1785" spans="1:4" ht="15.75" x14ac:dyDescent="0.25">
      <c r="A1785" s="427"/>
      <c r="B1785" s="428"/>
      <c r="C1785" s="428"/>
      <c r="D1785" s="429"/>
    </row>
    <row r="1786" spans="1:4" ht="15.75" x14ac:dyDescent="0.25">
      <c r="A1786" s="427"/>
      <c r="B1786" s="428"/>
      <c r="C1786" s="428"/>
      <c r="D1786" s="429"/>
    </row>
    <row r="1787" spans="1:4" ht="15.75" x14ac:dyDescent="0.25">
      <c r="A1787" s="427"/>
      <c r="B1787" s="428"/>
      <c r="C1787" s="428"/>
      <c r="D1787" s="429"/>
    </row>
    <row r="1788" spans="1:4" ht="15.75" x14ac:dyDescent="0.25">
      <c r="A1788" s="427"/>
      <c r="B1788" s="428"/>
      <c r="C1788" s="428"/>
      <c r="D1788" s="429"/>
    </row>
    <row r="1789" spans="1:4" ht="15.75" x14ac:dyDescent="0.25">
      <c r="A1789" s="427"/>
      <c r="B1789" s="428"/>
      <c r="C1789" s="428"/>
      <c r="D1789" s="429"/>
    </row>
    <row r="1790" spans="1:4" ht="15.75" x14ac:dyDescent="0.25">
      <c r="A1790" s="427"/>
      <c r="B1790" s="428"/>
      <c r="C1790" s="428"/>
      <c r="D1790" s="429"/>
    </row>
    <row r="1791" spans="1:4" ht="15.75" x14ac:dyDescent="0.25">
      <c r="A1791" s="427"/>
      <c r="B1791" s="428"/>
      <c r="C1791" s="428"/>
      <c r="D1791" s="429"/>
    </row>
    <row r="1792" spans="1:4" ht="15.75" x14ac:dyDescent="0.25">
      <c r="A1792" s="427"/>
      <c r="B1792" s="428"/>
      <c r="C1792" s="428"/>
      <c r="D1792" s="429"/>
    </row>
    <row r="1793" spans="1:4" ht="15.75" x14ac:dyDescent="0.25">
      <c r="A1793" s="427"/>
      <c r="B1793" s="428"/>
      <c r="C1793" s="428"/>
      <c r="D1793" s="429"/>
    </row>
    <row r="1794" spans="1:4" ht="15.75" x14ac:dyDescent="0.25">
      <c r="A1794" s="427"/>
      <c r="B1794" s="428"/>
      <c r="C1794" s="428"/>
      <c r="D1794" s="429"/>
    </row>
    <row r="1795" spans="1:4" ht="15.75" x14ac:dyDescent="0.25">
      <c r="A1795" s="427"/>
      <c r="B1795" s="428"/>
      <c r="C1795" s="428"/>
      <c r="D1795" s="429"/>
    </row>
    <row r="1796" spans="1:4" ht="15.75" x14ac:dyDescent="0.25">
      <c r="A1796" s="427"/>
      <c r="B1796" s="428"/>
      <c r="C1796" s="428"/>
      <c r="D1796" s="429"/>
    </row>
    <row r="1797" spans="1:4" ht="15.75" x14ac:dyDescent="0.25">
      <c r="A1797" s="427"/>
      <c r="B1797" s="428"/>
      <c r="C1797" s="428"/>
      <c r="D1797" s="429"/>
    </row>
    <row r="1798" spans="1:4" ht="15.75" x14ac:dyDescent="0.25">
      <c r="A1798" s="427"/>
      <c r="B1798" s="428"/>
      <c r="C1798" s="428"/>
      <c r="D1798" s="429"/>
    </row>
    <row r="1799" spans="1:4" ht="15.75" x14ac:dyDescent="0.25">
      <c r="A1799" s="427"/>
      <c r="B1799" s="428"/>
      <c r="C1799" s="428"/>
      <c r="D1799" s="429"/>
    </row>
    <row r="1800" spans="1:4" ht="15.75" x14ac:dyDescent="0.25">
      <c r="A1800" s="427"/>
      <c r="B1800" s="428"/>
      <c r="C1800" s="428"/>
      <c r="D1800" s="429"/>
    </row>
    <row r="1801" spans="1:4" ht="15.75" x14ac:dyDescent="0.25">
      <c r="A1801" s="427"/>
      <c r="B1801" s="428"/>
      <c r="C1801" s="428"/>
      <c r="D1801" s="429"/>
    </row>
    <row r="1802" spans="1:4" ht="15.75" x14ac:dyDescent="0.25">
      <c r="A1802" s="427"/>
      <c r="B1802" s="428"/>
      <c r="C1802" s="428"/>
      <c r="D1802" s="429"/>
    </row>
    <row r="1803" spans="1:4" ht="15.75" x14ac:dyDescent="0.25">
      <c r="A1803" s="427"/>
      <c r="B1803" s="428"/>
      <c r="C1803" s="428"/>
      <c r="D1803" s="429"/>
    </row>
    <row r="1804" spans="1:4" ht="15.75" x14ac:dyDescent="0.25">
      <c r="A1804" s="427"/>
      <c r="B1804" s="428"/>
      <c r="C1804" s="428"/>
      <c r="D1804" s="429"/>
    </row>
    <row r="1805" spans="1:4" ht="15.75" x14ac:dyDescent="0.25">
      <c r="A1805" s="427"/>
      <c r="B1805" s="428"/>
      <c r="C1805" s="428"/>
      <c r="D1805" s="429"/>
    </row>
    <row r="1806" spans="1:4" ht="15.75" x14ac:dyDescent="0.25">
      <c r="A1806" s="427"/>
      <c r="B1806" s="428"/>
      <c r="C1806" s="428"/>
      <c r="D1806" s="429"/>
    </row>
    <row r="1807" spans="1:4" ht="15.75" x14ac:dyDescent="0.25">
      <c r="A1807" s="427"/>
      <c r="B1807" s="428"/>
      <c r="C1807" s="428"/>
      <c r="D1807" s="429"/>
    </row>
    <row r="1808" spans="1:4" ht="15.75" x14ac:dyDescent="0.25">
      <c r="A1808" s="427"/>
      <c r="B1808" s="428"/>
      <c r="C1808" s="428"/>
      <c r="D1808" s="429"/>
    </row>
    <row r="1809" spans="1:4" ht="15.75" x14ac:dyDescent="0.25">
      <c r="A1809" s="427"/>
      <c r="B1809" s="428"/>
      <c r="C1809" s="428"/>
      <c r="D1809" s="429"/>
    </row>
    <row r="1810" spans="1:4" ht="15.75" x14ac:dyDescent="0.25">
      <c r="A1810" s="427"/>
      <c r="B1810" s="428"/>
      <c r="C1810" s="428"/>
      <c r="D1810" s="429"/>
    </row>
    <row r="1811" spans="1:4" ht="15.75" x14ac:dyDescent="0.25">
      <c r="A1811" s="427"/>
      <c r="B1811" s="428"/>
      <c r="C1811" s="428"/>
      <c r="D1811" s="429"/>
    </row>
    <row r="1812" spans="1:4" ht="15.75" x14ac:dyDescent="0.25">
      <c r="A1812" s="427"/>
      <c r="B1812" s="428"/>
      <c r="C1812" s="428"/>
      <c r="D1812" s="429"/>
    </row>
    <row r="1813" spans="1:4" ht="15.75" x14ac:dyDescent="0.25">
      <c r="A1813" s="427"/>
      <c r="B1813" s="428"/>
      <c r="C1813" s="428"/>
      <c r="D1813" s="429"/>
    </row>
    <row r="1814" spans="1:4" ht="15.75" x14ac:dyDescent="0.25">
      <c r="A1814" s="427"/>
      <c r="B1814" s="428"/>
      <c r="C1814" s="428"/>
      <c r="D1814" s="429"/>
    </row>
    <row r="1815" spans="1:4" ht="15.75" x14ac:dyDescent="0.25">
      <c r="A1815" s="427"/>
      <c r="B1815" s="428"/>
      <c r="C1815" s="428"/>
      <c r="D1815" s="429"/>
    </row>
    <row r="1816" spans="1:4" ht="15.75" x14ac:dyDescent="0.25">
      <c r="A1816" s="427"/>
      <c r="B1816" s="428"/>
      <c r="C1816" s="428"/>
      <c r="D1816" s="429"/>
    </row>
    <row r="1817" spans="1:4" ht="15.75" x14ac:dyDescent="0.25">
      <c r="A1817" s="427"/>
      <c r="B1817" s="428"/>
      <c r="C1817" s="428"/>
      <c r="D1817" s="429"/>
    </row>
    <row r="1818" spans="1:4" ht="15.75" x14ac:dyDescent="0.25">
      <c r="A1818" s="427"/>
      <c r="B1818" s="428"/>
      <c r="C1818" s="428"/>
      <c r="D1818" s="429"/>
    </row>
    <row r="1819" spans="1:4" ht="15.75" x14ac:dyDescent="0.25">
      <c r="A1819" s="427"/>
      <c r="B1819" s="428"/>
      <c r="C1819" s="428"/>
      <c r="D1819" s="429"/>
    </row>
    <row r="1820" spans="1:4" ht="15.75" x14ac:dyDescent="0.25">
      <c r="A1820" s="427"/>
      <c r="B1820" s="428"/>
      <c r="C1820" s="428"/>
      <c r="D1820" s="429"/>
    </row>
    <row r="1821" spans="1:4" ht="15.75" x14ac:dyDescent="0.25">
      <c r="A1821" s="427"/>
      <c r="B1821" s="428"/>
      <c r="C1821" s="428"/>
      <c r="D1821" s="429"/>
    </row>
    <row r="1822" spans="1:4" ht="15.75" x14ac:dyDescent="0.25">
      <c r="A1822" s="427"/>
      <c r="B1822" s="428"/>
      <c r="C1822" s="428"/>
      <c r="D1822" s="429"/>
    </row>
    <row r="1823" spans="1:4" ht="15.75" x14ac:dyDescent="0.25">
      <c r="A1823" s="427"/>
      <c r="B1823" s="428"/>
      <c r="C1823" s="428"/>
      <c r="D1823" s="429"/>
    </row>
    <row r="1824" spans="1:4" ht="15.75" x14ac:dyDescent="0.25">
      <c r="A1824" s="427"/>
      <c r="B1824" s="428"/>
      <c r="C1824" s="428"/>
      <c r="D1824" s="429"/>
    </row>
    <row r="1825" spans="1:4" ht="15.75" x14ac:dyDescent="0.25">
      <c r="A1825" s="427"/>
      <c r="B1825" s="428"/>
      <c r="C1825" s="428"/>
      <c r="D1825" s="429"/>
    </row>
    <row r="1826" spans="1:4" ht="15.75" x14ac:dyDescent="0.25">
      <c r="A1826" s="427"/>
      <c r="B1826" s="428"/>
      <c r="C1826" s="428"/>
      <c r="D1826" s="429"/>
    </row>
    <row r="1827" spans="1:4" ht="15.75" x14ac:dyDescent="0.25">
      <c r="A1827" s="427"/>
      <c r="B1827" s="428"/>
      <c r="C1827" s="428"/>
      <c r="D1827" s="429"/>
    </row>
    <row r="1828" spans="1:4" ht="15.75" x14ac:dyDescent="0.25">
      <c r="A1828" s="427"/>
      <c r="B1828" s="428"/>
      <c r="C1828" s="428"/>
      <c r="D1828" s="429"/>
    </row>
    <row r="1829" spans="1:4" ht="15.75" x14ac:dyDescent="0.25">
      <c r="A1829" s="427"/>
      <c r="B1829" s="428"/>
      <c r="C1829" s="428"/>
      <c r="D1829" s="429"/>
    </row>
    <row r="1830" spans="1:4" ht="15.75" x14ac:dyDescent="0.25">
      <c r="A1830" s="427"/>
      <c r="B1830" s="428"/>
      <c r="C1830" s="428"/>
      <c r="D1830" s="429"/>
    </row>
    <row r="1831" spans="1:4" ht="15.75" x14ac:dyDescent="0.25">
      <c r="A1831" s="427"/>
      <c r="B1831" s="428"/>
      <c r="C1831" s="428"/>
      <c r="D1831" s="429"/>
    </row>
    <row r="1832" spans="1:4" ht="15.75" x14ac:dyDescent="0.25">
      <c r="A1832" s="427"/>
      <c r="B1832" s="428"/>
      <c r="C1832" s="428"/>
      <c r="D1832" s="429"/>
    </row>
    <row r="1833" spans="1:4" ht="15.75" x14ac:dyDescent="0.25">
      <c r="A1833" s="427"/>
      <c r="B1833" s="428"/>
      <c r="C1833" s="428"/>
      <c r="D1833" s="429"/>
    </row>
    <row r="1834" spans="1:4" ht="15.75" x14ac:dyDescent="0.25">
      <c r="A1834" s="427"/>
      <c r="B1834" s="428"/>
      <c r="C1834" s="428"/>
      <c r="D1834" s="429"/>
    </row>
    <row r="1835" spans="1:4" ht="15.75" x14ac:dyDescent="0.25">
      <c r="A1835" s="427"/>
      <c r="B1835" s="428"/>
      <c r="C1835" s="428"/>
      <c r="D1835" s="429"/>
    </row>
    <row r="1836" spans="1:4" ht="15.75" x14ac:dyDescent="0.25">
      <c r="A1836" s="427"/>
      <c r="B1836" s="428"/>
      <c r="C1836" s="428"/>
      <c r="D1836" s="429"/>
    </row>
    <row r="1837" spans="1:4" ht="15.75" x14ac:dyDescent="0.25">
      <c r="A1837" s="427"/>
      <c r="B1837" s="428"/>
      <c r="C1837" s="428"/>
      <c r="D1837" s="429"/>
    </row>
    <row r="1838" spans="1:4" ht="15.75" x14ac:dyDescent="0.25">
      <c r="A1838" s="427"/>
      <c r="B1838" s="428"/>
      <c r="C1838" s="428"/>
      <c r="D1838" s="429"/>
    </row>
    <row r="1839" spans="1:4" ht="15.75" x14ac:dyDescent="0.25">
      <c r="A1839" s="427"/>
      <c r="B1839" s="428"/>
      <c r="C1839" s="428"/>
      <c r="D1839" s="429"/>
    </row>
    <row r="1840" spans="1:4" ht="15.75" x14ac:dyDescent="0.25">
      <c r="A1840" s="427"/>
      <c r="B1840" s="428"/>
      <c r="C1840" s="428"/>
      <c r="D1840" s="429"/>
    </row>
    <row r="1841" spans="1:4" ht="15.75" x14ac:dyDescent="0.25">
      <c r="A1841" s="427"/>
      <c r="B1841" s="428"/>
      <c r="C1841" s="428"/>
      <c r="D1841" s="429"/>
    </row>
    <row r="1842" spans="1:4" ht="15.75" x14ac:dyDescent="0.25">
      <c r="A1842" s="427"/>
      <c r="B1842" s="428"/>
      <c r="C1842" s="428"/>
      <c r="D1842" s="429"/>
    </row>
    <row r="1843" spans="1:4" ht="15.75" x14ac:dyDescent="0.25">
      <c r="A1843" s="427"/>
      <c r="B1843" s="428"/>
      <c r="C1843" s="428"/>
      <c r="D1843" s="429"/>
    </row>
    <row r="1844" spans="1:4" ht="15.75" x14ac:dyDescent="0.25">
      <c r="A1844" s="427"/>
      <c r="B1844" s="428"/>
      <c r="C1844" s="428"/>
      <c r="D1844" s="429"/>
    </row>
    <row r="1845" spans="1:4" ht="15.75" x14ac:dyDescent="0.25">
      <c r="A1845" s="427"/>
      <c r="B1845" s="428"/>
      <c r="C1845" s="428"/>
      <c r="D1845" s="429"/>
    </row>
    <row r="1846" spans="1:4" ht="15.75" x14ac:dyDescent="0.25">
      <c r="A1846" s="427"/>
      <c r="B1846" s="428"/>
      <c r="C1846" s="428"/>
      <c r="D1846" s="429"/>
    </row>
    <row r="1847" spans="1:4" ht="15.75" x14ac:dyDescent="0.25">
      <c r="A1847" s="427"/>
      <c r="B1847" s="428"/>
      <c r="C1847" s="428"/>
      <c r="D1847" s="429"/>
    </row>
    <row r="1848" spans="1:4" ht="15.75" x14ac:dyDescent="0.25">
      <c r="A1848" s="427"/>
      <c r="B1848" s="428"/>
      <c r="C1848" s="428"/>
      <c r="D1848" s="429"/>
    </row>
    <row r="1849" spans="1:4" ht="15.75" x14ac:dyDescent="0.25">
      <c r="A1849" s="427"/>
      <c r="B1849" s="428"/>
      <c r="C1849" s="428"/>
      <c r="D1849" s="429"/>
    </row>
    <row r="1850" spans="1:4" ht="15.75" x14ac:dyDescent="0.25">
      <c r="A1850" s="427"/>
      <c r="B1850" s="428"/>
      <c r="C1850" s="428"/>
      <c r="D1850" s="429"/>
    </row>
    <row r="1851" spans="1:4" ht="15.75" x14ac:dyDescent="0.25">
      <c r="A1851" s="427"/>
      <c r="B1851" s="428"/>
      <c r="C1851" s="428"/>
      <c r="D1851" s="429"/>
    </row>
    <row r="1852" spans="1:4" ht="15.75" x14ac:dyDescent="0.25">
      <c r="A1852" s="427"/>
      <c r="B1852" s="428"/>
      <c r="C1852" s="428"/>
      <c r="D1852" s="429"/>
    </row>
    <row r="1853" spans="1:4" ht="15.75" x14ac:dyDescent="0.25">
      <c r="A1853" s="427"/>
      <c r="B1853" s="428"/>
      <c r="C1853" s="428"/>
      <c r="D1853" s="429"/>
    </row>
    <row r="1854" spans="1:4" ht="15.75" x14ac:dyDescent="0.25">
      <c r="A1854" s="427"/>
      <c r="B1854" s="428"/>
      <c r="C1854" s="428"/>
      <c r="D1854" s="429"/>
    </row>
    <row r="1855" spans="1:4" ht="15.75" x14ac:dyDescent="0.25">
      <c r="A1855" s="427"/>
      <c r="B1855" s="428"/>
      <c r="C1855" s="428"/>
      <c r="D1855" s="429"/>
    </row>
    <row r="1856" spans="1:4" ht="15.75" x14ac:dyDescent="0.25">
      <c r="A1856" s="427"/>
      <c r="B1856" s="428"/>
      <c r="C1856" s="428"/>
      <c r="D1856" s="429"/>
    </row>
    <row r="1857" spans="1:4" ht="15.75" x14ac:dyDescent="0.25">
      <c r="A1857" s="427"/>
      <c r="B1857" s="428"/>
      <c r="C1857" s="428"/>
      <c r="D1857" s="429"/>
    </row>
    <row r="1858" spans="1:4" ht="15.75" x14ac:dyDescent="0.25">
      <c r="A1858" s="427"/>
      <c r="B1858" s="428"/>
      <c r="C1858" s="428"/>
      <c r="D1858" s="429"/>
    </row>
    <row r="1859" spans="1:4" ht="15.75" x14ac:dyDescent="0.25">
      <c r="A1859" s="427"/>
      <c r="B1859" s="428"/>
      <c r="C1859" s="428"/>
      <c r="D1859" s="429"/>
    </row>
    <row r="1860" spans="1:4" ht="15.75" x14ac:dyDescent="0.25">
      <c r="A1860" s="427"/>
      <c r="B1860" s="428"/>
      <c r="C1860" s="428"/>
      <c r="D1860" s="429"/>
    </row>
    <row r="1861" spans="1:4" ht="15.75" x14ac:dyDescent="0.25">
      <c r="A1861" s="427"/>
      <c r="B1861" s="428"/>
      <c r="C1861" s="428"/>
      <c r="D1861" s="429"/>
    </row>
    <row r="1862" spans="1:4" ht="15.75" x14ac:dyDescent="0.25">
      <c r="A1862" s="427"/>
      <c r="B1862" s="428"/>
      <c r="C1862" s="428"/>
      <c r="D1862" s="429"/>
    </row>
    <row r="1863" spans="1:4" ht="15.75" x14ac:dyDescent="0.25">
      <c r="A1863" s="427"/>
      <c r="B1863" s="428"/>
      <c r="C1863" s="428"/>
      <c r="D1863" s="429"/>
    </row>
    <row r="1864" spans="1:4" ht="15.75" x14ac:dyDescent="0.25">
      <c r="A1864" s="427"/>
      <c r="B1864" s="428"/>
      <c r="C1864" s="428"/>
      <c r="D1864" s="429"/>
    </row>
    <row r="1865" spans="1:4" ht="15.75" x14ac:dyDescent="0.25">
      <c r="A1865" s="427"/>
      <c r="B1865" s="428"/>
      <c r="C1865" s="428"/>
      <c r="D1865" s="429"/>
    </row>
    <row r="1866" spans="1:4" ht="15.75" x14ac:dyDescent="0.25">
      <c r="A1866" s="427"/>
      <c r="B1866" s="428"/>
      <c r="C1866" s="428"/>
      <c r="D1866" s="429"/>
    </row>
    <row r="1867" spans="1:4" ht="15.75" x14ac:dyDescent="0.25">
      <c r="A1867" s="427"/>
      <c r="B1867" s="428"/>
      <c r="C1867" s="428"/>
      <c r="D1867" s="429"/>
    </row>
    <row r="1868" spans="1:4" ht="15.75" x14ac:dyDescent="0.25">
      <c r="A1868" s="427"/>
      <c r="B1868" s="428"/>
      <c r="C1868" s="428"/>
      <c r="D1868" s="429"/>
    </row>
    <row r="1869" spans="1:4" ht="15.75" x14ac:dyDescent="0.25">
      <c r="A1869" s="427"/>
      <c r="B1869" s="428"/>
      <c r="C1869" s="428"/>
      <c r="D1869" s="429"/>
    </row>
    <row r="1870" spans="1:4" ht="15.75" x14ac:dyDescent="0.25">
      <c r="A1870" s="427"/>
      <c r="B1870" s="428"/>
      <c r="C1870" s="428"/>
      <c r="D1870" s="429"/>
    </row>
    <row r="1871" spans="1:4" ht="15.75" x14ac:dyDescent="0.25">
      <c r="A1871" s="427"/>
      <c r="B1871" s="428"/>
      <c r="C1871" s="428"/>
      <c r="D1871" s="429"/>
    </row>
    <row r="1872" spans="1:4" ht="15.75" x14ac:dyDescent="0.25">
      <c r="A1872" s="427"/>
      <c r="B1872" s="428"/>
      <c r="C1872" s="428"/>
      <c r="D1872" s="429"/>
    </row>
    <row r="1873" spans="1:4" ht="15.75" x14ac:dyDescent="0.25">
      <c r="A1873" s="427"/>
      <c r="B1873" s="428"/>
      <c r="C1873" s="428"/>
      <c r="D1873" s="429"/>
    </row>
    <row r="1874" spans="1:4" ht="15.75" x14ac:dyDescent="0.25">
      <c r="A1874" s="427"/>
      <c r="B1874" s="428"/>
      <c r="C1874" s="428"/>
      <c r="D1874" s="429"/>
    </row>
    <row r="1875" spans="1:4" ht="15.75" x14ac:dyDescent="0.25">
      <c r="A1875" s="427"/>
      <c r="B1875" s="428"/>
      <c r="C1875" s="428"/>
      <c r="D1875" s="429"/>
    </row>
    <row r="1876" spans="1:4" ht="15.75" x14ac:dyDescent="0.25">
      <c r="A1876" s="427"/>
      <c r="B1876" s="428"/>
      <c r="C1876" s="428"/>
      <c r="D1876" s="429"/>
    </row>
    <row r="1877" spans="1:4" ht="15.75" x14ac:dyDescent="0.25">
      <c r="A1877" s="427"/>
      <c r="B1877" s="428"/>
      <c r="C1877" s="428"/>
      <c r="D1877" s="429"/>
    </row>
    <row r="1878" spans="1:4" ht="15.75" x14ac:dyDescent="0.25">
      <c r="A1878" s="427"/>
      <c r="B1878" s="428"/>
      <c r="C1878" s="428"/>
      <c r="D1878" s="429"/>
    </row>
    <row r="1879" spans="1:4" ht="15.75" x14ac:dyDescent="0.25">
      <c r="A1879" s="427"/>
      <c r="B1879" s="428"/>
      <c r="C1879" s="428"/>
      <c r="D1879" s="429"/>
    </row>
    <row r="1880" spans="1:4" ht="15.75" x14ac:dyDescent="0.25">
      <c r="A1880" s="427"/>
      <c r="B1880" s="428"/>
      <c r="C1880" s="428"/>
      <c r="D1880" s="429"/>
    </row>
    <row r="1881" spans="1:4" ht="15.75" x14ac:dyDescent="0.25">
      <c r="A1881" s="427"/>
      <c r="B1881" s="428"/>
      <c r="C1881" s="428"/>
      <c r="D1881" s="429"/>
    </row>
    <row r="1882" spans="1:4" ht="15.75" x14ac:dyDescent="0.25">
      <c r="A1882" s="427"/>
      <c r="B1882" s="428"/>
      <c r="C1882" s="428"/>
      <c r="D1882" s="429"/>
    </row>
    <row r="1883" spans="1:4" ht="15.75" x14ac:dyDescent="0.25">
      <c r="A1883" s="427"/>
      <c r="B1883" s="428"/>
      <c r="C1883" s="428"/>
      <c r="D1883" s="429"/>
    </row>
    <row r="1884" spans="1:4" ht="15.75" x14ac:dyDescent="0.25">
      <c r="A1884" s="427"/>
      <c r="B1884" s="428"/>
      <c r="C1884" s="428"/>
      <c r="D1884" s="429"/>
    </row>
    <row r="1885" spans="1:4" ht="15.75" x14ac:dyDescent="0.25">
      <c r="A1885" s="427"/>
      <c r="B1885" s="428"/>
      <c r="C1885" s="428"/>
      <c r="D1885" s="429"/>
    </row>
    <row r="1886" spans="1:4" ht="15.75" x14ac:dyDescent="0.25">
      <c r="A1886" s="427"/>
      <c r="B1886" s="428"/>
      <c r="C1886" s="428"/>
      <c r="D1886" s="429"/>
    </row>
    <row r="1887" spans="1:4" ht="15.75" x14ac:dyDescent="0.25">
      <c r="A1887" s="427"/>
      <c r="B1887" s="428"/>
      <c r="C1887" s="428"/>
      <c r="D1887" s="429"/>
    </row>
    <row r="1888" spans="1:4" ht="15.75" x14ac:dyDescent="0.25">
      <c r="A1888" s="427"/>
      <c r="B1888" s="428"/>
      <c r="C1888" s="428"/>
      <c r="D1888" s="429"/>
    </row>
    <row r="1889" spans="1:4" ht="15.75" x14ac:dyDescent="0.25">
      <c r="A1889" s="427"/>
      <c r="B1889" s="428"/>
      <c r="C1889" s="428"/>
      <c r="D1889" s="429"/>
    </row>
    <row r="1890" spans="1:4" ht="15.75" x14ac:dyDescent="0.25">
      <c r="A1890" s="427"/>
      <c r="B1890" s="428"/>
      <c r="C1890" s="428"/>
      <c r="D1890" s="429"/>
    </row>
    <row r="1891" spans="1:4" ht="15.75" x14ac:dyDescent="0.25">
      <c r="A1891" s="427"/>
      <c r="B1891" s="428"/>
      <c r="C1891" s="428"/>
      <c r="D1891" s="429"/>
    </row>
    <row r="1892" spans="1:4" ht="15.75" x14ac:dyDescent="0.25">
      <c r="A1892" s="427"/>
      <c r="B1892" s="428"/>
      <c r="C1892" s="428"/>
      <c r="D1892" s="429"/>
    </row>
    <row r="1893" spans="1:4" ht="15.75" x14ac:dyDescent="0.25">
      <c r="A1893" s="427"/>
      <c r="B1893" s="428"/>
      <c r="C1893" s="428"/>
      <c r="D1893" s="429"/>
    </row>
    <row r="1894" spans="1:4" ht="15.75" x14ac:dyDescent="0.25">
      <c r="A1894" s="427"/>
      <c r="B1894" s="428"/>
      <c r="C1894" s="428"/>
      <c r="D1894" s="429"/>
    </row>
    <row r="1895" spans="1:4" ht="15.75" x14ac:dyDescent="0.25">
      <c r="A1895" s="427"/>
      <c r="B1895" s="428"/>
      <c r="C1895" s="428"/>
      <c r="D1895" s="429"/>
    </row>
    <row r="1896" spans="1:4" ht="15.75" x14ac:dyDescent="0.25">
      <c r="A1896" s="427"/>
      <c r="B1896" s="428"/>
      <c r="C1896" s="428"/>
      <c r="D1896" s="429"/>
    </row>
    <row r="1897" spans="1:4" ht="15.75" x14ac:dyDescent="0.25">
      <c r="A1897" s="427"/>
      <c r="B1897" s="428"/>
      <c r="C1897" s="428"/>
      <c r="D1897" s="429"/>
    </row>
    <row r="1898" spans="1:4" ht="15.75" x14ac:dyDescent="0.25">
      <c r="A1898" s="427"/>
      <c r="B1898" s="428"/>
      <c r="C1898" s="428"/>
      <c r="D1898" s="429"/>
    </row>
    <row r="1899" spans="1:4" ht="15.75" x14ac:dyDescent="0.25">
      <c r="A1899" s="427"/>
      <c r="B1899" s="428"/>
      <c r="C1899" s="428"/>
      <c r="D1899" s="429"/>
    </row>
    <row r="1900" spans="1:4" ht="15.75" x14ac:dyDescent="0.25">
      <c r="A1900" s="427"/>
      <c r="B1900" s="428"/>
      <c r="C1900" s="428"/>
      <c r="D1900" s="429"/>
    </row>
    <row r="1901" spans="1:4" ht="15.75" x14ac:dyDescent="0.25">
      <c r="A1901" s="427"/>
      <c r="B1901" s="428"/>
      <c r="C1901" s="428"/>
      <c r="D1901" s="429"/>
    </row>
    <row r="1902" spans="1:4" ht="15.75" x14ac:dyDescent="0.25">
      <c r="A1902" s="427"/>
      <c r="B1902" s="428"/>
      <c r="C1902" s="428"/>
      <c r="D1902" s="429"/>
    </row>
    <row r="1903" spans="1:4" ht="15.75" x14ac:dyDescent="0.25">
      <c r="A1903" s="427"/>
      <c r="B1903" s="428"/>
      <c r="C1903" s="428"/>
      <c r="D1903" s="429"/>
    </row>
    <row r="1904" spans="1:4" ht="15.75" x14ac:dyDescent="0.25">
      <c r="A1904" s="427"/>
      <c r="B1904" s="428"/>
      <c r="C1904" s="428"/>
      <c r="D1904" s="429"/>
    </row>
    <row r="1905" spans="1:4" ht="15.75" x14ac:dyDescent="0.25">
      <c r="A1905" s="427"/>
      <c r="B1905" s="428"/>
      <c r="C1905" s="428"/>
      <c r="D1905" s="429"/>
    </row>
    <row r="1906" spans="1:4" ht="15.75" x14ac:dyDescent="0.25">
      <c r="A1906" s="427"/>
      <c r="B1906" s="428"/>
      <c r="C1906" s="428"/>
      <c r="D1906" s="429"/>
    </row>
    <row r="1907" spans="1:4" ht="15.75" x14ac:dyDescent="0.25">
      <c r="A1907" s="427"/>
      <c r="B1907" s="428"/>
      <c r="C1907" s="428"/>
      <c r="D1907" s="429"/>
    </row>
    <row r="1908" spans="1:4" ht="15.75" x14ac:dyDescent="0.25">
      <c r="A1908" s="427"/>
      <c r="B1908" s="428"/>
      <c r="C1908" s="428"/>
      <c r="D1908" s="429"/>
    </row>
    <row r="1909" spans="1:4" ht="15.75" x14ac:dyDescent="0.25">
      <c r="A1909" s="427"/>
      <c r="B1909" s="428"/>
      <c r="C1909" s="428"/>
      <c r="D1909" s="429"/>
    </row>
    <row r="1910" spans="1:4" ht="15.75" x14ac:dyDescent="0.25">
      <c r="A1910" s="427"/>
      <c r="B1910" s="428"/>
      <c r="C1910" s="428"/>
      <c r="D1910" s="429"/>
    </row>
    <row r="1911" spans="1:4" ht="15.75" x14ac:dyDescent="0.25">
      <c r="A1911" s="427"/>
      <c r="B1911" s="428"/>
      <c r="C1911" s="428"/>
      <c r="D1911" s="429"/>
    </row>
    <row r="1912" spans="1:4" ht="15.75" x14ac:dyDescent="0.25">
      <c r="A1912" s="427"/>
      <c r="B1912" s="428"/>
      <c r="C1912" s="428"/>
      <c r="D1912" s="429"/>
    </row>
    <row r="1913" spans="1:4" ht="15.75" x14ac:dyDescent="0.25">
      <c r="A1913" s="427"/>
      <c r="B1913" s="428"/>
      <c r="C1913" s="428"/>
      <c r="D1913" s="429"/>
    </row>
    <row r="1914" spans="1:4" ht="15.75" x14ac:dyDescent="0.25">
      <c r="A1914" s="427"/>
      <c r="B1914" s="428"/>
      <c r="C1914" s="428"/>
      <c r="D1914" s="429"/>
    </row>
    <row r="1915" spans="1:4" ht="15.75" x14ac:dyDescent="0.25">
      <c r="A1915" s="427"/>
      <c r="B1915" s="428"/>
      <c r="C1915" s="428"/>
      <c r="D1915" s="429"/>
    </row>
    <row r="1916" spans="1:4" ht="15.75" x14ac:dyDescent="0.25">
      <c r="A1916" s="427"/>
      <c r="B1916" s="428"/>
      <c r="C1916" s="428"/>
      <c r="D1916" s="429"/>
    </row>
    <row r="1917" spans="1:4" ht="15.75" x14ac:dyDescent="0.25">
      <c r="A1917" s="427"/>
      <c r="B1917" s="428"/>
      <c r="C1917" s="428"/>
      <c r="D1917" s="429"/>
    </row>
    <row r="1918" spans="1:4" ht="15.75" x14ac:dyDescent="0.25">
      <c r="A1918" s="427"/>
      <c r="B1918" s="428"/>
      <c r="C1918" s="428"/>
      <c r="D1918" s="429"/>
    </row>
    <row r="1919" spans="1:4" ht="15.75" x14ac:dyDescent="0.25">
      <c r="A1919" s="427"/>
      <c r="B1919" s="428"/>
      <c r="C1919" s="428"/>
      <c r="D1919" s="429"/>
    </row>
    <row r="1920" spans="1:4" ht="15.75" x14ac:dyDescent="0.25">
      <c r="A1920" s="427"/>
      <c r="B1920" s="428"/>
      <c r="C1920" s="428"/>
      <c r="D1920" s="429"/>
    </row>
    <row r="1921" spans="1:4" ht="15.75" x14ac:dyDescent="0.25">
      <c r="A1921" s="427"/>
      <c r="B1921" s="428"/>
      <c r="C1921" s="428"/>
      <c r="D1921" s="429"/>
    </row>
    <row r="1922" spans="1:4" ht="15.75" x14ac:dyDescent="0.25">
      <c r="A1922" s="427"/>
      <c r="B1922" s="428"/>
      <c r="C1922" s="428"/>
      <c r="D1922" s="429"/>
    </row>
    <row r="1923" spans="1:4" ht="15.75" x14ac:dyDescent="0.25">
      <c r="A1923" s="427"/>
      <c r="B1923" s="428"/>
      <c r="C1923" s="428"/>
      <c r="D1923" s="429"/>
    </row>
    <row r="1924" spans="1:4" ht="15.75" x14ac:dyDescent="0.25">
      <c r="A1924" s="427"/>
      <c r="B1924" s="428"/>
      <c r="C1924" s="428"/>
      <c r="D1924" s="429"/>
    </row>
    <row r="1925" spans="1:4" ht="15.75" x14ac:dyDescent="0.25">
      <c r="A1925" s="427"/>
      <c r="B1925" s="428"/>
      <c r="C1925" s="428"/>
      <c r="D1925" s="429"/>
    </row>
    <row r="1926" spans="1:4" ht="15.75" x14ac:dyDescent="0.25">
      <c r="A1926" s="427"/>
      <c r="B1926" s="428"/>
      <c r="C1926" s="428"/>
      <c r="D1926" s="429"/>
    </row>
    <row r="1927" spans="1:4" ht="15.75" x14ac:dyDescent="0.25">
      <c r="A1927" s="427"/>
      <c r="B1927" s="428"/>
      <c r="C1927" s="428"/>
      <c r="D1927" s="429"/>
    </row>
    <row r="1928" spans="1:4" ht="15.75" x14ac:dyDescent="0.25">
      <c r="A1928" s="427"/>
      <c r="B1928" s="428"/>
      <c r="C1928" s="428"/>
      <c r="D1928" s="429"/>
    </row>
    <row r="1929" spans="1:4" ht="15.75" x14ac:dyDescent="0.25">
      <c r="A1929" s="427"/>
      <c r="B1929" s="428"/>
      <c r="C1929" s="428"/>
      <c r="D1929" s="429"/>
    </row>
    <row r="1930" spans="1:4" ht="15.75" x14ac:dyDescent="0.25">
      <c r="A1930" s="427"/>
      <c r="B1930" s="428"/>
      <c r="C1930" s="428"/>
      <c r="D1930" s="429"/>
    </row>
    <row r="1931" spans="1:4" ht="15.75" x14ac:dyDescent="0.25">
      <c r="A1931" s="427"/>
      <c r="B1931" s="428"/>
      <c r="C1931" s="428"/>
      <c r="D1931" s="429"/>
    </row>
    <row r="1932" spans="1:4" ht="15.75" x14ac:dyDescent="0.25">
      <c r="A1932" s="427"/>
      <c r="B1932" s="428"/>
      <c r="C1932" s="428"/>
      <c r="D1932" s="429"/>
    </row>
    <row r="1933" spans="1:4" ht="15.75" x14ac:dyDescent="0.25">
      <c r="A1933" s="427"/>
      <c r="B1933" s="428"/>
      <c r="C1933" s="428"/>
      <c r="D1933" s="429"/>
    </row>
    <row r="1934" spans="1:4" ht="15.75" x14ac:dyDescent="0.25">
      <c r="A1934" s="427"/>
      <c r="B1934" s="428"/>
      <c r="C1934" s="428"/>
      <c r="D1934" s="429"/>
    </row>
    <row r="1935" spans="1:4" ht="15.75" x14ac:dyDescent="0.25">
      <c r="A1935" s="427"/>
      <c r="B1935" s="428"/>
      <c r="C1935" s="428"/>
      <c r="D1935" s="429"/>
    </row>
    <row r="1936" spans="1:4" ht="15.75" x14ac:dyDescent="0.25">
      <c r="A1936" s="427"/>
      <c r="B1936" s="428"/>
      <c r="C1936" s="428"/>
      <c r="D1936" s="429"/>
    </row>
    <row r="1937" spans="1:4" ht="15.75" x14ac:dyDescent="0.25">
      <c r="A1937" s="427"/>
      <c r="B1937" s="428"/>
      <c r="C1937" s="428"/>
      <c r="D1937" s="429"/>
    </row>
    <row r="1938" spans="1:4" ht="15.75" x14ac:dyDescent="0.25">
      <c r="A1938" s="427"/>
      <c r="B1938" s="428"/>
      <c r="C1938" s="428"/>
      <c r="D1938" s="429"/>
    </row>
    <row r="1939" spans="1:4" ht="15.75" x14ac:dyDescent="0.25">
      <c r="A1939" s="427"/>
      <c r="B1939" s="428"/>
      <c r="C1939" s="428"/>
      <c r="D1939" s="429"/>
    </row>
    <row r="1940" spans="1:4" ht="15.75" x14ac:dyDescent="0.25">
      <c r="A1940" s="427"/>
      <c r="B1940" s="428"/>
      <c r="C1940" s="428"/>
      <c r="D1940" s="429"/>
    </row>
    <row r="1941" spans="1:4" ht="15.75" x14ac:dyDescent="0.25">
      <c r="A1941" s="427"/>
      <c r="B1941" s="428"/>
      <c r="C1941" s="428"/>
      <c r="D1941" s="429"/>
    </row>
    <row r="1942" spans="1:4" ht="15.75" x14ac:dyDescent="0.25">
      <c r="A1942" s="427"/>
      <c r="B1942" s="428"/>
      <c r="C1942" s="428"/>
      <c r="D1942" s="429"/>
    </row>
    <row r="1943" spans="1:4" ht="15.75" x14ac:dyDescent="0.25">
      <c r="A1943" s="427"/>
      <c r="B1943" s="428"/>
      <c r="C1943" s="428"/>
      <c r="D1943" s="429"/>
    </row>
    <row r="1944" spans="1:4" ht="15.75" x14ac:dyDescent="0.25">
      <c r="A1944" s="427"/>
      <c r="B1944" s="428"/>
      <c r="C1944" s="428"/>
      <c r="D1944" s="429"/>
    </row>
    <row r="1945" spans="1:4" ht="15.75" x14ac:dyDescent="0.25">
      <c r="A1945" s="427"/>
      <c r="B1945" s="428"/>
      <c r="C1945" s="428"/>
      <c r="D1945" s="429"/>
    </row>
    <row r="1946" spans="1:4" ht="15.75" x14ac:dyDescent="0.25">
      <c r="A1946" s="427"/>
      <c r="B1946" s="428"/>
      <c r="C1946" s="428"/>
      <c r="D1946" s="429"/>
    </row>
    <row r="1947" spans="1:4" ht="15.75" x14ac:dyDescent="0.25">
      <c r="A1947" s="427"/>
      <c r="B1947" s="428"/>
      <c r="C1947" s="428"/>
      <c r="D1947" s="429"/>
    </row>
    <row r="1948" spans="1:4" ht="15.75" x14ac:dyDescent="0.25">
      <c r="A1948" s="427"/>
      <c r="B1948" s="428"/>
      <c r="C1948" s="428"/>
      <c r="D1948" s="429"/>
    </row>
    <row r="1949" spans="1:4" ht="15.75" x14ac:dyDescent="0.25">
      <c r="A1949" s="427"/>
      <c r="B1949" s="428"/>
      <c r="C1949" s="428"/>
      <c r="D1949" s="429"/>
    </row>
    <row r="1950" spans="1:4" ht="15.75" x14ac:dyDescent="0.25">
      <c r="A1950" s="427"/>
      <c r="B1950" s="428"/>
      <c r="C1950" s="428"/>
      <c r="D1950" s="429"/>
    </row>
    <row r="1951" spans="1:4" ht="15.75" x14ac:dyDescent="0.25">
      <c r="A1951" s="427"/>
      <c r="B1951" s="428"/>
      <c r="C1951" s="428"/>
      <c r="D1951" s="429"/>
    </row>
    <row r="1952" spans="1:4" ht="15.75" x14ac:dyDescent="0.25">
      <c r="A1952" s="427"/>
      <c r="B1952" s="428"/>
      <c r="C1952" s="428"/>
      <c r="D1952" s="429"/>
    </row>
    <row r="1953" spans="1:4" ht="15.75" x14ac:dyDescent="0.25">
      <c r="A1953" s="427"/>
      <c r="B1953" s="428"/>
      <c r="C1953" s="428"/>
      <c r="D1953" s="429"/>
    </row>
    <row r="1954" spans="1:4" ht="15.75" x14ac:dyDescent="0.25">
      <c r="A1954" s="427"/>
      <c r="B1954" s="428"/>
      <c r="C1954" s="428"/>
      <c r="D1954" s="429"/>
    </row>
    <row r="1955" spans="1:4" ht="15.75" x14ac:dyDescent="0.25">
      <c r="A1955" s="427"/>
      <c r="B1955" s="428"/>
      <c r="C1955" s="428"/>
      <c r="D1955" s="429"/>
    </row>
    <row r="1956" spans="1:4" ht="15.75" x14ac:dyDescent="0.25">
      <c r="A1956" s="427"/>
      <c r="B1956" s="428"/>
      <c r="C1956" s="428"/>
      <c r="D1956" s="429"/>
    </row>
    <row r="1957" spans="1:4" ht="15.75" x14ac:dyDescent="0.25">
      <c r="A1957" s="427"/>
      <c r="B1957" s="428"/>
      <c r="C1957" s="428"/>
      <c r="D1957" s="429"/>
    </row>
    <row r="1958" spans="1:4" ht="15.75" x14ac:dyDescent="0.25">
      <c r="A1958" s="427"/>
      <c r="B1958" s="428"/>
      <c r="C1958" s="428"/>
      <c r="D1958" s="429"/>
    </row>
    <row r="1959" spans="1:4" ht="15.75" x14ac:dyDescent="0.25">
      <c r="A1959" s="427"/>
      <c r="B1959" s="428"/>
      <c r="C1959" s="428"/>
      <c r="D1959" s="429"/>
    </row>
    <row r="1960" spans="1:4" ht="15.75" x14ac:dyDescent="0.25">
      <c r="A1960" s="427"/>
      <c r="B1960" s="428"/>
      <c r="C1960" s="428"/>
      <c r="D1960" s="429"/>
    </row>
    <row r="1961" spans="1:4" ht="15.75" x14ac:dyDescent="0.25">
      <c r="A1961" s="427"/>
      <c r="B1961" s="428"/>
      <c r="C1961" s="428"/>
      <c r="D1961" s="429"/>
    </row>
    <row r="1962" spans="1:4" ht="15.75" x14ac:dyDescent="0.25">
      <c r="A1962" s="427"/>
      <c r="B1962" s="428"/>
      <c r="C1962" s="428"/>
      <c r="D1962" s="429"/>
    </row>
    <row r="1963" spans="1:4" ht="15.75" x14ac:dyDescent="0.25">
      <c r="A1963" s="427"/>
      <c r="B1963" s="428"/>
      <c r="C1963" s="428"/>
      <c r="D1963" s="429"/>
    </row>
    <row r="1964" spans="1:4" ht="15.75" x14ac:dyDescent="0.25">
      <c r="A1964" s="427"/>
      <c r="B1964" s="428"/>
      <c r="C1964" s="428"/>
      <c r="D1964" s="429"/>
    </row>
    <row r="1965" spans="1:4" ht="15.75" x14ac:dyDescent="0.25">
      <c r="A1965" s="427"/>
      <c r="B1965" s="428"/>
      <c r="C1965" s="428"/>
      <c r="D1965" s="429"/>
    </row>
    <row r="1966" spans="1:4" ht="15.75" x14ac:dyDescent="0.25">
      <c r="A1966" s="427"/>
      <c r="B1966" s="428"/>
      <c r="C1966" s="428"/>
      <c r="D1966" s="429"/>
    </row>
    <row r="1967" spans="1:4" ht="15.75" x14ac:dyDescent="0.25">
      <c r="A1967" s="427"/>
      <c r="B1967" s="428"/>
      <c r="C1967" s="428"/>
      <c r="D1967" s="429"/>
    </row>
    <row r="1968" spans="1:4" ht="15.75" x14ac:dyDescent="0.25">
      <c r="A1968" s="427"/>
      <c r="B1968" s="428"/>
      <c r="C1968" s="428"/>
      <c r="D1968" s="429"/>
    </row>
    <row r="1969" spans="1:4" ht="15.75" x14ac:dyDescent="0.25">
      <c r="A1969" s="427"/>
      <c r="B1969" s="428"/>
      <c r="C1969" s="428"/>
      <c r="D1969" s="429"/>
    </row>
    <row r="1970" spans="1:4" ht="15.75" x14ac:dyDescent="0.25">
      <c r="A1970" s="427"/>
      <c r="B1970" s="428"/>
      <c r="C1970" s="428"/>
      <c r="D1970" s="429"/>
    </row>
    <row r="1971" spans="1:4" ht="15.75" x14ac:dyDescent="0.25">
      <c r="A1971" s="427"/>
      <c r="B1971" s="428"/>
      <c r="C1971" s="428"/>
      <c r="D1971" s="429"/>
    </row>
    <row r="1972" spans="1:4" ht="15.75" x14ac:dyDescent="0.25">
      <c r="A1972" s="427"/>
      <c r="B1972" s="428"/>
      <c r="C1972" s="428"/>
      <c r="D1972" s="429"/>
    </row>
    <row r="1973" spans="1:4" ht="15.75" x14ac:dyDescent="0.25">
      <c r="A1973" s="427"/>
      <c r="B1973" s="428"/>
      <c r="C1973" s="428"/>
      <c r="D1973" s="429"/>
    </row>
    <row r="1974" spans="1:4" ht="15.75" x14ac:dyDescent="0.25">
      <c r="A1974" s="427"/>
      <c r="B1974" s="428"/>
      <c r="C1974" s="428"/>
      <c r="D1974" s="429"/>
    </row>
    <row r="1975" spans="1:4" ht="15.75" x14ac:dyDescent="0.25">
      <c r="A1975" s="427"/>
      <c r="B1975" s="428"/>
      <c r="C1975" s="428"/>
      <c r="D1975" s="429"/>
    </row>
    <row r="1976" spans="1:4" ht="15.75" x14ac:dyDescent="0.25">
      <c r="A1976" s="427"/>
      <c r="B1976" s="428"/>
      <c r="C1976" s="428"/>
      <c r="D1976" s="429"/>
    </row>
    <row r="1977" spans="1:4" ht="15.75" x14ac:dyDescent="0.25">
      <c r="A1977" s="427"/>
      <c r="B1977" s="428"/>
      <c r="C1977" s="428"/>
      <c r="D1977" s="429"/>
    </row>
    <row r="1978" spans="1:4" ht="15.75" x14ac:dyDescent="0.25">
      <c r="A1978" s="427"/>
      <c r="B1978" s="428"/>
      <c r="C1978" s="428"/>
      <c r="D1978" s="429"/>
    </row>
    <row r="1979" spans="1:4" ht="15.75" x14ac:dyDescent="0.25">
      <c r="A1979" s="427"/>
      <c r="B1979" s="428"/>
      <c r="C1979" s="428"/>
      <c r="D1979" s="429"/>
    </row>
    <row r="1980" spans="1:4" ht="15.75" x14ac:dyDescent="0.25">
      <c r="A1980" s="427"/>
      <c r="B1980" s="428"/>
      <c r="C1980" s="428"/>
      <c r="D1980" s="429"/>
    </row>
    <row r="1981" spans="1:4" ht="15.75" x14ac:dyDescent="0.25">
      <c r="A1981" s="427"/>
      <c r="B1981" s="428"/>
      <c r="C1981" s="428"/>
      <c r="D1981" s="429"/>
    </row>
    <row r="1982" spans="1:4" ht="15.75" x14ac:dyDescent="0.25">
      <c r="A1982" s="427"/>
      <c r="B1982" s="428"/>
      <c r="C1982" s="428"/>
      <c r="D1982" s="429"/>
    </row>
    <row r="1983" spans="1:4" ht="15.75" x14ac:dyDescent="0.25">
      <c r="A1983" s="427"/>
      <c r="B1983" s="428"/>
      <c r="C1983" s="428"/>
      <c r="D1983" s="429"/>
    </row>
    <row r="1984" spans="1:4" ht="15.75" x14ac:dyDescent="0.25">
      <c r="A1984" s="427"/>
      <c r="B1984" s="428"/>
      <c r="C1984" s="428"/>
      <c r="D1984" s="429"/>
    </row>
    <row r="1985" spans="1:4" ht="15.75" x14ac:dyDescent="0.25">
      <c r="A1985" s="427"/>
      <c r="B1985" s="428"/>
      <c r="C1985" s="428"/>
      <c r="D1985" s="429"/>
    </row>
    <row r="1986" spans="1:4" ht="15.75" x14ac:dyDescent="0.25">
      <c r="A1986" s="427"/>
      <c r="B1986" s="428"/>
      <c r="C1986" s="428"/>
      <c r="D1986" s="429"/>
    </row>
    <row r="1987" spans="1:4" ht="15.75" x14ac:dyDescent="0.25">
      <c r="A1987" s="427"/>
      <c r="B1987" s="428"/>
      <c r="C1987" s="428"/>
      <c r="D1987" s="429"/>
    </row>
    <row r="1988" spans="1:4" ht="15.75" x14ac:dyDescent="0.25">
      <c r="A1988" s="427"/>
      <c r="B1988" s="428"/>
      <c r="C1988" s="428"/>
      <c r="D1988" s="429"/>
    </row>
    <row r="1989" spans="1:4" ht="15.75" x14ac:dyDescent="0.25">
      <c r="A1989" s="427"/>
      <c r="B1989" s="428"/>
      <c r="C1989" s="428"/>
      <c r="D1989" s="429"/>
    </row>
    <row r="1990" spans="1:4" ht="15.75" x14ac:dyDescent="0.25">
      <c r="A1990" s="427"/>
      <c r="B1990" s="428"/>
      <c r="C1990" s="428"/>
      <c r="D1990" s="429"/>
    </row>
    <row r="1991" spans="1:4" ht="15.75" x14ac:dyDescent="0.25">
      <c r="A1991" s="427"/>
      <c r="B1991" s="428"/>
      <c r="C1991" s="428"/>
      <c r="D1991" s="429"/>
    </row>
    <row r="1992" spans="1:4" ht="15.75" x14ac:dyDescent="0.25">
      <c r="A1992" s="427"/>
      <c r="B1992" s="428"/>
      <c r="C1992" s="428"/>
      <c r="D1992" s="429"/>
    </row>
    <row r="1993" spans="1:4" ht="15.75" x14ac:dyDescent="0.25">
      <c r="A1993" s="427"/>
      <c r="B1993" s="428"/>
      <c r="C1993" s="428"/>
      <c r="D1993" s="429"/>
    </row>
    <row r="1994" spans="1:4" ht="15.75" x14ac:dyDescent="0.25">
      <c r="A1994" s="427"/>
      <c r="B1994" s="428"/>
      <c r="C1994" s="428"/>
      <c r="D1994" s="429"/>
    </row>
    <row r="1995" spans="1:4" ht="15.75" x14ac:dyDescent="0.25">
      <c r="A1995" s="427"/>
      <c r="B1995" s="428"/>
      <c r="C1995" s="428"/>
      <c r="D1995" s="429"/>
    </row>
    <row r="1996" spans="1:4" ht="15.75" x14ac:dyDescent="0.25">
      <c r="A1996" s="427"/>
      <c r="B1996" s="428"/>
      <c r="C1996" s="428"/>
      <c r="D1996" s="429"/>
    </row>
    <row r="1997" spans="1:4" ht="15.75" x14ac:dyDescent="0.25">
      <c r="A1997" s="427"/>
      <c r="B1997" s="428"/>
      <c r="C1997" s="428"/>
      <c r="D1997" s="429"/>
    </row>
    <row r="1998" spans="1:4" ht="15.75" x14ac:dyDescent="0.25">
      <c r="A1998" s="427"/>
      <c r="B1998" s="428"/>
      <c r="C1998" s="428"/>
      <c r="D1998" s="429"/>
    </row>
    <row r="1999" spans="1:4" ht="15.75" x14ac:dyDescent="0.25">
      <c r="A1999" s="427"/>
      <c r="B1999" s="428"/>
      <c r="C1999" s="428"/>
      <c r="D1999" s="429"/>
    </row>
    <row r="2000" spans="1:4" ht="15.75" x14ac:dyDescent="0.25">
      <c r="A2000" s="427"/>
      <c r="B2000" s="428"/>
      <c r="C2000" s="428"/>
      <c r="D2000" s="429"/>
    </row>
    <row r="2001" spans="1:4" ht="15.75" x14ac:dyDescent="0.25">
      <c r="A2001" s="427"/>
      <c r="B2001" s="428"/>
      <c r="C2001" s="428"/>
      <c r="D2001" s="429"/>
    </row>
    <row r="2002" spans="1:4" ht="15.75" x14ac:dyDescent="0.25">
      <c r="A2002" s="427"/>
      <c r="B2002" s="428"/>
      <c r="C2002" s="428"/>
      <c r="D2002" s="429"/>
    </row>
    <row r="2003" spans="1:4" ht="15.75" x14ac:dyDescent="0.25">
      <c r="A2003" s="427"/>
      <c r="B2003" s="428"/>
      <c r="C2003" s="428"/>
      <c r="D2003" s="429"/>
    </row>
    <row r="2004" spans="1:4" ht="15.75" x14ac:dyDescent="0.25">
      <c r="A2004" s="427"/>
      <c r="B2004" s="428"/>
      <c r="C2004" s="428"/>
      <c r="D2004" s="429"/>
    </row>
    <row r="2005" spans="1:4" ht="15.75" x14ac:dyDescent="0.25">
      <c r="A2005" s="427"/>
      <c r="B2005" s="428"/>
      <c r="C2005" s="428"/>
      <c r="D2005" s="429"/>
    </row>
    <row r="2006" spans="1:4" ht="15.75" x14ac:dyDescent="0.25">
      <c r="A2006" s="427"/>
      <c r="B2006" s="428"/>
      <c r="C2006" s="428"/>
      <c r="D2006" s="429"/>
    </row>
    <row r="2007" spans="1:4" ht="15.75" x14ac:dyDescent="0.25">
      <c r="A2007" s="427"/>
      <c r="B2007" s="428"/>
      <c r="C2007" s="428"/>
      <c r="D2007" s="429"/>
    </row>
    <row r="2008" spans="1:4" ht="15.75" x14ac:dyDescent="0.25">
      <c r="A2008" s="427"/>
      <c r="B2008" s="428"/>
      <c r="C2008" s="428"/>
      <c r="D2008" s="429"/>
    </row>
    <row r="2009" spans="1:4" ht="15.75" x14ac:dyDescent="0.25">
      <c r="A2009" s="427"/>
      <c r="B2009" s="428"/>
      <c r="C2009" s="428"/>
      <c r="D2009" s="429"/>
    </row>
    <row r="2010" spans="1:4" ht="15.75" x14ac:dyDescent="0.25">
      <c r="A2010" s="427"/>
      <c r="B2010" s="428"/>
      <c r="C2010" s="428"/>
      <c r="D2010" s="429"/>
    </row>
    <row r="2011" spans="1:4" ht="15.75" x14ac:dyDescent="0.25">
      <c r="A2011" s="427"/>
      <c r="B2011" s="428"/>
      <c r="C2011" s="428"/>
      <c r="D2011" s="429"/>
    </row>
    <row r="2012" spans="1:4" ht="15.75" x14ac:dyDescent="0.25">
      <c r="A2012" s="427"/>
      <c r="B2012" s="428"/>
      <c r="C2012" s="428"/>
      <c r="D2012" s="429"/>
    </row>
    <row r="2013" spans="1:4" ht="15.75" x14ac:dyDescent="0.25">
      <c r="A2013" s="427"/>
      <c r="B2013" s="428"/>
      <c r="C2013" s="428"/>
      <c r="D2013" s="429"/>
    </row>
    <row r="2014" spans="1:4" ht="15.75" x14ac:dyDescent="0.25">
      <c r="A2014" s="427"/>
      <c r="B2014" s="428"/>
      <c r="C2014" s="428"/>
      <c r="D2014" s="429"/>
    </row>
    <row r="2015" spans="1:4" ht="15.75" x14ac:dyDescent="0.25">
      <c r="A2015" s="427"/>
      <c r="B2015" s="428"/>
      <c r="C2015" s="428"/>
      <c r="D2015" s="429"/>
    </row>
    <row r="2016" spans="1:4" ht="15.75" x14ac:dyDescent="0.25">
      <c r="A2016" s="427"/>
      <c r="B2016" s="428"/>
      <c r="C2016" s="428"/>
      <c r="D2016" s="429"/>
    </row>
    <row r="2017" spans="1:4" ht="15.75" x14ac:dyDescent="0.25">
      <c r="A2017" s="427"/>
      <c r="B2017" s="428"/>
      <c r="C2017" s="428"/>
      <c r="D2017" s="429"/>
    </row>
    <row r="2018" spans="1:4" ht="15.75" x14ac:dyDescent="0.25">
      <c r="A2018" s="427"/>
      <c r="B2018" s="428"/>
      <c r="C2018" s="428"/>
      <c r="D2018" s="429"/>
    </row>
    <row r="2019" spans="1:4" ht="15.75" x14ac:dyDescent="0.25">
      <c r="A2019" s="427"/>
      <c r="B2019" s="428"/>
      <c r="C2019" s="428"/>
      <c r="D2019" s="429"/>
    </row>
    <row r="2020" spans="1:4" ht="15.75" x14ac:dyDescent="0.25">
      <c r="A2020" s="427"/>
      <c r="B2020" s="428"/>
      <c r="C2020" s="428"/>
      <c r="D2020" s="429"/>
    </row>
    <row r="2021" spans="1:4" ht="15.75" x14ac:dyDescent="0.25">
      <c r="A2021" s="427"/>
      <c r="B2021" s="428"/>
      <c r="C2021" s="428"/>
      <c r="D2021" s="429"/>
    </row>
    <row r="2022" spans="1:4" ht="15.75" x14ac:dyDescent="0.25">
      <c r="A2022" s="427"/>
      <c r="B2022" s="428"/>
      <c r="C2022" s="428"/>
      <c r="D2022" s="429"/>
    </row>
    <row r="2023" spans="1:4" ht="15.75" x14ac:dyDescent="0.25">
      <c r="A2023" s="427"/>
      <c r="B2023" s="428"/>
      <c r="C2023" s="428"/>
      <c r="D2023" s="429"/>
    </row>
    <row r="2024" spans="1:4" ht="15.75" x14ac:dyDescent="0.25">
      <c r="A2024" s="427"/>
      <c r="B2024" s="428"/>
      <c r="C2024" s="428"/>
      <c r="D2024" s="429"/>
    </row>
    <row r="2025" spans="1:4" ht="15.75" x14ac:dyDescent="0.25">
      <c r="A2025" s="427"/>
      <c r="B2025" s="428"/>
      <c r="C2025" s="428"/>
      <c r="D2025" s="429"/>
    </row>
    <row r="2026" spans="1:4" ht="15.75" x14ac:dyDescent="0.25">
      <c r="A2026" s="427"/>
      <c r="B2026" s="428"/>
      <c r="C2026" s="428"/>
      <c r="D2026" s="429"/>
    </row>
    <row r="2027" spans="1:4" ht="15.75" x14ac:dyDescent="0.25">
      <c r="A2027" s="427"/>
      <c r="B2027" s="428"/>
      <c r="C2027" s="428"/>
      <c r="D2027" s="429"/>
    </row>
    <row r="2028" spans="1:4" ht="15.75" x14ac:dyDescent="0.25">
      <c r="A2028" s="427"/>
      <c r="B2028" s="428"/>
      <c r="C2028" s="428"/>
      <c r="D2028" s="429"/>
    </row>
    <row r="2029" spans="1:4" ht="15.75" x14ac:dyDescent="0.25">
      <c r="A2029" s="427"/>
      <c r="B2029" s="428"/>
      <c r="C2029" s="428"/>
      <c r="D2029" s="429"/>
    </row>
    <row r="2030" spans="1:4" ht="15.75" x14ac:dyDescent="0.25">
      <c r="A2030" s="427"/>
      <c r="B2030" s="428"/>
      <c r="C2030" s="428"/>
      <c r="D2030" s="429"/>
    </row>
    <row r="2031" spans="1:4" ht="15.75" x14ac:dyDescent="0.25">
      <c r="A2031" s="427"/>
      <c r="B2031" s="428"/>
      <c r="C2031" s="428"/>
      <c r="D2031" s="429"/>
    </row>
    <row r="2032" spans="1:4" ht="15.75" x14ac:dyDescent="0.25">
      <c r="A2032" s="427"/>
      <c r="B2032" s="428"/>
      <c r="C2032" s="428"/>
      <c r="D2032" s="429"/>
    </row>
    <row r="2033" spans="1:4" ht="15.75" x14ac:dyDescent="0.25">
      <c r="A2033" s="427"/>
      <c r="B2033" s="428"/>
      <c r="C2033" s="428"/>
      <c r="D2033" s="429"/>
    </row>
    <row r="2034" spans="1:4" ht="15.75" x14ac:dyDescent="0.25">
      <c r="A2034" s="427"/>
      <c r="B2034" s="428"/>
      <c r="C2034" s="428"/>
      <c r="D2034" s="429"/>
    </row>
    <row r="2035" spans="1:4" ht="15.75" x14ac:dyDescent="0.25">
      <c r="A2035" s="427"/>
      <c r="B2035" s="428"/>
      <c r="C2035" s="428"/>
      <c r="D2035" s="429"/>
    </row>
    <row r="2036" spans="1:4" ht="15.75" x14ac:dyDescent="0.25">
      <c r="A2036" s="427"/>
      <c r="B2036" s="428"/>
      <c r="C2036" s="428"/>
      <c r="D2036" s="429"/>
    </row>
    <row r="2037" spans="1:4" ht="15.75" x14ac:dyDescent="0.25">
      <c r="A2037" s="427"/>
      <c r="B2037" s="428"/>
      <c r="C2037" s="428"/>
      <c r="D2037" s="429"/>
    </row>
    <row r="2038" spans="1:4" ht="15.75" x14ac:dyDescent="0.25">
      <c r="A2038" s="427"/>
      <c r="B2038" s="428"/>
      <c r="C2038" s="428"/>
      <c r="D2038" s="429"/>
    </row>
    <row r="2039" spans="1:4" ht="15.75" x14ac:dyDescent="0.25">
      <c r="A2039" s="427"/>
      <c r="B2039" s="428"/>
      <c r="C2039" s="428"/>
      <c r="D2039" s="429"/>
    </row>
    <row r="2040" spans="1:4" ht="15.75" x14ac:dyDescent="0.25">
      <c r="A2040" s="427"/>
      <c r="B2040" s="428"/>
      <c r="C2040" s="428"/>
      <c r="D2040" s="429"/>
    </row>
    <row r="2041" spans="1:4" ht="15.75" x14ac:dyDescent="0.25">
      <c r="A2041" s="427"/>
      <c r="B2041" s="428"/>
      <c r="C2041" s="428"/>
      <c r="D2041" s="429"/>
    </row>
    <row r="2042" spans="1:4" ht="15.75" x14ac:dyDescent="0.25">
      <c r="A2042" s="427"/>
      <c r="B2042" s="428"/>
      <c r="C2042" s="428"/>
      <c r="D2042" s="429"/>
    </row>
    <row r="2043" spans="1:4" ht="15.75" x14ac:dyDescent="0.25">
      <c r="A2043" s="427"/>
      <c r="B2043" s="428"/>
      <c r="C2043" s="428"/>
      <c r="D2043" s="429"/>
    </row>
    <row r="2044" spans="1:4" ht="15.75" x14ac:dyDescent="0.25">
      <c r="A2044" s="427"/>
      <c r="B2044" s="428"/>
      <c r="C2044" s="428"/>
      <c r="D2044" s="429"/>
    </row>
    <row r="2045" spans="1:4" ht="15.75" x14ac:dyDescent="0.25">
      <c r="A2045" s="427"/>
      <c r="B2045" s="428"/>
      <c r="C2045" s="428"/>
      <c r="D2045" s="429"/>
    </row>
    <row r="2046" spans="1:4" ht="15.75" x14ac:dyDescent="0.25">
      <c r="A2046" s="427"/>
      <c r="B2046" s="428"/>
      <c r="C2046" s="428"/>
      <c r="D2046" s="429"/>
    </row>
    <row r="2047" spans="1:4" ht="15.75" x14ac:dyDescent="0.25">
      <c r="A2047" s="427"/>
      <c r="B2047" s="428"/>
      <c r="C2047" s="428"/>
      <c r="D2047" s="429"/>
    </row>
    <row r="2048" spans="1:4" ht="15.75" x14ac:dyDescent="0.25">
      <c r="A2048" s="427"/>
      <c r="B2048" s="428"/>
      <c r="C2048" s="428"/>
      <c r="D2048" s="429"/>
    </row>
    <row r="2049" spans="1:4" ht="15.75" x14ac:dyDescent="0.25">
      <c r="A2049" s="427"/>
      <c r="B2049" s="428"/>
      <c r="C2049" s="428"/>
      <c r="D2049" s="429"/>
    </row>
    <row r="2050" spans="1:4" ht="15.75" x14ac:dyDescent="0.25">
      <c r="A2050" s="427"/>
      <c r="B2050" s="428"/>
      <c r="C2050" s="428"/>
      <c r="D2050" s="429"/>
    </row>
    <row r="2051" spans="1:4" ht="15.75" x14ac:dyDescent="0.25">
      <c r="A2051" s="427"/>
      <c r="B2051" s="428"/>
      <c r="C2051" s="428"/>
      <c r="D2051" s="429"/>
    </row>
    <row r="2052" spans="1:4" ht="15.75" x14ac:dyDescent="0.25">
      <c r="A2052" s="427"/>
      <c r="B2052" s="428"/>
      <c r="C2052" s="428"/>
      <c r="D2052" s="429"/>
    </row>
    <row r="2053" spans="1:4" ht="15.75" x14ac:dyDescent="0.25">
      <c r="A2053" s="427"/>
      <c r="B2053" s="428"/>
      <c r="C2053" s="428"/>
      <c r="D2053" s="429"/>
    </row>
    <row r="2054" spans="1:4" ht="15.75" x14ac:dyDescent="0.25">
      <c r="A2054" s="427"/>
      <c r="B2054" s="428"/>
      <c r="C2054" s="428"/>
      <c r="D2054" s="429"/>
    </row>
    <row r="2055" spans="1:4" ht="15.75" x14ac:dyDescent="0.25">
      <c r="A2055" s="427"/>
      <c r="B2055" s="428"/>
      <c r="C2055" s="428"/>
      <c r="D2055" s="429"/>
    </row>
    <row r="2056" spans="1:4" ht="15.75" x14ac:dyDescent="0.25">
      <c r="A2056" s="427"/>
      <c r="B2056" s="428"/>
      <c r="C2056" s="428"/>
      <c r="D2056" s="429"/>
    </row>
    <row r="2057" spans="1:4" ht="15.75" x14ac:dyDescent="0.25">
      <c r="A2057" s="427"/>
      <c r="B2057" s="428"/>
      <c r="C2057" s="428"/>
      <c r="D2057" s="429"/>
    </row>
    <row r="2058" spans="1:4" ht="15.75" x14ac:dyDescent="0.25">
      <c r="A2058" s="427"/>
      <c r="B2058" s="428"/>
      <c r="C2058" s="428"/>
      <c r="D2058" s="429"/>
    </row>
    <row r="2059" spans="1:4" ht="15.75" x14ac:dyDescent="0.25">
      <c r="A2059" s="427"/>
      <c r="B2059" s="428"/>
      <c r="C2059" s="428"/>
      <c r="D2059" s="429"/>
    </row>
    <row r="2060" spans="1:4" ht="15.75" x14ac:dyDescent="0.25">
      <c r="A2060" s="427"/>
      <c r="B2060" s="428"/>
      <c r="C2060" s="428"/>
      <c r="D2060" s="429"/>
    </row>
    <row r="2061" spans="1:4" ht="15.75" x14ac:dyDescent="0.25">
      <c r="A2061" s="427"/>
      <c r="B2061" s="428"/>
      <c r="C2061" s="428"/>
      <c r="D2061" s="429"/>
    </row>
    <row r="2062" spans="1:4" ht="15.75" x14ac:dyDescent="0.25">
      <c r="A2062" s="427"/>
      <c r="B2062" s="428"/>
      <c r="C2062" s="428"/>
      <c r="D2062" s="429"/>
    </row>
    <row r="2063" spans="1:4" ht="15.75" x14ac:dyDescent="0.25">
      <c r="A2063" s="427"/>
      <c r="B2063" s="428"/>
      <c r="C2063" s="428"/>
      <c r="D2063" s="429"/>
    </row>
    <row r="2064" spans="1:4" ht="15.75" x14ac:dyDescent="0.25">
      <c r="A2064" s="427"/>
      <c r="B2064" s="428"/>
      <c r="C2064" s="428"/>
      <c r="D2064" s="429"/>
    </row>
    <row r="2065" spans="1:4" ht="15.75" x14ac:dyDescent="0.25">
      <c r="A2065" s="427"/>
      <c r="B2065" s="428"/>
      <c r="C2065" s="428"/>
      <c r="D2065" s="429"/>
    </row>
    <row r="2066" spans="1:4" ht="15.75" x14ac:dyDescent="0.25">
      <c r="A2066" s="427"/>
      <c r="B2066" s="428"/>
      <c r="C2066" s="428"/>
      <c r="D2066" s="429"/>
    </row>
    <row r="2067" spans="1:4" ht="15.75" x14ac:dyDescent="0.25">
      <c r="A2067" s="427"/>
      <c r="B2067" s="428"/>
      <c r="C2067" s="428"/>
      <c r="D2067" s="429"/>
    </row>
    <row r="2068" spans="1:4" ht="15.75" x14ac:dyDescent="0.25">
      <c r="A2068" s="427"/>
      <c r="B2068" s="428"/>
      <c r="C2068" s="428"/>
      <c r="D2068" s="429"/>
    </row>
    <row r="2069" spans="1:4" ht="15.75" x14ac:dyDescent="0.25">
      <c r="A2069" s="427"/>
      <c r="B2069" s="428"/>
      <c r="C2069" s="428"/>
      <c r="D2069" s="429"/>
    </row>
    <row r="2070" spans="1:4" ht="15.75" x14ac:dyDescent="0.25">
      <c r="A2070" s="427"/>
      <c r="B2070" s="428"/>
      <c r="C2070" s="428"/>
      <c r="D2070" s="429"/>
    </row>
    <row r="2071" spans="1:4" ht="15.75" x14ac:dyDescent="0.25">
      <c r="A2071" s="427"/>
      <c r="B2071" s="428"/>
      <c r="C2071" s="428"/>
      <c r="D2071" s="429"/>
    </row>
    <row r="2072" spans="1:4" ht="15.75" x14ac:dyDescent="0.25">
      <c r="A2072" s="427"/>
      <c r="B2072" s="428"/>
      <c r="C2072" s="428"/>
      <c r="D2072" s="429"/>
    </row>
    <row r="2073" spans="1:4" ht="15.75" x14ac:dyDescent="0.25">
      <c r="A2073" s="427"/>
      <c r="B2073" s="428"/>
      <c r="C2073" s="428"/>
      <c r="D2073" s="429"/>
    </row>
    <row r="2074" spans="1:4" ht="15.75" x14ac:dyDescent="0.25">
      <c r="A2074" s="427"/>
      <c r="B2074" s="428"/>
      <c r="C2074" s="428"/>
      <c r="D2074" s="429"/>
    </row>
    <row r="2075" spans="1:4" ht="15.75" x14ac:dyDescent="0.25">
      <c r="A2075" s="427"/>
      <c r="B2075" s="428"/>
      <c r="C2075" s="428"/>
      <c r="D2075" s="429"/>
    </row>
    <row r="2076" spans="1:4" ht="15.75" x14ac:dyDescent="0.25">
      <c r="A2076" s="427"/>
      <c r="B2076" s="428"/>
      <c r="C2076" s="428"/>
      <c r="D2076" s="429"/>
    </row>
    <row r="2077" spans="1:4" ht="15.75" x14ac:dyDescent="0.25">
      <c r="A2077" s="427"/>
      <c r="B2077" s="428"/>
      <c r="C2077" s="428"/>
      <c r="D2077" s="429"/>
    </row>
    <row r="2078" spans="1:4" ht="15.75" x14ac:dyDescent="0.25">
      <c r="A2078" s="427"/>
      <c r="B2078" s="428"/>
      <c r="C2078" s="428"/>
      <c r="D2078" s="429"/>
    </row>
    <row r="2079" spans="1:4" ht="15.75" x14ac:dyDescent="0.25">
      <c r="A2079" s="427"/>
      <c r="B2079" s="428"/>
      <c r="C2079" s="428"/>
      <c r="D2079" s="429"/>
    </row>
    <row r="2080" spans="1:4" ht="15.75" x14ac:dyDescent="0.25">
      <c r="A2080" s="427"/>
      <c r="B2080" s="428"/>
      <c r="C2080" s="428"/>
      <c r="D2080" s="429"/>
    </row>
    <row r="2081" spans="1:4" ht="15.75" x14ac:dyDescent="0.25">
      <c r="A2081" s="427"/>
      <c r="B2081" s="428"/>
      <c r="C2081" s="428"/>
      <c r="D2081" s="429"/>
    </row>
    <row r="2082" spans="1:4" ht="15.75" x14ac:dyDescent="0.25">
      <c r="A2082" s="427"/>
      <c r="B2082" s="428"/>
      <c r="C2082" s="428"/>
      <c r="D2082" s="429"/>
    </row>
    <row r="2083" spans="1:4" ht="15.75" x14ac:dyDescent="0.25">
      <c r="A2083" s="427"/>
      <c r="B2083" s="428"/>
      <c r="C2083" s="428"/>
      <c r="D2083" s="429"/>
    </row>
    <row r="2084" spans="1:4" ht="15.75" x14ac:dyDescent="0.25">
      <c r="A2084" s="427"/>
      <c r="B2084" s="428"/>
      <c r="C2084" s="428"/>
      <c r="D2084" s="429"/>
    </row>
    <row r="2085" spans="1:4" ht="15.75" x14ac:dyDescent="0.25">
      <c r="A2085" s="427"/>
      <c r="B2085" s="428"/>
      <c r="C2085" s="428"/>
      <c r="D2085" s="429"/>
    </row>
    <row r="2086" spans="1:4" ht="15.75" x14ac:dyDescent="0.25">
      <c r="A2086" s="427"/>
      <c r="B2086" s="428"/>
      <c r="C2086" s="428"/>
      <c r="D2086" s="429"/>
    </row>
    <row r="2087" spans="1:4" ht="15.75" x14ac:dyDescent="0.25">
      <c r="A2087" s="427"/>
      <c r="B2087" s="428"/>
      <c r="C2087" s="428"/>
      <c r="D2087" s="429"/>
    </row>
    <row r="2088" spans="1:4" ht="15.75" x14ac:dyDescent="0.25">
      <c r="A2088" s="427"/>
      <c r="B2088" s="428"/>
      <c r="C2088" s="428"/>
      <c r="D2088" s="429"/>
    </row>
    <row r="2089" spans="1:4" ht="15.75" x14ac:dyDescent="0.25">
      <c r="A2089" s="427"/>
      <c r="B2089" s="428"/>
      <c r="C2089" s="428"/>
      <c r="D2089" s="429"/>
    </row>
    <row r="2090" spans="1:4" ht="15.75" x14ac:dyDescent="0.25">
      <c r="A2090" s="427"/>
      <c r="B2090" s="428"/>
      <c r="C2090" s="428"/>
      <c r="D2090" s="429"/>
    </row>
    <row r="2091" spans="1:4" ht="15.75" x14ac:dyDescent="0.25">
      <c r="A2091" s="427"/>
      <c r="B2091" s="428"/>
      <c r="C2091" s="428"/>
      <c r="D2091" s="429"/>
    </row>
    <row r="2092" spans="1:4" ht="15.75" x14ac:dyDescent="0.25">
      <c r="A2092" s="427"/>
      <c r="B2092" s="428"/>
      <c r="C2092" s="428"/>
      <c r="D2092" s="429"/>
    </row>
    <row r="2093" spans="1:4" ht="15.75" x14ac:dyDescent="0.25">
      <c r="A2093" s="427"/>
      <c r="B2093" s="428"/>
      <c r="C2093" s="428"/>
      <c r="D2093" s="429"/>
    </row>
    <row r="2094" spans="1:4" ht="15.75" x14ac:dyDescent="0.25">
      <c r="A2094" s="427"/>
      <c r="B2094" s="428"/>
      <c r="C2094" s="428"/>
      <c r="D2094" s="429"/>
    </row>
    <row r="2095" spans="1:4" ht="15.75" x14ac:dyDescent="0.25">
      <c r="A2095" s="427"/>
      <c r="B2095" s="428"/>
      <c r="C2095" s="428"/>
      <c r="D2095" s="429"/>
    </row>
    <row r="2096" spans="1:4" ht="15.75" x14ac:dyDescent="0.25">
      <c r="A2096" s="427"/>
      <c r="B2096" s="428"/>
      <c r="C2096" s="428"/>
      <c r="D2096" s="429"/>
    </row>
    <row r="2097" spans="1:4" ht="15.75" x14ac:dyDescent="0.25">
      <c r="A2097" s="427"/>
      <c r="B2097" s="428"/>
      <c r="C2097" s="428"/>
      <c r="D2097" s="429"/>
    </row>
    <row r="2098" spans="1:4" ht="15.75" x14ac:dyDescent="0.25">
      <c r="A2098" s="427"/>
      <c r="B2098" s="428"/>
      <c r="C2098" s="428"/>
      <c r="D2098" s="429"/>
    </row>
    <row r="2099" spans="1:4" ht="15.75" x14ac:dyDescent="0.25">
      <c r="A2099" s="427"/>
      <c r="B2099" s="428"/>
      <c r="C2099" s="428"/>
      <c r="D2099" s="429"/>
    </row>
    <row r="2100" spans="1:4" ht="15.75" x14ac:dyDescent="0.25">
      <c r="A2100" s="427"/>
      <c r="B2100" s="428"/>
      <c r="C2100" s="428"/>
      <c r="D2100" s="429"/>
    </row>
    <row r="2101" spans="1:4" ht="15.75" x14ac:dyDescent="0.25">
      <c r="A2101" s="427"/>
      <c r="B2101" s="428"/>
      <c r="C2101" s="428"/>
      <c r="D2101" s="429"/>
    </row>
    <row r="2102" spans="1:4" ht="15.75" x14ac:dyDescent="0.25">
      <c r="A2102" s="427"/>
      <c r="B2102" s="428"/>
      <c r="C2102" s="428"/>
      <c r="D2102" s="429"/>
    </row>
    <row r="2103" spans="1:4" ht="15.75" x14ac:dyDescent="0.25">
      <c r="A2103" s="427"/>
      <c r="B2103" s="428"/>
      <c r="C2103" s="428"/>
      <c r="D2103" s="429"/>
    </row>
    <row r="2104" spans="1:4" ht="15.75" x14ac:dyDescent="0.25">
      <c r="A2104" s="427"/>
      <c r="B2104" s="428"/>
      <c r="C2104" s="428"/>
      <c r="D2104" s="429"/>
    </row>
    <row r="2105" spans="1:4" ht="15.75" x14ac:dyDescent="0.25">
      <c r="A2105" s="427"/>
      <c r="B2105" s="428"/>
      <c r="C2105" s="428"/>
      <c r="D2105" s="429"/>
    </row>
    <row r="2106" spans="1:4" ht="15.75" x14ac:dyDescent="0.25">
      <c r="A2106" s="427"/>
      <c r="B2106" s="428"/>
      <c r="C2106" s="428"/>
      <c r="D2106" s="429"/>
    </row>
    <row r="2107" spans="1:4" ht="15.75" x14ac:dyDescent="0.25">
      <c r="A2107" s="427"/>
      <c r="B2107" s="428"/>
      <c r="C2107" s="428"/>
      <c r="D2107" s="429"/>
    </row>
    <row r="2108" spans="1:4" ht="15.75" x14ac:dyDescent="0.25">
      <c r="A2108" s="427"/>
      <c r="B2108" s="428"/>
      <c r="C2108" s="428"/>
      <c r="D2108" s="429"/>
    </row>
    <row r="2109" spans="1:4" ht="15.75" x14ac:dyDescent="0.25">
      <c r="A2109" s="427"/>
      <c r="B2109" s="428"/>
      <c r="C2109" s="428"/>
      <c r="D2109" s="429"/>
    </row>
    <row r="2110" spans="1:4" ht="15.75" x14ac:dyDescent="0.25">
      <c r="A2110" s="427"/>
      <c r="B2110" s="428"/>
      <c r="C2110" s="428"/>
      <c r="D2110" s="429"/>
    </row>
    <row r="2111" spans="1:4" ht="15.75" x14ac:dyDescent="0.25">
      <c r="A2111" s="427"/>
      <c r="B2111" s="428"/>
      <c r="C2111" s="428"/>
      <c r="D2111" s="429"/>
    </row>
    <row r="2112" spans="1:4" ht="15.75" x14ac:dyDescent="0.25">
      <c r="A2112" s="427"/>
      <c r="B2112" s="428"/>
      <c r="C2112" s="428"/>
      <c r="D2112" s="429"/>
    </row>
    <row r="2113" spans="1:4" ht="15.75" x14ac:dyDescent="0.25">
      <c r="A2113" s="427"/>
      <c r="B2113" s="428"/>
      <c r="C2113" s="428"/>
      <c r="D2113" s="429"/>
    </row>
    <row r="2114" spans="1:4" ht="15.75" x14ac:dyDescent="0.25">
      <c r="A2114" s="427"/>
      <c r="B2114" s="428"/>
      <c r="C2114" s="428"/>
      <c r="D2114" s="429"/>
    </row>
    <row r="2115" spans="1:4" ht="15.75" x14ac:dyDescent="0.25">
      <c r="A2115" s="427"/>
      <c r="B2115" s="428"/>
      <c r="C2115" s="428"/>
      <c r="D2115" s="429"/>
    </row>
    <row r="2116" spans="1:4" ht="15.75" x14ac:dyDescent="0.25">
      <c r="A2116" s="427"/>
      <c r="B2116" s="428"/>
      <c r="C2116" s="428"/>
      <c r="D2116" s="429"/>
    </row>
    <row r="2117" spans="1:4" ht="15.75" x14ac:dyDescent="0.25">
      <c r="A2117" s="427"/>
      <c r="B2117" s="428"/>
      <c r="C2117" s="428"/>
      <c r="D2117" s="429"/>
    </row>
    <row r="2118" spans="1:4" ht="15.75" x14ac:dyDescent="0.25">
      <c r="A2118" s="427"/>
      <c r="B2118" s="428"/>
      <c r="C2118" s="428"/>
      <c r="D2118" s="429"/>
    </row>
    <row r="2119" spans="1:4" ht="15.75" x14ac:dyDescent="0.25">
      <c r="A2119" s="427"/>
      <c r="B2119" s="428"/>
      <c r="C2119" s="428"/>
      <c r="D2119" s="429"/>
    </row>
    <row r="2120" spans="1:4" ht="15.75" x14ac:dyDescent="0.25">
      <c r="A2120" s="427"/>
      <c r="B2120" s="428"/>
      <c r="C2120" s="428"/>
      <c r="D2120" s="429"/>
    </row>
    <row r="2121" spans="1:4" ht="15.75" x14ac:dyDescent="0.25">
      <c r="A2121" s="427"/>
      <c r="B2121" s="428"/>
      <c r="C2121" s="428"/>
      <c r="D2121" s="429"/>
    </row>
    <row r="2122" spans="1:4" ht="15.75" x14ac:dyDescent="0.25">
      <c r="A2122" s="427"/>
      <c r="B2122" s="428"/>
      <c r="C2122" s="428"/>
      <c r="D2122" s="429"/>
    </row>
    <row r="2123" spans="1:4" ht="15.75" x14ac:dyDescent="0.25">
      <c r="A2123" s="427"/>
      <c r="B2123" s="428"/>
      <c r="C2123" s="428"/>
      <c r="D2123" s="429"/>
    </row>
    <row r="2124" spans="1:4" ht="15.75" x14ac:dyDescent="0.25">
      <c r="A2124" s="427"/>
      <c r="B2124" s="428"/>
      <c r="C2124" s="428"/>
      <c r="D2124" s="429"/>
    </row>
    <row r="2125" spans="1:4" ht="15.75" x14ac:dyDescent="0.25">
      <c r="A2125" s="427"/>
      <c r="B2125" s="428"/>
      <c r="C2125" s="428"/>
      <c r="D2125" s="429"/>
    </row>
    <row r="2126" spans="1:4" ht="15.75" x14ac:dyDescent="0.25">
      <c r="A2126" s="427"/>
      <c r="B2126" s="428"/>
      <c r="C2126" s="428"/>
      <c r="D2126" s="429"/>
    </row>
    <row r="2127" spans="1:4" ht="15.75" x14ac:dyDescent="0.25">
      <c r="A2127" s="427"/>
      <c r="B2127" s="428"/>
      <c r="C2127" s="428"/>
      <c r="D2127" s="429"/>
    </row>
    <row r="2128" spans="1:4" ht="15.75" x14ac:dyDescent="0.25">
      <c r="A2128" s="427"/>
      <c r="B2128" s="428"/>
      <c r="C2128" s="428"/>
      <c r="D2128" s="429"/>
    </row>
    <row r="2129" spans="1:4" ht="15.75" x14ac:dyDescent="0.25">
      <c r="A2129" s="427"/>
      <c r="B2129" s="428"/>
      <c r="C2129" s="428"/>
      <c r="D2129" s="429"/>
    </row>
    <row r="2130" spans="1:4" ht="15.75" x14ac:dyDescent="0.25">
      <c r="A2130" s="427"/>
      <c r="B2130" s="428"/>
      <c r="C2130" s="428"/>
      <c r="D2130" s="429"/>
    </row>
    <row r="2131" spans="1:4" ht="15.75" x14ac:dyDescent="0.25">
      <c r="A2131" s="427"/>
      <c r="B2131" s="428"/>
      <c r="C2131" s="428"/>
      <c r="D2131" s="429"/>
    </row>
    <row r="2132" spans="1:4" ht="15.75" x14ac:dyDescent="0.25">
      <c r="A2132" s="427"/>
      <c r="B2132" s="428"/>
      <c r="C2132" s="428"/>
      <c r="D2132" s="429"/>
    </row>
    <row r="2133" spans="1:4" ht="15.75" x14ac:dyDescent="0.25">
      <c r="A2133" s="427"/>
      <c r="B2133" s="428"/>
      <c r="C2133" s="428"/>
      <c r="D2133" s="429"/>
    </row>
    <row r="2134" spans="1:4" ht="15.75" x14ac:dyDescent="0.25">
      <c r="A2134" s="427"/>
      <c r="B2134" s="428"/>
      <c r="C2134" s="428"/>
      <c r="D2134" s="429"/>
    </row>
    <row r="2135" spans="1:4" ht="15.75" x14ac:dyDescent="0.25">
      <c r="A2135" s="427"/>
      <c r="B2135" s="428"/>
      <c r="C2135" s="428"/>
      <c r="D2135" s="429"/>
    </row>
    <row r="2136" spans="1:4" ht="15.75" x14ac:dyDescent="0.25">
      <c r="A2136" s="427"/>
      <c r="B2136" s="428"/>
      <c r="C2136" s="428"/>
      <c r="D2136" s="429"/>
    </row>
    <row r="2137" spans="1:4" ht="15.75" x14ac:dyDescent="0.25">
      <c r="A2137" s="427"/>
      <c r="B2137" s="428"/>
      <c r="C2137" s="428"/>
      <c r="D2137" s="429"/>
    </row>
    <row r="2138" spans="1:4" ht="15.75" x14ac:dyDescent="0.25">
      <c r="A2138" s="427"/>
      <c r="B2138" s="428"/>
      <c r="C2138" s="428"/>
      <c r="D2138" s="429"/>
    </row>
    <row r="2139" spans="1:4" ht="15.75" x14ac:dyDescent="0.25">
      <c r="A2139" s="427"/>
      <c r="B2139" s="428"/>
      <c r="C2139" s="428"/>
      <c r="D2139" s="429"/>
    </row>
    <row r="2140" spans="1:4" ht="15.75" x14ac:dyDescent="0.25">
      <c r="A2140" s="427"/>
      <c r="B2140" s="428"/>
      <c r="C2140" s="428"/>
      <c r="D2140" s="429"/>
    </row>
    <row r="2141" spans="1:4" ht="15.75" x14ac:dyDescent="0.25">
      <c r="A2141" s="427"/>
      <c r="B2141" s="428"/>
      <c r="C2141" s="428"/>
      <c r="D2141" s="429"/>
    </row>
    <row r="2142" spans="1:4" ht="15.75" x14ac:dyDescent="0.25">
      <c r="A2142" s="427"/>
      <c r="B2142" s="428"/>
      <c r="C2142" s="428"/>
      <c r="D2142" s="429"/>
    </row>
    <row r="2143" spans="1:4" ht="15.75" x14ac:dyDescent="0.25">
      <c r="A2143" s="427"/>
      <c r="B2143" s="428"/>
      <c r="C2143" s="428"/>
      <c r="D2143" s="429"/>
    </row>
    <row r="2144" spans="1:4" ht="15.75" x14ac:dyDescent="0.25">
      <c r="A2144" s="427"/>
      <c r="B2144" s="428"/>
      <c r="C2144" s="428"/>
      <c r="D2144" s="429"/>
    </row>
    <row r="2145" spans="1:4" ht="15.75" x14ac:dyDescent="0.25">
      <c r="A2145" s="427"/>
      <c r="B2145" s="428"/>
      <c r="C2145" s="428"/>
      <c r="D2145" s="429"/>
    </row>
    <row r="2146" spans="1:4" ht="15.75" x14ac:dyDescent="0.25">
      <c r="A2146" s="427"/>
      <c r="B2146" s="428"/>
      <c r="C2146" s="428"/>
      <c r="D2146" s="429"/>
    </row>
    <row r="2147" spans="1:4" ht="15.75" x14ac:dyDescent="0.25">
      <c r="A2147" s="427"/>
      <c r="B2147" s="428"/>
      <c r="C2147" s="428"/>
      <c r="D2147" s="429"/>
    </row>
    <row r="2148" spans="1:4" ht="15.75" x14ac:dyDescent="0.25">
      <c r="A2148" s="427"/>
      <c r="B2148" s="428"/>
      <c r="C2148" s="428"/>
      <c r="D2148" s="429"/>
    </row>
    <row r="2149" spans="1:4" ht="15.75" x14ac:dyDescent="0.25">
      <c r="A2149" s="427"/>
      <c r="B2149" s="428"/>
      <c r="C2149" s="428"/>
      <c r="D2149" s="429"/>
    </row>
    <row r="2150" spans="1:4" ht="15.75" x14ac:dyDescent="0.25">
      <c r="A2150" s="427"/>
      <c r="B2150" s="428"/>
      <c r="C2150" s="428"/>
      <c r="D2150" s="429"/>
    </row>
    <row r="2151" spans="1:4" ht="15.75" x14ac:dyDescent="0.25">
      <c r="A2151" s="427"/>
      <c r="B2151" s="428"/>
      <c r="C2151" s="428"/>
      <c r="D2151" s="429"/>
    </row>
    <row r="2152" spans="1:4" ht="15.75" x14ac:dyDescent="0.25">
      <c r="A2152" s="427"/>
      <c r="B2152" s="428"/>
      <c r="C2152" s="428"/>
      <c r="D2152" s="429"/>
    </row>
    <row r="2153" spans="1:4" ht="15.75" x14ac:dyDescent="0.25">
      <c r="A2153" s="427"/>
      <c r="B2153" s="428"/>
      <c r="C2153" s="428"/>
      <c r="D2153" s="429"/>
    </row>
    <row r="2154" spans="1:4" ht="15.75" x14ac:dyDescent="0.25">
      <c r="A2154" s="427"/>
      <c r="B2154" s="428"/>
      <c r="C2154" s="428"/>
      <c r="D2154" s="429"/>
    </row>
    <row r="2155" spans="1:4" ht="15.75" x14ac:dyDescent="0.25">
      <c r="A2155" s="427"/>
      <c r="B2155" s="428"/>
      <c r="C2155" s="428"/>
      <c r="D2155" s="429"/>
    </row>
    <row r="2156" spans="1:4" ht="15.75" x14ac:dyDescent="0.25">
      <c r="A2156" s="427"/>
      <c r="B2156" s="428"/>
      <c r="C2156" s="428"/>
      <c r="D2156" s="429"/>
    </row>
    <row r="2157" spans="1:4" ht="15.75" x14ac:dyDescent="0.25">
      <c r="A2157" s="427"/>
      <c r="B2157" s="428"/>
      <c r="C2157" s="428"/>
      <c r="D2157" s="429"/>
    </row>
    <row r="2158" spans="1:4" ht="15.75" x14ac:dyDescent="0.25">
      <c r="A2158" s="427"/>
      <c r="B2158" s="428"/>
      <c r="C2158" s="428"/>
      <c r="D2158" s="429"/>
    </row>
    <row r="2159" spans="1:4" ht="15.75" x14ac:dyDescent="0.25">
      <c r="A2159" s="427"/>
      <c r="B2159" s="428"/>
      <c r="C2159" s="428"/>
      <c r="D2159" s="429"/>
    </row>
    <row r="2160" spans="1:4" ht="15.75" x14ac:dyDescent="0.25">
      <c r="A2160" s="427"/>
      <c r="B2160" s="428"/>
      <c r="C2160" s="428"/>
      <c r="D2160" s="429"/>
    </row>
    <row r="2161" spans="1:4" ht="15.75" x14ac:dyDescent="0.25">
      <c r="A2161" s="427"/>
      <c r="B2161" s="428"/>
      <c r="C2161" s="428"/>
      <c r="D2161" s="429"/>
    </row>
    <row r="2162" spans="1:4" ht="15.75" x14ac:dyDescent="0.25">
      <c r="A2162" s="427"/>
      <c r="B2162" s="428"/>
      <c r="C2162" s="428"/>
      <c r="D2162" s="429"/>
    </row>
    <row r="2163" spans="1:4" ht="15.75" x14ac:dyDescent="0.25">
      <c r="A2163" s="427"/>
      <c r="B2163" s="428"/>
      <c r="C2163" s="428"/>
      <c r="D2163" s="429"/>
    </row>
    <row r="2164" spans="1:4" ht="15.75" x14ac:dyDescent="0.25">
      <c r="A2164" s="427"/>
      <c r="B2164" s="428"/>
      <c r="C2164" s="428"/>
      <c r="D2164" s="429"/>
    </row>
    <row r="2165" spans="1:4" ht="15.75" x14ac:dyDescent="0.25">
      <c r="A2165" s="427"/>
      <c r="B2165" s="428"/>
      <c r="C2165" s="428"/>
      <c r="D2165" s="429"/>
    </row>
    <row r="2166" spans="1:4" ht="15.75" x14ac:dyDescent="0.25">
      <c r="A2166" s="427"/>
      <c r="B2166" s="428"/>
      <c r="C2166" s="428"/>
      <c r="D2166" s="429"/>
    </row>
    <row r="2167" spans="1:4" ht="15.75" x14ac:dyDescent="0.25">
      <c r="A2167" s="427"/>
      <c r="B2167" s="428"/>
      <c r="C2167" s="428"/>
      <c r="D2167" s="429"/>
    </row>
    <row r="2168" spans="1:4" ht="15.75" x14ac:dyDescent="0.25">
      <c r="A2168" s="427"/>
      <c r="B2168" s="428"/>
      <c r="C2168" s="428"/>
      <c r="D2168" s="429"/>
    </row>
    <row r="2169" spans="1:4" ht="15.75" x14ac:dyDescent="0.25">
      <c r="A2169" s="427"/>
      <c r="B2169" s="428"/>
      <c r="C2169" s="428"/>
      <c r="D2169" s="429"/>
    </row>
    <row r="2170" spans="1:4" ht="15.75" x14ac:dyDescent="0.25">
      <c r="A2170" s="427"/>
      <c r="B2170" s="428"/>
      <c r="C2170" s="428"/>
      <c r="D2170" s="429"/>
    </row>
    <row r="2171" spans="1:4" ht="15.75" x14ac:dyDescent="0.25">
      <c r="A2171" s="427"/>
      <c r="B2171" s="428"/>
      <c r="C2171" s="428"/>
      <c r="D2171" s="429"/>
    </row>
    <row r="2172" spans="1:4" ht="15.75" x14ac:dyDescent="0.25">
      <c r="A2172" s="427"/>
      <c r="B2172" s="428"/>
      <c r="C2172" s="428"/>
      <c r="D2172" s="429"/>
    </row>
    <row r="2173" spans="1:4" ht="15.75" x14ac:dyDescent="0.25">
      <c r="A2173" s="427"/>
      <c r="B2173" s="428"/>
      <c r="C2173" s="428"/>
      <c r="D2173" s="429"/>
    </row>
    <row r="2174" spans="1:4" ht="15.75" x14ac:dyDescent="0.25">
      <c r="A2174" s="427"/>
      <c r="B2174" s="428"/>
      <c r="C2174" s="428"/>
      <c r="D2174" s="429"/>
    </row>
    <row r="2175" spans="1:4" ht="15.75" x14ac:dyDescent="0.25">
      <c r="A2175" s="427"/>
      <c r="B2175" s="428"/>
      <c r="C2175" s="428"/>
      <c r="D2175" s="429"/>
    </row>
    <row r="2176" spans="1:4" ht="15.75" x14ac:dyDescent="0.25">
      <c r="A2176" s="427"/>
      <c r="B2176" s="428"/>
      <c r="C2176" s="428"/>
      <c r="D2176" s="429"/>
    </row>
    <row r="2177" spans="1:4" ht="15.75" x14ac:dyDescent="0.25">
      <c r="A2177" s="427"/>
      <c r="B2177" s="428"/>
      <c r="C2177" s="428"/>
      <c r="D2177" s="429"/>
    </row>
    <row r="2178" spans="1:4" ht="15.75" x14ac:dyDescent="0.25">
      <c r="A2178" s="427"/>
      <c r="B2178" s="428"/>
      <c r="C2178" s="428"/>
      <c r="D2178" s="429"/>
    </row>
    <row r="2179" spans="1:4" ht="15.75" x14ac:dyDescent="0.25">
      <c r="A2179" s="427"/>
      <c r="B2179" s="428"/>
      <c r="C2179" s="428"/>
      <c r="D2179" s="429"/>
    </row>
    <row r="2180" spans="1:4" ht="15.75" x14ac:dyDescent="0.25">
      <c r="A2180" s="427"/>
      <c r="B2180" s="428"/>
      <c r="C2180" s="428"/>
      <c r="D2180" s="429"/>
    </row>
    <row r="2181" spans="1:4" ht="15.75" x14ac:dyDescent="0.25">
      <c r="A2181" s="427"/>
      <c r="B2181" s="428"/>
      <c r="C2181" s="428"/>
      <c r="D2181" s="429"/>
    </row>
    <row r="2182" spans="1:4" ht="15.75" x14ac:dyDescent="0.25">
      <c r="A2182" s="427"/>
      <c r="B2182" s="428"/>
      <c r="C2182" s="428"/>
      <c r="D2182" s="429"/>
    </row>
    <row r="2183" spans="1:4" ht="15.75" x14ac:dyDescent="0.25">
      <c r="A2183" s="427"/>
      <c r="B2183" s="428"/>
      <c r="C2183" s="428"/>
      <c r="D2183" s="429"/>
    </row>
    <row r="2184" spans="1:4" ht="15.75" x14ac:dyDescent="0.25">
      <c r="A2184" s="427"/>
      <c r="B2184" s="428"/>
      <c r="C2184" s="428"/>
      <c r="D2184" s="429"/>
    </row>
    <row r="2185" spans="1:4" ht="15.75" x14ac:dyDescent="0.25">
      <c r="A2185" s="427"/>
      <c r="B2185" s="428"/>
      <c r="C2185" s="428"/>
      <c r="D2185" s="429"/>
    </row>
    <row r="2186" spans="1:4" ht="15.75" x14ac:dyDescent="0.25">
      <c r="A2186" s="427"/>
      <c r="B2186" s="428"/>
      <c r="C2186" s="428"/>
      <c r="D2186" s="429"/>
    </row>
    <row r="2187" spans="1:4" ht="15.75" x14ac:dyDescent="0.25">
      <c r="A2187" s="427"/>
      <c r="B2187" s="428"/>
      <c r="C2187" s="428"/>
      <c r="D2187" s="429"/>
    </row>
    <row r="2188" spans="1:4" ht="15.75" x14ac:dyDescent="0.25">
      <c r="A2188" s="427"/>
      <c r="B2188" s="428"/>
      <c r="C2188" s="428"/>
      <c r="D2188" s="429"/>
    </row>
    <row r="2189" spans="1:4" ht="15.75" x14ac:dyDescent="0.25">
      <c r="A2189" s="427"/>
      <c r="B2189" s="428"/>
      <c r="C2189" s="428"/>
      <c r="D2189" s="429"/>
    </row>
    <row r="2190" spans="1:4" ht="15.75" x14ac:dyDescent="0.25">
      <c r="A2190" s="427"/>
      <c r="B2190" s="428"/>
      <c r="C2190" s="428"/>
      <c r="D2190" s="429"/>
    </row>
    <row r="2191" spans="1:4" ht="15.75" x14ac:dyDescent="0.25">
      <c r="A2191" s="427"/>
      <c r="B2191" s="428"/>
      <c r="C2191" s="428"/>
      <c r="D2191" s="429"/>
    </row>
    <row r="2192" spans="1:4" ht="15.75" x14ac:dyDescent="0.25">
      <c r="A2192" s="427"/>
      <c r="B2192" s="428"/>
      <c r="C2192" s="428"/>
      <c r="D2192" s="429"/>
    </row>
    <row r="2193" spans="1:4" ht="15.75" x14ac:dyDescent="0.25">
      <c r="A2193" s="427"/>
      <c r="B2193" s="428"/>
      <c r="C2193" s="428"/>
      <c r="D2193" s="429"/>
    </row>
    <row r="2194" spans="1:4" ht="15.75" x14ac:dyDescent="0.25">
      <c r="A2194" s="427"/>
      <c r="B2194" s="428"/>
      <c r="C2194" s="428"/>
      <c r="D2194" s="429"/>
    </row>
    <row r="2195" spans="1:4" ht="15.75" x14ac:dyDescent="0.25">
      <c r="A2195" s="427"/>
      <c r="B2195" s="428"/>
      <c r="C2195" s="428"/>
      <c r="D2195" s="429"/>
    </row>
    <row r="2196" spans="1:4" ht="15.75" x14ac:dyDescent="0.25">
      <c r="A2196" s="427"/>
      <c r="B2196" s="428"/>
      <c r="C2196" s="428"/>
      <c r="D2196" s="429"/>
    </row>
    <row r="2197" spans="1:4" ht="15.75" x14ac:dyDescent="0.25">
      <c r="A2197" s="427"/>
      <c r="B2197" s="428"/>
      <c r="C2197" s="428"/>
      <c r="D2197" s="429"/>
    </row>
    <row r="2198" spans="1:4" ht="15.75" x14ac:dyDescent="0.25">
      <c r="A2198" s="427"/>
      <c r="B2198" s="428"/>
      <c r="C2198" s="428"/>
      <c r="D2198" s="429"/>
    </row>
    <row r="2199" spans="1:4" ht="15.75" x14ac:dyDescent="0.25">
      <c r="A2199" s="427"/>
      <c r="B2199" s="428"/>
      <c r="C2199" s="428"/>
      <c r="D2199" s="429"/>
    </row>
    <row r="2200" spans="1:4" ht="15.75" x14ac:dyDescent="0.25">
      <c r="A2200" s="427"/>
      <c r="B2200" s="428"/>
      <c r="C2200" s="428"/>
      <c r="D2200" s="429"/>
    </row>
    <row r="2201" spans="1:4" ht="15.75" x14ac:dyDescent="0.25">
      <c r="A2201" s="427"/>
      <c r="B2201" s="428"/>
      <c r="C2201" s="428"/>
      <c r="D2201" s="429"/>
    </row>
    <row r="2202" spans="1:4" ht="15.75" x14ac:dyDescent="0.25">
      <c r="A2202" s="427"/>
      <c r="B2202" s="428"/>
      <c r="C2202" s="428"/>
      <c r="D2202" s="429"/>
    </row>
    <row r="2203" spans="1:4" ht="15.75" x14ac:dyDescent="0.25">
      <c r="A2203" s="427"/>
      <c r="B2203" s="428"/>
      <c r="C2203" s="428"/>
      <c r="D2203" s="429"/>
    </row>
    <row r="2204" spans="1:4" ht="15.75" x14ac:dyDescent="0.25">
      <c r="A2204" s="427"/>
      <c r="B2204" s="428"/>
      <c r="C2204" s="428"/>
      <c r="D2204" s="429"/>
    </row>
    <row r="2205" spans="1:4" ht="15.75" x14ac:dyDescent="0.25">
      <c r="A2205" s="427"/>
      <c r="B2205" s="428"/>
      <c r="C2205" s="428"/>
      <c r="D2205" s="429"/>
    </row>
    <row r="2206" spans="1:4" ht="15.75" x14ac:dyDescent="0.25">
      <c r="A2206" s="427"/>
      <c r="B2206" s="428"/>
      <c r="C2206" s="428"/>
      <c r="D2206" s="429"/>
    </row>
    <row r="2207" spans="1:4" ht="15.75" x14ac:dyDescent="0.25">
      <c r="A2207" s="427"/>
      <c r="B2207" s="428"/>
      <c r="C2207" s="428"/>
      <c r="D2207" s="429"/>
    </row>
    <row r="2208" spans="1:4" ht="15.75" x14ac:dyDescent="0.25">
      <c r="A2208" s="427"/>
      <c r="B2208" s="428"/>
      <c r="C2208" s="428"/>
      <c r="D2208" s="429"/>
    </row>
    <row r="2209" spans="1:4" ht="15.75" x14ac:dyDescent="0.25">
      <c r="A2209" s="427"/>
      <c r="B2209" s="428"/>
      <c r="C2209" s="428"/>
      <c r="D2209" s="429"/>
    </row>
    <row r="2210" spans="1:4" ht="15.75" x14ac:dyDescent="0.25">
      <c r="A2210" s="427"/>
      <c r="B2210" s="428"/>
      <c r="C2210" s="428"/>
      <c r="D2210" s="429"/>
    </row>
    <row r="2211" spans="1:4" ht="15.75" x14ac:dyDescent="0.25">
      <c r="A2211" s="427"/>
      <c r="B2211" s="428"/>
      <c r="C2211" s="428"/>
      <c r="D2211" s="429"/>
    </row>
    <row r="2212" spans="1:4" ht="15.75" x14ac:dyDescent="0.25">
      <c r="A2212" s="427"/>
      <c r="B2212" s="428"/>
      <c r="C2212" s="428"/>
      <c r="D2212" s="429"/>
    </row>
    <row r="2213" spans="1:4" ht="15.75" x14ac:dyDescent="0.25">
      <c r="A2213" s="427"/>
      <c r="B2213" s="428"/>
      <c r="C2213" s="428"/>
      <c r="D2213" s="429"/>
    </row>
    <row r="2214" spans="1:4" ht="15.75" x14ac:dyDescent="0.25">
      <c r="A2214" s="427"/>
      <c r="B2214" s="428"/>
      <c r="C2214" s="428"/>
      <c r="D2214" s="429"/>
    </row>
    <row r="2215" spans="1:4" ht="15.75" x14ac:dyDescent="0.25">
      <c r="A2215" s="427"/>
      <c r="B2215" s="428"/>
      <c r="C2215" s="428"/>
      <c r="D2215" s="429"/>
    </row>
    <row r="2216" spans="1:4" ht="15.75" x14ac:dyDescent="0.25">
      <c r="A2216" s="427"/>
      <c r="B2216" s="428"/>
      <c r="C2216" s="428"/>
      <c r="D2216" s="429"/>
    </row>
    <row r="2217" spans="1:4" ht="15.75" x14ac:dyDescent="0.25">
      <c r="A2217" s="427"/>
      <c r="B2217" s="428"/>
      <c r="C2217" s="428"/>
      <c r="D2217" s="429"/>
    </row>
    <row r="2218" spans="1:4" ht="15.75" x14ac:dyDescent="0.25">
      <c r="A2218" s="427"/>
      <c r="B2218" s="428"/>
      <c r="C2218" s="428"/>
      <c r="D2218" s="429"/>
    </row>
    <row r="2219" spans="1:4" ht="15.75" x14ac:dyDescent="0.25">
      <c r="A2219" s="427"/>
      <c r="B2219" s="428"/>
      <c r="C2219" s="428"/>
      <c r="D2219" s="429"/>
    </row>
    <row r="2220" spans="1:4" ht="15.75" x14ac:dyDescent="0.25">
      <c r="A2220" s="427"/>
      <c r="B2220" s="428"/>
      <c r="C2220" s="428"/>
      <c r="D2220" s="429"/>
    </row>
    <row r="2221" spans="1:4" ht="15.75" x14ac:dyDescent="0.25">
      <c r="A2221" s="427"/>
      <c r="B2221" s="428"/>
      <c r="C2221" s="428"/>
      <c r="D2221" s="429"/>
    </row>
    <row r="2222" spans="1:4" ht="15.75" x14ac:dyDescent="0.25">
      <c r="A2222" s="427"/>
      <c r="B2222" s="428"/>
      <c r="C2222" s="428"/>
      <c r="D2222" s="429"/>
    </row>
    <row r="2223" spans="1:4" ht="15.75" x14ac:dyDescent="0.25">
      <c r="A2223" s="427"/>
      <c r="B2223" s="428"/>
      <c r="C2223" s="428"/>
      <c r="D2223" s="429"/>
    </row>
    <row r="2224" spans="1:4" ht="15.75" x14ac:dyDescent="0.25">
      <c r="A2224" s="427"/>
      <c r="B2224" s="428"/>
      <c r="C2224" s="428"/>
      <c r="D2224" s="429"/>
    </row>
    <row r="2225" spans="1:4" ht="15.75" x14ac:dyDescent="0.25">
      <c r="A2225" s="427"/>
      <c r="B2225" s="428"/>
      <c r="C2225" s="428"/>
      <c r="D2225" s="429"/>
    </row>
    <row r="2226" spans="1:4" ht="15.75" x14ac:dyDescent="0.25">
      <c r="A2226" s="427"/>
      <c r="B2226" s="428"/>
      <c r="C2226" s="428"/>
      <c r="D2226" s="429"/>
    </row>
    <row r="2227" spans="1:4" ht="15.75" x14ac:dyDescent="0.25">
      <c r="A2227" s="427"/>
      <c r="B2227" s="428"/>
      <c r="C2227" s="428"/>
      <c r="D2227" s="429"/>
    </row>
    <row r="2228" spans="1:4" ht="15.75" x14ac:dyDescent="0.25">
      <c r="A2228" s="427"/>
      <c r="B2228" s="428"/>
      <c r="C2228" s="428"/>
      <c r="D2228" s="429"/>
    </row>
    <row r="2229" spans="1:4" ht="15.75" x14ac:dyDescent="0.25">
      <c r="A2229" s="427"/>
      <c r="B2229" s="428"/>
      <c r="C2229" s="428"/>
      <c r="D2229" s="429"/>
    </row>
    <row r="2230" spans="1:4" ht="15.75" x14ac:dyDescent="0.25">
      <c r="A2230" s="427"/>
      <c r="B2230" s="428"/>
      <c r="C2230" s="428"/>
      <c r="D2230" s="429"/>
    </row>
    <row r="2231" spans="1:4" ht="15.75" x14ac:dyDescent="0.25">
      <c r="A2231" s="427"/>
      <c r="B2231" s="428"/>
      <c r="C2231" s="428"/>
      <c r="D2231" s="429"/>
    </row>
    <row r="2232" spans="1:4" ht="15.75" x14ac:dyDescent="0.25">
      <c r="A2232" s="427"/>
      <c r="B2232" s="428"/>
      <c r="C2232" s="428"/>
      <c r="D2232" s="429"/>
    </row>
    <row r="2233" spans="1:4" ht="15.75" x14ac:dyDescent="0.25">
      <c r="A2233" s="427"/>
      <c r="B2233" s="428"/>
      <c r="C2233" s="428"/>
      <c r="D2233" s="429"/>
    </row>
    <row r="2234" spans="1:4" ht="15.75" x14ac:dyDescent="0.25">
      <c r="A2234" s="427"/>
      <c r="B2234" s="428"/>
      <c r="C2234" s="428"/>
      <c r="D2234" s="429"/>
    </row>
    <row r="2235" spans="1:4" ht="15.75" x14ac:dyDescent="0.25">
      <c r="A2235" s="427"/>
      <c r="B2235" s="428"/>
      <c r="C2235" s="428"/>
      <c r="D2235" s="429"/>
    </row>
    <row r="2236" spans="1:4" ht="15.75" x14ac:dyDescent="0.25">
      <c r="A2236" s="427"/>
      <c r="B2236" s="428"/>
      <c r="C2236" s="428"/>
      <c r="D2236" s="429"/>
    </row>
    <row r="2237" spans="1:4" ht="15.75" x14ac:dyDescent="0.25">
      <c r="A2237" s="427"/>
      <c r="B2237" s="428"/>
      <c r="C2237" s="428"/>
      <c r="D2237" s="429"/>
    </row>
    <row r="2238" spans="1:4" ht="15.75" x14ac:dyDescent="0.25">
      <c r="A2238" s="427"/>
      <c r="B2238" s="428"/>
      <c r="C2238" s="428"/>
      <c r="D2238" s="429"/>
    </row>
    <row r="2239" spans="1:4" ht="15.75" x14ac:dyDescent="0.25">
      <c r="A2239" s="427"/>
      <c r="B2239" s="428"/>
      <c r="C2239" s="428"/>
      <c r="D2239" s="429"/>
    </row>
    <row r="2240" spans="1:4" ht="15.75" x14ac:dyDescent="0.25">
      <c r="A2240" s="427"/>
      <c r="B2240" s="428"/>
      <c r="C2240" s="428"/>
      <c r="D2240" s="429"/>
    </row>
    <row r="2241" spans="1:4" ht="15.75" x14ac:dyDescent="0.25">
      <c r="A2241" s="427"/>
      <c r="B2241" s="428"/>
      <c r="C2241" s="428"/>
      <c r="D2241" s="429"/>
    </row>
    <row r="2242" spans="1:4" ht="15.75" x14ac:dyDescent="0.25">
      <c r="A2242" s="427"/>
      <c r="B2242" s="428"/>
      <c r="C2242" s="428"/>
      <c r="D2242" s="429"/>
    </row>
    <row r="2243" spans="1:4" ht="15.75" x14ac:dyDescent="0.25">
      <c r="A2243" s="427"/>
      <c r="B2243" s="428"/>
      <c r="C2243" s="428"/>
      <c r="D2243" s="429"/>
    </row>
    <row r="2244" spans="1:4" ht="15.75" x14ac:dyDescent="0.25">
      <c r="A2244" s="427"/>
      <c r="B2244" s="428"/>
      <c r="C2244" s="428"/>
      <c r="D2244" s="429"/>
    </row>
    <row r="2245" spans="1:4" ht="15.75" x14ac:dyDescent="0.25">
      <c r="A2245" s="427"/>
      <c r="B2245" s="428"/>
      <c r="C2245" s="428"/>
      <c r="D2245" s="429"/>
    </row>
    <row r="2246" spans="1:4" ht="15.75" x14ac:dyDescent="0.25">
      <c r="A2246" s="427"/>
      <c r="B2246" s="428"/>
      <c r="C2246" s="428"/>
      <c r="D2246" s="429"/>
    </row>
    <row r="2247" spans="1:4" ht="15.75" x14ac:dyDescent="0.25">
      <c r="A2247" s="427"/>
      <c r="B2247" s="428"/>
      <c r="C2247" s="428"/>
      <c r="D2247" s="429"/>
    </row>
    <row r="2248" spans="1:4" ht="15.75" x14ac:dyDescent="0.25">
      <c r="A2248" s="427"/>
      <c r="B2248" s="428"/>
      <c r="C2248" s="428"/>
      <c r="D2248" s="429"/>
    </row>
    <row r="2249" spans="1:4" ht="15.75" x14ac:dyDescent="0.25">
      <c r="A2249" s="427"/>
      <c r="B2249" s="428"/>
      <c r="C2249" s="428"/>
      <c r="D2249" s="429"/>
    </row>
    <row r="2250" spans="1:4" ht="15.75" x14ac:dyDescent="0.25">
      <c r="A2250" s="427"/>
      <c r="B2250" s="428"/>
      <c r="C2250" s="428"/>
      <c r="D2250" s="429"/>
    </row>
    <row r="2251" spans="1:4" ht="15.75" x14ac:dyDescent="0.25">
      <c r="A2251" s="427"/>
      <c r="B2251" s="428"/>
      <c r="C2251" s="428"/>
      <c r="D2251" s="429"/>
    </row>
    <row r="2252" spans="1:4" ht="15.75" x14ac:dyDescent="0.25">
      <c r="A2252" s="427"/>
      <c r="B2252" s="428"/>
      <c r="C2252" s="428"/>
      <c r="D2252" s="429"/>
    </row>
    <row r="2253" spans="1:4" ht="15.75" x14ac:dyDescent="0.25">
      <c r="A2253" s="427"/>
      <c r="B2253" s="428"/>
      <c r="C2253" s="428"/>
      <c r="D2253" s="429"/>
    </row>
    <row r="2254" spans="1:4" ht="15.75" x14ac:dyDescent="0.25">
      <c r="A2254" s="427"/>
      <c r="B2254" s="428"/>
      <c r="C2254" s="428"/>
      <c r="D2254" s="429"/>
    </row>
    <row r="2255" spans="1:4" ht="15.75" x14ac:dyDescent="0.25">
      <c r="A2255" s="427"/>
      <c r="B2255" s="428"/>
      <c r="C2255" s="428"/>
      <c r="D2255" s="429"/>
    </row>
    <row r="2256" spans="1:4" ht="15.75" x14ac:dyDescent="0.25">
      <c r="A2256" s="427"/>
      <c r="B2256" s="428"/>
      <c r="C2256" s="428"/>
      <c r="D2256" s="429"/>
    </row>
    <row r="2257" spans="1:4" ht="15.75" x14ac:dyDescent="0.25">
      <c r="A2257" s="427"/>
      <c r="B2257" s="428"/>
      <c r="C2257" s="428"/>
      <c r="D2257" s="429"/>
    </row>
    <row r="2258" spans="1:4" ht="15.75" x14ac:dyDescent="0.25">
      <c r="A2258" s="427"/>
      <c r="B2258" s="428"/>
      <c r="C2258" s="428"/>
      <c r="D2258" s="429"/>
    </row>
    <row r="2259" spans="1:4" ht="15.75" x14ac:dyDescent="0.25">
      <c r="A2259" s="427"/>
      <c r="B2259" s="428"/>
      <c r="C2259" s="428"/>
      <c r="D2259" s="429"/>
    </row>
    <row r="2260" spans="1:4" ht="15.75" x14ac:dyDescent="0.25">
      <c r="A2260" s="427"/>
      <c r="B2260" s="428"/>
      <c r="C2260" s="428"/>
      <c r="D2260" s="429"/>
    </row>
    <row r="2261" spans="1:4" ht="15.75" x14ac:dyDescent="0.25">
      <c r="A2261" s="427"/>
      <c r="B2261" s="428"/>
      <c r="C2261" s="428"/>
      <c r="D2261" s="429"/>
    </row>
    <row r="2262" spans="1:4" ht="15.75" x14ac:dyDescent="0.25">
      <c r="A2262" s="427"/>
      <c r="B2262" s="428"/>
      <c r="C2262" s="428"/>
      <c r="D2262" s="429"/>
    </row>
    <row r="2263" spans="1:4" ht="15.75" x14ac:dyDescent="0.25">
      <c r="A2263" s="427"/>
      <c r="B2263" s="428"/>
      <c r="C2263" s="428"/>
      <c r="D2263" s="429"/>
    </row>
    <row r="2264" spans="1:4" ht="15.75" x14ac:dyDescent="0.25">
      <c r="A2264" s="427"/>
      <c r="B2264" s="428"/>
      <c r="C2264" s="428"/>
      <c r="D2264" s="429"/>
    </row>
    <row r="2265" spans="1:4" ht="15.75" x14ac:dyDescent="0.25">
      <c r="A2265" s="427"/>
      <c r="B2265" s="428"/>
      <c r="C2265" s="428"/>
      <c r="D2265" s="429"/>
    </row>
    <row r="2266" spans="1:4" ht="15.75" x14ac:dyDescent="0.25">
      <c r="A2266" s="427"/>
      <c r="B2266" s="428"/>
      <c r="C2266" s="428"/>
      <c r="D2266" s="429"/>
    </row>
    <row r="2267" spans="1:4" ht="15.75" x14ac:dyDescent="0.25">
      <c r="A2267" s="427"/>
      <c r="B2267" s="428"/>
      <c r="C2267" s="428"/>
      <c r="D2267" s="429"/>
    </row>
    <row r="2268" spans="1:4" ht="15.75" x14ac:dyDescent="0.25">
      <c r="A2268" s="427"/>
      <c r="B2268" s="428"/>
      <c r="C2268" s="428"/>
      <c r="D2268" s="429"/>
    </row>
    <row r="2269" spans="1:4" ht="15.75" x14ac:dyDescent="0.25">
      <c r="A2269" s="427"/>
      <c r="B2269" s="428"/>
      <c r="C2269" s="428"/>
      <c r="D2269" s="429"/>
    </row>
    <row r="2270" spans="1:4" ht="15.75" x14ac:dyDescent="0.25">
      <c r="A2270" s="427"/>
      <c r="B2270" s="428"/>
      <c r="C2270" s="428"/>
      <c r="D2270" s="429"/>
    </row>
    <row r="2271" spans="1:4" ht="15.75" x14ac:dyDescent="0.25">
      <c r="A2271" s="427"/>
      <c r="B2271" s="428"/>
      <c r="C2271" s="428"/>
      <c r="D2271" s="429"/>
    </row>
    <row r="2272" spans="1:4" ht="15.75" x14ac:dyDescent="0.25">
      <c r="A2272" s="427"/>
      <c r="B2272" s="428"/>
      <c r="C2272" s="428"/>
      <c r="D2272" s="429"/>
    </row>
    <row r="2273" spans="1:4" ht="15.75" x14ac:dyDescent="0.25">
      <c r="A2273" s="427"/>
      <c r="B2273" s="428"/>
      <c r="C2273" s="428"/>
      <c r="D2273" s="429"/>
    </row>
    <row r="2274" spans="1:4" ht="15.75" x14ac:dyDescent="0.25">
      <c r="A2274" s="427"/>
      <c r="B2274" s="428"/>
      <c r="C2274" s="428"/>
      <c r="D2274" s="429"/>
    </row>
    <row r="2275" spans="1:4" ht="15.75" x14ac:dyDescent="0.25">
      <c r="A2275" s="427"/>
      <c r="B2275" s="428"/>
      <c r="C2275" s="428"/>
      <c r="D2275" s="429"/>
    </row>
    <row r="2276" spans="1:4" ht="15.75" x14ac:dyDescent="0.25">
      <c r="A2276" s="427"/>
      <c r="B2276" s="428"/>
      <c r="C2276" s="428"/>
      <c r="D2276" s="429"/>
    </row>
    <row r="2277" spans="1:4" ht="15.75" x14ac:dyDescent="0.25">
      <c r="A2277" s="427"/>
      <c r="B2277" s="428"/>
      <c r="C2277" s="428"/>
      <c r="D2277" s="429"/>
    </row>
    <row r="2278" spans="1:4" ht="15.75" x14ac:dyDescent="0.25">
      <c r="A2278" s="427"/>
      <c r="B2278" s="428"/>
      <c r="C2278" s="428"/>
      <c r="D2278" s="429"/>
    </row>
    <row r="2279" spans="1:4" ht="15.75" x14ac:dyDescent="0.25">
      <c r="A2279" s="427"/>
      <c r="B2279" s="428"/>
      <c r="C2279" s="428"/>
      <c r="D2279" s="429"/>
    </row>
    <row r="2280" spans="1:4" ht="15.75" x14ac:dyDescent="0.25">
      <c r="A2280" s="427"/>
      <c r="B2280" s="428"/>
      <c r="C2280" s="428"/>
      <c r="D2280" s="429"/>
    </row>
    <row r="2281" spans="1:4" ht="15.75" x14ac:dyDescent="0.25">
      <c r="A2281" s="427"/>
      <c r="B2281" s="428"/>
      <c r="C2281" s="428"/>
      <c r="D2281" s="429"/>
    </row>
    <row r="2282" spans="1:4" ht="15.75" x14ac:dyDescent="0.25">
      <c r="A2282" s="427"/>
      <c r="B2282" s="428"/>
      <c r="C2282" s="428"/>
      <c r="D2282" s="429"/>
    </row>
    <row r="2283" spans="1:4" ht="15.75" x14ac:dyDescent="0.25">
      <c r="A2283" s="427"/>
      <c r="B2283" s="428"/>
      <c r="C2283" s="428"/>
      <c r="D2283" s="429"/>
    </row>
    <row r="2284" spans="1:4" ht="15.75" x14ac:dyDescent="0.25">
      <c r="A2284" s="427"/>
      <c r="B2284" s="428"/>
      <c r="C2284" s="428"/>
      <c r="D2284" s="429"/>
    </row>
    <row r="2285" spans="1:4" ht="15.75" x14ac:dyDescent="0.25">
      <c r="A2285" s="427"/>
      <c r="B2285" s="428"/>
      <c r="C2285" s="428"/>
      <c r="D2285" s="429"/>
    </row>
    <row r="2286" spans="1:4" ht="15.75" x14ac:dyDescent="0.25">
      <c r="A2286" s="427"/>
      <c r="B2286" s="428"/>
      <c r="C2286" s="428"/>
      <c r="D2286" s="429"/>
    </row>
    <row r="2287" spans="1:4" ht="15.75" x14ac:dyDescent="0.25">
      <c r="A2287" s="427"/>
      <c r="B2287" s="428"/>
      <c r="C2287" s="428"/>
      <c r="D2287" s="429"/>
    </row>
    <row r="2288" spans="1:4" ht="15.75" x14ac:dyDescent="0.25">
      <c r="A2288" s="427"/>
      <c r="B2288" s="428"/>
      <c r="C2288" s="428"/>
      <c r="D2288" s="429"/>
    </row>
    <row r="2289" spans="1:4" ht="15.75" x14ac:dyDescent="0.25">
      <c r="A2289" s="427"/>
      <c r="B2289" s="428"/>
      <c r="C2289" s="428"/>
      <c r="D2289" s="429"/>
    </row>
    <row r="2290" spans="1:4" ht="15.75" x14ac:dyDescent="0.25">
      <c r="A2290" s="427"/>
      <c r="B2290" s="428"/>
      <c r="C2290" s="428"/>
      <c r="D2290" s="429"/>
    </row>
    <row r="2291" spans="1:4" ht="15.75" x14ac:dyDescent="0.25">
      <c r="A2291" s="427"/>
      <c r="B2291" s="428"/>
      <c r="C2291" s="428"/>
      <c r="D2291" s="429"/>
    </row>
    <row r="2292" spans="1:4" ht="15.75" x14ac:dyDescent="0.25">
      <c r="A2292" s="427"/>
      <c r="B2292" s="428"/>
      <c r="C2292" s="428"/>
      <c r="D2292" s="429"/>
    </row>
    <row r="2293" spans="1:4" ht="15.75" x14ac:dyDescent="0.25">
      <c r="A2293" s="427"/>
      <c r="B2293" s="428"/>
      <c r="C2293" s="428"/>
      <c r="D2293" s="429"/>
    </row>
    <row r="2294" spans="1:4" ht="15.75" x14ac:dyDescent="0.25">
      <c r="A2294" s="427"/>
      <c r="B2294" s="428"/>
      <c r="C2294" s="428"/>
      <c r="D2294" s="429"/>
    </row>
    <row r="2295" spans="1:4" ht="15.75" x14ac:dyDescent="0.25">
      <c r="A2295" s="427"/>
      <c r="B2295" s="428"/>
      <c r="C2295" s="428"/>
      <c r="D2295" s="429"/>
    </row>
    <row r="2296" spans="1:4" ht="15.75" x14ac:dyDescent="0.25">
      <c r="A2296" s="427"/>
      <c r="B2296" s="428"/>
      <c r="C2296" s="428"/>
      <c r="D2296" s="429"/>
    </row>
    <row r="2297" spans="1:4" ht="15.75" x14ac:dyDescent="0.25">
      <c r="A2297" s="427"/>
      <c r="B2297" s="428"/>
      <c r="C2297" s="428"/>
      <c r="D2297" s="429"/>
    </row>
    <row r="2298" spans="1:4" ht="15.75" x14ac:dyDescent="0.25">
      <c r="A2298" s="427"/>
      <c r="B2298" s="428"/>
      <c r="C2298" s="428"/>
      <c r="D2298" s="429"/>
    </row>
    <row r="2299" spans="1:4" ht="15.75" x14ac:dyDescent="0.25">
      <c r="A2299" s="427"/>
      <c r="B2299" s="428"/>
      <c r="C2299" s="428"/>
      <c r="D2299" s="429"/>
    </row>
    <row r="2300" spans="1:4" ht="15.75" x14ac:dyDescent="0.25">
      <c r="A2300" s="427"/>
      <c r="B2300" s="428"/>
      <c r="C2300" s="428"/>
      <c r="D2300" s="429"/>
    </row>
    <row r="2301" spans="1:4" ht="15.75" x14ac:dyDescent="0.25">
      <c r="A2301" s="427"/>
      <c r="B2301" s="428"/>
      <c r="C2301" s="428"/>
      <c r="D2301" s="429"/>
    </row>
    <row r="2302" spans="1:4" ht="15.75" x14ac:dyDescent="0.25">
      <c r="A2302" s="427"/>
      <c r="B2302" s="428"/>
      <c r="C2302" s="428"/>
      <c r="D2302" s="429"/>
    </row>
    <row r="2303" spans="1:4" ht="15.75" x14ac:dyDescent="0.25">
      <c r="A2303" s="427"/>
      <c r="B2303" s="428"/>
      <c r="C2303" s="428"/>
      <c r="D2303" s="429"/>
    </row>
    <row r="2304" spans="1:4" ht="15.75" x14ac:dyDescent="0.25">
      <c r="A2304" s="427"/>
      <c r="B2304" s="428"/>
      <c r="C2304" s="428"/>
      <c r="D2304" s="429"/>
    </row>
    <row r="2305" spans="1:4" ht="15.75" x14ac:dyDescent="0.25">
      <c r="A2305" s="427"/>
      <c r="B2305" s="428"/>
      <c r="C2305" s="428"/>
      <c r="D2305" s="429"/>
    </row>
    <row r="2306" spans="1:4" ht="15.75" x14ac:dyDescent="0.25">
      <c r="A2306" s="427"/>
      <c r="B2306" s="428"/>
      <c r="C2306" s="428"/>
      <c r="D2306" s="429"/>
    </row>
    <row r="2307" spans="1:4" ht="15.75" x14ac:dyDescent="0.25">
      <c r="A2307" s="427"/>
      <c r="B2307" s="428"/>
      <c r="C2307" s="428"/>
      <c r="D2307" s="429"/>
    </row>
    <row r="2308" spans="1:4" ht="15.75" x14ac:dyDescent="0.25">
      <c r="A2308" s="427"/>
      <c r="B2308" s="428"/>
      <c r="C2308" s="428"/>
      <c r="D2308" s="429"/>
    </row>
    <row r="2309" spans="1:4" ht="15.75" x14ac:dyDescent="0.25">
      <c r="A2309" s="427"/>
      <c r="B2309" s="428"/>
      <c r="C2309" s="428"/>
      <c r="D2309" s="429"/>
    </row>
    <row r="2310" spans="1:4" ht="15.75" x14ac:dyDescent="0.25">
      <c r="A2310" s="427"/>
      <c r="B2310" s="428"/>
      <c r="C2310" s="428"/>
      <c r="D2310" s="429"/>
    </row>
    <row r="2311" spans="1:4" ht="15.75" x14ac:dyDescent="0.25">
      <c r="A2311" s="427"/>
      <c r="B2311" s="428"/>
      <c r="C2311" s="428"/>
      <c r="D2311" s="429"/>
    </row>
    <row r="2312" spans="1:4" ht="15.75" x14ac:dyDescent="0.25">
      <c r="A2312" s="427"/>
      <c r="B2312" s="428"/>
      <c r="C2312" s="428"/>
      <c r="D2312" s="429"/>
    </row>
    <row r="2313" spans="1:4" ht="15.75" x14ac:dyDescent="0.25">
      <c r="A2313" s="427"/>
      <c r="B2313" s="428"/>
      <c r="C2313" s="428"/>
      <c r="D2313" s="429"/>
    </row>
    <row r="2314" spans="1:4" ht="15.75" x14ac:dyDescent="0.25">
      <c r="A2314" s="427"/>
      <c r="B2314" s="428"/>
      <c r="C2314" s="428"/>
      <c r="D2314" s="429"/>
    </row>
    <row r="2315" spans="1:4" ht="15.75" x14ac:dyDescent="0.25">
      <c r="A2315" s="427"/>
      <c r="B2315" s="428"/>
      <c r="C2315" s="428"/>
      <c r="D2315" s="429"/>
    </row>
    <row r="2316" spans="1:4" ht="15.75" x14ac:dyDescent="0.25">
      <c r="A2316" s="427"/>
      <c r="B2316" s="428"/>
      <c r="C2316" s="428"/>
      <c r="D2316" s="429"/>
    </row>
    <row r="2317" spans="1:4" ht="15.75" x14ac:dyDescent="0.25">
      <c r="A2317" s="427"/>
      <c r="B2317" s="428"/>
      <c r="C2317" s="428"/>
      <c r="D2317" s="429"/>
    </row>
    <row r="2318" spans="1:4" ht="15.75" x14ac:dyDescent="0.25">
      <c r="A2318" s="427"/>
      <c r="B2318" s="428"/>
      <c r="C2318" s="428"/>
      <c r="D2318" s="429"/>
    </row>
    <row r="2319" spans="1:4" ht="15.75" x14ac:dyDescent="0.25">
      <c r="A2319" s="427"/>
      <c r="B2319" s="428"/>
      <c r="C2319" s="428"/>
      <c r="D2319" s="429"/>
    </row>
    <row r="2320" spans="1:4" ht="15.75" x14ac:dyDescent="0.25">
      <c r="A2320" s="427"/>
      <c r="B2320" s="428"/>
      <c r="C2320" s="428"/>
      <c r="D2320" s="429"/>
    </row>
    <row r="2321" spans="1:4" ht="15.75" x14ac:dyDescent="0.25">
      <c r="A2321" s="427"/>
      <c r="B2321" s="428"/>
      <c r="C2321" s="428"/>
      <c r="D2321" s="429"/>
    </row>
    <row r="2322" spans="1:4" ht="15.75" x14ac:dyDescent="0.25">
      <c r="A2322" s="427"/>
      <c r="B2322" s="428"/>
      <c r="C2322" s="428"/>
      <c r="D2322" s="429"/>
    </row>
    <row r="2323" spans="1:4" ht="15.75" x14ac:dyDescent="0.25">
      <c r="A2323" s="427"/>
      <c r="B2323" s="428"/>
      <c r="C2323" s="428"/>
      <c r="D2323" s="429"/>
    </row>
    <row r="2324" spans="1:4" ht="15.75" x14ac:dyDescent="0.25">
      <c r="A2324" s="427"/>
      <c r="B2324" s="428"/>
      <c r="C2324" s="428"/>
      <c r="D2324" s="429"/>
    </row>
    <row r="2325" spans="1:4" ht="15.75" x14ac:dyDescent="0.25">
      <c r="A2325" s="427"/>
      <c r="B2325" s="428"/>
      <c r="C2325" s="428"/>
      <c r="D2325" s="429"/>
    </row>
    <row r="2326" spans="1:4" ht="15.75" x14ac:dyDescent="0.25">
      <c r="A2326" s="427"/>
      <c r="B2326" s="428"/>
      <c r="C2326" s="428"/>
      <c r="D2326" s="429"/>
    </row>
    <row r="2327" spans="1:4" ht="15.75" x14ac:dyDescent="0.25">
      <c r="A2327" s="427"/>
      <c r="B2327" s="428"/>
      <c r="C2327" s="428"/>
      <c r="D2327" s="429"/>
    </row>
    <row r="2328" spans="1:4" ht="15.75" x14ac:dyDescent="0.25">
      <c r="A2328" s="427"/>
      <c r="B2328" s="428"/>
      <c r="C2328" s="428"/>
      <c r="D2328" s="429"/>
    </row>
    <row r="2329" spans="1:4" ht="15.75" x14ac:dyDescent="0.25">
      <c r="A2329" s="427"/>
      <c r="B2329" s="428"/>
      <c r="C2329" s="428"/>
      <c r="D2329" s="429"/>
    </row>
    <row r="2330" spans="1:4" ht="15.75" x14ac:dyDescent="0.25">
      <c r="A2330" s="427"/>
      <c r="B2330" s="428"/>
      <c r="C2330" s="428"/>
      <c r="D2330" s="429"/>
    </row>
    <row r="2331" spans="1:4" ht="15.75" x14ac:dyDescent="0.25">
      <c r="A2331" s="427"/>
      <c r="B2331" s="428"/>
      <c r="C2331" s="428"/>
      <c r="D2331" s="429"/>
    </row>
    <row r="2332" spans="1:4" ht="15.75" x14ac:dyDescent="0.25">
      <c r="A2332" s="427"/>
      <c r="B2332" s="428"/>
      <c r="C2332" s="428"/>
      <c r="D2332" s="429"/>
    </row>
    <row r="2333" spans="1:4" ht="15.75" x14ac:dyDescent="0.25">
      <c r="A2333" s="427"/>
      <c r="B2333" s="428"/>
      <c r="C2333" s="428"/>
      <c r="D2333" s="429"/>
    </row>
    <row r="2334" spans="1:4" ht="15.75" x14ac:dyDescent="0.25">
      <c r="A2334" s="427"/>
      <c r="B2334" s="428"/>
      <c r="C2334" s="428"/>
      <c r="D2334" s="429"/>
    </row>
    <row r="2335" spans="1:4" ht="15.75" x14ac:dyDescent="0.25">
      <c r="A2335" s="427"/>
      <c r="B2335" s="428"/>
      <c r="C2335" s="428"/>
      <c r="D2335" s="429"/>
    </row>
    <row r="2336" spans="1:4" ht="15.75" x14ac:dyDescent="0.25">
      <c r="A2336" s="427"/>
      <c r="B2336" s="428"/>
      <c r="C2336" s="428"/>
      <c r="D2336" s="429"/>
    </row>
    <row r="2337" spans="1:4" ht="15.75" x14ac:dyDescent="0.25">
      <c r="A2337" s="427"/>
      <c r="B2337" s="428"/>
      <c r="C2337" s="428"/>
      <c r="D2337" s="429"/>
    </row>
    <row r="2338" spans="1:4" ht="15.75" x14ac:dyDescent="0.25">
      <c r="A2338" s="427"/>
      <c r="B2338" s="428"/>
      <c r="C2338" s="428"/>
      <c r="D2338" s="429"/>
    </row>
    <row r="2339" spans="1:4" ht="15.75" x14ac:dyDescent="0.25">
      <c r="A2339" s="427"/>
      <c r="B2339" s="428"/>
      <c r="C2339" s="428"/>
      <c r="D2339" s="429"/>
    </row>
    <row r="2340" spans="1:4" ht="15.75" x14ac:dyDescent="0.25">
      <c r="A2340" s="427"/>
      <c r="B2340" s="428"/>
      <c r="C2340" s="428"/>
      <c r="D2340" s="429"/>
    </row>
    <row r="2341" spans="1:4" ht="15.75" x14ac:dyDescent="0.25">
      <c r="A2341" s="427"/>
      <c r="B2341" s="428"/>
      <c r="C2341" s="428"/>
      <c r="D2341" s="429"/>
    </row>
    <row r="2342" spans="1:4" ht="15.75" x14ac:dyDescent="0.25">
      <c r="A2342" s="427"/>
      <c r="B2342" s="428"/>
      <c r="C2342" s="428"/>
      <c r="D2342" s="429"/>
    </row>
    <row r="2343" spans="1:4" ht="15.75" x14ac:dyDescent="0.25">
      <c r="A2343" s="427"/>
      <c r="B2343" s="428"/>
      <c r="C2343" s="428"/>
      <c r="D2343" s="429"/>
    </row>
    <row r="2344" spans="1:4" ht="15.75" x14ac:dyDescent="0.25">
      <c r="A2344" s="427"/>
      <c r="B2344" s="428"/>
      <c r="C2344" s="428"/>
      <c r="D2344" s="429"/>
    </row>
    <row r="2345" spans="1:4" ht="15.75" x14ac:dyDescent="0.25">
      <c r="A2345" s="427"/>
      <c r="B2345" s="428"/>
      <c r="C2345" s="428"/>
      <c r="D2345" s="429"/>
    </row>
    <row r="2346" spans="1:4" ht="15.75" x14ac:dyDescent="0.25">
      <c r="A2346" s="427"/>
      <c r="B2346" s="428"/>
      <c r="C2346" s="428"/>
      <c r="D2346" s="429"/>
    </row>
    <row r="2347" spans="1:4" ht="15.75" x14ac:dyDescent="0.25">
      <c r="A2347" s="427"/>
      <c r="B2347" s="428"/>
      <c r="C2347" s="428"/>
      <c r="D2347" s="429"/>
    </row>
    <row r="2348" spans="1:4" ht="15.75" x14ac:dyDescent="0.25">
      <c r="A2348" s="427"/>
      <c r="B2348" s="428"/>
      <c r="C2348" s="428"/>
      <c r="D2348" s="429"/>
    </row>
    <row r="2349" spans="1:4" ht="15.75" x14ac:dyDescent="0.25">
      <c r="A2349" s="427"/>
      <c r="B2349" s="428"/>
      <c r="C2349" s="428"/>
      <c r="D2349" s="429"/>
    </row>
    <row r="2350" spans="1:4" ht="15.75" x14ac:dyDescent="0.25">
      <c r="A2350" s="427"/>
      <c r="B2350" s="428"/>
      <c r="C2350" s="428"/>
      <c r="D2350" s="429"/>
    </row>
    <row r="2351" spans="1:4" ht="15.75" x14ac:dyDescent="0.25">
      <c r="A2351" s="427"/>
      <c r="B2351" s="428"/>
      <c r="C2351" s="428"/>
      <c r="D2351" s="429"/>
    </row>
    <row r="2352" spans="1:4" ht="15.75" x14ac:dyDescent="0.25">
      <c r="A2352" s="427"/>
      <c r="B2352" s="428"/>
      <c r="C2352" s="428"/>
      <c r="D2352" s="429"/>
    </row>
    <row r="2353" spans="1:4" ht="15.75" x14ac:dyDescent="0.25">
      <c r="A2353" s="427"/>
      <c r="B2353" s="428"/>
      <c r="C2353" s="428"/>
      <c r="D2353" s="429"/>
    </row>
    <row r="2354" spans="1:4" ht="15.75" x14ac:dyDescent="0.25">
      <c r="A2354" s="427"/>
      <c r="B2354" s="428"/>
      <c r="C2354" s="428"/>
      <c r="D2354" s="429"/>
    </row>
    <row r="2355" spans="1:4" ht="15.75" x14ac:dyDescent="0.25">
      <c r="A2355" s="427"/>
      <c r="B2355" s="428"/>
      <c r="C2355" s="428"/>
      <c r="D2355" s="429"/>
    </row>
    <row r="2356" spans="1:4" ht="15.75" x14ac:dyDescent="0.25">
      <c r="A2356" s="427"/>
      <c r="B2356" s="428"/>
      <c r="C2356" s="428"/>
      <c r="D2356" s="429"/>
    </row>
    <row r="2357" spans="1:4" ht="15.75" x14ac:dyDescent="0.25">
      <c r="A2357" s="427"/>
      <c r="B2357" s="428"/>
      <c r="C2357" s="428"/>
      <c r="D2357" s="429"/>
    </row>
    <row r="2358" spans="1:4" ht="15.75" x14ac:dyDescent="0.25">
      <c r="A2358" s="427"/>
      <c r="B2358" s="428"/>
      <c r="C2358" s="428"/>
      <c r="D2358" s="429"/>
    </row>
    <row r="2359" spans="1:4" ht="15.75" x14ac:dyDescent="0.25">
      <c r="A2359" s="427"/>
      <c r="B2359" s="428"/>
      <c r="C2359" s="428"/>
      <c r="D2359" s="429"/>
    </row>
    <row r="2360" spans="1:4" ht="15.75" x14ac:dyDescent="0.25">
      <c r="A2360" s="427"/>
      <c r="B2360" s="428"/>
      <c r="C2360" s="428"/>
      <c r="D2360" s="429"/>
    </row>
    <row r="2361" spans="1:4" ht="15.75" x14ac:dyDescent="0.25">
      <c r="A2361" s="427"/>
      <c r="B2361" s="428"/>
      <c r="C2361" s="428"/>
      <c r="D2361" s="429"/>
    </row>
    <row r="2362" spans="1:4" ht="15.75" x14ac:dyDescent="0.25">
      <c r="A2362" s="427"/>
      <c r="B2362" s="428"/>
      <c r="C2362" s="428"/>
      <c r="D2362" s="429"/>
    </row>
    <row r="2363" spans="1:4" ht="15.75" x14ac:dyDescent="0.25">
      <c r="A2363" s="427"/>
      <c r="B2363" s="428"/>
      <c r="C2363" s="428"/>
      <c r="D2363" s="429"/>
    </row>
    <row r="2364" spans="1:4" ht="15.75" x14ac:dyDescent="0.25">
      <c r="A2364" s="427"/>
      <c r="B2364" s="428"/>
      <c r="C2364" s="428"/>
      <c r="D2364" s="429"/>
    </row>
    <row r="2365" spans="1:4" ht="15.75" x14ac:dyDescent="0.25">
      <c r="A2365" s="427"/>
      <c r="B2365" s="428"/>
      <c r="C2365" s="428"/>
      <c r="D2365" s="429"/>
    </row>
    <row r="2366" spans="1:4" ht="15.75" x14ac:dyDescent="0.25">
      <c r="A2366" s="427"/>
      <c r="B2366" s="428"/>
      <c r="C2366" s="428"/>
      <c r="D2366" s="429"/>
    </row>
    <row r="2367" spans="1:4" ht="15.75" x14ac:dyDescent="0.25">
      <c r="A2367" s="427"/>
      <c r="B2367" s="428"/>
      <c r="C2367" s="428"/>
      <c r="D2367" s="429"/>
    </row>
    <row r="2368" spans="1:4" ht="15.75" x14ac:dyDescent="0.25">
      <c r="A2368" s="427"/>
      <c r="B2368" s="428"/>
      <c r="C2368" s="428"/>
      <c r="D2368" s="429"/>
    </row>
    <row r="2369" spans="1:4" ht="15.75" x14ac:dyDescent="0.25">
      <c r="A2369" s="427"/>
      <c r="B2369" s="428"/>
      <c r="C2369" s="428"/>
      <c r="D2369" s="429"/>
    </row>
    <row r="2370" spans="1:4" ht="15.75" x14ac:dyDescent="0.25">
      <c r="A2370" s="427"/>
      <c r="B2370" s="428"/>
      <c r="C2370" s="428"/>
      <c r="D2370" s="429"/>
    </row>
    <row r="2371" spans="1:4" ht="15.75" x14ac:dyDescent="0.25">
      <c r="A2371" s="427"/>
      <c r="B2371" s="428"/>
      <c r="C2371" s="428"/>
      <c r="D2371" s="429"/>
    </row>
    <row r="2372" spans="1:4" ht="15.75" x14ac:dyDescent="0.25">
      <c r="A2372" s="427"/>
      <c r="B2372" s="428"/>
      <c r="C2372" s="428"/>
      <c r="D2372" s="429"/>
    </row>
    <row r="2373" spans="1:4" ht="15.75" x14ac:dyDescent="0.25">
      <c r="A2373" s="427"/>
      <c r="B2373" s="428"/>
      <c r="C2373" s="428"/>
      <c r="D2373" s="429"/>
    </row>
    <row r="2374" spans="1:4" ht="15.75" x14ac:dyDescent="0.25">
      <c r="A2374" s="427"/>
      <c r="B2374" s="428"/>
      <c r="C2374" s="428"/>
      <c r="D2374" s="429"/>
    </row>
    <row r="2375" spans="1:4" ht="15.75" x14ac:dyDescent="0.25">
      <c r="A2375" s="427"/>
      <c r="B2375" s="428"/>
      <c r="C2375" s="428"/>
      <c r="D2375" s="429"/>
    </row>
    <row r="2376" spans="1:4" ht="15.75" x14ac:dyDescent="0.25">
      <c r="A2376" s="427"/>
      <c r="B2376" s="428"/>
      <c r="C2376" s="428"/>
      <c r="D2376" s="429"/>
    </row>
    <row r="2377" spans="1:4" ht="15.75" x14ac:dyDescent="0.25">
      <c r="A2377" s="427"/>
      <c r="B2377" s="428"/>
      <c r="C2377" s="428"/>
      <c r="D2377" s="429"/>
    </row>
    <row r="2378" spans="1:4" ht="15.75" x14ac:dyDescent="0.25">
      <c r="A2378" s="427"/>
      <c r="B2378" s="428"/>
      <c r="C2378" s="428"/>
      <c r="D2378" s="429"/>
    </row>
    <row r="2379" spans="1:4" ht="15.75" x14ac:dyDescent="0.25">
      <c r="A2379" s="427"/>
      <c r="B2379" s="428"/>
      <c r="C2379" s="428"/>
      <c r="D2379" s="429"/>
    </row>
    <row r="2380" spans="1:4" ht="15.75" x14ac:dyDescent="0.25">
      <c r="A2380" s="427"/>
      <c r="B2380" s="428"/>
      <c r="C2380" s="428"/>
      <c r="D2380" s="429"/>
    </row>
    <row r="2381" spans="1:4" ht="15.75" x14ac:dyDescent="0.25">
      <c r="A2381" s="427"/>
      <c r="B2381" s="428"/>
      <c r="C2381" s="428"/>
      <c r="D2381" s="429"/>
    </row>
    <row r="2382" spans="1:4" ht="15.75" x14ac:dyDescent="0.25">
      <c r="A2382" s="427"/>
      <c r="B2382" s="428"/>
      <c r="C2382" s="428"/>
      <c r="D2382" s="429"/>
    </row>
    <row r="2383" spans="1:4" ht="15.75" x14ac:dyDescent="0.25">
      <c r="A2383" s="427"/>
      <c r="B2383" s="428"/>
      <c r="C2383" s="428"/>
      <c r="D2383" s="429"/>
    </row>
    <row r="2384" spans="1:4" ht="15.75" x14ac:dyDescent="0.25">
      <c r="A2384" s="427"/>
      <c r="B2384" s="428"/>
      <c r="C2384" s="428"/>
      <c r="D2384" s="429"/>
    </row>
    <row r="2385" spans="1:4" ht="15.75" x14ac:dyDescent="0.25">
      <c r="A2385" s="427"/>
      <c r="B2385" s="428"/>
      <c r="C2385" s="428"/>
      <c r="D2385" s="429"/>
    </row>
    <row r="2386" spans="1:4" ht="15.75" x14ac:dyDescent="0.25">
      <c r="A2386" s="427"/>
      <c r="B2386" s="428"/>
      <c r="C2386" s="428"/>
      <c r="D2386" s="429"/>
    </row>
    <row r="2387" spans="1:4" ht="15.75" x14ac:dyDescent="0.25">
      <c r="A2387" s="427"/>
      <c r="B2387" s="428"/>
      <c r="C2387" s="428"/>
      <c r="D2387" s="429"/>
    </row>
    <row r="2388" spans="1:4" ht="15.75" x14ac:dyDescent="0.25">
      <c r="A2388" s="427"/>
      <c r="B2388" s="428"/>
      <c r="C2388" s="428"/>
      <c r="D2388" s="429"/>
    </row>
    <row r="2389" spans="1:4" ht="15.75" x14ac:dyDescent="0.25">
      <c r="A2389" s="427"/>
      <c r="B2389" s="428"/>
      <c r="C2389" s="428"/>
      <c r="D2389" s="429"/>
    </row>
    <row r="2390" spans="1:4" ht="15.75" x14ac:dyDescent="0.25">
      <c r="A2390" s="427"/>
      <c r="B2390" s="428"/>
      <c r="C2390" s="428"/>
      <c r="D2390" s="429"/>
    </row>
    <row r="2391" spans="1:4" ht="15.75" x14ac:dyDescent="0.25">
      <c r="A2391" s="427"/>
      <c r="B2391" s="428"/>
      <c r="C2391" s="428"/>
      <c r="D2391" s="429"/>
    </row>
    <row r="2392" spans="1:4" ht="15.75" x14ac:dyDescent="0.25">
      <c r="A2392" s="427"/>
      <c r="B2392" s="428"/>
      <c r="C2392" s="428"/>
      <c r="D2392" s="429"/>
    </row>
    <row r="2393" spans="1:4" ht="15.75" x14ac:dyDescent="0.25">
      <c r="A2393" s="427"/>
      <c r="B2393" s="428"/>
      <c r="C2393" s="428"/>
      <c r="D2393" s="429"/>
    </row>
    <row r="2394" spans="1:4" ht="15.75" x14ac:dyDescent="0.25">
      <c r="A2394" s="427"/>
      <c r="B2394" s="428"/>
      <c r="C2394" s="428"/>
      <c r="D2394" s="429"/>
    </row>
    <row r="2395" spans="1:4" ht="15.75" x14ac:dyDescent="0.25">
      <c r="A2395" s="427"/>
      <c r="B2395" s="428"/>
      <c r="C2395" s="428"/>
      <c r="D2395" s="429"/>
    </row>
    <row r="2396" spans="1:4" ht="15.75" x14ac:dyDescent="0.25">
      <c r="A2396" s="427"/>
      <c r="B2396" s="428"/>
      <c r="C2396" s="428"/>
      <c r="D2396" s="429"/>
    </row>
    <row r="2397" spans="1:4" ht="15.75" x14ac:dyDescent="0.25">
      <c r="A2397" s="427"/>
      <c r="B2397" s="428"/>
      <c r="C2397" s="428"/>
      <c r="D2397" s="429"/>
    </row>
    <row r="2398" spans="1:4" ht="15.75" x14ac:dyDescent="0.25">
      <c r="A2398" s="427"/>
      <c r="B2398" s="428"/>
      <c r="C2398" s="428"/>
      <c r="D2398" s="429"/>
    </row>
    <row r="2399" spans="1:4" ht="15.75" x14ac:dyDescent="0.25">
      <c r="A2399" s="427"/>
      <c r="B2399" s="428"/>
      <c r="C2399" s="428"/>
      <c r="D2399" s="429"/>
    </row>
    <row r="2400" spans="1:4" ht="15.75" x14ac:dyDescent="0.25">
      <c r="A2400" s="427"/>
      <c r="B2400" s="428"/>
      <c r="C2400" s="428"/>
      <c r="D2400" s="429"/>
    </row>
    <row r="2401" spans="1:4" ht="15.75" x14ac:dyDescent="0.25">
      <c r="A2401" s="427"/>
      <c r="B2401" s="428"/>
      <c r="C2401" s="428"/>
      <c r="D2401" s="429"/>
    </row>
    <row r="2402" spans="1:4" ht="15.75" x14ac:dyDescent="0.25">
      <c r="A2402" s="427"/>
      <c r="B2402" s="428"/>
      <c r="C2402" s="428"/>
      <c r="D2402" s="429"/>
    </row>
    <row r="2403" spans="1:4" ht="15.75" x14ac:dyDescent="0.25">
      <c r="A2403" s="427"/>
      <c r="B2403" s="428"/>
      <c r="C2403" s="428"/>
      <c r="D2403" s="429"/>
    </row>
    <row r="2404" spans="1:4" ht="15.75" x14ac:dyDescent="0.25">
      <c r="A2404" s="427"/>
      <c r="B2404" s="428"/>
      <c r="C2404" s="428"/>
      <c r="D2404" s="429"/>
    </row>
    <row r="2405" spans="1:4" ht="15.75" x14ac:dyDescent="0.25">
      <c r="A2405" s="427"/>
      <c r="B2405" s="428"/>
      <c r="C2405" s="428"/>
      <c r="D2405" s="429"/>
    </row>
    <row r="2406" spans="1:4" ht="15.75" x14ac:dyDescent="0.25">
      <c r="A2406" s="427"/>
      <c r="B2406" s="428"/>
      <c r="C2406" s="428"/>
      <c r="D2406" s="429"/>
    </row>
    <row r="2407" spans="1:4" ht="15.75" x14ac:dyDescent="0.25">
      <c r="A2407" s="427"/>
      <c r="B2407" s="428"/>
      <c r="C2407" s="428"/>
      <c r="D2407" s="429"/>
    </row>
    <row r="2408" spans="1:4" ht="15.75" x14ac:dyDescent="0.25">
      <c r="A2408" s="427"/>
      <c r="B2408" s="428"/>
      <c r="C2408" s="428"/>
      <c r="D2408" s="429"/>
    </row>
    <row r="2409" spans="1:4" ht="15.75" x14ac:dyDescent="0.25">
      <c r="A2409" s="427"/>
      <c r="B2409" s="428"/>
      <c r="C2409" s="428"/>
      <c r="D2409" s="429"/>
    </row>
    <row r="2410" spans="1:4" ht="15.75" x14ac:dyDescent="0.25">
      <c r="A2410" s="427"/>
      <c r="B2410" s="428"/>
      <c r="C2410" s="428"/>
      <c r="D2410" s="429"/>
    </row>
    <row r="2411" spans="1:4" ht="15.75" x14ac:dyDescent="0.25">
      <c r="A2411" s="427"/>
      <c r="B2411" s="428"/>
      <c r="C2411" s="428"/>
      <c r="D2411" s="429"/>
    </row>
    <row r="2412" spans="1:4" ht="15.75" x14ac:dyDescent="0.25">
      <c r="A2412" s="427"/>
      <c r="B2412" s="428"/>
      <c r="C2412" s="428"/>
      <c r="D2412" s="429"/>
    </row>
    <row r="2413" spans="1:4" ht="15.75" x14ac:dyDescent="0.25">
      <c r="A2413" s="427"/>
      <c r="B2413" s="428"/>
      <c r="C2413" s="428"/>
      <c r="D2413" s="429"/>
    </row>
    <row r="2414" spans="1:4" ht="15.75" x14ac:dyDescent="0.25">
      <c r="A2414" s="427"/>
      <c r="B2414" s="428"/>
      <c r="C2414" s="428"/>
      <c r="D2414" s="429"/>
    </row>
    <row r="2415" spans="1:4" ht="15.75" x14ac:dyDescent="0.25">
      <c r="A2415" s="427"/>
      <c r="B2415" s="428"/>
      <c r="C2415" s="428"/>
      <c r="D2415" s="429"/>
    </row>
    <row r="2416" spans="1:4" ht="15.75" x14ac:dyDescent="0.25">
      <c r="A2416" s="427"/>
      <c r="B2416" s="428"/>
      <c r="C2416" s="428"/>
      <c r="D2416" s="429"/>
    </row>
    <row r="2417" spans="1:4" ht="15.75" x14ac:dyDescent="0.25">
      <c r="A2417" s="427"/>
      <c r="B2417" s="428"/>
      <c r="C2417" s="428"/>
      <c r="D2417" s="429"/>
    </row>
    <row r="2418" spans="1:4" ht="15.75" x14ac:dyDescent="0.25">
      <c r="A2418" s="427"/>
      <c r="B2418" s="428"/>
      <c r="C2418" s="428"/>
      <c r="D2418" s="429"/>
    </row>
    <row r="2419" spans="1:4" ht="15.75" x14ac:dyDescent="0.25">
      <c r="A2419" s="427"/>
      <c r="B2419" s="428"/>
      <c r="C2419" s="428"/>
      <c r="D2419" s="429"/>
    </row>
    <row r="2420" spans="1:4" ht="15.75" x14ac:dyDescent="0.25">
      <c r="A2420" s="427"/>
      <c r="B2420" s="428"/>
      <c r="C2420" s="428"/>
      <c r="D2420" s="429"/>
    </row>
    <row r="2421" spans="1:4" ht="15.75" x14ac:dyDescent="0.25">
      <c r="A2421" s="427"/>
      <c r="B2421" s="428"/>
      <c r="C2421" s="428"/>
      <c r="D2421" s="429"/>
    </row>
    <row r="2422" spans="1:4" ht="15.75" x14ac:dyDescent="0.25">
      <c r="A2422" s="427"/>
      <c r="B2422" s="428"/>
      <c r="C2422" s="428"/>
      <c r="D2422" s="429"/>
    </row>
    <row r="2423" spans="1:4" ht="15.75" x14ac:dyDescent="0.25">
      <c r="A2423" s="427"/>
      <c r="B2423" s="428"/>
      <c r="C2423" s="428"/>
      <c r="D2423" s="429"/>
    </row>
    <row r="2424" spans="1:4" ht="15.75" x14ac:dyDescent="0.25">
      <c r="A2424" s="427"/>
      <c r="B2424" s="428"/>
      <c r="C2424" s="428"/>
      <c r="D2424" s="429"/>
    </row>
    <row r="2425" spans="1:4" ht="15.75" x14ac:dyDescent="0.25">
      <c r="A2425" s="427"/>
      <c r="B2425" s="428"/>
      <c r="C2425" s="428"/>
      <c r="D2425" s="429"/>
    </row>
    <row r="2426" spans="1:4" ht="15.75" x14ac:dyDescent="0.25">
      <c r="A2426" s="427"/>
      <c r="B2426" s="428"/>
      <c r="C2426" s="428"/>
      <c r="D2426" s="429"/>
    </row>
    <row r="2427" spans="1:4" ht="15.75" x14ac:dyDescent="0.25">
      <c r="A2427" s="427"/>
      <c r="B2427" s="428"/>
      <c r="C2427" s="428"/>
      <c r="D2427" s="429"/>
    </row>
    <row r="2428" spans="1:4" ht="15.75" x14ac:dyDescent="0.25">
      <c r="A2428" s="427"/>
      <c r="B2428" s="428"/>
      <c r="C2428" s="428"/>
      <c r="D2428" s="429"/>
    </row>
    <row r="2429" spans="1:4" ht="15.75" x14ac:dyDescent="0.25">
      <c r="A2429" s="427"/>
      <c r="B2429" s="428"/>
      <c r="C2429" s="428"/>
      <c r="D2429" s="429"/>
    </row>
    <row r="2430" spans="1:4" ht="15.75" x14ac:dyDescent="0.25">
      <c r="A2430" s="427"/>
      <c r="B2430" s="428"/>
      <c r="C2430" s="428"/>
      <c r="D2430" s="429"/>
    </row>
    <row r="2431" spans="1:4" ht="15.75" x14ac:dyDescent="0.25">
      <c r="A2431" s="427"/>
      <c r="B2431" s="428"/>
      <c r="C2431" s="428"/>
      <c r="D2431" s="429"/>
    </row>
    <row r="2432" spans="1:4" ht="15.75" x14ac:dyDescent="0.25">
      <c r="A2432" s="427"/>
      <c r="B2432" s="428"/>
      <c r="C2432" s="428"/>
      <c r="D2432" s="429"/>
    </row>
    <row r="2433" spans="1:4" ht="15.75" x14ac:dyDescent="0.25">
      <c r="A2433" s="427"/>
      <c r="B2433" s="428"/>
      <c r="C2433" s="428"/>
      <c r="D2433" s="429"/>
    </row>
    <row r="2434" spans="1:4" ht="15.75" x14ac:dyDescent="0.25">
      <c r="A2434" s="427"/>
      <c r="B2434" s="428"/>
      <c r="C2434" s="428"/>
      <c r="D2434" s="429"/>
    </row>
    <row r="2435" spans="1:4" ht="15.75" x14ac:dyDescent="0.25">
      <c r="A2435" s="427"/>
      <c r="B2435" s="428"/>
      <c r="C2435" s="428"/>
      <c r="D2435" s="429"/>
    </row>
    <row r="2436" spans="1:4" ht="15.75" x14ac:dyDescent="0.25">
      <c r="A2436" s="427"/>
      <c r="B2436" s="428"/>
      <c r="C2436" s="428"/>
      <c r="D2436" s="429"/>
    </row>
    <row r="2437" spans="1:4" ht="15.75" x14ac:dyDescent="0.25">
      <c r="A2437" s="427"/>
      <c r="B2437" s="428"/>
      <c r="C2437" s="428"/>
      <c r="D2437" s="429"/>
    </row>
    <row r="2438" spans="1:4" ht="15.75" x14ac:dyDescent="0.25">
      <c r="A2438" s="427"/>
      <c r="B2438" s="428"/>
      <c r="C2438" s="428"/>
      <c r="D2438" s="429"/>
    </row>
    <row r="2439" spans="1:4" ht="15.75" x14ac:dyDescent="0.25">
      <c r="A2439" s="427"/>
      <c r="B2439" s="428"/>
      <c r="C2439" s="428"/>
      <c r="D2439" s="429"/>
    </row>
    <row r="2440" spans="1:4" ht="15.75" x14ac:dyDescent="0.25">
      <c r="A2440" s="427"/>
      <c r="B2440" s="428"/>
      <c r="C2440" s="428"/>
      <c r="D2440" s="429"/>
    </row>
    <row r="2441" spans="1:4" ht="15.75" x14ac:dyDescent="0.25">
      <c r="A2441" s="427"/>
      <c r="B2441" s="428"/>
      <c r="C2441" s="428"/>
      <c r="D2441" s="429"/>
    </row>
    <row r="2442" spans="1:4" ht="15.75" x14ac:dyDescent="0.25">
      <c r="A2442" s="427"/>
      <c r="B2442" s="428"/>
      <c r="C2442" s="428"/>
      <c r="D2442" s="429"/>
    </row>
    <row r="2443" spans="1:4" ht="15.75" x14ac:dyDescent="0.25">
      <c r="A2443" s="427"/>
      <c r="B2443" s="428"/>
      <c r="C2443" s="428"/>
      <c r="D2443" s="429"/>
    </row>
    <row r="2444" spans="1:4" ht="15.75" x14ac:dyDescent="0.25">
      <c r="A2444" s="427"/>
      <c r="B2444" s="428"/>
      <c r="C2444" s="428"/>
      <c r="D2444" s="429"/>
    </row>
    <row r="2445" spans="1:4" ht="15.75" x14ac:dyDescent="0.25">
      <c r="A2445" s="427"/>
      <c r="B2445" s="428"/>
      <c r="C2445" s="428"/>
      <c r="D2445" s="429"/>
    </row>
    <row r="2446" spans="1:4" ht="15.75" x14ac:dyDescent="0.25">
      <c r="A2446" s="427"/>
      <c r="B2446" s="428"/>
      <c r="C2446" s="428"/>
      <c r="D2446" s="429"/>
    </row>
    <row r="2447" spans="1:4" ht="15.75" x14ac:dyDescent="0.25">
      <c r="A2447" s="427"/>
      <c r="B2447" s="428"/>
      <c r="C2447" s="428"/>
      <c r="D2447" s="429"/>
    </row>
    <row r="2448" spans="1:4" ht="15.75" x14ac:dyDescent="0.25">
      <c r="A2448" s="427"/>
      <c r="B2448" s="428"/>
      <c r="C2448" s="428"/>
      <c r="D2448" s="429"/>
    </row>
    <row r="2449" spans="1:4" ht="15.75" x14ac:dyDescent="0.25">
      <c r="A2449" s="427"/>
      <c r="B2449" s="428"/>
      <c r="C2449" s="428"/>
      <c r="D2449" s="429"/>
    </row>
    <row r="2450" spans="1:4" ht="15.75" x14ac:dyDescent="0.25">
      <c r="A2450" s="427"/>
      <c r="B2450" s="428"/>
      <c r="C2450" s="428"/>
      <c r="D2450" s="429"/>
    </row>
    <row r="2451" spans="1:4" ht="15.75" x14ac:dyDescent="0.25">
      <c r="A2451" s="427"/>
      <c r="B2451" s="428"/>
      <c r="C2451" s="428"/>
      <c r="D2451" s="429"/>
    </row>
    <row r="2452" spans="1:4" ht="15.75" x14ac:dyDescent="0.25">
      <c r="A2452" s="427"/>
      <c r="B2452" s="428"/>
      <c r="C2452" s="428"/>
      <c r="D2452" s="429"/>
    </row>
    <row r="2453" spans="1:4" ht="15.75" x14ac:dyDescent="0.25">
      <c r="A2453" s="427"/>
      <c r="B2453" s="428"/>
      <c r="C2453" s="428"/>
      <c r="D2453" s="429"/>
    </row>
    <row r="2454" spans="1:4" ht="15.75" x14ac:dyDescent="0.25">
      <c r="A2454" s="427"/>
      <c r="B2454" s="428"/>
      <c r="C2454" s="428"/>
      <c r="D2454" s="429"/>
    </row>
    <row r="2455" spans="1:4" ht="15.75" x14ac:dyDescent="0.25">
      <c r="A2455" s="427"/>
      <c r="B2455" s="428"/>
      <c r="C2455" s="428"/>
      <c r="D2455" s="429"/>
    </row>
    <row r="2456" spans="1:4" ht="15.75" x14ac:dyDescent="0.25">
      <c r="A2456" s="427"/>
      <c r="B2456" s="428"/>
      <c r="C2456" s="428"/>
      <c r="D2456" s="429"/>
    </row>
    <row r="2457" spans="1:4" ht="15.75" x14ac:dyDescent="0.25">
      <c r="A2457" s="427"/>
      <c r="B2457" s="428"/>
      <c r="C2457" s="428"/>
      <c r="D2457" s="429"/>
    </row>
    <row r="2458" spans="1:4" ht="15.75" x14ac:dyDescent="0.25">
      <c r="A2458" s="427"/>
      <c r="B2458" s="428"/>
      <c r="C2458" s="428"/>
      <c r="D2458" s="429"/>
    </row>
    <row r="2459" spans="1:4" ht="15.75" x14ac:dyDescent="0.25">
      <c r="A2459" s="427"/>
      <c r="B2459" s="428"/>
      <c r="C2459" s="428"/>
      <c r="D2459" s="429"/>
    </row>
    <row r="2460" spans="1:4" ht="15.75" x14ac:dyDescent="0.25">
      <c r="A2460" s="427"/>
      <c r="B2460" s="428"/>
      <c r="C2460" s="428"/>
      <c r="D2460" s="429"/>
    </row>
    <row r="2461" spans="1:4" ht="15.75" x14ac:dyDescent="0.25">
      <c r="A2461" s="427"/>
      <c r="B2461" s="428"/>
      <c r="C2461" s="428"/>
      <c r="D2461" s="429"/>
    </row>
    <row r="2462" spans="1:4" ht="15.75" x14ac:dyDescent="0.25">
      <c r="A2462" s="427"/>
      <c r="B2462" s="428"/>
      <c r="C2462" s="428"/>
      <c r="D2462" s="429"/>
    </row>
    <row r="2463" spans="1:4" ht="15.75" x14ac:dyDescent="0.25">
      <c r="A2463" s="427"/>
      <c r="B2463" s="428"/>
      <c r="C2463" s="428"/>
      <c r="D2463" s="429"/>
    </row>
    <row r="2464" spans="1:4" ht="15.75" x14ac:dyDescent="0.25">
      <c r="A2464" s="427"/>
      <c r="B2464" s="428"/>
      <c r="C2464" s="428"/>
      <c r="D2464" s="429"/>
    </row>
    <row r="2465" spans="1:4" ht="15.75" x14ac:dyDescent="0.25">
      <c r="A2465" s="427"/>
      <c r="B2465" s="428"/>
      <c r="C2465" s="428"/>
      <c r="D2465" s="429"/>
    </row>
    <row r="2466" spans="1:4" ht="15.75" x14ac:dyDescent="0.25">
      <c r="A2466" s="427"/>
      <c r="B2466" s="428"/>
      <c r="C2466" s="428"/>
      <c r="D2466" s="429"/>
    </row>
    <row r="2467" spans="1:4" ht="15.75" x14ac:dyDescent="0.25">
      <c r="A2467" s="427"/>
      <c r="B2467" s="428"/>
      <c r="C2467" s="428"/>
      <c r="D2467" s="429"/>
    </row>
    <row r="2468" spans="1:4" ht="15.75" x14ac:dyDescent="0.25">
      <c r="A2468" s="427"/>
      <c r="B2468" s="428"/>
      <c r="C2468" s="428"/>
      <c r="D2468" s="429"/>
    </row>
    <row r="2469" spans="1:4" ht="15.75" x14ac:dyDescent="0.25">
      <c r="A2469" s="427"/>
      <c r="B2469" s="428"/>
      <c r="C2469" s="428"/>
      <c r="D2469" s="429"/>
    </row>
    <row r="2470" spans="1:4" ht="15.75" x14ac:dyDescent="0.25">
      <c r="A2470" s="427"/>
      <c r="B2470" s="428"/>
      <c r="C2470" s="428"/>
      <c r="D2470" s="429"/>
    </row>
    <row r="2471" spans="1:4" ht="15.75" x14ac:dyDescent="0.25">
      <c r="A2471" s="427"/>
      <c r="B2471" s="428"/>
      <c r="C2471" s="428"/>
      <c r="D2471" s="429"/>
    </row>
    <row r="2472" spans="1:4" ht="15.75" x14ac:dyDescent="0.25">
      <c r="A2472" s="427"/>
      <c r="B2472" s="428"/>
      <c r="C2472" s="428"/>
      <c r="D2472" s="429"/>
    </row>
    <row r="2473" spans="1:4" ht="15.75" x14ac:dyDescent="0.25">
      <c r="A2473" s="427"/>
      <c r="B2473" s="428"/>
      <c r="C2473" s="428"/>
      <c r="D2473" s="429"/>
    </row>
    <row r="2474" spans="1:4" ht="15.75" x14ac:dyDescent="0.25">
      <c r="A2474" s="427"/>
      <c r="B2474" s="428"/>
      <c r="C2474" s="428"/>
      <c r="D2474" s="429"/>
    </row>
    <row r="2475" spans="1:4" ht="15.75" x14ac:dyDescent="0.25">
      <c r="A2475" s="427"/>
      <c r="B2475" s="428"/>
      <c r="C2475" s="428"/>
      <c r="D2475" s="429"/>
    </row>
    <row r="2476" spans="1:4" ht="15.75" x14ac:dyDescent="0.25">
      <c r="A2476" s="427"/>
      <c r="B2476" s="428"/>
      <c r="C2476" s="428"/>
      <c r="D2476" s="429"/>
    </row>
    <row r="2477" spans="1:4" ht="15.75" x14ac:dyDescent="0.25">
      <c r="A2477" s="427"/>
      <c r="B2477" s="428"/>
      <c r="C2477" s="428"/>
      <c r="D2477" s="429"/>
    </row>
    <row r="2478" spans="1:4" ht="15.75" x14ac:dyDescent="0.25">
      <c r="A2478" s="427"/>
      <c r="B2478" s="428"/>
      <c r="C2478" s="428"/>
      <c r="D2478" s="429"/>
    </row>
    <row r="2479" spans="1:4" ht="15.75" x14ac:dyDescent="0.25">
      <c r="A2479" s="427"/>
      <c r="B2479" s="428"/>
      <c r="C2479" s="428"/>
      <c r="D2479" s="429"/>
    </row>
    <row r="2480" spans="1:4" ht="15.75" x14ac:dyDescent="0.25">
      <c r="A2480" s="427"/>
      <c r="B2480" s="428"/>
      <c r="C2480" s="428"/>
      <c r="D2480" s="429"/>
    </row>
    <row r="2481" spans="1:4" ht="15.75" x14ac:dyDescent="0.25">
      <c r="A2481" s="427"/>
      <c r="B2481" s="428"/>
      <c r="C2481" s="428"/>
      <c r="D2481" s="429"/>
    </row>
    <row r="2482" spans="1:4" ht="15.75" x14ac:dyDescent="0.25">
      <c r="A2482" s="427"/>
      <c r="B2482" s="428"/>
      <c r="C2482" s="428"/>
      <c r="D2482" s="429"/>
    </row>
    <row r="2483" spans="1:4" ht="15.75" x14ac:dyDescent="0.25">
      <c r="A2483" s="427"/>
      <c r="B2483" s="428"/>
      <c r="C2483" s="428"/>
      <c r="D2483" s="429"/>
    </row>
    <row r="2484" spans="1:4" ht="15.75" x14ac:dyDescent="0.25">
      <c r="A2484" s="427"/>
      <c r="B2484" s="428"/>
      <c r="C2484" s="428"/>
      <c r="D2484" s="429"/>
    </row>
    <row r="2485" spans="1:4" ht="15.75" x14ac:dyDescent="0.25">
      <c r="A2485" s="427"/>
      <c r="B2485" s="428"/>
      <c r="C2485" s="428"/>
      <c r="D2485" s="429"/>
    </row>
    <row r="2486" spans="1:4" ht="15.75" x14ac:dyDescent="0.25">
      <c r="A2486" s="427"/>
      <c r="B2486" s="428"/>
      <c r="C2486" s="428"/>
      <c r="D2486" s="429"/>
    </row>
    <row r="2487" spans="1:4" ht="15.75" x14ac:dyDescent="0.25">
      <c r="A2487" s="427"/>
      <c r="B2487" s="428"/>
      <c r="C2487" s="428"/>
      <c r="D2487" s="429"/>
    </row>
    <row r="2488" spans="1:4" ht="15.75" x14ac:dyDescent="0.25">
      <c r="A2488" s="427"/>
      <c r="B2488" s="428"/>
      <c r="C2488" s="428"/>
      <c r="D2488" s="429"/>
    </row>
    <row r="2489" spans="1:4" ht="15.75" x14ac:dyDescent="0.25">
      <c r="A2489" s="427"/>
      <c r="B2489" s="428"/>
      <c r="C2489" s="428"/>
      <c r="D2489" s="429"/>
    </row>
    <row r="2490" spans="1:4" ht="15.75" x14ac:dyDescent="0.25">
      <c r="A2490" s="427"/>
      <c r="B2490" s="428"/>
      <c r="C2490" s="428"/>
      <c r="D2490" s="429"/>
    </row>
    <row r="2491" spans="1:4" ht="15.75" x14ac:dyDescent="0.25">
      <c r="A2491" s="427"/>
      <c r="B2491" s="428"/>
      <c r="C2491" s="428"/>
      <c r="D2491" s="429"/>
    </row>
    <row r="2492" spans="1:4" ht="15.75" x14ac:dyDescent="0.25">
      <c r="A2492" s="427"/>
      <c r="B2492" s="428"/>
      <c r="C2492" s="428"/>
      <c r="D2492" s="429"/>
    </row>
    <row r="2493" spans="1:4" ht="15.75" x14ac:dyDescent="0.25">
      <c r="A2493" s="427"/>
      <c r="B2493" s="428"/>
      <c r="C2493" s="428"/>
      <c r="D2493" s="429"/>
    </row>
    <row r="2494" spans="1:4" ht="15.75" x14ac:dyDescent="0.25">
      <c r="A2494" s="427"/>
      <c r="B2494" s="428"/>
      <c r="C2494" s="428"/>
      <c r="D2494" s="429"/>
    </row>
    <row r="2495" spans="1:4" ht="15.75" x14ac:dyDescent="0.25">
      <c r="A2495" s="427"/>
      <c r="B2495" s="428"/>
      <c r="C2495" s="428"/>
      <c r="D2495" s="429"/>
    </row>
    <row r="2496" spans="1:4" ht="15.75" x14ac:dyDescent="0.25">
      <c r="A2496" s="427"/>
      <c r="B2496" s="428"/>
      <c r="C2496" s="428"/>
      <c r="D2496" s="429"/>
    </row>
    <row r="2497" spans="1:4" ht="15.75" x14ac:dyDescent="0.25">
      <c r="A2497" s="427"/>
      <c r="B2497" s="428"/>
      <c r="C2497" s="428"/>
      <c r="D2497" s="429"/>
    </row>
    <row r="2498" spans="1:4" ht="15.75" x14ac:dyDescent="0.25">
      <c r="A2498" s="427"/>
      <c r="B2498" s="428"/>
      <c r="C2498" s="428"/>
      <c r="D2498" s="429"/>
    </row>
    <row r="2499" spans="1:4" ht="15.75" x14ac:dyDescent="0.25">
      <c r="A2499" s="427"/>
      <c r="B2499" s="428"/>
      <c r="C2499" s="428"/>
      <c r="D2499" s="429"/>
    </row>
    <row r="2500" spans="1:4" ht="15.75" x14ac:dyDescent="0.25">
      <c r="A2500" s="427"/>
      <c r="B2500" s="428"/>
      <c r="C2500" s="428"/>
      <c r="D2500" s="429"/>
    </row>
    <row r="2501" spans="1:4" ht="15.75" x14ac:dyDescent="0.25">
      <c r="A2501" s="427"/>
      <c r="B2501" s="428"/>
      <c r="C2501" s="428"/>
      <c r="D2501" s="429"/>
    </row>
    <row r="2502" spans="1:4" ht="15.75" x14ac:dyDescent="0.25">
      <c r="A2502" s="427"/>
      <c r="B2502" s="428"/>
      <c r="C2502" s="428"/>
      <c r="D2502" s="429"/>
    </row>
    <row r="2503" spans="1:4" ht="15.75" x14ac:dyDescent="0.25">
      <c r="A2503" s="427"/>
      <c r="B2503" s="428"/>
      <c r="C2503" s="428"/>
      <c r="D2503" s="429"/>
    </row>
    <row r="2504" spans="1:4" ht="15.75" x14ac:dyDescent="0.25">
      <c r="A2504" s="427"/>
      <c r="B2504" s="428"/>
      <c r="C2504" s="428"/>
      <c r="D2504" s="429"/>
    </row>
    <row r="2505" spans="1:4" ht="15.75" x14ac:dyDescent="0.25">
      <c r="A2505" s="427"/>
      <c r="B2505" s="428"/>
      <c r="C2505" s="428"/>
      <c r="D2505" s="429"/>
    </row>
    <row r="2506" spans="1:4" ht="15.75" x14ac:dyDescent="0.25">
      <c r="A2506" s="427"/>
      <c r="B2506" s="428"/>
      <c r="C2506" s="428"/>
      <c r="D2506" s="429"/>
    </row>
    <row r="2507" spans="1:4" ht="15.75" x14ac:dyDescent="0.25">
      <c r="A2507" s="427"/>
      <c r="B2507" s="428"/>
      <c r="C2507" s="428"/>
      <c r="D2507" s="429"/>
    </row>
    <row r="2508" spans="1:4" ht="15.75" x14ac:dyDescent="0.25">
      <c r="A2508" s="427"/>
      <c r="B2508" s="428"/>
      <c r="C2508" s="428"/>
      <c r="D2508" s="429"/>
    </row>
    <row r="2509" spans="1:4" ht="15.75" x14ac:dyDescent="0.25">
      <c r="A2509" s="427"/>
      <c r="B2509" s="428"/>
      <c r="C2509" s="428"/>
      <c r="D2509" s="429"/>
    </row>
    <row r="2510" spans="1:4" ht="15.75" x14ac:dyDescent="0.25">
      <c r="A2510" s="427"/>
      <c r="B2510" s="428"/>
      <c r="C2510" s="428"/>
      <c r="D2510" s="429"/>
    </row>
    <row r="2511" spans="1:4" ht="15.75" x14ac:dyDescent="0.25">
      <c r="A2511" s="427"/>
      <c r="B2511" s="428"/>
      <c r="C2511" s="428"/>
      <c r="D2511" s="429"/>
    </row>
    <row r="2512" spans="1:4" ht="15.75" x14ac:dyDescent="0.25">
      <c r="A2512" s="427"/>
      <c r="B2512" s="428"/>
      <c r="C2512" s="428"/>
      <c r="D2512" s="429"/>
    </row>
    <row r="2513" spans="1:4" ht="15.75" x14ac:dyDescent="0.25">
      <c r="A2513" s="427"/>
      <c r="B2513" s="428"/>
      <c r="C2513" s="428"/>
      <c r="D2513" s="429"/>
    </row>
    <row r="2514" spans="1:4" ht="15.75" x14ac:dyDescent="0.25">
      <c r="A2514" s="427"/>
      <c r="B2514" s="428"/>
      <c r="C2514" s="428"/>
      <c r="D2514" s="429"/>
    </row>
    <row r="2515" spans="1:4" ht="15.75" x14ac:dyDescent="0.25">
      <c r="A2515" s="427"/>
      <c r="B2515" s="428"/>
      <c r="C2515" s="428"/>
      <c r="D2515" s="429"/>
    </row>
    <row r="2516" spans="1:4" ht="15.75" x14ac:dyDescent="0.25">
      <c r="A2516" s="427"/>
      <c r="B2516" s="428"/>
      <c r="C2516" s="428"/>
      <c r="D2516" s="429"/>
    </row>
    <row r="2517" spans="1:4" ht="15.75" x14ac:dyDescent="0.25">
      <c r="A2517" s="427"/>
      <c r="B2517" s="428"/>
      <c r="C2517" s="428"/>
      <c r="D2517" s="429"/>
    </row>
    <row r="2518" spans="1:4" ht="15.75" x14ac:dyDescent="0.25">
      <c r="A2518" s="427"/>
      <c r="B2518" s="428"/>
      <c r="C2518" s="428"/>
      <c r="D2518" s="429"/>
    </row>
    <row r="2519" spans="1:4" ht="15.75" x14ac:dyDescent="0.25">
      <c r="A2519" s="427"/>
      <c r="B2519" s="428"/>
      <c r="C2519" s="428"/>
      <c r="D2519" s="429"/>
    </row>
    <row r="2520" spans="1:4" ht="15.75" x14ac:dyDescent="0.25">
      <c r="A2520" s="427"/>
      <c r="B2520" s="428"/>
      <c r="C2520" s="428"/>
      <c r="D2520" s="429"/>
    </row>
    <row r="2521" spans="1:4" ht="15.75" x14ac:dyDescent="0.25">
      <c r="A2521" s="427"/>
      <c r="B2521" s="428"/>
      <c r="C2521" s="428"/>
      <c r="D2521" s="429"/>
    </row>
    <row r="2522" spans="1:4" ht="15.75" x14ac:dyDescent="0.25">
      <c r="A2522" s="427"/>
      <c r="B2522" s="428"/>
      <c r="C2522" s="428"/>
      <c r="D2522" s="429"/>
    </row>
    <row r="2523" spans="1:4" ht="15.75" x14ac:dyDescent="0.25">
      <c r="A2523" s="427"/>
      <c r="B2523" s="428"/>
      <c r="C2523" s="428"/>
      <c r="D2523" s="429"/>
    </row>
    <row r="2524" spans="1:4" ht="15.75" x14ac:dyDescent="0.25">
      <c r="A2524" s="427"/>
      <c r="B2524" s="428"/>
      <c r="C2524" s="428"/>
      <c r="D2524" s="429"/>
    </row>
    <row r="2525" spans="1:4" ht="15.75" x14ac:dyDescent="0.25">
      <c r="A2525" s="427"/>
      <c r="B2525" s="428"/>
      <c r="C2525" s="428"/>
      <c r="D2525" s="429"/>
    </row>
    <row r="2526" spans="1:4" ht="15.75" x14ac:dyDescent="0.25">
      <c r="A2526" s="427"/>
      <c r="B2526" s="428"/>
      <c r="C2526" s="428"/>
      <c r="D2526" s="429"/>
    </row>
    <row r="2527" spans="1:4" ht="15.75" x14ac:dyDescent="0.25">
      <c r="A2527" s="427"/>
      <c r="B2527" s="428"/>
      <c r="C2527" s="428"/>
      <c r="D2527" s="429"/>
    </row>
    <row r="2528" spans="1:4" ht="15.75" x14ac:dyDescent="0.25">
      <c r="A2528" s="427"/>
      <c r="B2528" s="428"/>
      <c r="C2528" s="428"/>
      <c r="D2528" s="429"/>
    </row>
    <row r="2529" spans="1:4" ht="15.75" x14ac:dyDescent="0.25">
      <c r="A2529" s="427"/>
      <c r="B2529" s="428"/>
      <c r="C2529" s="428"/>
      <c r="D2529" s="429"/>
    </row>
    <row r="2530" spans="1:4" ht="15.75" x14ac:dyDescent="0.25">
      <c r="A2530" s="427"/>
      <c r="B2530" s="428"/>
      <c r="C2530" s="428"/>
      <c r="D2530" s="429"/>
    </row>
    <row r="2531" spans="1:4" ht="15.75" x14ac:dyDescent="0.25">
      <c r="A2531" s="427"/>
      <c r="B2531" s="428"/>
      <c r="C2531" s="428"/>
      <c r="D2531" s="429"/>
    </row>
    <row r="2532" spans="1:4" ht="15.75" x14ac:dyDescent="0.25">
      <c r="A2532" s="427"/>
      <c r="B2532" s="428"/>
      <c r="C2532" s="428"/>
      <c r="D2532" s="429"/>
    </row>
    <row r="2533" spans="1:4" ht="15.75" x14ac:dyDescent="0.25">
      <c r="A2533" s="427"/>
      <c r="B2533" s="428"/>
      <c r="C2533" s="428"/>
      <c r="D2533" s="429"/>
    </row>
    <row r="2534" spans="1:4" ht="15.75" x14ac:dyDescent="0.25">
      <c r="A2534" s="427"/>
      <c r="B2534" s="428"/>
      <c r="C2534" s="428"/>
      <c r="D2534" s="429"/>
    </row>
    <row r="2535" spans="1:4" ht="15.75" x14ac:dyDescent="0.25">
      <c r="A2535" s="427"/>
      <c r="B2535" s="428"/>
      <c r="C2535" s="428"/>
      <c r="D2535" s="429"/>
    </row>
    <row r="2536" spans="1:4" ht="15.75" x14ac:dyDescent="0.25">
      <c r="A2536" s="427"/>
      <c r="B2536" s="428"/>
      <c r="C2536" s="428"/>
      <c r="D2536" s="429"/>
    </row>
    <row r="2537" spans="1:4" ht="15.75" x14ac:dyDescent="0.25">
      <c r="A2537" s="427"/>
      <c r="B2537" s="428"/>
      <c r="C2537" s="428"/>
      <c r="D2537" s="429"/>
    </row>
    <row r="2538" spans="1:4" ht="15.75" x14ac:dyDescent="0.25">
      <c r="A2538" s="427"/>
      <c r="B2538" s="428"/>
      <c r="C2538" s="428"/>
      <c r="D2538" s="429"/>
    </row>
    <row r="2539" spans="1:4" ht="15.75" x14ac:dyDescent="0.25">
      <c r="A2539" s="427"/>
      <c r="B2539" s="428"/>
      <c r="C2539" s="428"/>
      <c r="D2539" s="429"/>
    </row>
    <row r="2540" spans="1:4" ht="15.75" x14ac:dyDescent="0.25">
      <c r="A2540" s="427"/>
      <c r="B2540" s="428"/>
      <c r="C2540" s="428"/>
      <c r="D2540" s="429"/>
    </row>
    <row r="2541" spans="1:4" ht="15.75" x14ac:dyDescent="0.25">
      <c r="A2541" s="427"/>
      <c r="B2541" s="428"/>
      <c r="C2541" s="428"/>
      <c r="D2541" s="429"/>
    </row>
    <row r="2542" spans="1:4" ht="15.75" x14ac:dyDescent="0.25">
      <c r="A2542" s="427"/>
      <c r="B2542" s="428"/>
      <c r="C2542" s="428"/>
      <c r="D2542" s="429"/>
    </row>
    <row r="2543" spans="1:4" ht="15.75" x14ac:dyDescent="0.25">
      <c r="A2543" s="427"/>
      <c r="B2543" s="428"/>
      <c r="C2543" s="428"/>
      <c r="D2543" s="429"/>
    </row>
    <row r="2544" spans="1:4" ht="15.75" x14ac:dyDescent="0.25">
      <c r="A2544" s="427"/>
      <c r="B2544" s="428"/>
      <c r="C2544" s="428"/>
      <c r="D2544" s="429"/>
    </row>
    <row r="2545" spans="1:4" ht="15.75" x14ac:dyDescent="0.25">
      <c r="A2545" s="427"/>
      <c r="B2545" s="428"/>
      <c r="C2545" s="428"/>
      <c r="D2545" s="429"/>
    </row>
    <row r="2546" spans="1:4" ht="15.75" x14ac:dyDescent="0.25">
      <c r="A2546" s="427"/>
      <c r="B2546" s="428"/>
      <c r="C2546" s="428"/>
      <c r="D2546" s="429"/>
    </row>
    <row r="2547" spans="1:4" ht="15.75" x14ac:dyDescent="0.25">
      <c r="A2547" s="427"/>
      <c r="B2547" s="428"/>
      <c r="C2547" s="428"/>
      <c r="D2547" s="429"/>
    </row>
    <row r="2548" spans="1:4" ht="15.75" x14ac:dyDescent="0.25">
      <c r="A2548" s="427"/>
      <c r="B2548" s="428"/>
      <c r="C2548" s="428"/>
      <c r="D2548" s="429"/>
    </row>
    <row r="2549" spans="1:4" ht="15.75" x14ac:dyDescent="0.25">
      <c r="A2549" s="427"/>
      <c r="B2549" s="428"/>
      <c r="C2549" s="428"/>
      <c r="D2549" s="429"/>
    </row>
    <row r="2550" spans="1:4" ht="15.75" x14ac:dyDescent="0.25">
      <c r="A2550" s="427"/>
      <c r="B2550" s="428"/>
      <c r="C2550" s="428"/>
      <c r="D2550" s="429"/>
    </row>
    <row r="2551" spans="1:4" ht="15.75" x14ac:dyDescent="0.25">
      <c r="A2551" s="427"/>
      <c r="B2551" s="428"/>
      <c r="C2551" s="428"/>
      <c r="D2551" s="429"/>
    </row>
    <row r="2552" spans="1:4" ht="15.75" x14ac:dyDescent="0.25">
      <c r="A2552" s="427"/>
      <c r="B2552" s="428"/>
      <c r="C2552" s="428"/>
      <c r="D2552" s="429"/>
    </row>
    <row r="2553" spans="1:4" ht="15.75" x14ac:dyDescent="0.25">
      <c r="A2553" s="427"/>
      <c r="B2553" s="428"/>
      <c r="C2553" s="428"/>
      <c r="D2553" s="429"/>
    </row>
    <row r="2554" spans="1:4" ht="15.75" x14ac:dyDescent="0.25">
      <c r="A2554" s="427"/>
      <c r="B2554" s="428"/>
      <c r="C2554" s="428"/>
      <c r="D2554" s="429"/>
    </row>
    <row r="2555" spans="1:4" ht="15.75" x14ac:dyDescent="0.25">
      <c r="A2555" s="427"/>
      <c r="B2555" s="428"/>
      <c r="C2555" s="428"/>
      <c r="D2555" s="429"/>
    </row>
    <row r="2556" spans="1:4" ht="15.75" x14ac:dyDescent="0.25">
      <c r="A2556" s="427"/>
      <c r="B2556" s="428"/>
      <c r="C2556" s="428"/>
      <c r="D2556" s="429"/>
    </row>
    <row r="2557" spans="1:4" ht="15.75" x14ac:dyDescent="0.25">
      <c r="A2557" s="427"/>
      <c r="B2557" s="428"/>
      <c r="C2557" s="428"/>
      <c r="D2557" s="429"/>
    </row>
    <row r="2558" spans="1:4" ht="15.75" x14ac:dyDescent="0.25">
      <c r="A2558" s="427"/>
      <c r="B2558" s="428"/>
      <c r="C2558" s="428"/>
      <c r="D2558" s="429"/>
    </row>
    <row r="2559" spans="1:4" ht="15.75" x14ac:dyDescent="0.25">
      <c r="A2559" s="427"/>
      <c r="B2559" s="428"/>
      <c r="C2559" s="428"/>
      <c r="D2559" s="429"/>
    </row>
    <row r="2560" spans="1:4" ht="15.75" x14ac:dyDescent="0.25">
      <c r="A2560" s="427"/>
      <c r="B2560" s="428"/>
      <c r="C2560" s="428"/>
      <c r="D2560" s="429"/>
    </row>
    <row r="2561" spans="1:4" ht="15.75" x14ac:dyDescent="0.25">
      <c r="A2561" s="427"/>
      <c r="B2561" s="428"/>
      <c r="C2561" s="428"/>
      <c r="D2561" s="429"/>
    </row>
    <row r="2562" spans="1:4" ht="15.75" x14ac:dyDescent="0.25">
      <c r="A2562" s="427"/>
      <c r="B2562" s="428"/>
      <c r="C2562" s="428"/>
      <c r="D2562" s="429"/>
    </row>
    <row r="2563" spans="1:4" ht="15.75" x14ac:dyDescent="0.25">
      <c r="A2563" s="427"/>
      <c r="B2563" s="428"/>
      <c r="C2563" s="428"/>
      <c r="D2563" s="429"/>
    </row>
    <row r="2564" spans="1:4" ht="15.75" x14ac:dyDescent="0.25">
      <c r="A2564" s="427"/>
      <c r="B2564" s="428"/>
      <c r="C2564" s="428"/>
      <c r="D2564" s="429"/>
    </row>
    <row r="2565" spans="1:4" ht="15.75" x14ac:dyDescent="0.25">
      <c r="A2565" s="427"/>
      <c r="B2565" s="428"/>
      <c r="C2565" s="428"/>
      <c r="D2565" s="429"/>
    </row>
    <row r="2566" spans="1:4" ht="15.75" x14ac:dyDescent="0.25">
      <c r="A2566" s="427"/>
      <c r="B2566" s="428"/>
      <c r="C2566" s="428"/>
      <c r="D2566" s="429"/>
    </row>
    <row r="2567" spans="1:4" ht="15.75" x14ac:dyDescent="0.25">
      <c r="A2567" s="427"/>
      <c r="B2567" s="428"/>
      <c r="C2567" s="428"/>
      <c r="D2567" s="429"/>
    </row>
    <row r="2568" spans="1:4" ht="15.75" x14ac:dyDescent="0.25">
      <c r="A2568" s="427"/>
      <c r="B2568" s="428"/>
      <c r="C2568" s="428"/>
      <c r="D2568" s="429"/>
    </row>
    <row r="2569" spans="1:4" ht="15.75" x14ac:dyDescent="0.25">
      <c r="A2569" s="427"/>
      <c r="B2569" s="428"/>
      <c r="C2569" s="428"/>
      <c r="D2569" s="429"/>
    </row>
    <row r="2570" spans="1:4" ht="15.75" x14ac:dyDescent="0.25">
      <c r="A2570" s="427"/>
      <c r="B2570" s="428"/>
      <c r="C2570" s="428"/>
      <c r="D2570" s="429"/>
    </row>
    <row r="2571" spans="1:4" ht="15.75" x14ac:dyDescent="0.25">
      <c r="A2571" s="427"/>
      <c r="B2571" s="428"/>
      <c r="C2571" s="428"/>
      <c r="D2571" s="429"/>
    </row>
    <row r="2572" spans="1:4" ht="15.75" x14ac:dyDescent="0.25">
      <c r="A2572" s="427"/>
      <c r="B2572" s="428"/>
      <c r="C2572" s="428"/>
      <c r="D2572" s="429"/>
    </row>
    <row r="2573" spans="1:4" ht="15.75" x14ac:dyDescent="0.25">
      <c r="A2573" s="427"/>
      <c r="B2573" s="428"/>
      <c r="C2573" s="428"/>
      <c r="D2573" s="429"/>
    </row>
    <row r="2574" spans="1:4" ht="15.75" x14ac:dyDescent="0.25">
      <c r="A2574" s="427"/>
      <c r="B2574" s="428"/>
      <c r="C2574" s="428"/>
      <c r="D2574" s="429"/>
    </row>
    <row r="2575" spans="1:4" ht="15.75" x14ac:dyDescent="0.25">
      <c r="A2575" s="427"/>
      <c r="B2575" s="428"/>
      <c r="C2575" s="428"/>
      <c r="D2575" s="429"/>
    </row>
    <row r="2576" spans="1:4" ht="15.75" x14ac:dyDescent="0.25">
      <c r="A2576" s="427"/>
      <c r="B2576" s="428"/>
      <c r="C2576" s="428"/>
      <c r="D2576" s="429"/>
    </row>
    <row r="2577" spans="1:4" ht="15.75" x14ac:dyDescent="0.25">
      <c r="A2577" s="427"/>
      <c r="B2577" s="428"/>
      <c r="C2577" s="428"/>
      <c r="D2577" s="429"/>
    </row>
    <row r="2578" spans="1:4" ht="15.75" x14ac:dyDescent="0.25">
      <c r="A2578" s="427"/>
      <c r="B2578" s="428"/>
      <c r="C2578" s="428"/>
      <c r="D2578" s="429"/>
    </row>
    <row r="2579" spans="1:4" ht="15.75" x14ac:dyDescent="0.25">
      <c r="A2579" s="427"/>
      <c r="B2579" s="428"/>
      <c r="C2579" s="428"/>
      <c r="D2579" s="429"/>
    </row>
    <row r="2580" spans="1:4" ht="15.75" x14ac:dyDescent="0.25">
      <c r="A2580" s="427"/>
      <c r="B2580" s="428"/>
      <c r="C2580" s="428"/>
      <c r="D2580" s="429"/>
    </row>
    <row r="2581" spans="1:4" ht="15.75" x14ac:dyDescent="0.25">
      <c r="A2581" s="427"/>
      <c r="B2581" s="428"/>
      <c r="C2581" s="428"/>
      <c r="D2581" s="429"/>
    </row>
    <row r="2582" spans="1:4" ht="15.75" x14ac:dyDescent="0.25">
      <c r="A2582" s="427"/>
      <c r="B2582" s="428"/>
      <c r="C2582" s="428"/>
      <c r="D2582" s="429"/>
    </row>
    <row r="2583" spans="1:4" ht="15.75" x14ac:dyDescent="0.25">
      <c r="A2583" s="427"/>
      <c r="B2583" s="428"/>
      <c r="C2583" s="428"/>
      <c r="D2583" s="429"/>
    </row>
    <row r="2584" spans="1:4" ht="15.75" x14ac:dyDescent="0.25">
      <c r="A2584" s="427"/>
      <c r="B2584" s="428"/>
      <c r="C2584" s="428"/>
      <c r="D2584" s="429"/>
    </row>
    <row r="2585" spans="1:4" ht="15.75" x14ac:dyDescent="0.25">
      <c r="A2585" s="427"/>
      <c r="B2585" s="428"/>
      <c r="C2585" s="428"/>
      <c r="D2585" s="429"/>
    </row>
    <row r="2586" spans="1:4" ht="15.75" x14ac:dyDescent="0.25">
      <c r="A2586" s="427"/>
      <c r="B2586" s="428"/>
      <c r="C2586" s="428"/>
      <c r="D2586" s="429"/>
    </row>
    <row r="2587" spans="1:4" ht="15.75" x14ac:dyDescent="0.25">
      <c r="A2587" s="427"/>
      <c r="B2587" s="428"/>
      <c r="C2587" s="428"/>
      <c r="D2587" s="429"/>
    </row>
    <row r="2588" spans="1:4" ht="15.75" x14ac:dyDescent="0.25">
      <c r="A2588" s="427"/>
      <c r="B2588" s="428"/>
      <c r="C2588" s="428"/>
      <c r="D2588" s="429"/>
    </row>
    <row r="2589" spans="1:4" ht="15.75" x14ac:dyDescent="0.25">
      <c r="A2589" s="427"/>
      <c r="B2589" s="428"/>
      <c r="C2589" s="428"/>
      <c r="D2589" s="429"/>
    </row>
    <row r="2590" spans="1:4" ht="15.75" x14ac:dyDescent="0.25">
      <c r="A2590" s="427"/>
      <c r="B2590" s="428"/>
      <c r="C2590" s="428"/>
      <c r="D2590" s="429"/>
    </row>
    <row r="2591" spans="1:4" ht="15.75" x14ac:dyDescent="0.25">
      <c r="A2591" s="427"/>
      <c r="B2591" s="428"/>
      <c r="C2591" s="428"/>
      <c r="D2591" s="429"/>
    </row>
    <row r="2592" spans="1:4" ht="15.75" x14ac:dyDescent="0.25">
      <c r="A2592" s="427"/>
      <c r="B2592" s="428"/>
      <c r="C2592" s="428"/>
      <c r="D2592" s="429"/>
    </row>
    <row r="2593" spans="1:4" ht="15.75" x14ac:dyDescent="0.25">
      <c r="A2593" s="427"/>
      <c r="B2593" s="428"/>
      <c r="C2593" s="428"/>
      <c r="D2593" s="429"/>
    </row>
    <row r="2594" spans="1:4" ht="15.75" x14ac:dyDescent="0.25">
      <c r="A2594" s="427"/>
      <c r="B2594" s="428"/>
      <c r="C2594" s="428"/>
      <c r="D2594" s="429"/>
    </row>
    <row r="2595" spans="1:4" ht="15.75" x14ac:dyDescent="0.25">
      <c r="A2595" s="427"/>
      <c r="B2595" s="428"/>
      <c r="C2595" s="428"/>
      <c r="D2595" s="429"/>
    </row>
    <row r="2596" spans="1:4" ht="15.75" x14ac:dyDescent="0.25">
      <c r="A2596" s="427"/>
      <c r="B2596" s="428"/>
      <c r="C2596" s="428"/>
      <c r="D2596" s="429"/>
    </row>
    <row r="2597" spans="1:4" ht="15.75" x14ac:dyDescent="0.25">
      <c r="A2597" s="427"/>
      <c r="B2597" s="428"/>
      <c r="C2597" s="428"/>
      <c r="D2597" s="429"/>
    </row>
    <row r="2598" spans="1:4" ht="15.75" x14ac:dyDescent="0.25">
      <c r="A2598" s="427"/>
      <c r="B2598" s="428"/>
      <c r="C2598" s="428"/>
      <c r="D2598" s="429"/>
    </row>
    <row r="2599" spans="1:4" ht="15.75" x14ac:dyDescent="0.25">
      <c r="A2599" s="427"/>
      <c r="B2599" s="428"/>
      <c r="C2599" s="428"/>
      <c r="D2599" s="429"/>
    </row>
    <row r="2600" spans="1:4" ht="15.75" x14ac:dyDescent="0.25">
      <c r="A2600" s="427"/>
      <c r="B2600" s="428"/>
      <c r="C2600" s="428"/>
      <c r="D2600" s="429"/>
    </row>
    <row r="2601" spans="1:4" ht="15.75" x14ac:dyDescent="0.25">
      <c r="A2601" s="427"/>
      <c r="B2601" s="428"/>
      <c r="C2601" s="428"/>
      <c r="D2601" s="429"/>
    </row>
    <row r="2602" spans="1:4" ht="15.75" x14ac:dyDescent="0.25">
      <c r="A2602" s="427"/>
      <c r="B2602" s="428"/>
      <c r="C2602" s="428"/>
      <c r="D2602" s="429"/>
    </row>
    <row r="2603" spans="1:4" ht="15.75" x14ac:dyDescent="0.25">
      <c r="A2603" s="427"/>
      <c r="B2603" s="428"/>
      <c r="C2603" s="428"/>
      <c r="D2603" s="429"/>
    </row>
    <row r="2604" spans="1:4" ht="15.75" x14ac:dyDescent="0.25">
      <c r="A2604" s="427"/>
      <c r="B2604" s="428"/>
      <c r="C2604" s="428"/>
      <c r="D2604" s="429"/>
    </row>
    <row r="2605" spans="1:4" ht="15.75" x14ac:dyDescent="0.25">
      <c r="A2605" s="427"/>
      <c r="B2605" s="428"/>
      <c r="C2605" s="428"/>
      <c r="D2605" s="429"/>
    </row>
    <row r="2606" spans="1:4" ht="15.75" x14ac:dyDescent="0.25">
      <c r="A2606" s="427"/>
      <c r="B2606" s="428"/>
      <c r="C2606" s="428"/>
      <c r="D2606" s="429"/>
    </row>
    <row r="2607" spans="1:4" ht="15.75" x14ac:dyDescent="0.25">
      <c r="A2607" s="427"/>
      <c r="B2607" s="428"/>
      <c r="C2607" s="428"/>
      <c r="D2607" s="429"/>
    </row>
    <row r="2608" spans="1:4" ht="15.75" x14ac:dyDescent="0.25">
      <c r="A2608" s="427"/>
      <c r="B2608" s="428"/>
      <c r="C2608" s="428"/>
      <c r="D2608" s="429"/>
    </row>
    <row r="2609" spans="1:4" ht="15.75" x14ac:dyDescent="0.25">
      <c r="A2609" s="427"/>
      <c r="B2609" s="428"/>
      <c r="C2609" s="428"/>
      <c r="D2609" s="429"/>
    </row>
    <row r="2610" spans="1:4" ht="15.75" x14ac:dyDescent="0.25">
      <c r="A2610" s="427"/>
      <c r="B2610" s="428"/>
      <c r="C2610" s="428"/>
      <c r="D2610" s="429"/>
    </row>
    <row r="2611" spans="1:4" ht="15.75" x14ac:dyDescent="0.25">
      <c r="A2611" s="427"/>
      <c r="B2611" s="428"/>
      <c r="C2611" s="428"/>
      <c r="D2611" s="429"/>
    </row>
    <row r="2612" spans="1:4" ht="15.75" x14ac:dyDescent="0.25">
      <c r="A2612" s="427"/>
      <c r="B2612" s="428"/>
      <c r="C2612" s="428"/>
      <c r="D2612" s="429"/>
    </row>
    <row r="2613" spans="1:4" ht="15.75" x14ac:dyDescent="0.25">
      <c r="A2613" s="427"/>
      <c r="B2613" s="428"/>
      <c r="C2613" s="428"/>
      <c r="D2613" s="429"/>
    </row>
    <row r="2614" spans="1:4" ht="15.75" x14ac:dyDescent="0.25">
      <c r="A2614" s="427"/>
      <c r="B2614" s="428"/>
      <c r="C2614" s="428"/>
      <c r="D2614" s="429"/>
    </row>
    <row r="2615" spans="1:4" ht="15.75" x14ac:dyDescent="0.25">
      <c r="A2615" s="427"/>
      <c r="B2615" s="428"/>
      <c r="C2615" s="428"/>
      <c r="D2615" s="429"/>
    </row>
    <row r="2616" spans="1:4" ht="15.75" x14ac:dyDescent="0.25">
      <c r="A2616" s="427"/>
      <c r="B2616" s="428"/>
      <c r="C2616" s="428"/>
      <c r="D2616" s="429"/>
    </row>
    <row r="2617" spans="1:4" ht="15.75" x14ac:dyDescent="0.25">
      <c r="A2617" s="427"/>
      <c r="B2617" s="428"/>
      <c r="C2617" s="428"/>
      <c r="D2617" s="429"/>
    </row>
    <row r="2618" spans="1:4" ht="15.75" x14ac:dyDescent="0.25">
      <c r="A2618" s="427"/>
      <c r="B2618" s="428"/>
      <c r="C2618" s="428"/>
      <c r="D2618" s="429"/>
    </row>
    <row r="2619" spans="1:4" ht="15.75" x14ac:dyDescent="0.25">
      <c r="A2619" s="427"/>
      <c r="B2619" s="428"/>
      <c r="C2619" s="428"/>
      <c r="D2619" s="429"/>
    </row>
    <row r="2620" spans="1:4" ht="15.75" x14ac:dyDescent="0.25">
      <c r="A2620" s="427"/>
      <c r="B2620" s="428"/>
      <c r="C2620" s="428"/>
      <c r="D2620" s="429"/>
    </row>
    <row r="2621" spans="1:4" ht="15.75" x14ac:dyDescent="0.25">
      <c r="A2621" s="427"/>
      <c r="B2621" s="428"/>
      <c r="C2621" s="428"/>
      <c r="D2621" s="429"/>
    </row>
    <row r="2622" spans="1:4" ht="15.75" x14ac:dyDescent="0.25">
      <c r="A2622" s="427"/>
      <c r="B2622" s="428"/>
      <c r="C2622" s="428"/>
      <c r="D2622" s="429"/>
    </row>
    <row r="2623" spans="1:4" ht="15.75" x14ac:dyDescent="0.25">
      <c r="A2623" s="427"/>
      <c r="B2623" s="428"/>
      <c r="C2623" s="428"/>
      <c r="D2623" s="429"/>
    </row>
    <row r="2624" spans="1:4" ht="15.75" x14ac:dyDescent="0.25">
      <c r="A2624" s="427"/>
      <c r="B2624" s="428"/>
      <c r="C2624" s="428"/>
      <c r="D2624" s="429"/>
    </row>
    <row r="2625" spans="1:4" ht="15.75" x14ac:dyDescent="0.25">
      <c r="A2625" s="427"/>
      <c r="B2625" s="428"/>
      <c r="C2625" s="428"/>
      <c r="D2625" s="429"/>
    </row>
    <row r="2626" spans="1:4" ht="15.75" x14ac:dyDescent="0.25">
      <c r="A2626" s="427"/>
      <c r="B2626" s="428"/>
      <c r="C2626" s="428"/>
      <c r="D2626" s="429"/>
    </row>
    <row r="2627" spans="1:4" ht="15.75" x14ac:dyDescent="0.25">
      <c r="A2627" s="427"/>
      <c r="B2627" s="428"/>
      <c r="C2627" s="428"/>
      <c r="D2627" s="429"/>
    </row>
    <row r="2628" spans="1:4" ht="15.75" x14ac:dyDescent="0.25">
      <c r="A2628" s="427"/>
      <c r="B2628" s="428"/>
      <c r="C2628" s="428"/>
      <c r="D2628" s="429"/>
    </row>
    <row r="2629" spans="1:4" ht="15.75" x14ac:dyDescent="0.25">
      <c r="A2629" s="427"/>
      <c r="B2629" s="428"/>
      <c r="C2629" s="428"/>
      <c r="D2629" s="429"/>
    </row>
    <row r="2630" spans="1:4" ht="15.75" x14ac:dyDescent="0.25">
      <c r="A2630" s="427"/>
      <c r="B2630" s="428"/>
      <c r="C2630" s="428"/>
      <c r="D2630" s="429"/>
    </row>
    <row r="2631" spans="1:4" ht="15.75" x14ac:dyDescent="0.25">
      <c r="A2631" s="427"/>
      <c r="B2631" s="428"/>
      <c r="C2631" s="428"/>
      <c r="D2631" s="429"/>
    </row>
    <row r="2632" spans="1:4" ht="15.75" x14ac:dyDescent="0.25">
      <c r="A2632" s="427"/>
      <c r="B2632" s="428"/>
      <c r="C2632" s="428"/>
      <c r="D2632" s="429"/>
    </row>
    <row r="2633" spans="1:4" ht="15.75" x14ac:dyDescent="0.25">
      <c r="A2633" s="427"/>
      <c r="B2633" s="428"/>
      <c r="C2633" s="428"/>
      <c r="D2633" s="429"/>
    </row>
    <row r="2634" spans="1:4" ht="15.75" x14ac:dyDescent="0.25">
      <c r="A2634" s="427"/>
      <c r="B2634" s="428"/>
      <c r="C2634" s="428"/>
      <c r="D2634" s="429"/>
    </row>
    <row r="2635" spans="1:4" ht="15.75" x14ac:dyDescent="0.25">
      <c r="A2635" s="427"/>
      <c r="B2635" s="428"/>
      <c r="C2635" s="428"/>
      <c r="D2635" s="429"/>
    </row>
    <row r="2636" spans="1:4" ht="15.75" x14ac:dyDescent="0.25">
      <c r="A2636" s="427"/>
      <c r="B2636" s="428"/>
      <c r="C2636" s="428"/>
      <c r="D2636" s="429"/>
    </row>
    <row r="2637" spans="1:4" ht="15.75" x14ac:dyDescent="0.25">
      <c r="A2637" s="427"/>
      <c r="B2637" s="428"/>
      <c r="C2637" s="428"/>
      <c r="D2637" s="429"/>
    </row>
    <row r="2638" spans="1:4" ht="15.75" x14ac:dyDescent="0.25">
      <c r="A2638" s="427"/>
      <c r="B2638" s="428"/>
      <c r="C2638" s="428"/>
      <c r="D2638" s="429"/>
    </row>
    <row r="2639" spans="1:4" ht="15.75" x14ac:dyDescent="0.25">
      <c r="A2639" s="427"/>
      <c r="B2639" s="428"/>
      <c r="C2639" s="428"/>
      <c r="D2639" s="429"/>
    </row>
    <row r="2640" spans="1:4" ht="15.75" x14ac:dyDescent="0.25">
      <c r="A2640" s="427"/>
      <c r="B2640" s="428"/>
      <c r="C2640" s="428"/>
      <c r="D2640" s="429"/>
    </row>
    <row r="2641" spans="1:4" ht="15.75" x14ac:dyDescent="0.25">
      <c r="A2641" s="427"/>
      <c r="B2641" s="428"/>
      <c r="C2641" s="428"/>
      <c r="D2641" s="429"/>
    </row>
    <row r="2642" spans="1:4" ht="15.75" x14ac:dyDescent="0.25">
      <c r="A2642" s="427"/>
      <c r="B2642" s="428"/>
      <c r="C2642" s="428"/>
      <c r="D2642" s="429"/>
    </row>
    <row r="2643" spans="1:4" ht="15.75" x14ac:dyDescent="0.25">
      <c r="A2643" s="427"/>
      <c r="B2643" s="428"/>
      <c r="C2643" s="428"/>
      <c r="D2643" s="429"/>
    </row>
    <row r="2644" spans="1:4" ht="15.75" x14ac:dyDescent="0.25">
      <c r="A2644" s="427"/>
      <c r="B2644" s="428"/>
      <c r="C2644" s="428"/>
      <c r="D2644" s="429"/>
    </row>
    <row r="2645" spans="1:4" ht="15.75" x14ac:dyDescent="0.25">
      <c r="A2645" s="427"/>
      <c r="B2645" s="428"/>
      <c r="C2645" s="428"/>
      <c r="D2645" s="429"/>
    </row>
    <row r="2646" spans="1:4" ht="15.75" x14ac:dyDescent="0.25">
      <c r="A2646" s="427"/>
      <c r="B2646" s="428"/>
      <c r="C2646" s="428"/>
      <c r="D2646" s="429"/>
    </row>
    <row r="2647" spans="1:4" ht="15.75" x14ac:dyDescent="0.25">
      <c r="A2647" s="427"/>
      <c r="B2647" s="428"/>
      <c r="C2647" s="428"/>
      <c r="D2647" s="429"/>
    </row>
    <row r="2648" spans="1:4" ht="15.75" x14ac:dyDescent="0.25">
      <c r="A2648" s="427"/>
      <c r="B2648" s="428"/>
      <c r="C2648" s="428"/>
      <c r="D2648" s="429"/>
    </row>
    <row r="2649" spans="1:4" ht="15.75" x14ac:dyDescent="0.25">
      <c r="A2649" s="427"/>
      <c r="B2649" s="428"/>
      <c r="C2649" s="428"/>
      <c r="D2649" s="429"/>
    </row>
    <row r="2650" spans="1:4" ht="15.75" x14ac:dyDescent="0.25">
      <c r="A2650" s="427"/>
      <c r="B2650" s="428"/>
      <c r="C2650" s="428"/>
      <c r="D2650" s="429"/>
    </row>
    <row r="2651" spans="1:4" ht="15.75" x14ac:dyDescent="0.25">
      <c r="A2651" s="427"/>
      <c r="B2651" s="428"/>
      <c r="C2651" s="428"/>
      <c r="D2651" s="429"/>
    </row>
    <row r="2652" spans="1:4" ht="15.75" x14ac:dyDescent="0.25">
      <c r="A2652" s="427"/>
      <c r="B2652" s="428"/>
      <c r="C2652" s="428"/>
      <c r="D2652" s="429"/>
    </row>
    <row r="2653" spans="1:4" ht="15.75" x14ac:dyDescent="0.25">
      <c r="A2653" s="427"/>
      <c r="B2653" s="428"/>
      <c r="C2653" s="428"/>
      <c r="D2653" s="429"/>
    </row>
    <row r="2654" spans="1:4" ht="15.75" x14ac:dyDescent="0.25">
      <c r="A2654" s="427"/>
      <c r="B2654" s="428"/>
      <c r="C2654" s="428"/>
      <c r="D2654" s="429"/>
    </row>
    <row r="2655" spans="1:4" ht="15.75" x14ac:dyDescent="0.25">
      <c r="A2655" s="427"/>
      <c r="B2655" s="428"/>
      <c r="C2655" s="428"/>
      <c r="D2655" s="429"/>
    </row>
    <row r="2656" spans="1:4" ht="15.75" x14ac:dyDescent="0.25">
      <c r="A2656" s="427"/>
      <c r="B2656" s="428"/>
      <c r="C2656" s="428"/>
      <c r="D2656" s="429"/>
    </row>
    <row r="2657" spans="1:4" ht="15.75" x14ac:dyDescent="0.25">
      <c r="A2657" s="427"/>
      <c r="B2657" s="428"/>
      <c r="C2657" s="428"/>
      <c r="D2657" s="429"/>
    </row>
    <row r="2658" spans="1:4" ht="15.75" x14ac:dyDescent="0.25">
      <c r="A2658" s="427"/>
      <c r="B2658" s="428"/>
      <c r="C2658" s="428"/>
      <c r="D2658" s="429"/>
    </row>
    <row r="2659" spans="1:4" ht="15.75" x14ac:dyDescent="0.25">
      <c r="A2659" s="427"/>
      <c r="B2659" s="428"/>
      <c r="C2659" s="428"/>
      <c r="D2659" s="429"/>
    </row>
    <row r="2660" spans="1:4" ht="15.75" x14ac:dyDescent="0.25">
      <c r="A2660" s="427"/>
      <c r="B2660" s="428"/>
      <c r="C2660" s="428"/>
      <c r="D2660" s="429"/>
    </row>
    <row r="2661" spans="1:4" ht="15.75" x14ac:dyDescent="0.25">
      <c r="A2661" s="427"/>
      <c r="B2661" s="428"/>
      <c r="C2661" s="428"/>
      <c r="D2661" s="429"/>
    </row>
    <row r="2662" spans="1:4" ht="15.75" x14ac:dyDescent="0.25">
      <c r="A2662" s="427"/>
      <c r="B2662" s="428"/>
      <c r="C2662" s="428"/>
      <c r="D2662" s="429"/>
    </row>
    <row r="2663" spans="1:4" ht="15.75" x14ac:dyDescent="0.25">
      <c r="A2663" s="427"/>
      <c r="B2663" s="428"/>
      <c r="C2663" s="428"/>
      <c r="D2663" s="429"/>
    </row>
    <row r="2664" spans="1:4" ht="15.75" x14ac:dyDescent="0.25">
      <c r="A2664" s="427"/>
      <c r="B2664" s="428"/>
      <c r="C2664" s="428"/>
      <c r="D2664" s="429"/>
    </row>
    <row r="2665" spans="1:4" ht="15.75" x14ac:dyDescent="0.25">
      <c r="A2665" s="427"/>
      <c r="B2665" s="428"/>
      <c r="C2665" s="428"/>
      <c r="D2665" s="429"/>
    </row>
    <row r="2666" spans="1:4" ht="15.75" x14ac:dyDescent="0.25">
      <c r="A2666" s="427"/>
      <c r="B2666" s="428"/>
      <c r="C2666" s="428"/>
      <c r="D2666" s="429"/>
    </row>
    <row r="2667" spans="1:4" ht="15.75" x14ac:dyDescent="0.25">
      <c r="A2667" s="427"/>
      <c r="B2667" s="428"/>
      <c r="C2667" s="428"/>
      <c r="D2667" s="429"/>
    </row>
    <row r="2668" spans="1:4" ht="15.75" x14ac:dyDescent="0.25">
      <c r="A2668" s="427"/>
      <c r="B2668" s="428"/>
      <c r="C2668" s="428"/>
      <c r="D2668" s="429"/>
    </row>
    <row r="2669" spans="1:4" ht="15.75" x14ac:dyDescent="0.25">
      <c r="A2669" s="427"/>
      <c r="B2669" s="428"/>
      <c r="C2669" s="428"/>
      <c r="D2669" s="429"/>
    </row>
    <row r="2670" spans="1:4" ht="15.75" x14ac:dyDescent="0.25">
      <c r="A2670" s="427"/>
      <c r="B2670" s="428"/>
      <c r="C2670" s="428"/>
      <c r="D2670" s="429"/>
    </row>
    <row r="2671" spans="1:4" ht="15.75" x14ac:dyDescent="0.25">
      <c r="A2671" s="427"/>
      <c r="B2671" s="428"/>
      <c r="C2671" s="428"/>
      <c r="D2671" s="429"/>
    </row>
    <row r="2672" spans="1:4" ht="15.75" x14ac:dyDescent="0.25">
      <c r="A2672" s="427"/>
      <c r="B2672" s="428"/>
      <c r="C2672" s="428"/>
      <c r="D2672" s="429"/>
    </row>
    <row r="2673" spans="1:4" ht="15.75" x14ac:dyDescent="0.25">
      <c r="A2673" s="427"/>
      <c r="B2673" s="428"/>
      <c r="C2673" s="428"/>
      <c r="D2673" s="429"/>
    </row>
    <row r="2674" spans="1:4" ht="15.75" x14ac:dyDescent="0.25">
      <c r="A2674" s="427"/>
      <c r="B2674" s="428"/>
      <c r="C2674" s="428"/>
      <c r="D2674" s="429"/>
    </row>
    <row r="2675" spans="1:4" ht="15.75" x14ac:dyDescent="0.25">
      <c r="A2675" s="427"/>
      <c r="B2675" s="428"/>
      <c r="C2675" s="428"/>
      <c r="D2675" s="429"/>
    </row>
    <row r="2676" spans="1:4" ht="15.75" x14ac:dyDescent="0.25">
      <c r="A2676" s="427"/>
      <c r="B2676" s="428"/>
      <c r="C2676" s="428"/>
      <c r="D2676" s="429"/>
    </row>
    <row r="2677" spans="1:4" ht="15.75" x14ac:dyDescent="0.25">
      <c r="A2677" s="427"/>
      <c r="B2677" s="428"/>
      <c r="C2677" s="428"/>
      <c r="D2677" s="429"/>
    </row>
    <row r="2678" spans="1:4" ht="15.75" x14ac:dyDescent="0.25">
      <c r="A2678" s="427"/>
      <c r="B2678" s="428"/>
      <c r="C2678" s="428"/>
      <c r="D2678" s="429"/>
    </row>
    <row r="2679" spans="1:4" ht="15.75" x14ac:dyDescent="0.25">
      <c r="A2679" s="427"/>
      <c r="B2679" s="428"/>
      <c r="C2679" s="428"/>
      <c r="D2679" s="429"/>
    </row>
    <row r="2680" spans="1:4" ht="15.75" x14ac:dyDescent="0.25">
      <c r="A2680" s="427"/>
      <c r="B2680" s="428"/>
      <c r="C2680" s="428"/>
      <c r="D2680" s="429"/>
    </row>
    <row r="2681" spans="1:4" ht="15.75" x14ac:dyDescent="0.25">
      <c r="A2681" s="427"/>
      <c r="B2681" s="428"/>
      <c r="C2681" s="428"/>
      <c r="D2681" s="429"/>
    </row>
    <row r="2682" spans="1:4" ht="15.75" x14ac:dyDescent="0.25">
      <c r="A2682" s="427"/>
      <c r="B2682" s="428"/>
      <c r="C2682" s="428"/>
      <c r="D2682" s="429"/>
    </row>
    <row r="2683" spans="1:4" ht="15.75" x14ac:dyDescent="0.25">
      <c r="A2683" s="427"/>
      <c r="B2683" s="428"/>
      <c r="C2683" s="428"/>
      <c r="D2683" s="429"/>
    </row>
    <row r="2684" spans="1:4" ht="15.75" x14ac:dyDescent="0.25">
      <c r="A2684" s="427"/>
      <c r="B2684" s="428"/>
      <c r="C2684" s="428"/>
      <c r="D2684" s="429"/>
    </row>
    <row r="2685" spans="1:4" ht="15.75" x14ac:dyDescent="0.25">
      <c r="A2685" s="427"/>
      <c r="B2685" s="428"/>
      <c r="C2685" s="428"/>
      <c r="D2685" s="429"/>
    </row>
    <row r="2686" spans="1:4" ht="15.75" x14ac:dyDescent="0.25">
      <c r="A2686" s="427"/>
      <c r="B2686" s="428"/>
      <c r="C2686" s="428"/>
      <c r="D2686" s="429"/>
    </row>
    <row r="2687" spans="1:4" ht="15.75" x14ac:dyDescent="0.25">
      <c r="A2687" s="427"/>
      <c r="B2687" s="428"/>
      <c r="C2687" s="428"/>
      <c r="D2687" s="429"/>
    </row>
    <row r="2688" spans="1:4" ht="15.75" x14ac:dyDescent="0.25">
      <c r="A2688" s="427"/>
      <c r="B2688" s="428"/>
      <c r="C2688" s="428"/>
      <c r="D2688" s="429"/>
    </row>
    <row r="2689" spans="1:4" ht="15.75" x14ac:dyDescent="0.25">
      <c r="A2689" s="427"/>
      <c r="B2689" s="428"/>
      <c r="C2689" s="428"/>
      <c r="D2689" s="429"/>
    </row>
    <row r="2690" spans="1:4" ht="15.75" x14ac:dyDescent="0.25">
      <c r="A2690" s="427"/>
      <c r="B2690" s="428"/>
      <c r="C2690" s="428"/>
      <c r="D2690" s="429"/>
    </row>
    <row r="2691" spans="1:4" ht="15.75" x14ac:dyDescent="0.25">
      <c r="A2691" s="427"/>
      <c r="B2691" s="428"/>
      <c r="C2691" s="428"/>
      <c r="D2691" s="429"/>
    </row>
    <row r="2692" spans="1:4" ht="15.75" x14ac:dyDescent="0.25">
      <c r="A2692" s="427"/>
      <c r="B2692" s="428"/>
      <c r="C2692" s="428"/>
      <c r="D2692" s="429"/>
    </row>
    <row r="2693" spans="1:4" ht="15.75" x14ac:dyDescent="0.25">
      <c r="A2693" s="427"/>
      <c r="B2693" s="428"/>
      <c r="C2693" s="428"/>
      <c r="D2693" s="429"/>
    </row>
    <row r="2694" spans="1:4" ht="15.75" x14ac:dyDescent="0.25">
      <c r="A2694" s="427"/>
      <c r="B2694" s="428"/>
      <c r="C2694" s="428"/>
      <c r="D2694" s="429"/>
    </row>
    <row r="2695" spans="1:4" ht="15.75" x14ac:dyDescent="0.25">
      <c r="A2695" s="427"/>
      <c r="B2695" s="428"/>
      <c r="C2695" s="428"/>
      <c r="D2695" s="429"/>
    </row>
    <row r="2696" spans="1:4" ht="15.75" x14ac:dyDescent="0.25">
      <c r="A2696" s="427"/>
      <c r="B2696" s="428"/>
      <c r="C2696" s="428"/>
      <c r="D2696" s="429"/>
    </row>
    <row r="2697" spans="1:4" ht="15.75" x14ac:dyDescent="0.25">
      <c r="A2697" s="427"/>
      <c r="B2697" s="428"/>
      <c r="C2697" s="428"/>
      <c r="D2697" s="429"/>
    </row>
    <row r="2698" spans="1:4" ht="15.75" x14ac:dyDescent="0.25">
      <c r="A2698" s="427"/>
      <c r="B2698" s="428"/>
      <c r="C2698" s="428"/>
      <c r="D2698" s="429"/>
    </row>
    <row r="2699" spans="1:4" ht="15.75" x14ac:dyDescent="0.25">
      <c r="A2699" s="427"/>
      <c r="B2699" s="428"/>
      <c r="C2699" s="428"/>
      <c r="D2699" s="429"/>
    </row>
    <row r="2700" spans="1:4" ht="15.75" x14ac:dyDescent="0.25">
      <c r="A2700" s="427"/>
      <c r="B2700" s="428"/>
      <c r="C2700" s="428"/>
      <c r="D2700" s="429"/>
    </row>
    <row r="2701" spans="1:4" ht="15.75" x14ac:dyDescent="0.25">
      <c r="A2701" s="427"/>
      <c r="B2701" s="428"/>
      <c r="C2701" s="428"/>
      <c r="D2701" s="429"/>
    </row>
    <row r="2702" spans="1:4" ht="15.75" x14ac:dyDescent="0.25">
      <c r="A2702" s="427"/>
      <c r="B2702" s="428"/>
      <c r="C2702" s="428"/>
      <c r="D2702" s="429"/>
    </row>
    <row r="2703" spans="1:4" ht="15.75" x14ac:dyDescent="0.25">
      <c r="A2703" s="427"/>
      <c r="B2703" s="428"/>
      <c r="C2703" s="428"/>
      <c r="D2703" s="429"/>
    </row>
    <row r="2704" spans="1:4" ht="15.75" x14ac:dyDescent="0.25">
      <c r="A2704" s="427"/>
      <c r="B2704" s="428"/>
      <c r="C2704" s="428"/>
      <c r="D2704" s="429"/>
    </row>
    <row r="2705" spans="1:4" ht="15.75" x14ac:dyDescent="0.25">
      <c r="A2705" s="427"/>
      <c r="B2705" s="428"/>
      <c r="C2705" s="428"/>
      <c r="D2705" s="429"/>
    </row>
    <row r="2706" spans="1:4" ht="15.75" x14ac:dyDescent="0.25">
      <c r="A2706" s="427"/>
      <c r="B2706" s="428"/>
      <c r="C2706" s="428"/>
      <c r="D2706" s="429"/>
    </row>
    <row r="2707" spans="1:4" ht="15.75" x14ac:dyDescent="0.25">
      <c r="A2707" s="427"/>
      <c r="B2707" s="428"/>
      <c r="C2707" s="428"/>
      <c r="D2707" s="429"/>
    </row>
    <row r="2708" spans="1:4" ht="15.75" x14ac:dyDescent="0.25">
      <c r="A2708" s="427"/>
      <c r="B2708" s="428"/>
      <c r="C2708" s="428"/>
      <c r="D2708" s="429"/>
    </row>
    <row r="2709" spans="1:4" ht="15.75" x14ac:dyDescent="0.25">
      <c r="A2709" s="427"/>
      <c r="B2709" s="428"/>
      <c r="C2709" s="428"/>
      <c r="D2709" s="429"/>
    </row>
    <row r="2710" spans="1:4" ht="15.75" x14ac:dyDescent="0.25">
      <c r="A2710" s="427"/>
      <c r="B2710" s="428"/>
      <c r="C2710" s="428"/>
      <c r="D2710" s="429"/>
    </row>
    <row r="2711" spans="1:4" ht="15.75" x14ac:dyDescent="0.25">
      <c r="A2711" s="427"/>
      <c r="B2711" s="428"/>
      <c r="C2711" s="428"/>
      <c r="D2711" s="429"/>
    </row>
    <row r="2712" spans="1:4" ht="15.75" x14ac:dyDescent="0.25">
      <c r="A2712" s="427"/>
      <c r="B2712" s="428"/>
      <c r="C2712" s="428"/>
      <c r="D2712" s="429"/>
    </row>
    <row r="2713" spans="1:4" ht="15.75" x14ac:dyDescent="0.25">
      <c r="A2713" s="427"/>
      <c r="B2713" s="428"/>
      <c r="C2713" s="428"/>
      <c r="D2713" s="429"/>
    </row>
    <row r="2714" spans="1:4" ht="15.75" x14ac:dyDescent="0.25">
      <c r="A2714" s="427"/>
      <c r="B2714" s="428"/>
      <c r="C2714" s="428"/>
      <c r="D2714" s="429"/>
    </row>
    <row r="2715" spans="1:4" ht="15.75" x14ac:dyDescent="0.25">
      <c r="A2715" s="427"/>
      <c r="B2715" s="428"/>
      <c r="C2715" s="428"/>
      <c r="D2715" s="429"/>
    </row>
    <row r="2716" spans="1:4" ht="15.75" x14ac:dyDescent="0.25">
      <c r="A2716" s="427"/>
      <c r="B2716" s="428"/>
      <c r="C2716" s="428"/>
      <c r="D2716" s="429"/>
    </row>
    <row r="2717" spans="1:4" ht="15.75" x14ac:dyDescent="0.25">
      <c r="A2717" s="427"/>
      <c r="B2717" s="428"/>
      <c r="C2717" s="428"/>
      <c r="D2717" s="429"/>
    </row>
    <row r="2718" spans="1:4" ht="15.75" x14ac:dyDescent="0.25">
      <c r="A2718" s="427"/>
      <c r="B2718" s="428"/>
      <c r="C2718" s="428"/>
      <c r="D2718" s="429"/>
    </row>
    <row r="2719" spans="1:4" ht="15.75" x14ac:dyDescent="0.25">
      <c r="A2719" s="427"/>
      <c r="B2719" s="428"/>
      <c r="C2719" s="428"/>
      <c r="D2719" s="429"/>
    </row>
    <row r="2720" spans="1:4" ht="15.75" x14ac:dyDescent="0.25">
      <c r="A2720" s="427"/>
      <c r="B2720" s="428"/>
      <c r="C2720" s="428"/>
      <c r="D2720" s="429"/>
    </row>
    <row r="2721" spans="1:4" ht="15.75" x14ac:dyDescent="0.25">
      <c r="A2721" s="427"/>
      <c r="B2721" s="428"/>
      <c r="C2721" s="428"/>
      <c r="D2721" s="429"/>
    </row>
    <row r="2722" spans="1:4" ht="15.75" x14ac:dyDescent="0.25">
      <c r="A2722" s="427"/>
      <c r="B2722" s="428"/>
      <c r="C2722" s="428"/>
      <c r="D2722" s="429"/>
    </row>
    <row r="2723" spans="1:4" ht="15.75" x14ac:dyDescent="0.25">
      <c r="A2723" s="427"/>
      <c r="B2723" s="428"/>
      <c r="C2723" s="428"/>
      <c r="D2723" s="429"/>
    </row>
    <row r="2724" spans="1:4" ht="15.75" x14ac:dyDescent="0.25">
      <c r="A2724" s="427"/>
      <c r="B2724" s="428"/>
      <c r="C2724" s="428"/>
      <c r="D2724" s="429"/>
    </row>
    <row r="2725" spans="1:4" ht="15.75" x14ac:dyDescent="0.25">
      <c r="A2725" s="427"/>
      <c r="B2725" s="428"/>
      <c r="C2725" s="428"/>
      <c r="D2725" s="429"/>
    </row>
    <row r="2726" spans="1:4" ht="15.75" x14ac:dyDescent="0.25">
      <c r="A2726" s="427"/>
      <c r="B2726" s="428"/>
      <c r="C2726" s="428"/>
      <c r="D2726" s="429"/>
    </row>
    <row r="2727" spans="1:4" ht="15.75" x14ac:dyDescent="0.25">
      <c r="A2727" s="427"/>
      <c r="B2727" s="428"/>
      <c r="C2727" s="428"/>
      <c r="D2727" s="429"/>
    </row>
    <row r="2728" spans="1:4" ht="15.75" x14ac:dyDescent="0.25">
      <c r="A2728" s="427"/>
      <c r="B2728" s="428"/>
      <c r="C2728" s="428"/>
      <c r="D2728" s="429"/>
    </row>
    <row r="2729" spans="1:4" ht="15.75" x14ac:dyDescent="0.25">
      <c r="A2729" s="427"/>
      <c r="B2729" s="428"/>
      <c r="C2729" s="428"/>
      <c r="D2729" s="429"/>
    </row>
    <row r="2730" spans="1:4" ht="15.75" x14ac:dyDescent="0.25">
      <c r="A2730" s="427"/>
      <c r="B2730" s="428"/>
      <c r="C2730" s="428"/>
      <c r="D2730" s="429"/>
    </row>
    <row r="2731" spans="1:4" ht="15.75" x14ac:dyDescent="0.25">
      <c r="A2731" s="427"/>
      <c r="B2731" s="428"/>
      <c r="C2731" s="428"/>
      <c r="D2731" s="429"/>
    </row>
    <row r="2732" spans="1:4" ht="15.75" x14ac:dyDescent="0.25">
      <c r="A2732" s="427"/>
      <c r="B2732" s="428"/>
      <c r="C2732" s="428"/>
      <c r="D2732" s="429"/>
    </row>
    <row r="2733" spans="1:4" ht="15.75" x14ac:dyDescent="0.25">
      <c r="A2733" s="427"/>
      <c r="B2733" s="428"/>
      <c r="C2733" s="428"/>
      <c r="D2733" s="429"/>
    </row>
    <row r="2734" spans="1:4" ht="15.75" x14ac:dyDescent="0.25">
      <c r="A2734" s="427"/>
      <c r="B2734" s="428"/>
      <c r="C2734" s="428"/>
      <c r="D2734" s="429"/>
    </row>
    <row r="2735" spans="1:4" ht="15.75" x14ac:dyDescent="0.25">
      <c r="A2735" s="427"/>
      <c r="B2735" s="428"/>
      <c r="C2735" s="428"/>
      <c r="D2735" s="429"/>
    </row>
    <row r="2736" spans="1:4" ht="15.75" x14ac:dyDescent="0.25">
      <c r="A2736" s="427"/>
      <c r="B2736" s="428"/>
      <c r="C2736" s="428"/>
      <c r="D2736" s="429"/>
    </row>
    <row r="2737" spans="1:4" ht="15.75" x14ac:dyDescent="0.25">
      <c r="A2737" s="427"/>
      <c r="B2737" s="428"/>
      <c r="C2737" s="428"/>
      <c r="D2737" s="429"/>
    </row>
    <row r="2738" spans="1:4" ht="15.75" x14ac:dyDescent="0.25">
      <c r="A2738" s="427"/>
      <c r="B2738" s="428"/>
      <c r="C2738" s="428"/>
      <c r="D2738" s="429"/>
    </row>
    <row r="2739" spans="1:4" ht="15.75" x14ac:dyDescent="0.25">
      <c r="A2739" s="427"/>
      <c r="B2739" s="428"/>
      <c r="C2739" s="428"/>
      <c r="D2739" s="429"/>
    </row>
    <row r="2740" spans="1:4" ht="15.75" x14ac:dyDescent="0.25">
      <c r="A2740" s="427"/>
      <c r="B2740" s="428"/>
      <c r="C2740" s="428"/>
      <c r="D2740" s="429"/>
    </row>
    <row r="2741" spans="1:4" ht="15.75" x14ac:dyDescent="0.25">
      <c r="A2741" s="427"/>
      <c r="B2741" s="428"/>
      <c r="C2741" s="428"/>
      <c r="D2741" s="429"/>
    </row>
    <row r="2742" spans="1:4" ht="15.75" x14ac:dyDescent="0.25">
      <c r="A2742" s="427"/>
      <c r="B2742" s="428"/>
      <c r="C2742" s="428"/>
      <c r="D2742" s="429"/>
    </row>
    <row r="2743" spans="1:4" ht="15.75" x14ac:dyDescent="0.25">
      <c r="A2743" s="427"/>
      <c r="B2743" s="428"/>
      <c r="C2743" s="428"/>
      <c r="D2743" s="429"/>
    </row>
    <row r="2744" spans="1:4" ht="15.75" x14ac:dyDescent="0.25">
      <c r="A2744" s="427"/>
      <c r="B2744" s="428"/>
      <c r="C2744" s="428"/>
      <c r="D2744" s="429"/>
    </row>
    <row r="2745" spans="1:4" ht="15.75" x14ac:dyDescent="0.25">
      <c r="A2745" s="427"/>
      <c r="B2745" s="428"/>
      <c r="C2745" s="428"/>
      <c r="D2745" s="429"/>
    </row>
    <row r="2746" spans="1:4" ht="15.75" x14ac:dyDescent="0.25">
      <c r="A2746" s="427"/>
      <c r="B2746" s="428"/>
      <c r="C2746" s="428"/>
      <c r="D2746" s="429"/>
    </row>
    <row r="2747" spans="1:4" ht="15.75" x14ac:dyDescent="0.25">
      <c r="A2747" s="427"/>
      <c r="B2747" s="428"/>
      <c r="C2747" s="428"/>
      <c r="D2747" s="429"/>
    </row>
    <row r="2748" spans="1:4" ht="15.75" x14ac:dyDescent="0.25">
      <c r="A2748" s="427"/>
      <c r="B2748" s="428"/>
      <c r="C2748" s="428"/>
      <c r="D2748" s="429"/>
    </row>
    <row r="2749" spans="1:4" ht="15.75" x14ac:dyDescent="0.25">
      <c r="A2749" s="427"/>
      <c r="B2749" s="428"/>
      <c r="C2749" s="428"/>
      <c r="D2749" s="429"/>
    </row>
    <row r="2750" spans="1:4" ht="15.75" x14ac:dyDescent="0.25">
      <c r="A2750" s="427"/>
      <c r="B2750" s="428"/>
      <c r="C2750" s="428"/>
      <c r="D2750" s="429"/>
    </row>
    <row r="2751" spans="1:4" ht="15.75" x14ac:dyDescent="0.25">
      <c r="A2751" s="427"/>
      <c r="B2751" s="428"/>
      <c r="C2751" s="428"/>
      <c r="D2751" s="429"/>
    </row>
    <row r="2752" spans="1:4" ht="15.75" x14ac:dyDescent="0.25">
      <c r="A2752" s="427"/>
      <c r="B2752" s="428"/>
      <c r="C2752" s="428"/>
      <c r="D2752" s="429"/>
    </row>
    <row r="2753" spans="1:4" ht="15.75" x14ac:dyDescent="0.25">
      <c r="A2753" s="427"/>
      <c r="B2753" s="428"/>
      <c r="C2753" s="428"/>
      <c r="D2753" s="429"/>
    </row>
    <row r="2754" spans="1:4" ht="15.75" x14ac:dyDescent="0.25">
      <c r="A2754" s="427"/>
      <c r="B2754" s="428"/>
      <c r="C2754" s="428"/>
      <c r="D2754" s="429"/>
    </row>
    <row r="2755" spans="1:4" ht="15.75" x14ac:dyDescent="0.25">
      <c r="A2755" s="427"/>
      <c r="B2755" s="428"/>
      <c r="C2755" s="428"/>
      <c r="D2755" s="429"/>
    </row>
    <row r="2756" spans="1:4" ht="15.75" x14ac:dyDescent="0.25">
      <c r="A2756" s="427"/>
      <c r="B2756" s="428"/>
      <c r="C2756" s="428"/>
      <c r="D2756" s="429"/>
    </row>
    <row r="2757" spans="1:4" ht="15.75" x14ac:dyDescent="0.25">
      <c r="A2757" s="427"/>
      <c r="B2757" s="428"/>
      <c r="C2757" s="428"/>
      <c r="D2757" s="429"/>
    </row>
    <row r="2758" spans="1:4" ht="15.75" x14ac:dyDescent="0.25">
      <c r="A2758" s="427"/>
      <c r="B2758" s="428"/>
      <c r="C2758" s="428"/>
      <c r="D2758" s="429"/>
    </row>
    <row r="2759" spans="1:4" ht="15.75" x14ac:dyDescent="0.25">
      <c r="A2759" s="427"/>
      <c r="B2759" s="428"/>
      <c r="C2759" s="428"/>
      <c r="D2759" s="429"/>
    </row>
    <row r="2760" spans="1:4" ht="15.75" x14ac:dyDescent="0.25">
      <c r="A2760" s="427"/>
      <c r="B2760" s="428"/>
      <c r="C2760" s="428"/>
      <c r="D2760" s="429"/>
    </row>
    <row r="2761" spans="1:4" ht="15.75" x14ac:dyDescent="0.25">
      <c r="A2761" s="427"/>
      <c r="B2761" s="428"/>
      <c r="C2761" s="428"/>
      <c r="D2761" s="429"/>
    </row>
    <row r="2762" spans="1:4" ht="15.75" x14ac:dyDescent="0.25">
      <c r="A2762" s="427"/>
      <c r="B2762" s="428"/>
      <c r="C2762" s="428"/>
      <c r="D2762" s="429"/>
    </row>
    <row r="2763" spans="1:4" ht="15.75" x14ac:dyDescent="0.25">
      <c r="A2763" s="427"/>
      <c r="B2763" s="428"/>
      <c r="C2763" s="428"/>
      <c r="D2763" s="429"/>
    </row>
    <row r="2764" spans="1:4" ht="15.75" x14ac:dyDescent="0.25">
      <c r="A2764" s="427"/>
      <c r="B2764" s="428"/>
      <c r="C2764" s="428"/>
      <c r="D2764" s="429"/>
    </row>
    <row r="2765" spans="1:4" ht="15.75" x14ac:dyDescent="0.25">
      <c r="A2765" s="427"/>
      <c r="B2765" s="428"/>
      <c r="C2765" s="428"/>
      <c r="D2765" s="429"/>
    </row>
    <row r="2766" spans="1:4" ht="15.75" x14ac:dyDescent="0.25">
      <c r="A2766" s="427"/>
      <c r="B2766" s="428"/>
      <c r="C2766" s="428"/>
      <c r="D2766" s="429"/>
    </row>
    <row r="2767" spans="1:4" ht="15.75" x14ac:dyDescent="0.25">
      <c r="A2767" s="427"/>
      <c r="B2767" s="428"/>
      <c r="C2767" s="428"/>
      <c r="D2767" s="429"/>
    </row>
    <row r="2768" spans="1:4" ht="15.75" x14ac:dyDescent="0.25">
      <c r="A2768" s="427"/>
      <c r="B2768" s="428"/>
      <c r="C2768" s="428"/>
      <c r="D2768" s="429"/>
    </row>
    <row r="2769" spans="1:4" ht="15.75" x14ac:dyDescent="0.25">
      <c r="A2769" s="427"/>
      <c r="B2769" s="428"/>
      <c r="C2769" s="428"/>
      <c r="D2769" s="429"/>
    </row>
    <row r="2770" spans="1:4" ht="15.75" x14ac:dyDescent="0.25">
      <c r="A2770" s="427"/>
      <c r="B2770" s="428"/>
      <c r="C2770" s="428"/>
      <c r="D2770" s="429"/>
    </row>
    <row r="2771" spans="1:4" ht="15.75" x14ac:dyDescent="0.25">
      <c r="A2771" s="427"/>
      <c r="B2771" s="428"/>
      <c r="C2771" s="428"/>
      <c r="D2771" s="429"/>
    </row>
    <row r="2772" spans="1:4" ht="15.75" x14ac:dyDescent="0.25">
      <c r="A2772" s="427"/>
      <c r="B2772" s="428"/>
      <c r="C2772" s="428"/>
      <c r="D2772" s="429"/>
    </row>
    <row r="2773" spans="1:4" ht="15.75" x14ac:dyDescent="0.25">
      <c r="A2773" s="427"/>
      <c r="B2773" s="428"/>
      <c r="C2773" s="428"/>
      <c r="D2773" s="429"/>
    </row>
    <row r="2774" spans="1:4" ht="15.75" x14ac:dyDescent="0.25">
      <c r="A2774" s="427"/>
      <c r="B2774" s="428"/>
      <c r="C2774" s="428"/>
      <c r="D2774" s="429"/>
    </row>
    <row r="2775" spans="1:4" ht="15.75" x14ac:dyDescent="0.25">
      <c r="A2775" s="427"/>
      <c r="B2775" s="428"/>
      <c r="C2775" s="428"/>
      <c r="D2775" s="429"/>
    </row>
    <row r="2776" spans="1:4" ht="15.75" x14ac:dyDescent="0.25">
      <c r="A2776" s="427"/>
      <c r="B2776" s="428"/>
      <c r="C2776" s="428"/>
      <c r="D2776" s="429"/>
    </row>
    <row r="2777" spans="1:4" ht="15.75" x14ac:dyDescent="0.25">
      <c r="A2777" s="427"/>
      <c r="B2777" s="428"/>
      <c r="C2777" s="428"/>
      <c r="D2777" s="429"/>
    </row>
    <row r="2778" spans="1:4" ht="15.75" x14ac:dyDescent="0.25">
      <c r="A2778" s="427"/>
      <c r="B2778" s="428"/>
      <c r="C2778" s="428"/>
      <c r="D2778" s="429"/>
    </row>
    <row r="2779" spans="1:4" ht="15.75" x14ac:dyDescent="0.25">
      <c r="A2779" s="427"/>
      <c r="B2779" s="428"/>
      <c r="C2779" s="428"/>
      <c r="D2779" s="429"/>
    </row>
    <row r="2780" spans="1:4" ht="15.75" x14ac:dyDescent="0.25">
      <c r="A2780" s="427"/>
      <c r="B2780" s="428"/>
      <c r="C2780" s="428"/>
      <c r="D2780" s="429"/>
    </row>
    <row r="2781" spans="1:4" ht="15.75" x14ac:dyDescent="0.25">
      <c r="A2781" s="427"/>
      <c r="B2781" s="428"/>
      <c r="C2781" s="428"/>
      <c r="D2781" s="429"/>
    </row>
    <row r="2782" spans="1:4" ht="15.75" x14ac:dyDescent="0.25">
      <c r="A2782" s="427"/>
      <c r="B2782" s="428"/>
      <c r="C2782" s="428"/>
      <c r="D2782" s="429"/>
    </row>
    <row r="2783" spans="1:4" ht="15.75" x14ac:dyDescent="0.25">
      <c r="A2783" s="427"/>
      <c r="B2783" s="428"/>
      <c r="C2783" s="428"/>
      <c r="D2783" s="429"/>
    </row>
    <row r="2784" spans="1:4" ht="15.75" x14ac:dyDescent="0.25">
      <c r="A2784" s="427"/>
      <c r="B2784" s="428"/>
      <c r="C2784" s="428"/>
      <c r="D2784" s="429"/>
    </row>
    <row r="2785" spans="1:4" ht="15.75" x14ac:dyDescent="0.25">
      <c r="A2785" s="427"/>
      <c r="B2785" s="428"/>
      <c r="C2785" s="428"/>
      <c r="D2785" s="429"/>
    </row>
    <row r="2786" spans="1:4" ht="15.75" x14ac:dyDescent="0.25">
      <c r="A2786" s="427"/>
      <c r="B2786" s="428"/>
      <c r="C2786" s="428"/>
      <c r="D2786" s="429"/>
    </row>
    <row r="2787" spans="1:4" ht="15.75" x14ac:dyDescent="0.25">
      <c r="A2787" s="427"/>
      <c r="B2787" s="428"/>
      <c r="C2787" s="428"/>
      <c r="D2787" s="429"/>
    </row>
    <row r="2788" spans="1:4" ht="15.75" x14ac:dyDescent="0.25">
      <c r="A2788" s="427"/>
      <c r="B2788" s="428"/>
      <c r="C2788" s="428"/>
      <c r="D2788" s="429"/>
    </row>
    <row r="2789" spans="1:4" ht="15.75" x14ac:dyDescent="0.25">
      <c r="A2789" s="427"/>
      <c r="B2789" s="428"/>
      <c r="C2789" s="428"/>
      <c r="D2789" s="429"/>
    </row>
    <row r="2790" spans="1:4" ht="15.75" x14ac:dyDescent="0.25">
      <c r="A2790" s="427"/>
      <c r="B2790" s="428"/>
      <c r="C2790" s="428"/>
      <c r="D2790" s="429"/>
    </row>
    <row r="2791" spans="1:4" ht="15.75" x14ac:dyDescent="0.25">
      <c r="A2791" s="427"/>
      <c r="B2791" s="428"/>
      <c r="C2791" s="428"/>
      <c r="D2791" s="429"/>
    </row>
    <row r="2792" spans="1:4" ht="15.75" x14ac:dyDescent="0.25">
      <c r="A2792" s="427"/>
      <c r="B2792" s="428"/>
      <c r="C2792" s="428"/>
      <c r="D2792" s="429"/>
    </row>
    <row r="2793" spans="1:4" ht="15.75" x14ac:dyDescent="0.25">
      <c r="A2793" s="427"/>
      <c r="B2793" s="428"/>
      <c r="C2793" s="428"/>
      <c r="D2793" s="429"/>
    </row>
    <row r="2794" spans="1:4" ht="15.75" x14ac:dyDescent="0.25">
      <c r="A2794" s="427"/>
      <c r="B2794" s="428"/>
      <c r="C2794" s="428"/>
      <c r="D2794" s="429"/>
    </row>
    <row r="2795" spans="1:4" ht="15.75" x14ac:dyDescent="0.25">
      <c r="A2795" s="427"/>
      <c r="B2795" s="428"/>
      <c r="C2795" s="428"/>
      <c r="D2795" s="429"/>
    </row>
    <row r="2796" spans="1:4" ht="15.75" x14ac:dyDescent="0.25">
      <c r="A2796" s="427"/>
      <c r="B2796" s="428"/>
      <c r="C2796" s="428"/>
      <c r="D2796" s="429"/>
    </row>
    <row r="2797" spans="1:4" ht="15.75" x14ac:dyDescent="0.25">
      <c r="A2797" s="427"/>
      <c r="B2797" s="428"/>
      <c r="C2797" s="428"/>
      <c r="D2797" s="429"/>
    </row>
    <row r="2798" spans="1:4" ht="15.75" x14ac:dyDescent="0.25">
      <c r="A2798" s="427"/>
      <c r="B2798" s="428"/>
      <c r="C2798" s="428"/>
      <c r="D2798" s="429"/>
    </row>
    <row r="2799" spans="1:4" ht="15.75" x14ac:dyDescent="0.25">
      <c r="A2799" s="427"/>
      <c r="B2799" s="428"/>
      <c r="C2799" s="428"/>
      <c r="D2799" s="429"/>
    </row>
    <row r="2800" spans="1:4" ht="15.75" x14ac:dyDescent="0.25">
      <c r="A2800" s="427"/>
      <c r="B2800" s="428"/>
      <c r="C2800" s="428"/>
      <c r="D2800" s="429"/>
    </row>
    <row r="2801" spans="1:4" ht="15.75" x14ac:dyDescent="0.25">
      <c r="A2801" s="427"/>
      <c r="B2801" s="428"/>
      <c r="C2801" s="428"/>
      <c r="D2801" s="429"/>
    </row>
    <row r="2802" spans="1:4" ht="15.75" x14ac:dyDescent="0.25">
      <c r="A2802" s="427"/>
      <c r="B2802" s="428"/>
      <c r="C2802" s="428"/>
      <c r="D2802" s="429"/>
    </row>
    <row r="2803" spans="1:4" ht="15.75" x14ac:dyDescent="0.25">
      <c r="A2803" s="427"/>
      <c r="B2803" s="428"/>
      <c r="C2803" s="428"/>
      <c r="D2803" s="429"/>
    </row>
    <row r="2804" spans="1:4" ht="15.75" x14ac:dyDescent="0.25">
      <c r="A2804" s="427"/>
      <c r="B2804" s="428"/>
      <c r="C2804" s="428"/>
      <c r="D2804" s="429"/>
    </row>
    <row r="2805" spans="1:4" ht="15.75" x14ac:dyDescent="0.25">
      <c r="A2805" s="427"/>
      <c r="B2805" s="428"/>
      <c r="C2805" s="428"/>
      <c r="D2805" s="429"/>
    </row>
    <row r="2806" spans="1:4" ht="15.75" x14ac:dyDescent="0.25">
      <c r="A2806" s="427"/>
      <c r="B2806" s="428"/>
      <c r="C2806" s="428"/>
      <c r="D2806" s="429"/>
    </row>
    <row r="2807" spans="1:4" ht="15.75" x14ac:dyDescent="0.25">
      <c r="A2807" s="427"/>
      <c r="B2807" s="428"/>
      <c r="C2807" s="428"/>
      <c r="D2807" s="429"/>
    </row>
    <row r="2808" spans="1:4" ht="15.75" x14ac:dyDescent="0.25">
      <c r="A2808" s="427"/>
      <c r="B2808" s="428"/>
      <c r="C2808" s="428"/>
      <c r="D2808" s="429"/>
    </row>
    <row r="2809" spans="1:4" ht="15.75" x14ac:dyDescent="0.25">
      <c r="A2809" s="427"/>
      <c r="B2809" s="428"/>
      <c r="C2809" s="428"/>
      <c r="D2809" s="429"/>
    </row>
    <row r="2810" spans="1:4" ht="15.75" x14ac:dyDescent="0.25">
      <c r="A2810" s="427"/>
      <c r="B2810" s="428"/>
      <c r="C2810" s="428"/>
      <c r="D2810" s="429"/>
    </row>
    <row r="2811" spans="1:4" ht="15.75" x14ac:dyDescent="0.25">
      <c r="A2811" s="427"/>
      <c r="B2811" s="428"/>
      <c r="C2811" s="428"/>
      <c r="D2811" s="429"/>
    </row>
    <row r="2812" spans="1:4" ht="15.75" x14ac:dyDescent="0.25">
      <c r="A2812" s="427"/>
      <c r="B2812" s="428"/>
      <c r="C2812" s="428"/>
      <c r="D2812" s="429"/>
    </row>
    <row r="2813" spans="1:4" ht="15.75" x14ac:dyDescent="0.25">
      <c r="A2813" s="427"/>
      <c r="B2813" s="428"/>
      <c r="C2813" s="428"/>
      <c r="D2813" s="429"/>
    </row>
    <row r="2814" spans="1:4" ht="15.75" x14ac:dyDescent="0.25">
      <c r="A2814" s="427"/>
      <c r="B2814" s="428"/>
      <c r="C2814" s="428"/>
      <c r="D2814" s="429"/>
    </row>
    <row r="2815" spans="1:4" ht="15.75" x14ac:dyDescent="0.25">
      <c r="A2815" s="427"/>
      <c r="B2815" s="428"/>
      <c r="C2815" s="428"/>
      <c r="D2815" s="429"/>
    </row>
    <row r="2816" spans="1:4" ht="15.75" x14ac:dyDescent="0.25">
      <c r="A2816" s="427"/>
      <c r="B2816" s="428"/>
      <c r="C2816" s="428"/>
      <c r="D2816" s="429"/>
    </row>
    <row r="2817" spans="1:4" ht="15.75" x14ac:dyDescent="0.25">
      <c r="A2817" s="427"/>
      <c r="B2817" s="428"/>
      <c r="C2817" s="428"/>
      <c r="D2817" s="429"/>
    </row>
    <row r="2818" spans="1:4" ht="15.75" x14ac:dyDescent="0.25">
      <c r="A2818" s="427"/>
      <c r="B2818" s="428"/>
      <c r="C2818" s="428"/>
      <c r="D2818" s="429"/>
    </row>
    <row r="2819" spans="1:4" ht="15.75" x14ac:dyDescent="0.25">
      <c r="A2819" s="427"/>
      <c r="B2819" s="428"/>
      <c r="C2819" s="428"/>
      <c r="D2819" s="429"/>
    </row>
    <row r="2820" spans="1:4" ht="15.75" x14ac:dyDescent="0.25">
      <c r="A2820" s="427"/>
      <c r="B2820" s="428"/>
      <c r="C2820" s="428"/>
      <c r="D2820" s="429"/>
    </row>
    <row r="2821" spans="1:4" ht="15.75" x14ac:dyDescent="0.25">
      <c r="A2821" s="427"/>
      <c r="B2821" s="428"/>
      <c r="C2821" s="428"/>
      <c r="D2821" s="429"/>
    </row>
    <row r="2822" spans="1:4" ht="15.75" x14ac:dyDescent="0.25">
      <c r="A2822" s="427"/>
      <c r="B2822" s="428"/>
      <c r="C2822" s="428"/>
      <c r="D2822" s="429"/>
    </row>
    <row r="2823" spans="1:4" ht="15.75" x14ac:dyDescent="0.25">
      <c r="A2823" s="427"/>
      <c r="B2823" s="428"/>
      <c r="C2823" s="428"/>
      <c r="D2823" s="429"/>
    </row>
    <row r="2824" spans="1:4" ht="15.75" x14ac:dyDescent="0.25">
      <c r="A2824" s="427"/>
      <c r="B2824" s="428"/>
      <c r="C2824" s="428"/>
      <c r="D2824" s="429"/>
    </row>
    <row r="2825" spans="1:4" ht="15.75" x14ac:dyDescent="0.25">
      <c r="A2825" s="427"/>
      <c r="B2825" s="428"/>
      <c r="C2825" s="428"/>
      <c r="D2825" s="429"/>
    </row>
    <row r="2826" spans="1:4" ht="15.75" x14ac:dyDescent="0.25">
      <c r="A2826" s="427"/>
      <c r="B2826" s="428"/>
      <c r="C2826" s="428"/>
      <c r="D2826" s="429"/>
    </row>
    <row r="2827" spans="1:4" ht="15.75" x14ac:dyDescent="0.25">
      <c r="A2827" s="427"/>
      <c r="B2827" s="428"/>
      <c r="C2827" s="428"/>
      <c r="D2827" s="429"/>
    </row>
    <row r="2828" spans="1:4" ht="15.75" x14ac:dyDescent="0.25">
      <c r="A2828" s="427"/>
      <c r="B2828" s="428"/>
      <c r="C2828" s="428"/>
      <c r="D2828" s="429"/>
    </row>
    <row r="2829" spans="1:4" ht="15.75" x14ac:dyDescent="0.25">
      <c r="A2829" s="427"/>
      <c r="B2829" s="428"/>
      <c r="C2829" s="428"/>
      <c r="D2829" s="429"/>
    </row>
    <row r="2830" spans="1:4" ht="15.75" x14ac:dyDescent="0.25">
      <c r="A2830" s="427"/>
      <c r="B2830" s="428"/>
      <c r="C2830" s="428"/>
      <c r="D2830" s="429"/>
    </row>
    <row r="2831" spans="1:4" ht="15.75" x14ac:dyDescent="0.25">
      <c r="A2831" s="427"/>
      <c r="B2831" s="428"/>
      <c r="C2831" s="428"/>
      <c r="D2831" s="429"/>
    </row>
    <row r="2832" spans="1:4" ht="15.75" x14ac:dyDescent="0.25">
      <c r="A2832" s="427"/>
      <c r="B2832" s="428"/>
      <c r="C2832" s="428"/>
      <c r="D2832" s="429"/>
    </row>
    <row r="2833" spans="1:4" ht="15.75" x14ac:dyDescent="0.25">
      <c r="A2833" s="427"/>
      <c r="B2833" s="428"/>
      <c r="C2833" s="428"/>
      <c r="D2833" s="429"/>
    </row>
    <row r="2834" spans="1:4" ht="15.75" x14ac:dyDescent="0.25">
      <c r="A2834" s="427"/>
      <c r="B2834" s="428"/>
      <c r="C2834" s="428"/>
      <c r="D2834" s="429"/>
    </row>
    <row r="2835" spans="1:4" ht="15.75" x14ac:dyDescent="0.25">
      <c r="A2835" s="427"/>
      <c r="B2835" s="428"/>
      <c r="C2835" s="428"/>
      <c r="D2835" s="429"/>
    </row>
    <row r="2836" spans="1:4" ht="15.75" x14ac:dyDescent="0.25">
      <c r="A2836" s="427"/>
      <c r="B2836" s="428"/>
      <c r="C2836" s="428"/>
      <c r="D2836" s="429"/>
    </row>
    <row r="2837" spans="1:4" ht="15.75" x14ac:dyDescent="0.25">
      <c r="A2837" s="427"/>
      <c r="B2837" s="428"/>
      <c r="C2837" s="428"/>
      <c r="D2837" s="429"/>
    </row>
    <row r="2838" spans="1:4" ht="15.75" x14ac:dyDescent="0.25">
      <c r="A2838" s="427"/>
      <c r="B2838" s="428"/>
      <c r="C2838" s="428"/>
      <c r="D2838" s="429"/>
    </row>
    <row r="2839" spans="1:4" ht="15.75" x14ac:dyDescent="0.25">
      <c r="A2839" s="427"/>
      <c r="B2839" s="428"/>
      <c r="C2839" s="428"/>
      <c r="D2839" s="429"/>
    </row>
    <row r="2840" spans="1:4" ht="15.75" x14ac:dyDescent="0.25">
      <c r="A2840" s="427"/>
      <c r="B2840" s="428"/>
      <c r="C2840" s="428"/>
      <c r="D2840" s="429"/>
    </row>
    <row r="2841" spans="1:4" ht="15.75" x14ac:dyDescent="0.25">
      <c r="A2841" s="427"/>
      <c r="B2841" s="428"/>
      <c r="C2841" s="428"/>
      <c r="D2841" s="429"/>
    </row>
    <row r="2842" spans="1:4" ht="15.75" x14ac:dyDescent="0.25">
      <c r="A2842" s="427"/>
      <c r="B2842" s="428"/>
      <c r="C2842" s="428"/>
      <c r="D2842" s="429"/>
    </row>
    <row r="2843" spans="1:4" ht="15.75" x14ac:dyDescent="0.25">
      <c r="A2843" s="427"/>
      <c r="B2843" s="428"/>
      <c r="C2843" s="428"/>
      <c r="D2843" s="429"/>
    </row>
    <row r="2844" spans="1:4" ht="15.75" x14ac:dyDescent="0.25">
      <c r="A2844" s="427"/>
      <c r="B2844" s="428"/>
      <c r="C2844" s="428"/>
      <c r="D2844" s="429"/>
    </row>
    <row r="2845" spans="1:4" ht="15.75" x14ac:dyDescent="0.25">
      <c r="A2845" s="427"/>
      <c r="B2845" s="428"/>
      <c r="C2845" s="428"/>
      <c r="D2845" s="429"/>
    </row>
    <row r="2846" spans="1:4" ht="15.75" x14ac:dyDescent="0.25">
      <c r="A2846" s="427"/>
      <c r="B2846" s="428"/>
      <c r="C2846" s="428"/>
      <c r="D2846" s="429"/>
    </row>
    <row r="2847" spans="1:4" ht="15.75" x14ac:dyDescent="0.25">
      <c r="A2847" s="427"/>
      <c r="B2847" s="428"/>
      <c r="C2847" s="428"/>
      <c r="D2847" s="429"/>
    </row>
    <row r="2848" spans="1:4" ht="15.75" x14ac:dyDescent="0.25">
      <c r="A2848" s="427"/>
      <c r="B2848" s="428"/>
      <c r="C2848" s="428"/>
      <c r="D2848" s="429"/>
    </row>
    <row r="2849" spans="1:4" ht="15.75" x14ac:dyDescent="0.25">
      <c r="A2849" s="427"/>
      <c r="B2849" s="428"/>
      <c r="C2849" s="428"/>
      <c r="D2849" s="429"/>
    </row>
    <row r="2850" spans="1:4" ht="15.75" x14ac:dyDescent="0.25">
      <c r="A2850" s="427"/>
      <c r="B2850" s="428"/>
      <c r="C2850" s="428"/>
      <c r="D2850" s="429"/>
    </row>
    <row r="2851" spans="1:4" ht="15.75" x14ac:dyDescent="0.25">
      <c r="A2851" s="427"/>
      <c r="B2851" s="428"/>
      <c r="C2851" s="428"/>
      <c r="D2851" s="429"/>
    </row>
    <row r="2852" spans="1:4" ht="15.75" x14ac:dyDescent="0.25">
      <c r="A2852" s="427"/>
      <c r="B2852" s="428"/>
      <c r="C2852" s="428"/>
      <c r="D2852" s="429"/>
    </row>
    <row r="2853" spans="1:4" ht="15.75" x14ac:dyDescent="0.25">
      <c r="A2853" s="427"/>
      <c r="B2853" s="428"/>
      <c r="C2853" s="428"/>
      <c r="D2853" s="429"/>
    </row>
    <row r="2854" spans="1:4" ht="15.75" x14ac:dyDescent="0.25">
      <c r="A2854" s="427"/>
      <c r="B2854" s="428"/>
      <c r="C2854" s="428"/>
      <c r="D2854" s="429"/>
    </row>
    <row r="2855" spans="1:4" ht="15.75" x14ac:dyDescent="0.25">
      <c r="A2855" s="427"/>
      <c r="B2855" s="428"/>
      <c r="C2855" s="428"/>
      <c r="D2855" s="429"/>
    </row>
    <row r="2856" spans="1:4" ht="15.75" x14ac:dyDescent="0.25">
      <c r="A2856" s="427"/>
      <c r="B2856" s="428"/>
      <c r="C2856" s="428"/>
      <c r="D2856" s="429"/>
    </row>
    <row r="2857" spans="1:4" ht="15.75" x14ac:dyDescent="0.25">
      <c r="A2857" s="427"/>
      <c r="B2857" s="428"/>
      <c r="C2857" s="428"/>
      <c r="D2857" s="429"/>
    </row>
    <row r="2858" spans="1:4" ht="15.75" x14ac:dyDescent="0.25">
      <c r="A2858" s="427"/>
      <c r="B2858" s="428"/>
      <c r="C2858" s="428"/>
      <c r="D2858" s="429"/>
    </row>
    <row r="2859" spans="1:4" ht="15.75" x14ac:dyDescent="0.25">
      <c r="A2859" s="427"/>
      <c r="B2859" s="428"/>
      <c r="C2859" s="428"/>
      <c r="D2859" s="429"/>
    </row>
    <row r="2860" spans="1:4" ht="15.75" x14ac:dyDescent="0.25">
      <c r="A2860" s="427"/>
      <c r="B2860" s="428"/>
      <c r="C2860" s="428"/>
      <c r="D2860" s="429"/>
    </row>
    <row r="2861" spans="1:4" ht="15.75" x14ac:dyDescent="0.25">
      <c r="A2861" s="427"/>
      <c r="B2861" s="428"/>
      <c r="C2861" s="428"/>
      <c r="D2861" s="429"/>
    </row>
    <row r="2862" spans="1:4" ht="15.75" x14ac:dyDescent="0.25">
      <c r="A2862" s="427"/>
      <c r="B2862" s="428"/>
      <c r="C2862" s="428"/>
      <c r="D2862" s="429"/>
    </row>
    <row r="2863" spans="1:4" ht="15.75" x14ac:dyDescent="0.25">
      <c r="A2863" s="427"/>
      <c r="B2863" s="428"/>
      <c r="C2863" s="428"/>
      <c r="D2863" s="429"/>
    </row>
    <row r="2864" spans="1:4" ht="15.75" x14ac:dyDescent="0.25">
      <c r="A2864" s="427"/>
      <c r="B2864" s="428"/>
      <c r="C2864" s="428"/>
      <c r="D2864" s="429"/>
    </row>
    <row r="2865" spans="1:4" ht="15.75" x14ac:dyDescent="0.25">
      <c r="A2865" s="427"/>
      <c r="B2865" s="428"/>
      <c r="C2865" s="428"/>
      <c r="D2865" s="429"/>
    </row>
    <row r="2866" spans="1:4" ht="15.75" x14ac:dyDescent="0.25">
      <c r="A2866" s="427"/>
      <c r="B2866" s="428"/>
      <c r="C2866" s="428"/>
      <c r="D2866" s="429"/>
    </row>
    <row r="2867" spans="1:4" ht="15.75" x14ac:dyDescent="0.25">
      <c r="A2867" s="427"/>
      <c r="B2867" s="428"/>
      <c r="C2867" s="428"/>
      <c r="D2867" s="429"/>
    </row>
    <row r="2868" spans="1:4" ht="15.75" x14ac:dyDescent="0.25">
      <c r="A2868" s="427"/>
      <c r="B2868" s="428"/>
      <c r="C2868" s="428"/>
      <c r="D2868" s="429"/>
    </row>
    <row r="2869" spans="1:4" ht="15.75" x14ac:dyDescent="0.25">
      <c r="A2869" s="427"/>
      <c r="B2869" s="428"/>
      <c r="C2869" s="428"/>
      <c r="D2869" s="429"/>
    </row>
    <row r="2870" spans="1:4" ht="15.75" x14ac:dyDescent="0.25">
      <c r="A2870" s="427"/>
      <c r="B2870" s="428"/>
      <c r="C2870" s="428"/>
      <c r="D2870" s="429"/>
    </row>
    <row r="2871" spans="1:4" ht="15.75" x14ac:dyDescent="0.25">
      <c r="A2871" s="427"/>
      <c r="B2871" s="428"/>
      <c r="C2871" s="428"/>
      <c r="D2871" s="429"/>
    </row>
    <row r="2872" spans="1:4" ht="15.75" x14ac:dyDescent="0.25">
      <c r="A2872" s="427"/>
      <c r="B2872" s="428"/>
      <c r="C2872" s="428"/>
      <c r="D2872" s="429"/>
    </row>
    <row r="2873" spans="1:4" ht="15.75" x14ac:dyDescent="0.25">
      <c r="A2873" s="427"/>
      <c r="B2873" s="428"/>
      <c r="C2873" s="428"/>
      <c r="D2873" s="429"/>
    </row>
    <row r="2874" spans="1:4" ht="15.75" x14ac:dyDescent="0.25">
      <c r="A2874" s="427"/>
      <c r="B2874" s="428"/>
      <c r="C2874" s="428"/>
      <c r="D2874" s="429"/>
    </row>
    <row r="2875" spans="1:4" ht="15.75" x14ac:dyDescent="0.25">
      <c r="A2875" s="427"/>
      <c r="B2875" s="428"/>
      <c r="C2875" s="428"/>
      <c r="D2875" s="429"/>
    </row>
    <row r="2876" spans="1:4" ht="15.75" x14ac:dyDescent="0.25">
      <c r="A2876" s="427"/>
      <c r="B2876" s="428"/>
      <c r="C2876" s="428"/>
      <c r="D2876" s="429"/>
    </row>
    <row r="2877" spans="1:4" ht="15.75" x14ac:dyDescent="0.25">
      <c r="A2877" s="427"/>
      <c r="B2877" s="428"/>
      <c r="C2877" s="428"/>
      <c r="D2877" s="429"/>
    </row>
    <row r="2878" spans="1:4" ht="15.75" x14ac:dyDescent="0.25">
      <c r="A2878" s="427"/>
      <c r="B2878" s="428"/>
      <c r="C2878" s="428"/>
      <c r="D2878" s="429"/>
    </row>
    <row r="2879" spans="1:4" ht="15.75" x14ac:dyDescent="0.25">
      <c r="A2879" s="427"/>
      <c r="B2879" s="428"/>
      <c r="C2879" s="428"/>
      <c r="D2879" s="429"/>
    </row>
    <row r="2880" spans="1:4" ht="15.75" x14ac:dyDescent="0.25">
      <c r="A2880" s="427"/>
      <c r="B2880" s="428"/>
      <c r="C2880" s="428"/>
      <c r="D2880" s="429"/>
    </row>
    <row r="2881" spans="1:4" ht="15.75" x14ac:dyDescent="0.25">
      <c r="A2881" s="427"/>
      <c r="B2881" s="428"/>
      <c r="C2881" s="428"/>
      <c r="D2881" s="429"/>
    </row>
    <row r="2882" spans="1:4" ht="15.75" x14ac:dyDescent="0.25">
      <c r="A2882" s="427"/>
      <c r="B2882" s="428"/>
      <c r="C2882" s="428"/>
      <c r="D2882" s="429"/>
    </row>
    <row r="2883" spans="1:4" ht="15.75" x14ac:dyDescent="0.25">
      <c r="A2883" s="427"/>
      <c r="B2883" s="428"/>
      <c r="C2883" s="428"/>
      <c r="D2883" s="429"/>
    </row>
    <row r="2884" spans="1:4" ht="15.75" x14ac:dyDescent="0.25">
      <c r="A2884" s="427"/>
      <c r="B2884" s="428"/>
      <c r="C2884" s="428"/>
      <c r="D2884" s="429"/>
    </row>
    <row r="2885" spans="1:4" ht="15.75" x14ac:dyDescent="0.25">
      <c r="A2885" s="427"/>
      <c r="B2885" s="428"/>
      <c r="C2885" s="428"/>
      <c r="D2885" s="429"/>
    </row>
    <row r="2886" spans="1:4" ht="15.75" x14ac:dyDescent="0.25">
      <c r="A2886" s="427"/>
      <c r="B2886" s="428"/>
      <c r="C2886" s="428"/>
      <c r="D2886" s="429"/>
    </row>
    <row r="2887" spans="1:4" ht="15.75" x14ac:dyDescent="0.25">
      <c r="A2887" s="427"/>
      <c r="B2887" s="428"/>
      <c r="C2887" s="428"/>
      <c r="D2887" s="429"/>
    </row>
    <row r="2888" spans="1:4" ht="15.75" x14ac:dyDescent="0.25">
      <c r="A2888" s="427"/>
      <c r="B2888" s="428"/>
      <c r="C2888" s="428"/>
      <c r="D2888" s="429"/>
    </row>
    <row r="2889" spans="1:4" ht="15.75" x14ac:dyDescent="0.25">
      <c r="A2889" s="427"/>
      <c r="B2889" s="428"/>
      <c r="C2889" s="428"/>
      <c r="D2889" s="429"/>
    </row>
    <row r="2890" spans="1:4" ht="15.75" x14ac:dyDescent="0.25">
      <c r="A2890" s="427"/>
      <c r="B2890" s="428"/>
      <c r="C2890" s="428"/>
      <c r="D2890" s="429"/>
    </row>
    <row r="2891" spans="1:4" ht="15.75" x14ac:dyDescent="0.25">
      <c r="A2891" s="427"/>
      <c r="B2891" s="428"/>
      <c r="C2891" s="428"/>
      <c r="D2891" s="429"/>
    </row>
    <row r="2892" spans="1:4" ht="15.75" x14ac:dyDescent="0.25">
      <c r="A2892" s="427"/>
      <c r="B2892" s="428"/>
      <c r="C2892" s="428"/>
      <c r="D2892" s="429"/>
    </row>
    <row r="2893" spans="1:4" ht="15.75" x14ac:dyDescent="0.25">
      <c r="A2893" s="427"/>
      <c r="B2893" s="428"/>
      <c r="C2893" s="428"/>
      <c r="D2893" s="429"/>
    </row>
    <row r="2894" spans="1:4" ht="15.75" x14ac:dyDescent="0.25">
      <c r="A2894" s="427"/>
      <c r="B2894" s="428"/>
      <c r="C2894" s="428"/>
      <c r="D2894" s="429"/>
    </row>
    <row r="2895" spans="1:4" ht="15.75" x14ac:dyDescent="0.25">
      <c r="A2895" s="427"/>
      <c r="B2895" s="428"/>
      <c r="C2895" s="428"/>
      <c r="D2895" s="429"/>
    </row>
    <row r="2896" spans="1:4" ht="15.75" x14ac:dyDescent="0.25">
      <c r="A2896" s="427"/>
      <c r="B2896" s="428"/>
      <c r="C2896" s="428"/>
      <c r="D2896" s="429"/>
    </row>
    <row r="2897" spans="1:4" ht="15.75" x14ac:dyDescent="0.25">
      <c r="A2897" s="427"/>
      <c r="B2897" s="428"/>
      <c r="C2897" s="428"/>
      <c r="D2897" s="429"/>
    </row>
    <row r="2898" spans="1:4" ht="15.75" x14ac:dyDescent="0.25">
      <c r="A2898" s="427"/>
      <c r="B2898" s="428"/>
      <c r="C2898" s="428"/>
      <c r="D2898" s="429"/>
    </row>
    <row r="2899" spans="1:4" ht="15.75" x14ac:dyDescent="0.25">
      <c r="A2899" s="427"/>
      <c r="B2899" s="428"/>
      <c r="C2899" s="428"/>
      <c r="D2899" s="429"/>
    </row>
    <row r="2900" spans="1:4" ht="15.75" x14ac:dyDescent="0.25">
      <c r="A2900" s="427"/>
      <c r="B2900" s="428"/>
      <c r="C2900" s="428"/>
      <c r="D2900" s="429"/>
    </row>
    <row r="2901" spans="1:4" ht="15.75" x14ac:dyDescent="0.25">
      <c r="A2901" s="427"/>
      <c r="B2901" s="428"/>
      <c r="C2901" s="428"/>
      <c r="D2901" s="429"/>
    </row>
    <row r="2902" spans="1:4" ht="15.75" x14ac:dyDescent="0.25">
      <c r="A2902" s="427"/>
      <c r="B2902" s="428"/>
      <c r="C2902" s="428"/>
      <c r="D2902" s="429"/>
    </row>
    <row r="2903" spans="1:4" ht="15.75" x14ac:dyDescent="0.25">
      <c r="A2903" s="427"/>
      <c r="B2903" s="428"/>
      <c r="C2903" s="428"/>
      <c r="D2903" s="429"/>
    </row>
    <row r="2904" spans="1:4" ht="15.75" x14ac:dyDescent="0.25">
      <c r="A2904" s="427"/>
      <c r="B2904" s="428"/>
      <c r="C2904" s="428"/>
      <c r="D2904" s="429"/>
    </row>
    <row r="2905" spans="1:4" ht="15.75" x14ac:dyDescent="0.25">
      <c r="A2905" s="427"/>
      <c r="B2905" s="428"/>
      <c r="C2905" s="428"/>
      <c r="D2905" s="429"/>
    </row>
    <row r="2906" spans="1:4" ht="15.75" x14ac:dyDescent="0.25">
      <c r="A2906" s="427"/>
      <c r="B2906" s="428"/>
      <c r="C2906" s="428"/>
      <c r="D2906" s="429"/>
    </row>
    <row r="2907" spans="1:4" ht="15.75" x14ac:dyDescent="0.25">
      <c r="A2907" s="427"/>
      <c r="B2907" s="428"/>
      <c r="C2907" s="428"/>
      <c r="D2907" s="429"/>
    </row>
    <row r="2908" spans="1:4" ht="15.75" x14ac:dyDescent="0.25">
      <c r="A2908" s="427"/>
      <c r="B2908" s="428"/>
      <c r="C2908" s="428"/>
      <c r="D2908" s="429"/>
    </row>
    <row r="2909" spans="1:4" ht="15.75" x14ac:dyDescent="0.25">
      <c r="A2909" s="427"/>
      <c r="B2909" s="428"/>
      <c r="C2909" s="428"/>
      <c r="D2909" s="429"/>
    </row>
    <row r="2910" spans="1:4" ht="15.75" x14ac:dyDescent="0.25">
      <c r="A2910" s="427"/>
      <c r="B2910" s="428"/>
      <c r="C2910" s="428"/>
      <c r="D2910" s="429"/>
    </row>
    <row r="2911" spans="1:4" ht="15.75" x14ac:dyDescent="0.25">
      <c r="A2911" s="427"/>
      <c r="B2911" s="428"/>
      <c r="C2911" s="428"/>
      <c r="D2911" s="429"/>
    </row>
    <row r="2912" spans="1:4" ht="15.75" x14ac:dyDescent="0.25">
      <c r="A2912" s="427"/>
      <c r="B2912" s="428"/>
      <c r="C2912" s="428"/>
      <c r="D2912" s="429"/>
    </row>
    <row r="2913" spans="1:4" ht="15.75" x14ac:dyDescent="0.25">
      <c r="A2913" s="427"/>
      <c r="B2913" s="428"/>
      <c r="C2913" s="428"/>
      <c r="D2913" s="429"/>
    </row>
    <row r="2914" spans="1:4" ht="15.75" x14ac:dyDescent="0.25">
      <c r="A2914" s="427"/>
      <c r="B2914" s="428"/>
      <c r="C2914" s="428"/>
      <c r="D2914" s="429"/>
    </row>
    <row r="2915" spans="1:4" ht="15.75" x14ac:dyDescent="0.25">
      <c r="A2915" s="427"/>
      <c r="B2915" s="428"/>
      <c r="C2915" s="428"/>
      <c r="D2915" s="429"/>
    </row>
    <row r="2916" spans="1:4" ht="15.75" x14ac:dyDescent="0.25">
      <c r="A2916" s="427"/>
      <c r="B2916" s="428"/>
      <c r="C2916" s="428"/>
      <c r="D2916" s="429"/>
    </row>
    <row r="2917" spans="1:4" ht="15.75" x14ac:dyDescent="0.25">
      <c r="A2917" s="427"/>
      <c r="B2917" s="428"/>
      <c r="C2917" s="428"/>
      <c r="D2917" s="429"/>
    </row>
    <row r="2918" spans="1:4" ht="15.75" x14ac:dyDescent="0.25">
      <c r="A2918" s="427"/>
      <c r="B2918" s="428"/>
      <c r="C2918" s="428"/>
      <c r="D2918" s="429"/>
    </row>
    <row r="2919" spans="1:4" ht="15.75" x14ac:dyDescent="0.25">
      <c r="A2919" s="427"/>
      <c r="B2919" s="428"/>
      <c r="C2919" s="428"/>
      <c r="D2919" s="429"/>
    </row>
    <row r="2920" spans="1:4" ht="15.75" x14ac:dyDescent="0.25">
      <c r="A2920" s="427"/>
      <c r="B2920" s="428"/>
      <c r="C2920" s="428"/>
      <c r="D2920" s="429"/>
    </row>
    <row r="2921" spans="1:4" ht="15.75" x14ac:dyDescent="0.25">
      <c r="A2921" s="427"/>
      <c r="B2921" s="428"/>
      <c r="C2921" s="428"/>
      <c r="D2921" s="429"/>
    </row>
    <row r="2922" spans="1:4" ht="15.75" x14ac:dyDescent="0.25">
      <c r="A2922" s="427"/>
      <c r="B2922" s="428"/>
      <c r="C2922" s="428"/>
      <c r="D2922" s="429"/>
    </row>
    <row r="2923" spans="1:4" ht="15.75" x14ac:dyDescent="0.25">
      <c r="A2923" s="427"/>
      <c r="B2923" s="428"/>
      <c r="C2923" s="428"/>
      <c r="D2923" s="429"/>
    </row>
    <row r="2924" spans="1:4" ht="15.75" x14ac:dyDescent="0.25">
      <c r="A2924" s="427"/>
      <c r="B2924" s="428"/>
      <c r="C2924" s="428"/>
      <c r="D2924" s="429"/>
    </row>
    <row r="2925" spans="1:4" ht="15.75" x14ac:dyDescent="0.25">
      <c r="A2925" s="427"/>
      <c r="B2925" s="428"/>
      <c r="C2925" s="428"/>
      <c r="D2925" s="429"/>
    </row>
    <row r="2926" spans="1:4" ht="15.75" x14ac:dyDescent="0.25">
      <c r="A2926" s="427"/>
      <c r="B2926" s="428"/>
      <c r="C2926" s="428"/>
      <c r="D2926" s="429"/>
    </row>
    <row r="2927" spans="1:4" ht="15.75" x14ac:dyDescent="0.25">
      <c r="A2927" s="427"/>
      <c r="B2927" s="428"/>
      <c r="C2927" s="428"/>
      <c r="D2927" s="429"/>
    </row>
    <row r="2928" spans="1:4" ht="15.75" x14ac:dyDescent="0.25">
      <c r="A2928" s="427"/>
      <c r="B2928" s="428"/>
      <c r="C2928" s="428"/>
      <c r="D2928" s="429"/>
    </row>
    <row r="2929" spans="1:4" ht="15.75" x14ac:dyDescent="0.25">
      <c r="A2929" s="427"/>
      <c r="B2929" s="428"/>
      <c r="C2929" s="428"/>
      <c r="D2929" s="429"/>
    </row>
    <row r="2930" spans="1:4" ht="15.75" x14ac:dyDescent="0.25">
      <c r="A2930" s="427"/>
      <c r="B2930" s="428"/>
      <c r="C2930" s="428"/>
      <c r="D2930" s="429"/>
    </row>
    <row r="2931" spans="1:4" ht="15.75" x14ac:dyDescent="0.25">
      <c r="A2931" s="427"/>
      <c r="B2931" s="428"/>
      <c r="C2931" s="428"/>
      <c r="D2931" s="429"/>
    </row>
    <row r="2932" spans="1:4" ht="15.75" x14ac:dyDescent="0.25">
      <c r="A2932" s="427"/>
      <c r="B2932" s="428"/>
      <c r="C2932" s="428"/>
      <c r="D2932" s="429"/>
    </row>
    <row r="2933" spans="1:4" ht="15.75" x14ac:dyDescent="0.25">
      <c r="A2933" s="427"/>
      <c r="B2933" s="428"/>
      <c r="C2933" s="428"/>
      <c r="D2933" s="429"/>
    </row>
    <row r="2934" spans="1:4" ht="15.75" x14ac:dyDescent="0.25">
      <c r="A2934" s="427"/>
      <c r="B2934" s="428"/>
      <c r="C2934" s="428"/>
      <c r="D2934" s="429"/>
    </row>
    <row r="2935" spans="1:4" ht="15.75" x14ac:dyDescent="0.25">
      <c r="A2935" s="427"/>
      <c r="B2935" s="428"/>
      <c r="C2935" s="428"/>
      <c r="D2935" s="429"/>
    </row>
    <row r="2936" spans="1:4" ht="15.75" x14ac:dyDescent="0.25">
      <c r="A2936" s="427"/>
      <c r="B2936" s="428"/>
      <c r="C2936" s="428"/>
      <c r="D2936" s="429"/>
    </row>
    <row r="2937" spans="1:4" ht="15.75" x14ac:dyDescent="0.25">
      <c r="A2937" s="427"/>
      <c r="B2937" s="428"/>
      <c r="C2937" s="428"/>
      <c r="D2937" s="429"/>
    </row>
    <row r="2938" spans="1:4" ht="15.75" x14ac:dyDescent="0.25">
      <c r="A2938" s="427"/>
      <c r="B2938" s="428"/>
      <c r="C2938" s="428"/>
      <c r="D2938" s="429"/>
    </row>
    <row r="2939" spans="1:4" ht="15.75" x14ac:dyDescent="0.25">
      <c r="A2939" s="427"/>
      <c r="B2939" s="428"/>
      <c r="C2939" s="428"/>
      <c r="D2939" s="429"/>
    </row>
    <row r="2940" spans="1:4" ht="15.75" x14ac:dyDescent="0.25">
      <c r="A2940" s="427"/>
      <c r="B2940" s="428"/>
      <c r="C2940" s="428"/>
      <c r="D2940" s="429"/>
    </row>
    <row r="2941" spans="1:4" ht="15.75" x14ac:dyDescent="0.25">
      <c r="A2941" s="427"/>
      <c r="B2941" s="428"/>
      <c r="C2941" s="428"/>
      <c r="D2941" s="429"/>
    </row>
    <row r="2942" spans="1:4" ht="15.75" x14ac:dyDescent="0.25">
      <c r="A2942" s="427"/>
      <c r="B2942" s="428"/>
      <c r="C2942" s="428"/>
      <c r="D2942" s="429"/>
    </row>
    <row r="2943" spans="1:4" ht="15.75" x14ac:dyDescent="0.25">
      <c r="A2943" s="427"/>
      <c r="B2943" s="428"/>
      <c r="C2943" s="428"/>
      <c r="D2943" s="429"/>
    </row>
    <row r="2944" spans="1:4" ht="15.75" x14ac:dyDescent="0.25">
      <c r="A2944" s="427"/>
      <c r="B2944" s="428"/>
      <c r="C2944" s="428"/>
      <c r="D2944" s="429"/>
    </row>
    <row r="2945" spans="1:4" ht="15.75" x14ac:dyDescent="0.25">
      <c r="A2945" s="427"/>
      <c r="B2945" s="428"/>
      <c r="C2945" s="428"/>
      <c r="D2945" s="429"/>
    </row>
    <row r="2946" spans="1:4" ht="15.75" x14ac:dyDescent="0.25">
      <c r="A2946" s="427"/>
      <c r="B2946" s="428"/>
      <c r="C2946" s="428"/>
      <c r="D2946" s="429"/>
    </row>
    <row r="2947" spans="1:4" ht="15.75" x14ac:dyDescent="0.25">
      <c r="A2947" s="427"/>
      <c r="B2947" s="428"/>
      <c r="C2947" s="428"/>
      <c r="D2947" s="429"/>
    </row>
    <row r="2948" spans="1:4" ht="15.75" x14ac:dyDescent="0.25">
      <c r="A2948" s="427"/>
      <c r="B2948" s="428"/>
      <c r="C2948" s="428"/>
      <c r="D2948" s="429"/>
    </row>
    <row r="2949" spans="1:4" ht="15.75" x14ac:dyDescent="0.25">
      <c r="A2949" s="427"/>
      <c r="B2949" s="428"/>
      <c r="C2949" s="428"/>
      <c r="D2949" s="429"/>
    </row>
    <row r="2950" spans="1:4" ht="15.75" x14ac:dyDescent="0.25">
      <c r="A2950" s="427"/>
      <c r="B2950" s="428"/>
      <c r="C2950" s="428"/>
      <c r="D2950" s="429"/>
    </row>
    <row r="2951" spans="1:4" ht="15.75" x14ac:dyDescent="0.25">
      <c r="A2951" s="427"/>
      <c r="B2951" s="428"/>
      <c r="C2951" s="428"/>
      <c r="D2951" s="429"/>
    </row>
    <row r="2952" spans="1:4" ht="15.75" x14ac:dyDescent="0.25">
      <c r="A2952" s="427"/>
      <c r="B2952" s="428"/>
      <c r="C2952" s="428"/>
      <c r="D2952" s="429"/>
    </row>
    <row r="2953" spans="1:4" ht="15.75" x14ac:dyDescent="0.25">
      <c r="A2953" s="427"/>
      <c r="B2953" s="428"/>
      <c r="C2953" s="428"/>
      <c r="D2953" s="429"/>
    </row>
    <row r="2954" spans="1:4" ht="15.75" x14ac:dyDescent="0.25">
      <c r="A2954" s="427"/>
      <c r="B2954" s="428"/>
      <c r="C2954" s="428"/>
      <c r="D2954" s="429"/>
    </row>
    <row r="2955" spans="1:4" ht="15.75" x14ac:dyDescent="0.25">
      <c r="A2955" s="427"/>
      <c r="B2955" s="428"/>
      <c r="C2955" s="428"/>
      <c r="D2955" s="429"/>
    </row>
    <row r="2956" spans="1:4" ht="15.75" x14ac:dyDescent="0.25">
      <c r="A2956" s="427"/>
      <c r="B2956" s="428"/>
      <c r="C2956" s="428"/>
      <c r="D2956" s="429"/>
    </row>
    <row r="2957" spans="1:4" ht="15.75" x14ac:dyDescent="0.25">
      <c r="A2957" s="427"/>
      <c r="B2957" s="428"/>
      <c r="C2957" s="428"/>
      <c r="D2957" s="429"/>
    </row>
    <row r="2958" spans="1:4" ht="15.75" x14ac:dyDescent="0.25">
      <c r="A2958" s="427"/>
      <c r="B2958" s="428"/>
      <c r="C2958" s="428"/>
      <c r="D2958" s="429"/>
    </row>
    <row r="2959" spans="1:4" ht="15.75" x14ac:dyDescent="0.25">
      <c r="A2959" s="427"/>
      <c r="B2959" s="428"/>
      <c r="C2959" s="428"/>
      <c r="D2959" s="429"/>
    </row>
    <row r="2960" spans="1:4" ht="15.75" x14ac:dyDescent="0.25">
      <c r="A2960" s="427"/>
      <c r="B2960" s="428"/>
      <c r="C2960" s="428"/>
      <c r="D2960" s="429"/>
    </row>
    <row r="2961" spans="1:4" ht="15.75" x14ac:dyDescent="0.25">
      <c r="A2961" s="427"/>
      <c r="B2961" s="428"/>
      <c r="C2961" s="428"/>
      <c r="D2961" s="429"/>
    </row>
    <row r="2962" spans="1:4" ht="15.75" x14ac:dyDescent="0.25">
      <c r="A2962" s="427"/>
      <c r="B2962" s="428"/>
      <c r="C2962" s="428"/>
      <c r="D2962" s="429"/>
    </row>
    <row r="2963" spans="1:4" ht="15.75" x14ac:dyDescent="0.25">
      <c r="A2963" s="427"/>
      <c r="B2963" s="428"/>
      <c r="C2963" s="428"/>
      <c r="D2963" s="429"/>
    </row>
    <row r="2964" spans="1:4" ht="15.75" x14ac:dyDescent="0.25">
      <c r="A2964" s="427"/>
      <c r="B2964" s="428"/>
      <c r="C2964" s="428"/>
      <c r="D2964" s="429"/>
    </row>
    <row r="2965" spans="1:4" ht="15.75" x14ac:dyDescent="0.25">
      <c r="A2965" s="427"/>
      <c r="B2965" s="428"/>
      <c r="C2965" s="428"/>
      <c r="D2965" s="429"/>
    </row>
    <row r="2966" spans="1:4" ht="15.75" x14ac:dyDescent="0.25">
      <c r="A2966" s="427"/>
      <c r="B2966" s="428"/>
      <c r="C2966" s="428"/>
      <c r="D2966" s="429"/>
    </row>
    <row r="2967" spans="1:4" ht="15.75" x14ac:dyDescent="0.25">
      <c r="A2967" s="427"/>
      <c r="B2967" s="428"/>
      <c r="C2967" s="428"/>
      <c r="D2967" s="429"/>
    </row>
    <row r="2968" spans="1:4" ht="15.75" x14ac:dyDescent="0.25">
      <c r="A2968" s="427"/>
      <c r="B2968" s="428"/>
      <c r="C2968" s="428"/>
      <c r="D2968" s="429"/>
    </row>
    <row r="2969" spans="1:4" ht="15.75" x14ac:dyDescent="0.25">
      <c r="A2969" s="427"/>
      <c r="B2969" s="428"/>
      <c r="C2969" s="428"/>
      <c r="D2969" s="429"/>
    </row>
    <row r="2970" spans="1:4" ht="15.75" x14ac:dyDescent="0.25">
      <c r="A2970" s="427"/>
      <c r="B2970" s="428"/>
      <c r="C2970" s="428"/>
      <c r="D2970" s="429"/>
    </row>
    <row r="2971" spans="1:4" ht="15.75" x14ac:dyDescent="0.25">
      <c r="A2971" s="427"/>
      <c r="B2971" s="428"/>
      <c r="C2971" s="428"/>
      <c r="D2971" s="429"/>
    </row>
    <row r="2972" spans="1:4" ht="15.75" x14ac:dyDescent="0.25">
      <c r="A2972" s="427"/>
      <c r="B2972" s="428"/>
      <c r="C2972" s="428"/>
      <c r="D2972" s="429"/>
    </row>
    <row r="2973" spans="1:4" ht="15.75" x14ac:dyDescent="0.25">
      <c r="A2973" s="427"/>
      <c r="B2973" s="428"/>
      <c r="C2973" s="428"/>
      <c r="D2973" s="429"/>
    </row>
    <row r="2974" spans="1:4" ht="15.75" x14ac:dyDescent="0.25">
      <c r="A2974" s="427"/>
      <c r="B2974" s="428"/>
      <c r="C2974" s="428"/>
      <c r="D2974" s="429"/>
    </row>
    <row r="2975" spans="1:4" ht="15.75" x14ac:dyDescent="0.25">
      <c r="A2975" s="427"/>
      <c r="B2975" s="428"/>
      <c r="C2975" s="428"/>
      <c r="D2975" s="429"/>
    </row>
    <row r="2976" spans="1:4" ht="15.75" x14ac:dyDescent="0.25">
      <c r="A2976" s="427"/>
      <c r="B2976" s="428"/>
      <c r="C2976" s="428"/>
      <c r="D2976" s="429"/>
    </row>
    <row r="2977" spans="1:4" ht="15.75" x14ac:dyDescent="0.25">
      <c r="A2977" s="427"/>
      <c r="B2977" s="428"/>
      <c r="C2977" s="428"/>
      <c r="D2977" s="429"/>
    </row>
    <row r="2978" spans="1:4" ht="15.75" x14ac:dyDescent="0.25">
      <c r="A2978" s="427"/>
      <c r="B2978" s="428"/>
      <c r="C2978" s="428"/>
      <c r="D2978" s="429"/>
    </row>
    <row r="2979" spans="1:4" ht="15.75" x14ac:dyDescent="0.25">
      <c r="A2979" s="427"/>
      <c r="B2979" s="428"/>
      <c r="C2979" s="428"/>
      <c r="D2979" s="429"/>
    </row>
    <row r="2980" spans="1:4" ht="15.75" x14ac:dyDescent="0.25">
      <c r="A2980" s="427"/>
      <c r="B2980" s="428"/>
      <c r="C2980" s="428"/>
      <c r="D2980" s="429"/>
    </row>
    <row r="2981" spans="1:4" ht="15.75" x14ac:dyDescent="0.25">
      <c r="A2981" s="427"/>
      <c r="B2981" s="428"/>
      <c r="C2981" s="428"/>
      <c r="D2981" s="429"/>
    </row>
    <row r="2982" spans="1:4" ht="15.75" x14ac:dyDescent="0.25">
      <c r="A2982" s="427"/>
      <c r="B2982" s="428"/>
      <c r="C2982" s="428"/>
      <c r="D2982" s="429"/>
    </row>
    <row r="2983" spans="1:4" ht="15.75" x14ac:dyDescent="0.25">
      <c r="A2983" s="427"/>
      <c r="B2983" s="428"/>
      <c r="C2983" s="428"/>
      <c r="D2983" s="429"/>
    </row>
    <row r="2984" spans="1:4" ht="15.75" x14ac:dyDescent="0.25">
      <c r="A2984" s="427"/>
      <c r="B2984" s="428"/>
      <c r="C2984" s="428"/>
      <c r="D2984" s="429"/>
    </row>
    <row r="2985" spans="1:4" ht="15.75" x14ac:dyDescent="0.25">
      <c r="A2985" s="427"/>
      <c r="B2985" s="428"/>
      <c r="C2985" s="428"/>
      <c r="D2985" s="429"/>
    </row>
    <row r="2986" spans="1:4" ht="15.75" x14ac:dyDescent="0.25">
      <c r="A2986" s="427"/>
      <c r="B2986" s="428"/>
      <c r="C2986" s="428"/>
      <c r="D2986" s="429"/>
    </row>
    <row r="2987" spans="1:4" ht="15.75" x14ac:dyDescent="0.25">
      <c r="A2987" s="427"/>
      <c r="B2987" s="428"/>
      <c r="C2987" s="428"/>
      <c r="D2987" s="429"/>
    </row>
    <row r="2988" spans="1:4" ht="15.75" x14ac:dyDescent="0.25">
      <c r="A2988" s="427"/>
      <c r="B2988" s="428"/>
      <c r="C2988" s="428"/>
      <c r="D2988" s="429"/>
    </row>
    <row r="2989" spans="1:4" ht="15.75" x14ac:dyDescent="0.25">
      <c r="A2989" s="427"/>
      <c r="B2989" s="428"/>
      <c r="C2989" s="428"/>
      <c r="D2989" s="429"/>
    </row>
    <row r="2990" spans="1:4" ht="15.75" x14ac:dyDescent="0.25">
      <c r="A2990" s="427"/>
      <c r="B2990" s="428"/>
      <c r="C2990" s="428"/>
      <c r="D2990" s="429"/>
    </row>
    <row r="2991" spans="1:4" ht="15.75" x14ac:dyDescent="0.25">
      <c r="A2991" s="427"/>
      <c r="B2991" s="428"/>
      <c r="C2991" s="428"/>
      <c r="D2991" s="429"/>
    </row>
    <row r="2992" spans="1:4" ht="15.75" x14ac:dyDescent="0.25">
      <c r="A2992" s="427"/>
      <c r="B2992" s="428"/>
      <c r="C2992" s="428"/>
      <c r="D2992" s="429"/>
    </row>
    <row r="2993" spans="1:4" ht="15.75" x14ac:dyDescent="0.25">
      <c r="A2993" s="427"/>
      <c r="B2993" s="428"/>
      <c r="C2993" s="428"/>
      <c r="D2993" s="429"/>
    </row>
    <row r="2994" spans="1:4" ht="15.75" x14ac:dyDescent="0.25">
      <c r="A2994" s="427"/>
      <c r="B2994" s="428"/>
      <c r="C2994" s="428"/>
      <c r="D2994" s="429"/>
    </row>
    <row r="2995" spans="1:4" ht="15.75" x14ac:dyDescent="0.25">
      <c r="A2995" s="427"/>
      <c r="B2995" s="428"/>
      <c r="C2995" s="428"/>
      <c r="D2995" s="429"/>
    </row>
    <row r="2996" spans="1:4" ht="15.75" x14ac:dyDescent="0.25">
      <c r="A2996" s="427"/>
      <c r="B2996" s="428"/>
      <c r="C2996" s="428"/>
      <c r="D2996" s="429"/>
    </row>
    <row r="2997" spans="1:4" ht="15.75" x14ac:dyDescent="0.25">
      <c r="A2997" s="427"/>
      <c r="B2997" s="428"/>
      <c r="C2997" s="428"/>
      <c r="D2997" s="429"/>
    </row>
    <row r="2998" spans="1:4" ht="15.75" x14ac:dyDescent="0.25">
      <c r="A2998" s="427"/>
      <c r="B2998" s="428"/>
      <c r="C2998" s="428"/>
      <c r="D2998" s="429"/>
    </row>
    <row r="2999" spans="1:4" ht="15.75" x14ac:dyDescent="0.25">
      <c r="A2999" s="427"/>
      <c r="B2999" s="428"/>
      <c r="C2999" s="428"/>
      <c r="D2999" s="429"/>
    </row>
    <row r="3000" spans="1:4" ht="15.75" x14ac:dyDescent="0.25">
      <c r="A3000" s="427"/>
      <c r="B3000" s="428"/>
      <c r="C3000" s="428"/>
      <c r="D3000" s="429"/>
    </row>
    <row r="3001" spans="1:4" ht="15.75" x14ac:dyDescent="0.25">
      <c r="A3001" s="427"/>
      <c r="B3001" s="428"/>
      <c r="C3001" s="428"/>
      <c r="D3001" s="429"/>
    </row>
    <row r="3002" spans="1:4" ht="15.75" x14ac:dyDescent="0.25">
      <c r="A3002" s="427"/>
      <c r="B3002" s="428"/>
      <c r="C3002" s="428"/>
      <c r="D3002" s="429"/>
    </row>
    <row r="3003" spans="1:4" ht="15.75" x14ac:dyDescent="0.25">
      <c r="A3003" s="427"/>
      <c r="B3003" s="428"/>
      <c r="C3003" s="428"/>
      <c r="D3003" s="429"/>
    </row>
    <row r="3004" spans="1:4" ht="15.75" x14ac:dyDescent="0.25">
      <c r="A3004" s="427"/>
      <c r="B3004" s="428"/>
      <c r="C3004" s="428"/>
      <c r="D3004" s="429"/>
    </row>
    <row r="3005" spans="1:4" ht="15.75" x14ac:dyDescent="0.25">
      <c r="A3005" s="427"/>
      <c r="B3005" s="428"/>
      <c r="C3005" s="428"/>
      <c r="D3005" s="429"/>
    </row>
    <row r="3006" spans="1:4" ht="15.75" x14ac:dyDescent="0.25">
      <c r="A3006" s="427"/>
      <c r="B3006" s="428"/>
      <c r="C3006" s="428"/>
      <c r="D3006" s="429"/>
    </row>
    <row r="3007" spans="1:4" ht="15.75" x14ac:dyDescent="0.25">
      <c r="A3007" s="427"/>
      <c r="B3007" s="428"/>
      <c r="C3007" s="428"/>
      <c r="D3007" s="429"/>
    </row>
    <row r="3008" spans="1:4" ht="15.75" x14ac:dyDescent="0.25">
      <c r="A3008" s="427"/>
      <c r="B3008" s="428"/>
      <c r="C3008" s="428"/>
      <c r="D3008" s="429"/>
    </row>
    <row r="3009" spans="1:4" ht="15.75" x14ac:dyDescent="0.25">
      <c r="A3009" s="427"/>
      <c r="B3009" s="428"/>
      <c r="C3009" s="428"/>
      <c r="D3009" s="429"/>
    </row>
    <row r="3010" spans="1:4" ht="15.75" x14ac:dyDescent="0.25">
      <c r="A3010" s="427"/>
      <c r="B3010" s="428"/>
      <c r="C3010" s="428"/>
      <c r="D3010" s="429"/>
    </row>
    <row r="3011" spans="1:4" ht="15.75" x14ac:dyDescent="0.25">
      <c r="A3011" s="427"/>
      <c r="B3011" s="428"/>
      <c r="C3011" s="428"/>
      <c r="D3011" s="429"/>
    </row>
    <row r="3012" spans="1:4" ht="15.75" x14ac:dyDescent="0.25">
      <c r="A3012" s="427"/>
      <c r="B3012" s="428"/>
      <c r="C3012" s="428"/>
      <c r="D3012" s="429"/>
    </row>
    <row r="3013" spans="1:4" ht="15.75" x14ac:dyDescent="0.25">
      <c r="A3013" s="427"/>
      <c r="B3013" s="428"/>
      <c r="C3013" s="428"/>
      <c r="D3013" s="429"/>
    </row>
    <row r="3014" spans="1:4" ht="15.75" x14ac:dyDescent="0.25">
      <c r="A3014" s="427"/>
      <c r="B3014" s="428"/>
      <c r="C3014" s="428"/>
      <c r="D3014" s="429"/>
    </row>
    <row r="3015" spans="1:4" ht="15.75" x14ac:dyDescent="0.25">
      <c r="A3015" s="427"/>
      <c r="B3015" s="428"/>
      <c r="C3015" s="428"/>
      <c r="D3015" s="429"/>
    </row>
    <row r="3016" spans="1:4" ht="15.75" x14ac:dyDescent="0.25">
      <c r="A3016" s="427"/>
      <c r="B3016" s="428"/>
      <c r="C3016" s="428"/>
      <c r="D3016" s="429"/>
    </row>
    <row r="3017" spans="1:4" ht="15.75" x14ac:dyDescent="0.25">
      <c r="A3017" s="427"/>
      <c r="B3017" s="428"/>
      <c r="C3017" s="428"/>
      <c r="D3017" s="429"/>
    </row>
    <row r="3018" spans="1:4" ht="15.75" x14ac:dyDescent="0.25">
      <c r="A3018" s="427"/>
      <c r="B3018" s="428"/>
      <c r="C3018" s="428"/>
      <c r="D3018" s="429"/>
    </row>
    <row r="3019" spans="1:4" ht="15.75" x14ac:dyDescent="0.25">
      <c r="A3019" s="427"/>
      <c r="B3019" s="428"/>
      <c r="C3019" s="428"/>
      <c r="D3019" s="429"/>
    </row>
    <row r="3020" spans="1:4" ht="15.75" x14ac:dyDescent="0.25">
      <c r="A3020" s="427"/>
      <c r="B3020" s="428"/>
      <c r="C3020" s="428"/>
      <c r="D3020" s="429"/>
    </row>
    <row r="3021" spans="1:4" ht="15.75" x14ac:dyDescent="0.25">
      <c r="A3021" s="427"/>
      <c r="B3021" s="428"/>
      <c r="C3021" s="428"/>
      <c r="D3021" s="429"/>
    </row>
    <row r="3022" spans="1:4" ht="15.75" x14ac:dyDescent="0.25">
      <c r="A3022" s="427"/>
      <c r="B3022" s="428"/>
      <c r="C3022" s="428"/>
      <c r="D3022" s="429"/>
    </row>
    <row r="3023" spans="1:4" ht="15.75" x14ac:dyDescent="0.25">
      <c r="A3023" s="427"/>
      <c r="B3023" s="428"/>
      <c r="C3023" s="428"/>
      <c r="D3023" s="429"/>
    </row>
    <row r="3024" spans="1:4" ht="15.75" x14ac:dyDescent="0.25">
      <c r="A3024" s="427"/>
      <c r="B3024" s="428"/>
      <c r="C3024" s="428"/>
      <c r="D3024" s="429"/>
    </row>
    <row r="3025" spans="1:4" ht="15.75" x14ac:dyDescent="0.25">
      <c r="A3025" s="427"/>
      <c r="B3025" s="428"/>
      <c r="C3025" s="428"/>
      <c r="D3025" s="429"/>
    </row>
    <row r="3026" spans="1:4" ht="15.75" x14ac:dyDescent="0.25">
      <c r="A3026" s="427"/>
      <c r="B3026" s="428"/>
      <c r="C3026" s="428"/>
      <c r="D3026" s="429"/>
    </row>
    <row r="3027" spans="1:4" ht="15.75" x14ac:dyDescent="0.25">
      <c r="A3027" s="427"/>
      <c r="B3027" s="428"/>
      <c r="C3027" s="428"/>
      <c r="D3027" s="429"/>
    </row>
    <row r="3028" spans="1:4" ht="15.75" x14ac:dyDescent="0.25">
      <c r="A3028" s="427"/>
      <c r="B3028" s="428"/>
      <c r="C3028" s="428"/>
      <c r="D3028" s="429"/>
    </row>
    <row r="3029" spans="1:4" ht="15.75" x14ac:dyDescent="0.25">
      <c r="A3029" s="427"/>
      <c r="B3029" s="428"/>
      <c r="C3029" s="428"/>
      <c r="D3029" s="429"/>
    </row>
    <row r="3030" spans="1:4" ht="15.75" x14ac:dyDescent="0.25">
      <c r="A3030" s="427"/>
      <c r="B3030" s="428"/>
      <c r="C3030" s="428"/>
      <c r="D3030" s="429"/>
    </row>
    <row r="3031" spans="1:4" ht="15.75" x14ac:dyDescent="0.25">
      <c r="A3031" s="427"/>
      <c r="B3031" s="428"/>
      <c r="C3031" s="428"/>
      <c r="D3031" s="429"/>
    </row>
    <row r="3032" spans="1:4" ht="15.75" x14ac:dyDescent="0.25">
      <c r="A3032" s="427"/>
      <c r="B3032" s="428"/>
      <c r="C3032" s="428"/>
      <c r="D3032" s="429"/>
    </row>
    <row r="3033" spans="1:4" ht="15.75" x14ac:dyDescent="0.25">
      <c r="A3033" s="427"/>
      <c r="B3033" s="428"/>
      <c r="C3033" s="428"/>
      <c r="D3033" s="429"/>
    </row>
    <row r="3034" spans="1:4" ht="15.75" x14ac:dyDescent="0.25">
      <c r="A3034" s="427"/>
      <c r="B3034" s="428"/>
      <c r="C3034" s="428"/>
      <c r="D3034" s="429"/>
    </row>
    <row r="3035" spans="1:4" ht="15.75" x14ac:dyDescent="0.25">
      <c r="A3035" s="427"/>
      <c r="B3035" s="428"/>
      <c r="C3035" s="428"/>
      <c r="D3035" s="429"/>
    </row>
    <row r="3036" spans="1:4" ht="15.75" x14ac:dyDescent="0.25">
      <c r="A3036" s="427"/>
      <c r="B3036" s="428"/>
      <c r="C3036" s="428"/>
      <c r="D3036" s="429"/>
    </row>
    <row r="3037" spans="1:4" ht="15.75" x14ac:dyDescent="0.25">
      <c r="A3037" s="427"/>
      <c r="B3037" s="428"/>
      <c r="C3037" s="428"/>
      <c r="D3037" s="429"/>
    </row>
    <row r="3038" spans="1:4" ht="15.75" x14ac:dyDescent="0.25">
      <c r="A3038" s="427"/>
      <c r="B3038" s="428"/>
      <c r="C3038" s="428"/>
      <c r="D3038" s="429"/>
    </row>
    <row r="3039" spans="1:4" ht="15.75" x14ac:dyDescent="0.25">
      <c r="A3039" s="427"/>
      <c r="B3039" s="428"/>
      <c r="C3039" s="428"/>
      <c r="D3039" s="429"/>
    </row>
    <row r="3040" spans="1:4" ht="15.75" x14ac:dyDescent="0.25">
      <c r="A3040" s="427"/>
      <c r="B3040" s="428"/>
      <c r="C3040" s="428"/>
      <c r="D3040" s="429"/>
    </row>
    <row r="3041" spans="1:4" ht="15.75" x14ac:dyDescent="0.25">
      <c r="A3041" s="427"/>
      <c r="B3041" s="428"/>
      <c r="C3041" s="428"/>
      <c r="D3041" s="429"/>
    </row>
    <row r="3042" spans="1:4" ht="15.75" x14ac:dyDescent="0.25">
      <c r="A3042" s="427"/>
      <c r="B3042" s="428"/>
      <c r="C3042" s="428"/>
      <c r="D3042" s="429"/>
    </row>
    <row r="3043" spans="1:4" ht="15.75" x14ac:dyDescent="0.25">
      <c r="A3043" s="427"/>
      <c r="B3043" s="428"/>
      <c r="C3043" s="428"/>
      <c r="D3043" s="429"/>
    </row>
    <row r="3044" spans="1:4" ht="15.75" x14ac:dyDescent="0.25">
      <c r="A3044" s="427"/>
      <c r="B3044" s="428"/>
      <c r="C3044" s="428"/>
      <c r="D3044" s="429"/>
    </row>
    <row r="3045" spans="1:4" ht="15.75" x14ac:dyDescent="0.25">
      <c r="A3045" s="427"/>
      <c r="B3045" s="428"/>
      <c r="C3045" s="428"/>
      <c r="D3045" s="429"/>
    </row>
    <row r="3046" spans="1:4" ht="15.75" x14ac:dyDescent="0.25">
      <c r="A3046" s="427"/>
      <c r="B3046" s="428"/>
      <c r="C3046" s="428"/>
      <c r="D3046" s="429"/>
    </row>
    <row r="3047" spans="1:4" ht="15.75" x14ac:dyDescent="0.25">
      <c r="A3047" s="427"/>
      <c r="B3047" s="428"/>
      <c r="C3047" s="428"/>
      <c r="D3047" s="429"/>
    </row>
    <row r="3048" spans="1:4" ht="15.75" x14ac:dyDescent="0.25">
      <c r="A3048" s="427"/>
      <c r="B3048" s="428"/>
      <c r="C3048" s="428"/>
      <c r="D3048" s="429"/>
    </row>
    <row r="3049" spans="1:4" ht="15.75" x14ac:dyDescent="0.25">
      <c r="A3049" s="427"/>
      <c r="B3049" s="428"/>
      <c r="C3049" s="428"/>
      <c r="D3049" s="429"/>
    </row>
    <row r="3050" spans="1:4" ht="15.75" x14ac:dyDescent="0.25">
      <c r="A3050" s="427"/>
      <c r="B3050" s="428"/>
      <c r="C3050" s="428"/>
      <c r="D3050" s="429"/>
    </row>
    <row r="3051" spans="1:4" ht="15.75" x14ac:dyDescent="0.25">
      <c r="A3051" s="427"/>
      <c r="B3051" s="428"/>
      <c r="C3051" s="428"/>
      <c r="D3051" s="429"/>
    </row>
    <row r="3052" spans="1:4" ht="15.75" x14ac:dyDescent="0.25">
      <c r="A3052" s="427"/>
      <c r="B3052" s="428"/>
      <c r="C3052" s="428"/>
      <c r="D3052" s="429"/>
    </row>
    <row r="3053" spans="1:4" ht="15.75" x14ac:dyDescent="0.25">
      <c r="A3053" s="427"/>
      <c r="B3053" s="428"/>
      <c r="C3053" s="428"/>
      <c r="D3053" s="429"/>
    </row>
    <row r="3054" spans="1:4" ht="15.75" x14ac:dyDescent="0.25">
      <c r="A3054" s="427"/>
      <c r="B3054" s="428"/>
      <c r="C3054" s="428"/>
      <c r="D3054" s="429"/>
    </row>
    <row r="3055" spans="1:4" ht="15.75" x14ac:dyDescent="0.25">
      <c r="A3055" s="427"/>
      <c r="B3055" s="428"/>
      <c r="C3055" s="428"/>
      <c r="D3055" s="429"/>
    </row>
    <row r="3056" spans="1:4" ht="15.75" x14ac:dyDescent="0.25">
      <c r="A3056" s="427"/>
      <c r="B3056" s="428"/>
      <c r="C3056" s="428"/>
      <c r="D3056" s="429"/>
    </row>
    <row r="3057" spans="1:4" ht="15.75" x14ac:dyDescent="0.25">
      <c r="A3057" s="427"/>
      <c r="B3057" s="428"/>
      <c r="C3057" s="428"/>
      <c r="D3057" s="429"/>
    </row>
    <row r="3058" spans="1:4" ht="15.75" x14ac:dyDescent="0.25">
      <c r="A3058" s="427"/>
      <c r="B3058" s="428"/>
      <c r="C3058" s="428"/>
      <c r="D3058" s="429"/>
    </row>
    <row r="3059" spans="1:4" ht="15.75" x14ac:dyDescent="0.25">
      <c r="A3059" s="427"/>
      <c r="B3059" s="428"/>
      <c r="C3059" s="428"/>
      <c r="D3059" s="429"/>
    </row>
    <row r="3060" spans="1:4" ht="15.75" x14ac:dyDescent="0.25">
      <c r="A3060" s="427"/>
      <c r="B3060" s="428"/>
      <c r="C3060" s="428"/>
      <c r="D3060" s="429"/>
    </row>
    <row r="3061" spans="1:4" ht="15.75" x14ac:dyDescent="0.25">
      <c r="A3061" s="427"/>
      <c r="B3061" s="428"/>
      <c r="C3061" s="428"/>
      <c r="D3061" s="429"/>
    </row>
    <row r="3062" spans="1:4" ht="15.75" x14ac:dyDescent="0.25">
      <c r="A3062" s="427"/>
      <c r="B3062" s="428"/>
      <c r="C3062" s="428"/>
      <c r="D3062" s="429"/>
    </row>
    <row r="3063" spans="1:4" ht="15.75" x14ac:dyDescent="0.25">
      <c r="A3063" s="427"/>
      <c r="B3063" s="428"/>
      <c r="C3063" s="428"/>
      <c r="D3063" s="429"/>
    </row>
    <row r="3064" spans="1:4" ht="15.75" x14ac:dyDescent="0.25">
      <c r="A3064" s="427"/>
      <c r="B3064" s="428"/>
      <c r="C3064" s="428"/>
      <c r="D3064" s="429"/>
    </row>
    <row r="3065" spans="1:4" ht="15.75" x14ac:dyDescent="0.25">
      <c r="A3065" s="427"/>
      <c r="B3065" s="428"/>
      <c r="C3065" s="428"/>
      <c r="D3065" s="429"/>
    </row>
    <row r="3066" spans="1:4" ht="15.75" x14ac:dyDescent="0.25">
      <c r="A3066" s="427"/>
      <c r="B3066" s="428"/>
      <c r="C3066" s="428"/>
      <c r="D3066" s="429"/>
    </row>
    <row r="3067" spans="1:4" ht="15.75" x14ac:dyDescent="0.25">
      <c r="A3067" s="427"/>
      <c r="B3067" s="428"/>
      <c r="C3067" s="428"/>
      <c r="D3067" s="429"/>
    </row>
    <row r="3068" spans="1:4" ht="15.75" x14ac:dyDescent="0.25">
      <c r="A3068" s="427"/>
      <c r="B3068" s="428"/>
      <c r="C3068" s="428"/>
      <c r="D3068" s="429"/>
    </row>
    <row r="3069" spans="1:4" ht="15.75" x14ac:dyDescent="0.25">
      <c r="A3069" s="427"/>
      <c r="B3069" s="428"/>
      <c r="C3069" s="428"/>
      <c r="D3069" s="429"/>
    </row>
    <row r="3070" spans="1:4" ht="15.75" x14ac:dyDescent="0.25">
      <c r="A3070" s="427"/>
      <c r="B3070" s="428"/>
      <c r="C3070" s="428"/>
      <c r="D3070" s="429"/>
    </row>
    <row r="3071" spans="1:4" ht="15.75" x14ac:dyDescent="0.25">
      <c r="A3071" s="427"/>
      <c r="B3071" s="428"/>
      <c r="C3071" s="428"/>
      <c r="D3071" s="429"/>
    </row>
    <row r="3072" spans="1:4" ht="15.75" x14ac:dyDescent="0.25">
      <c r="A3072" s="427"/>
      <c r="B3072" s="428"/>
      <c r="C3072" s="428"/>
      <c r="D3072" s="429"/>
    </row>
    <row r="3073" spans="1:4" ht="15.75" x14ac:dyDescent="0.25">
      <c r="A3073" s="427"/>
      <c r="B3073" s="428"/>
      <c r="C3073" s="428"/>
      <c r="D3073" s="429"/>
    </row>
    <row r="3074" spans="1:4" ht="15.75" x14ac:dyDescent="0.25">
      <c r="A3074" s="427"/>
      <c r="B3074" s="428"/>
      <c r="C3074" s="428"/>
      <c r="D3074" s="429"/>
    </row>
    <row r="3075" spans="1:4" ht="15.75" x14ac:dyDescent="0.25">
      <c r="A3075" s="427"/>
      <c r="B3075" s="428"/>
      <c r="C3075" s="428"/>
      <c r="D3075" s="429"/>
    </row>
    <row r="3076" spans="1:4" ht="15.75" x14ac:dyDescent="0.25">
      <c r="A3076" s="427"/>
      <c r="B3076" s="428"/>
      <c r="C3076" s="428"/>
      <c r="D3076" s="429"/>
    </row>
    <row r="3077" spans="1:4" ht="15.75" x14ac:dyDescent="0.25">
      <c r="A3077" s="427"/>
      <c r="B3077" s="428"/>
      <c r="C3077" s="428"/>
      <c r="D3077" s="429"/>
    </row>
    <row r="3078" spans="1:4" ht="15.75" x14ac:dyDescent="0.25">
      <c r="A3078" s="427"/>
      <c r="B3078" s="428"/>
      <c r="C3078" s="428"/>
      <c r="D3078" s="429"/>
    </row>
    <row r="3079" spans="1:4" ht="15.75" x14ac:dyDescent="0.25">
      <c r="A3079" s="427"/>
      <c r="B3079" s="428"/>
      <c r="C3079" s="428"/>
      <c r="D3079" s="429"/>
    </row>
    <row r="3080" spans="1:4" ht="15.75" x14ac:dyDescent="0.25">
      <c r="A3080" s="427"/>
      <c r="B3080" s="428"/>
      <c r="C3080" s="428"/>
      <c r="D3080" s="429"/>
    </row>
    <row r="3081" spans="1:4" ht="15.75" x14ac:dyDescent="0.25">
      <c r="A3081" s="427"/>
      <c r="B3081" s="428"/>
      <c r="C3081" s="428"/>
      <c r="D3081" s="429"/>
    </row>
    <row r="3082" spans="1:4" ht="15.75" x14ac:dyDescent="0.25">
      <c r="A3082" s="427"/>
      <c r="B3082" s="428"/>
      <c r="C3082" s="428"/>
      <c r="D3082" s="429"/>
    </row>
    <row r="3083" spans="1:4" ht="15.75" x14ac:dyDescent="0.25">
      <c r="A3083" s="427"/>
      <c r="B3083" s="428"/>
      <c r="C3083" s="428"/>
      <c r="D3083" s="429"/>
    </row>
    <row r="3084" spans="1:4" ht="15.75" x14ac:dyDescent="0.25">
      <c r="A3084" s="427"/>
      <c r="B3084" s="428"/>
      <c r="C3084" s="428"/>
      <c r="D3084" s="429"/>
    </row>
    <row r="3085" spans="1:4" ht="15.75" x14ac:dyDescent="0.25">
      <c r="A3085" s="427"/>
      <c r="B3085" s="428"/>
      <c r="C3085" s="428"/>
      <c r="D3085" s="429"/>
    </row>
    <row r="3086" spans="1:4" ht="15.75" x14ac:dyDescent="0.25">
      <c r="A3086" s="427"/>
      <c r="B3086" s="428"/>
      <c r="C3086" s="428"/>
      <c r="D3086" s="429"/>
    </row>
    <row r="3087" spans="1:4" ht="15.75" x14ac:dyDescent="0.25">
      <c r="A3087" s="427"/>
      <c r="B3087" s="428"/>
      <c r="C3087" s="428"/>
      <c r="D3087" s="429"/>
    </row>
    <row r="3088" spans="1:4" ht="15.75" x14ac:dyDescent="0.25">
      <c r="A3088" s="427"/>
      <c r="B3088" s="428"/>
      <c r="C3088" s="428"/>
      <c r="D3088" s="429"/>
    </row>
    <row r="3089" spans="1:4" ht="15.75" x14ac:dyDescent="0.25">
      <c r="A3089" s="427"/>
      <c r="B3089" s="428"/>
      <c r="C3089" s="428"/>
      <c r="D3089" s="429"/>
    </row>
    <row r="3090" spans="1:4" ht="15.75" x14ac:dyDescent="0.25">
      <c r="A3090" s="427"/>
      <c r="B3090" s="428"/>
      <c r="C3090" s="428"/>
      <c r="D3090" s="429"/>
    </row>
    <row r="3091" spans="1:4" ht="15.75" x14ac:dyDescent="0.25">
      <c r="A3091" s="427"/>
      <c r="B3091" s="428"/>
      <c r="C3091" s="428"/>
      <c r="D3091" s="429"/>
    </row>
    <row r="3092" spans="1:4" ht="15.75" x14ac:dyDescent="0.25">
      <c r="A3092" s="427"/>
      <c r="B3092" s="428"/>
      <c r="C3092" s="428"/>
      <c r="D3092" s="429"/>
    </row>
    <row r="3093" spans="1:4" ht="15.75" x14ac:dyDescent="0.25">
      <c r="A3093" s="427"/>
      <c r="B3093" s="428"/>
      <c r="C3093" s="428"/>
      <c r="D3093" s="429"/>
    </row>
    <row r="3094" spans="1:4" ht="15.75" x14ac:dyDescent="0.25">
      <c r="A3094" s="427"/>
      <c r="B3094" s="428"/>
      <c r="C3094" s="428"/>
      <c r="D3094" s="429"/>
    </row>
    <row r="3095" spans="1:4" ht="15.75" x14ac:dyDescent="0.25">
      <c r="A3095" s="427"/>
      <c r="B3095" s="428"/>
      <c r="C3095" s="428"/>
      <c r="D3095" s="429"/>
    </row>
    <row r="3096" spans="1:4" ht="15.75" x14ac:dyDescent="0.25">
      <c r="A3096" s="427"/>
      <c r="B3096" s="428"/>
      <c r="C3096" s="428"/>
      <c r="D3096" s="429"/>
    </row>
    <row r="3097" spans="1:4" ht="15.75" x14ac:dyDescent="0.25">
      <c r="A3097" s="427"/>
      <c r="B3097" s="428"/>
      <c r="C3097" s="428"/>
      <c r="D3097" s="429"/>
    </row>
    <row r="3098" spans="1:4" ht="15.75" x14ac:dyDescent="0.25">
      <c r="A3098" s="427"/>
      <c r="B3098" s="428"/>
      <c r="C3098" s="428"/>
      <c r="D3098" s="429"/>
    </row>
    <row r="3099" spans="1:4" ht="15.75" x14ac:dyDescent="0.25">
      <c r="A3099" s="427"/>
      <c r="B3099" s="428"/>
      <c r="C3099" s="428"/>
      <c r="D3099" s="429"/>
    </row>
    <row r="3100" spans="1:4" ht="15.75" x14ac:dyDescent="0.25">
      <c r="A3100" s="427"/>
      <c r="B3100" s="428"/>
      <c r="C3100" s="428"/>
      <c r="D3100" s="429"/>
    </row>
    <row r="3101" spans="1:4" ht="15.75" x14ac:dyDescent="0.25">
      <c r="A3101" s="427"/>
      <c r="B3101" s="428"/>
      <c r="C3101" s="428"/>
      <c r="D3101" s="429"/>
    </row>
    <row r="3102" spans="1:4" ht="15.75" x14ac:dyDescent="0.25">
      <c r="A3102" s="427"/>
      <c r="B3102" s="428"/>
      <c r="C3102" s="428"/>
      <c r="D3102" s="429"/>
    </row>
    <row r="3103" spans="1:4" ht="15.75" x14ac:dyDescent="0.25">
      <c r="A3103" s="427"/>
      <c r="B3103" s="428"/>
      <c r="C3103" s="428"/>
      <c r="D3103" s="429"/>
    </row>
    <row r="3104" spans="1:4" ht="15.75" x14ac:dyDescent="0.25">
      <c r="A3104" s="427"/>
      <c r="B3104" s="428"/>
      <c r="C3104" s="428"/>
      <c r="D3104" s="429"/>
    </row>
    <row r="3105" spans="1:4" ht="15.75" x14ac:dyDescent="0.25">
      <c r="A3105" s="427"/>
      <c r="B3105" s="428"/>
      <c r="C3105" s="428"/>
      <c r="D3105" s="429"/>
    </row>
    <row r="3106" spans="1:4" ht="15.75" x14ac:dyDescent="0.25">
      <c r="A3106" s="427"/>
      <c r="B3106" s="428"/>
      <c r="C3106" s="428"/>
      <c r="D3106" s="429"/>
    </row>
    <row r="3107" spans="1:4" ht="15.75" x14ac:dyDescent="0.25">
      <c r="A3107" s="427"/>
      <c r="B3107" s="428"/>
      <c r="C3107" s="428"/>
      <c r="D3107" s="429"/>
    </row>
    <row r="3108" spans="1:4" ht="15.75" x14ac:dyDescent="0.25">
      <c r="A3108" s="427"/>
      <c r="B3108" s="428"/>
      <c r="C3108" s="428"/>
      <c r="D3108" s="429"/>
    </row>
    <row r="3109" spans="1:4" ht="15.75" x14ac:dyDescent="0.25">
      <c r="A3109" s="427"/>
      <c r="B3109" s="428"/>
      <c r="C3109" s="428"/>
      <c r="D3109" s="429"/>
    </row>
    <row r="3110" spans="1:4" ht="15.75" x14ac:dyDescent="0.25">
      <c r="A3110" s="427"/>
      <c r="B3110" s="428"/>
      <c r="C3110" s="428"/>
      <c r="D3110" s="429"/>
    </row>
    <row r="3111" spans="1:4" ht="15.75" x14ac:dyDescent="0.25">
      <c r="A3111" s="427"/>
      <c r="B3111" s="428"/>
      <c r="C3111" s="428"/>
      <c r="D3111" s="429"/>
    </row>
    <row r="3112" spans="1:4" ht="15.75" x14ac:dyDescent="0.25">
      <c r="A3112" s="427"/>
      <c r="B3112" s="428"/>
      <c r="C3112" s="428"/>
      <c r="D3112" s="429"/>
    </row>
    <row r="3113" spans="1:4" ht="15.75" x14ac:dyDescent="0.25">
      <c r="A3113" s="427"/>
      <c r="B3113" s="428"/>
      <c r="C3113" s="428"/>
      <c r="D3113" s="429"/>
    </row>
    <row r="3114" spans="1:4" ht="15.75" x14ac:dyDescent="0.25">
      <c r="A3114" s="427"/>
      <c r="B3114" s="428"/>
      <c r="C3114" s="428"/>
      <c r="D3114" s="429"/>
    </row>
    <row r="3115" spans="1:4" ht="15.75" x14ac:dyDescent="0.25">
      <c r="A3115" s="427"/>
      <c r="B3115" s="428"/>
      <c r="C3115" s="428"/>
      <c r="D3115" s="429"/>
    </row>
    <row r="3116" spans="1:4" ht="15.75" x14ac:dyDescent="0.25">
      <c r="A3116" s="427"/>
      <c r="B3116" s="428"/>
      <c r="C3116" s="428"/>
      <c r="D3116" s="429"/>
    </row>
    <row r="3117" spans="1:4" ht="15.75" x14ac:dyDescent="0.25">
      <c r="A3117" s="427"/>
      <c r="B3117" s="428"/>
      <c r="C3117" s="428"/>
      <c r="D3117" s="429"/>
    </row>
    <row r="3118" spans="1:4" ht="15.75" x14ac:dyDescent="0.25">
      <c r="A3118" s="427"/>
      <c r="B3118" s="428"/>
      <c r="C3118" s="428"/>
      <c r="D3118" s="429"/>
    </row>
    <row r="3119" spans="1:4" ht="15.75" x14ac:dyDescent="0.25">
      <c r="A3119" s="427"/>
      <c r="B3119" s="428"/>
      <c r="C3119" s="428"/>
      <c r="D3119" s="429"/>
    </row>
    <row r="3120" spans="1:4" ht="15.75" x14ac:dyDescent="0.25">
      <c r="A3120" s="427"/>
      <c r="B3120" s="428"/>
      <c r="C3120" s="428"/>
      <c r="D3120" s="429"/>
    </row>
    <row r="3121" spans="1:4" ht="15.75" x14ac:dyDescent="0.25">
      <c r="A3121" s="427"/>
      <c r="B3121" s="428"/>
      <c r="C3121" s="428"/>
      <c r="D3121" s="429"/>
    </row>
    <row r="3122" spans="1:4" ht="15.75" x14ac:dyDescent="0.25">
      <c r="A3122" s="427"/>
      <c r="B3122" s="428"/>
      <c r="C3122" s="428"/>
      <c r="D3122" s="429"/>
    </row>
    <row r="3123" spans="1:4" ht="15.75" x14ac:dyDescent="0.25">
      <c r="A3123" s="427"/>
      <c r="B3123" s="428"/>
      <c r="C3123" s="428"/>
      <c r="D3123" s="429"/>
    </row>
    <row r="3124" spans="1:4" ht="15.75" x14ac:dyDescent="0.25">
      <c r="A3124" s="427"/>
      <c r="B3124" s="428"/>
      <c r="C3124" s="428"/>
      <c r="D3124" s="429"/>
    </row>
    <row r="3125" spans="1:4" ht="15.75" x14ac:dyDescent="0.25">
      <c r="A3125" s="427"/>
      <c r="B3125" s="428"/>
      <c r="C3125" s="428"/>
      <c r="D3125" s="429"/>
    </row>
    <row r="3126" spans="1:4" ht="15.75" x14ac:dyDescent="0.25">
      <c r="A3126" s="427"/>
      <c r="B3126" s="428"/>
      <c r="C3126" s="428"/>
      <c r="D3126" s="429"/>
    </row>
    <row r="3127" spans="1:4" ht="15.75" x14ac:dyDescent="0.25">
      <c r="A3127" s="427"/>
      <c r="B3127" s="428"/>
      <c r="C3127" s="428"/>
      <c r="D3127" s="429"/>
    </row>
    <row r="3128" spans="1:4" ht="15.75" x14ac:dyDescent="0.25">
      <c r="A3128" s="427"/>
      <c r="B3128" s="428"/>
      <c r="C3128" s="428"/>
      <c r="D3128" s="429"/>
    </row>
    <row r="3129" spans="1:4" ht="15.75" x14ac:dyDescent="0.25">
      <c r="A3129" s="427"/>
      <c r="B3129" s="428"/>
      <c r="C3129" s="428"/>
      <c r="D3129" s="429"/>
    </row>
    <row r="3130" spans="1:4" ht="15.75" x14ac:dyDescent="0.25">
      <c r="A3130" s="427"/>
      <c r="B3130" s="428"/>
      <c r="C3130" s="428"/>
      <c r="D3130" s="429"/>
    </row>
    <row r="3131" spans="1:4" ht="15.75" x14ac:dyDescent="0.25">
      <c r="A3131" s="427"/>
      <c r="B3131" s="428"/>
      <c r="C3131" s="428"/>
      <c r="D3131" s="429"/>
    </row>
    <row r="3132" spans="1:4" ht="15.75" x14ac:dyDescent="0.25">
      <c r="A3132" s="427"/>
      <c r="B3132" s="428"/>
      <c r="C3132" s="428"/>
      <c r="D3132" s="429"/>
    </row>
    <row r="3133" spans="1:4" ht="15.75" x14ac:dyDescent="0.25">
      <c r="A3133" s="427"/>
      <c r="B3133" s="428"/>
      <c r="C3133" s="428"/>
      <c r="D3133" s="429"/>
    </row>
    <row r="3134" spans="1:4" ht="15.75" x14ac:dyDescent="0.25">
      <c r="A3134" s="427"/>
      <c r="B3134" s="428"/>
      <c r="C3134" s="428"/>
      <c r="D3134" s="429"/>
    </row>
    <row r="3135" spans="1:4" ht="15.75" x14ac:dyDescent="0.25">
      <c r="A3135" s="427"/>
      <c r="B3135" s="428"/>
      <c r="C3135" s="428"/>
      <c r="D3135" s="429"/>
    </row>
    <row r="3136" spans="1:4" ht="15.75" x14ac:dyDescent="0.25">
      <c r="A3136" s="427"/>
      <c r="B3136" s="428"/>
      <c r="C3136" s="428"/>
      <c r="D3136" s="429"/>
    </row>
    <row r="3137" spans="1:4" ht="15.75" x14ac:dyDescent="0.25">
      <c r="A3137" s="427"/>
      <c r="B3137" s="428"/>
      <c r="C3137" s="428"/>
      <c r="D3137" s="429"/>
    </row>
    <row r="3138" spans="1:4" ht="15.75" x14ac:dyDescent="0.25">
      <c r="A3138" s="427"/>
      <c r="B3138" s="428"/>
      <c r="C3138" s="428"/>
      <c r="D3138" s="429"/>
    </row>
    <row r="3139" spans="1:4" ht="15.75" x14ac:dyDescent="0.25">
      <c r="A3139" s="427"/>
      <c r="B3139" s="428"/>
      <c r="C3139" s="428"/>
      <c r="D3139" s="429"/>
    </row>
    <row r="3140" spans="1:4" ht="15.75" x14ac:dyDescent="0.25">
      <c r="A3140" s="427"/>
      <c r="B3140" s="428"/>
      <c r="C3140" s="428"/>
      <c r="D3140" s="429"/>
    </row>
    <row r="3141" spans="1:4" ht="15.75" x14ac:dyDescent="0.25">
      <c r="A3141" s="427"/>
      <c r="B3141" s="428"/>
      <c r="C3141" s="428"/>
      <c r="D3141" s="429"/>
    </row>
    <row r="3142" spans="1:4" ht="15.75" x14ac:dyDescent="0.25">
      <c r="A3142" s="427"/>
      <c r="B3142" s="428"/>
      <c r="C3142" s="428"/>
      <c r="D3142" s="429"/>
    </row>
    <row r="3143" spans="1:4" ht="15.75" x14ac:dyDescent="0.25">
      <c r="A3143" s="427"/>
      <c r="B3143" s="428"/>
      <c r="C3143" s="428"/>
      <c r="D3143" s="429"/>
    </row>
    <row r="3144" spans="1:4" ht="15.75" x14ac:dyDescent="0.25">
      <c r="A3144" s="427"/>
      <c r="B3144" s="428"/>
      <c r="C3144" s="428"/>
      <c r="D3144" s="429"/>
    </row>
    <row r="3145" spans="1:4" ht="15.75" x14ac:dyDescent="0.25">
      <c r="A3145" s="427"/>
      <c r="B3145" s="428"/>
      <c r="C3145" s="428"/>
      <c r="D3145" s="429"/>
    </row>
    <row r="3146" spans="1:4" ht="15.75" x14ac:dyDescent="0.25">
      <c r="A3146" s="427"/>
      <c r="B3146" s="428"/>
      <c r="C3146" s="428"/>
      <c r="D3146" s="429"/>
    </row>
    <row r="3147" spans="1:4" ht="15.75" x14ac:dyDescent="0.25">
      <c r="A3147" s="427"/>
      <c r="B3147" s="428"/>
      <c r="C3147" s="428"/>
      <c r="D3147" s="429"/>
    </row>
    <row r="3148" spans="1:4" ht="15.75" x14ac:dyDescent="0.25">
      <c r="A3148" s="427"/>
      <c r="B3148" s="428"/>
      <c r="C3148" s="428"/>
      <c r="D3148" s="429"/>
    </row>
    <row r="3149" spans="1:4" ht="15.75" x14ac:dyDescent="0.25">
      <c r="A3149" s="427"/>
      <c r="B3149" s="428"/>
      <c r="C3149" s="428"/>
      <c r="D3149" s="429"/>
    </row>
    <row r="3150" spans="1:4" ht="15.75" x14ac:dyDescent="0.25">
      <c r="A3150" s="427"/>
      <c r="B3150" s="428"/>
      <c r="C3150" s="428"/>
      <c r="D3150" s="429"/>
    </row>
    <row r="3151" spans="1:4" ht="15.75" x14ac:dyDescent="0.25">
      <c r="A3151" s="427"/>
      <c r="B3151" s="428"/>
      <c r="C3151" s="428"/>
      <c r="D3151" s="429"/>
    </row>
    <row r="3152" spans="1:4" ht="15.75" x14ac:dyDescent="0.25">
      <c r="A3152" s="427"/>
      <c r="B3152" s="428"/>
      <c r="C3152" s="428"/>
      <c r="D3152" s="429"/>
    </row>
    <row r="3153" spans="1:4" ht="15.75" x14ac:dyDescent="0.25">
      <c r="A3153" s="427"/>
      <c r="B3153" s="428"/>
      <c r="C3153" s="428"/>
      <c r="D3153" s="429"/>
    </row>
    <row r="3154" spans="1:4" ht="15.75" x14ac:dyDescent="0.25">
      <c r="A3154" s="427"/>
      <c r="B3154" s="428"/>
      <c r="C3154" s="428"/>
      <c r="D3154" s="429"/>
    </row>
    <row r="3155" spans="1:4" ht="15.75" x14ac:dyDescent="0.25">
      <c r="A3155" s="427"/>
      <c r="B3155" s="428"/>
      <c r="C3155" s="428"/>
      <c r="D3155" s="429"/>
    </row>
    <row r="3156" spans="1:4" ht="15.75" x14ac:dyDescent="0.25">
      <c r="A3156" s="427"/>
      <c r="B3156" s="428"/>
      <c r="C3156" s="428"/>
      <c r="D3156" s="429"/>
    </row>
    <row r="3157" spans="1:4" ht="15.75" x14ac:dyDescent="0.25">
      <c r="A3157" s="427"/>
      <c r="B3157" s="428"/>
      <c r="C3157" s="428"/>
      <c r="D3157" s="429"/>
    </row>
    <row r="3158" spans="1:4" ht="15.75" x14ac:dyDescent="0.25">
      <c r="A3158" s="427"/>
      <c r="B3158" s="428"/>
      <c r="C3158" s="428"/>
      <c r="D3158" s="429"/>
    </row>
    <row r="3159" spans="1:4" ht="15.75" x14ac:dyDescent="0.25">
      <c r="A3159" s="427"/>
      <c r="B3159" s="428"/>
      <c r="C3159" s="428"/>
      <c r="D3159" s="429"/>
    </row>
    <row r="3160" spans="1:4" ht="15.75" x14ac:dyDescent="0.25">
      <c r="A3160" s="427"/>
      <c r="B3160" s="428"/>
      <c r="C3160" s="428"/>
      <c r="D3160" s="429"/>
    </row>
    <row r="3161" spans="1:4" ht="15.75" x14ac:dyDescent="0.25">
      <c r="A3161" s="427"/>
      <c r="B3161" s="428"/>
      <c r="C3161" s="428"/>
      <c r="D3161" s="429"/>
    </row>
    <row r="3162" spans="1:4" ht="15.75" x14ac:dyDescent="0.25">
      <c r="A3162" s="427"/>
      <c r="B3162" s="428"/>
      <c r="C3162" s="428"/>
      <c r="D3162" s="429"/>
    </row>
    <row r="3163" spans="1:4" ht="15.75" x14ac:dyDescent="0.25">
      <c r="A3163" s="427"/>
      <c r="B3163" s="428"/>
      <c r="C3163" s="428"/>
      <c r="D3163" s="429"/>
    </row>
    <row r="3164" spans="1:4" ht="15.75" x14ac:dyDescent="0.25">
      <c r="A3164" s="427"/>
      <c r="B3164" s="428"/>
      <c r="C3164" s="428"/>
      <c r="D3164" s="429"/>
    </row>
    <row r="3165" spans="1:4" ht="15.75" x14ac:dyDescent="0.25">
      <c r="A3165" s="427"/>
      <c r="B3165" s="428"/>
      <c r="C3165" s="428"/>
      <c r="D3165" s="429"/>
    </row>
    <row r="3166" spans="1:4" ht="15.75" x14ac:dyDescent="0.25">
      <c r="A3166" s="427"/>
      <c r="B3166" s="428"/>
      <c r="C3166" s="428"/>
      <c r="D3166" s="429"/>
    </row>
    <row r="3167" spans="1:4" ht="15.75" x14ac:dyDescent="0.25">
      <c r="A3167" s="427"/>
      <c r="B3167" s="428"/>
      <c r="C3167" s="428"/>
      <c r="D3167" s="429"/>
    </row>
    <row r="3168" spans="1:4" ht="15.75" x14ac:dyDescent="0.25">
      <c r="A3168" s="427"/>
      <c r="B3168" s="428"/>
      <c r="C3168" s="428"/>
      <c r="D3168" s="429"/>
    </row>
    <row r="3169" spans="1:4" ht="15.75" x14ac:dyDescent="0.25">
      <c r="A3169" s="427"/>
      <c r="B3169" s="428"/>
      <c r="C3169" s="428"/>
      <c r="D3169" s="429"/>
    </row>
    <row r="3170" spans="1:4" ht="15.75" x14ac:dyDescent="0.25">
      <c r="A3170" s="427"/>
      <c r="B3170" s="428"/>
      <c r="C3170" s="428"/>
      <c r="D3170" s="429"/>
    </row>
    <row r="3171" spans="1:4" ht="15.75" x14ac:dyDescent="0.25">
      <c r="A3171" s="427"/>
      <c r="B3171" s="428"/>
      <c r="C3171" s="428"/>
      <c r="D3171" s="429"/>
    </row>
    <row r="3172" spans="1:4" ht="15.75" x14ac:dyDescent="0.25">
      <c r="A3172" s="427"/>
      <c r="B3172" s="428"/>
      <c r="C3172" s="428"/>
      <c r="D3172" s="429"/>
    </row>
    <row r="3173" spans="1:4" ht="15.75" x14ac:dyDescent="0.25">
      <c r="A3173" s="427"/>
      <c r="B3173" s="428"/>
      <c r="C3173" s="428"/>
      <c r="D3173" s="429"/>
    </row>
    <row r="3174" spans="1:4" ht="15.75" x14ac:dyDescent="0.25">
      <c r="A3174" s="427"/>
      <c r="B3174" s="428"/>
      <c r="C3174" s="428"/>
      <c r="D3174" s="429"/>
    </row>
    <row r="3175" spans="1:4" ht="15.75" x14ac:dyDescent="0.25">
      <c r="A3175" s="427"/>
      <c r="B3175" s="428"/>
      <c r="C3175" s="428"/>
      <c r="D3175" s="429"/>
    </row>
    <row r="3176" spans="1:4" ht="15.75" x14ac:dyDescent="0.25">
      <c r="A3176" s="427"/>
      <c r="B3176" s="428"/>
      <c r="C3176" s="428"/>
      <c r="D3176" s="429"/>
    </row>
    <row r="3177" spans="1:4" ht="15.75" x14ac:dyDescent="0.25">
      <c r="A3177" s="427"/>
      <c r="B3177" s="428"/>
      <c r="C3177" s="428"/>
      <c r="D3177" s="429"/>
    </row>
    <row r="3178" spans="1:4" ht="15.75" x14ac:dyDescent="0.25">
      <c r="A3178" s="427"/>
      <c r="B3178" s="428"/>
      <c r="C3178" s="428"/>
      <c r="D3178" s="429"/>
    </row>
    <row r="3179" spans="1:4" ht="15.75" x14ac:dyDescent="0.25">
      <c r="A3179" s="427"/>
      <c r="B3179" s="428"/>
      <c r="C3179" s="428"/>
      <c r="D3179" s="429"/>
    </row>
    <row r="3180" spans="1:4" ht="15.75" x14ac:dyDescent="0.25">
      <c r="A3180" s="427"/>
      <c r="B3180" s="428"/>
      <c r="C3180" s="428"/>
      <c r="D3180" s="429"/>
    </row>
    <row r="3181" spans="1:4" ht="15.75" x14ac:dyDescent="0.25">
      <c r="A3181" s="427"/>
      <c r="B3181" s="428"/>
      <c r="C3181" s="428"/>
      <c r="D3181" s="429"/>
    </row>
    <row r="3182" spans="1:4" ht="15.75" x14ac:dyDescent="0.25">
      <c r="A3182" s="427"/>
      <c r="B3182" s="428"/>
      <c r="C3182" s="428"/>
      <c r="D3182" s="429"/>
    </row>
    <row r="3183" spans="1:4" ht="15.75" x14ac:dyDescent="0.25">
      <c r="A3183" s="427"/>
      <c r="B3183" s="428"/>
      <c r="C3183" s="428"/>
      <c r="D3183" s="429"/>
    </row>
    <row r="3184" spans="1:4" ht="15.75" x14ac:dyDescent="0.25">
      <c r="A3184" s="427"/>
      <c r="B3184" s="428"/>
      <c r="C3184" s="428"/>
      <c r="D3184" s="429"/>
    </row>
    <row r="3185" spans="1:4" ht="15.75" x14ac:dyDescent="0.25">
      <c r="A3185" s="427"/>
      <c r="B3185" s="428"/>
      <c r="C3185" s="428"/>
      <c r="D3185" s="429"/>
    </row>
    <row r="3186" spans="1:4" ht="15.75" x14ac:dyDescent="0.25">
      <c r="A3186" s="427"/>
      <c r="B3186" s="428"/>
      <c r="C3186" s="428"/>
      <c r="D3186" s="429"/>
    </row>
    <row r="3187" spans="1:4" ht="15.75" x14ac:dyDescent="0.25">
      <c r="A3187" s="427"/>
      <c r="B3187" s="428"/>
      <c r="C3187" s="428"/>
      <c r="D3187" s="429"/>
    </row>
    <row r="3188" spans="1:4" ht="15.75" x14ac:dyDescent="0.25">
      <c r="A3188" s="427"/>
      <c r="B3188" s="428"/>
      <c r="C3188" s="428"/>
      <c r="D3188" s="429"/>
    </row>
    <row r="3189" spans="1:4" ht="15.75" x14ac:dyDescent="0.25">
      <c r="A3189" s="427"/>
      <c r="B3189" s="428"/>
      <c r="C3189" s="428"/>
      <c r="D3189" s="429"/>
    </row>
    <row r="3190" spans="1:4" ht="15.75" x14ac:dyDescent="0.25">
      <c r="A3190" s="427"/>
      <c r="B3190" s="428"/>
      <c r="C3190" s="428"/>
      <c r="D3190" s="429"/>
    </row>
    <row r="3191" spans="1:4" ht="15.75" x14ac:dyDescent="0.25">
      <c r="A3191" s="427"/>
      <c r="B3191" s="428"/>
      <c r="C3191" s="428"/>
      <c r="D3191" s="429"/>
    </row>
    <row r="3192" spans="1:4" ht="15.75" x14ac:dyDescent="0.25">
      <c r="A3192" s="427"/>
      <c r="B3192" s="428"/>
      <c r="C3192" s="428"/>
      <c r="D3192" s="429"/>
    </row>
    <row r="3193" spans="1:4" ht="15.75" x14ac:dyDescent="0.25">
      <c r="A3193" s="427"/>
      <c r="B3193" s="428"/>
      <c r="C3193" s="428"/>
      <c r="D3193" s="429"/>
    </row>
    <row r="3194" spans="1:4" ht="15.75" x14ac:dyDescent="0.25">
      <c r="A3194" s="427"/>
      <c r="B3194" s="428"/>
      <c r="C3194" s="428"/>
      <c r="D3194" s="429"/>
    </row>
    <row r="3195" spans="1:4" ht="15.75" x14ac:dyDescent="0.25">
      <c r="A3195" s="427"/>
      <c r="B3195" s="428"/>
      <c r="C3195" s="428"/>
      <c r="D3195" s="429"/>
    </row>
    <row r="3196" spans="1:4" ht="15.75" x14ac:dyDescent="0.25">
      <c r="A3196" s="427"/>
      <c r="B3196" s="428"/>
      <c r="C3196" s="428"/>
      <c r="D3196" s="429"/>
    </row>
    <row r="3197" spans="1:4" ht="15.75" x14ac:dyDescent="0.25">
      <c r="A3197" s="427"/>
      <c r="B3197" s="428"/>
      <c r="C3197" s="428"/>
      <c r="D3197" s="429"/>
    </row>
    <row r="3198" spans="1:4" ht="15.75" x14ac:dyDescent="0.25">
      <c r="A3198" s="427"/>
      <c r="B3198" s="428"/>
      <c r="C3198" s="428"/>
      <c r="D3198" s="429"/>
    </row>
    <row r="3199" spans="1:4" ht="15.75" x14ac:dyDescent="0.25">
      <c r="A3199" s="427"/>
      <c r="B3199" s="428"/>
      <c r="C3199" s="428"/>
      <c r="D3199" s="429"/>
    </row>
    <row r="3200" spans="1:4" ht="15.75" x14ac:dyDescent="0.25">
      <c r="A3200" s="427"/>
      <c r="B3200" s="428"/>
      <c r="C3200" s="428"/>
      <c r="D3200" s="429"/>
    </row>
    <row r="3201" spans="1:4" ht="15.75" x14ac:dyDescent="0.25">
      <c r="A3201" s="427"/>
      <c r="B3201" s="428"/>
      <c r="C3201" s="428"/>
      <c r="D3201" s="429"/>
    </row>
    <row r="3202" spans="1:4" ht="15.75" x14ac:dyDescent="0.25">
      <c r="A3202" s="427"/>
      <c r="B3202" s="428"/>
      <c r="C3202" s="428"/>
      <c r="D3202" s="429"/>
    </row>
    <row r="3203" spans="1:4" ht="15.75" x14ac:dyDescent="0.25">
      <c r="A3203" s="427"/>
      <c r="B3203" s="428"/>
      <c r="C3203" s="428"/>
      <c r="D3203" s="429"/>
    </row>
    <row r="3204" spans="1:4" ht="15.75" x14ac:dyDescent="0.25">
      <c r="A3204" s="427"/>
      <c r="B3204" s="428"/>
      <c r="C3204" s="428"/>
      <c r="D3204" s="429"/>
    </row>
    <row r="3205" spans="1:4" ht="15.75" x14ac:dyDescent="0.25">
      <c r="A3205" s="427"/>
      <c r="B3205" s="428"/>
      <c r="C3205" s="428"/>
      <c r="D3205" s="429"/>
    </row>
    <row r="3206" spans="1:4" ht="15.75" x14ac:dyDescent="0.25">
      <c r="A3206" s="427"/>
      <c r="B3206" s="428"/>
      <c r="C3206" s="428"/>
      <c r="D3206" s="429"/>
    </row>
    <row r="3207" spans="1:4" ht="15.75" x14ac:dyDescent="0.25">
      <c r="A3207" s="427"/>
      <c r="B3207" s="428"/>
      <c r="C3207" s="428"/>
      <c r="D3207" s="429"/>
    </row>
    <row r="3208" spans="1:4" ht="15.75" x14ac:dyDescent="0.25">
      <c r="A3208" s="427"/>
      <c r="B3208" s="428"/>
      <c r="C3208" s="428"/>
      <c r="D3208" s="429"/>
    </row>
    <row r="3209" spans="1:4" ht="15.75" x14ac:dyDescent="0.25">
      <c r="A3209" s="427"/>
      <c r="B3209" s="428"/>
      <c r="C3209" s="428"/>
      <c r="D3209" s="429"/>
    </row>
    <row r="3210" spans="1:4" ht="15.75" x14ac:dyDescent="0.25">
      <c r="A3210" s="427"/>
      <c r="B3210" s="428"/>
      <c r="C3210" s="428"/>
      <c r="D3210" s="429"/>
    </row>
    <row r="3211" spans="1:4" ht="15.75" x14ac:dyDescent="0.25">
      <c r="A3211" s="427"/>
      <c r="B3211" s="428"/>
      <c r="C3211" s="428"/>
      <c r="D3211" s="429"/>
    </row>
    <row r="3212" spans="1:4" ht="15.75" x14ac:dyDescent="0.25">
      <c r="A3212" s="427"/>
      <c r="B3212" s="428"/>
      <c r="C3212" s="428"/>
      <c r="D3212" s="429"/>
    </row>
    <row r="3213" spans="1:4" ht="15.75" x14ac:dyDescent="0.25">
      <c r="A3213" s="427"/>
      <c r="B3213" s="428"/>
      <c r="C3213" s="428"/>
      <c r="D3213" s="429"/>
    </row>
    <row r="3214" spans="1:4" ht="15.75" x14ac:dyDescent="0.25">
      <c r="A3214" s="427"/>
      <c r="B3214" s="428"/>
      <c r="C3214" s="428"/>
      <c r="D3214" s="429"/>
    </row>
    <row r="3215" spans="1:4" ht="15.75" x14ac:dyDescent="0.25">
      <c r="A3215" s="427"/>
      <c r="B3215" s="428"/>
      <c r="C3215" s="428"/>
      <c r="D3215" s="429"/>
    </row>
    <row r="3216" spans="1:4" ht="15.75" x14ac:dyDescent="0.25">
      <c r="A3216" s="427"/>
      <c r="B3216" s="428"/>
      <c r="C3216" s="428"/>
      <c r="D3216" s="429"/>
    </row>
    <row r="3217" spans="1:4" ht="15.75" x14ac:dyDescent="0.25">
      <c r="A3217" s="427"/>
      <c r="B3217" s="428"/>
      <c r="C3217" s="428"/>
      <c r="D3217" s="429"/>
    </row>
    <row r="3218" spans="1:4" ht="15.75" x14ac:dyDescent="0.25">
      <c r="A3218" s="427"/>
      <c r="B3218" s="428"/>
      <c r="C3218" s="428"/>
      <c r="D3218" s="429"/>
    </row>
    <row r="3219" spans="1:4" ht="15.75" x14ac:dyDescent="0.25">
      <c r="A3219" s="427"/>
      <c r="B3219" s="428"/>
      <c r="C3219" s="428"/>
      <c r="D3219" s="429"/>
    </row>
    <row r="3220" spans="1:4" ht="15.75" x14ac:dyDescent="0.25">
      <c r="A3220" s="427"/>
      <c r="B3220" s="428"/>
      <c r="C3220" s="428"/>
      <c r="D3220" s="429"/>
    </row>
    <row r="3221" spans="1:4" ht="15.75" x14ac:dyDescent="0.25">
      <c r="A3221" s="427"/>
      <c r="B3221" s="428"/>
      <c r="C3221" s="428"/>
      <c r="D3221" s="429"/>
    </row>
    <row r="3222" spans="1:4" ht="15.75" x14ac:dyDescent="0.25">
      <c r="A3222" s="427"/>
      <c r="B3222" s="428"/>
      <c r="C3222" s="428"/>
      <c r="D3222" s="429"/>
    </row>
    <row r="3223" spans="1:4" ht="15.75" x14ac:dyDescent="0.25">
      <c r="A3223" s="427"/>
      <c r="B3223" s="428"/>
      <c r="C3223" s="428"/>
      <c r="D3223" s="429"/>
    </row>
    <row r="3224" spans="1:4" ht="15.75" x14ac:dyDescent="0.25">
      <c r="A3224" s="427"/>
      <c r="B3224" s="428"/>
      <c r="C3224" s="428"/>
      <c r="D3224" s="429"/>
    </row>
    <row r="3225" spans="1:4" ht="15.75" x14ac:dyDescent="0.25">
      <c r="A3225" s="427"/>
      <c r="B3225" s="428"/>
      <c r="C3225" s="428"/>
      <c r="D3225" s="429"/>
    </row>
    <row r="3226" spans="1:4" ht="15.75" x14ac:dyDescent="0.25">
      <c r="A3226" s="427"/>
      <c r="B3226" s="428"/>
      <c r="C3226" s="428"/>
      <c r="D3226" s="429"/>
    </row>
    <row r="3227" spans="1:4" ht="15.75" x14ac:dyDescent="0.25">
      <c r="A3227" s="427"/>
      <c r="B3227" s="428"/>
      <c r="C3227" s="428"/>
      <c r="D3227" s="429"/>
    </row>
    <row r="3228" spans="1:4" ht="15.75" x14ac:dyDescent="0.25">
      <c r="A3228" s="427"/>
      <c r="B3228" s="428"/>
      <c r="C3228" s="428"/>
      <c r="D3228" s="429"/>
    </row>
    <row r="3229" spans="1:4" ht="15.75" x14ac:dyDescent="0.25">
      <c r="A3229" s="427"/>
      <c r="B3229" s="428"/>
      <c r="C3229" s="428"/>
      <c r="D3229" s="429"/>
    </row>
    <row r="3230" spans="1:4" ht="15.75" x14ac:dyDescent="0.25">
      <c r="A3230" s="427"/>
      <c r="B3230" s="428"/>
      <c r="C3230" s="428"/>
      <c r="D3230" s="429"/>
    </row>
    <row r="3231" spans="1:4" ht="15.75" x14ac:dyDescent="0.25">
      <c r="A3231" s="427"/>
      <c r="B3231" s="428"/>
      <c r="C3231" s="428"/>
      <c r="D3231" s="429"/>
    </row>
    <row r="3232" spans="1:4" ht="15.75" x14ac:dyDescent="0.25">
      <c r="A3232" s="427"/>
      <c r="B3232" s="428"/>
      <c r="C3232" s="428"/>
      <c r="D3232" s="429"/>
    </row>
    <row r="3233" spans="1:4" ht="15.75" x14ac:dyDescent="0.25">
      <c r="A3233" s="427"/>
      <c r="B3233" s="428"/>
      <c r="C3233" s="428"/>
      <c r="D3233" s="429"/>
    </row>
    <row r="3234" spans="1:4" ht="15.75" x14ac:dyDescent="0.25">
      <c r="A3234" s="427"/>
      <c r="B3234" s="428"/>
      <c r="C3234" s="428"/>
      <c r="D3234" s="429"/>
    </row>
    <row r="3235" spans="1:4" ht="15.75" x14ac:dyDescent="0.25">
      <c r="A3235" s="427"/>
      <c r="B3235" s="428"/>
      <c r="C3235" s="428"/>
      <c r="D3235" s="429"/>
    </row>
    <row r="3236" spans="1:4" ht="15.75" x14ac:dyDescent="0.25">
      <c r="A3236" s="427"/>
      <c r="B3236" s="428"/>
      <c r="C3236" s="428"/>
      <c r="D3236" s="429"/>
    </row>
    <row r="3237" spans="1:4" ht="15.75" x14ac:dyDescent="0.25">
      <c r="A3237" s="427"/>
      <c r="B3237" s="428"/>
      <c r="C3237" s="428"/>
      <c r="D3237" s="429"/>
    </row>
    <row r="3238" spans="1:4" ht="15.75" x14ac:dyDescent="0.25">
      <c r="A3238" s="427"/>
      <c r="B3238" s="428"/>
      <c r="C3238" s="428"/>
      <c r="D3238" s="429"/>
    </row>
    <row r="3239" spans="1:4" ht="15.75" x14ac:dyDescent="0.25">
      <c r="A3239" s="427"/>
      <c r="B3239" s="428"/>
      <c r="C3239" s="428"/>
      <c r="D3239" s="429"/>
    </row>
    <row r="3240" spans="1:4" ht="15.75" x14ac:dyDescent="0.25">
      <c r="A3240" s="427"/>
      <c r="B3240" s="428"/>
      <c r="C3240" s="428"/>
      <c r="D3240" s="429"/>
    </row>
    <row r="3241" spans="1:4" ht="15.75" x14ac:dyDescent="0.25">
      <c r="A3241" s="427"/>
      <c r="B3241" s="428"/>
      <c r="C3241" s="428"/>
      <c r="D3241" s="429"/>
    </row>
    <row r="3242" spans="1:4" ht="15.75" x14ac:dyDescent="0.25">
      <c r="A3242" s="427"/>
      <c r="B3242" s="428"/>
      <c r="C3242" s="428"/>
      <c r="D3242" s="429"/>
    </row>
    <row r="3243" spans="1:4" ht="15.75" x14ac:dyDescent="0.25">
      <c r="A3243" s="427"/>
      <c r="B3243" s="428"/>
      <c r="C3243" s="428"/>
      <c r="D3243" s="429"/>
    </row>
    <row r="3244" spans="1:4" ht="15.75" x14ac:dyDescent="0.25">
      <c r="A3244" s="427"/>
      <c r="B3244" s="428"/>
      <c r="C3244" s="428"/>
      <c r="D3244" s="429"/>
    </row>
    <row r="3245" spans="1:4" ht="15.75" x14ac:dyDescent="0.25">
      <c r="A3245" s="427"/>
      <c r="B3245" s="428"/>
      <c r="C3245" s="428"/>
      <c r="D3245" s="429"/>
    </row>
    <row r="3246" spans="1:4" ht="15.75" x14ac:dyDescent="0.25">
      <c r="A3246" s="427"/>
      <c r="B3246" s="428"/>
      <c r="C3246" s="428"/>
      <c r="D3246" s="429"/>
    </row>
    <row r="3247" spans="1:4" ht="15.75" x14ac:dyDescent="0.25">
      <c r="A3247" s="427"/>
      <c r="B3247" s="428"/>
      <c r="C3247" s="428"/>
      <c r="D3247" s="429"/>
    </row>
    <row r="3248" spans="1:4" ht="15.75" x14ac:dyDescent="0.25">
      <c r="A3248" s="427"/>
      <c r="B3248" s="428"/>
      <c r="C3248" s="428"/>
      <c r="D3248" s="429"/>
    </row>
    <row r="3249" spans="1:4" ht="15.75" x14ac:dyDescent="0.25">
      <c r="A3249" s="427"/>
      <c r="B3249" s="428"/>
      <c r="C3249" s="428"/>
      <c r="D3249" s="429"/>
    </row>
    <row r="3250" spans="1:4" ht="15.75" x14ac:dyDescent="0.25">
      <c r="A3250" s="427"/>
      <c r="B3250" s="428"/>
      <c r="C3250" s="428"/>
      <c r="D3250" s="429"/>
    </row>
    <row r="3251" spans="1:4" ht="15.75" x14ac:dyDescent="0.25">
      <c r="A3251" s="427"/>
      <c r="B3251" s="428"/>
      <c r="C3251" s="428"/>
      <c r="D3251" s="429"/>
    </row>
    <row r="3252" spans="1:4" ht="15.75" x14ac:dyDescent="0.25">
      <c r="A3252" s="427"/>
      <c r="B3252" s="428"/>
      <c r="C3252" s="428"/>
      <c r="D3252" s="429"/>
    </row>
    <row r="3253" spans="1:4" ht="15.75" x14ac:dyDescent="0.25">
      <c r="A3253" s="427"/>
      <c r="B3253" s="428"/>
      <c r="C3253" s="428"/>
      <c r="D3253" s="429"/>
    </row>
    <row r="3254" spans="1:4" ht="15.75" x14ac:dyDescent="0.25">
      <c r="A3254" s="427"/>
      <c r="B3254" s="428"/>
      <c r="C3254" s="428"/>
      <c r="D3254" s="429"/>
    </row>
    <row r="3255" spans="1:4" ht="15.75" x14ac:dyDescent="0.25">
      <c r="A3255" s="427"/>
      <c r="B3255" s="428"/>
      <c r="C3255" s="428"/>
      <c r="D3255" s="429"/>
    </row>
    <row r="3256" spans="1:4" ht="15.75" x14ac:dyDescent="0.25">
      <c r="A3256" s="427"/>
      <c r="B3256" s="428"/>
      <c r="C3256" s="428"/>
      <c r="D3256" s="429"/>
    </row>
    <row r="3257" spans="1:4" ht="15.75" x14ac:dyDescent="0.25">
      <c r="A3257" s="427"/>
      <c r="B3257" s="428"/>
      <c r="C3257" s="428"/>
      <c r="D3257" s="429"/>
    </row>
    <row r="3258" spans="1:4" ht="15.75" x14ac:dyDescent="0.25">
      <c r="A3258" s="427"/>
      <c r="B3258" s="428"/>
      <c r="C3258" s="428"/>
      <c r="D3258" s="429"/>
    </row>
    <row r="3259" spans="1:4" ht="15.75" x14ac:dyDescent="0.25">
      <c r="A3259" s="427"/>
      <c r="B3259" s="428"/>
      <c r="C3259" s="428"/>
      <c r="D3259" s="429"/>
    </row>
    <row r="3260" spans="1:4" ht="15.75" x14ac:dyDescent="0.25">
      <c r="A3260" s="427"/>
      <c r="B3260" s="428"/>
      <c r="C3260" s="428"/>
      <c r="D3260" s="429"/>
    </row>
    <row r="3261" spans="1:4" ht="15.75" x14ac:dyDescent="0.25">
      <c r="A3261" s="427"/>
      <c r="B3261" s="428"/>
      <c r="C3261" s="428"/>
      <c r="D3261" s="429"/>
    </row>
    <row r="3262" spans="1:4" ht="15.75" x14ac:dyDescent="0.25">
      <c r="A3262" s="427"/>
      <c r="B3262" s="428"/>
      <c r="C3262" s="428"/>
      <c r="D3262" s="429"/>
    </row>
    <row r="3263" spans="1:4" ht="15.75" x14ac:dyDescent="0.25">
      <c r="A3263" s="427"/>
      <c r="B3263" s="428"/>
      <c r="C3263" s="428"/>
      <c r="D3263" s="429"/>
    </row>
    <row r="3264" spans="1:4" ht="15.75" x14ac:dyDescent="0.25">
      <c r="A3264" s="427"/>
      <c r="B3264" s="428"/>
      <c r="C3264" s="428"/>
      <c r="D3264" s="429"/>
    </row>
    <row r="3265" spans="1:4" ht="15.75" x14ac:dyDescent="0.25">
      <c r="A3265" s="427"/>
      <c r="B3265" s="428"/>
      <c r="C3265" s="428"/>
      <c r="D3265" s="429"/>
    </row>
    <row r="3266" spans="1:4" ht="15.75" x14ac:dyDescent="0.25">
      <c r="A3266" s="427"/>
      <c r="B3266" s="428"/>
      <c r="C3266" s="428"/>
      <c r="D3266" s="429"/>
    </row>
    <row r="3267" spans="1:4" ht="15.75" x14ac:dyDescent="0.25">
      <c r="A3267" s="427"/>
      <c r="B3267" s="428"/>
      <c r="C3267" s="428"/>
      <c r="D3267" s="429"/>
    </row>
    <row r="3268" spans="1:4" ht="15.75" x14ac:dyDescent="0.25">
      <c r="A3268" s="427"/>
      <c r="B3268" s="428"/>
      <c r="C3268" s="428"/>
      <c r="D3268" s="429"/>
    </row>
    <row r="3269" spans="1:4" ht="15.75" x14ac:dyDescent="0.25">
      <c r="A3269" s="427"/>
      <c r="B3269" s="428"/>
      <c r="C3269" s="428"/>
      <c r="D3269" s="429"/>
    </row>
    <row r="3270" spans="1:4" ht="15.75" x14ac:dyDescent="0.25">
      <c r="A3270" s="427"/>
      <c r="B3270" s="428"/>
      <c r="C3270" s="428"/>
      <c r="D3270" s="429"/>
    </row>
    <row r="3271" spans="1:4" ht="15.75" x14ac:dyDescent="0.25">
      <c r="A3271" s="427"/>
      <c r="B3271" s="428"/>
      <c r="C3271" s="428"/>
      <c r="D3271" s="429"/>
    </row>
    <row r="3272" spans="1:4" ht="15.75" x14ac:dyDescent="0.25">
      <c r="A3272" s="427"/>
      <c r="B3272" s="428"/>
      <c r="C3272" s="428"/>
      <c r="D3272" s="429"/>
    </row>
    <row r="3273" spans="1:4" ht="15.75" x14ac:dyDescent="0.25">
      <c r="A3273" s="427"/>
      <c r="B3273" s="428"/>
      <c r="C3273" s="428"/>
      <c r="D3273" s="429"/>
    </row>
    <row r="3274" spans="1:4" ht="15.75" x14ac:dyDescent="0.25">
      <c r="A3274" s="427"/>
      <c r="B3274" s="428"/>
      <c r="C3274" s="428"/>
      <c r="D3274" s="429"/>
    </row>
    <row r="3275" spans="1:4" ht="15.75" x14ac:dyDescent="0.25">
      <c r="A3275" s="427"/>
      <c r="B3275" s="428"/>
      <c r="C3275" s="428"/>
      <c r="D3275" s="429"/>
    </row>
    <row r="3276" spans="1:4" ht="15.75" x14ac:dyDescent="0.25">
      <c r="A3276" s="427"/>
      <c r="B3276" s="428"/>
      <c r="C3276" s="428"/>
      <c r="D3276" s="429"/>
    </row>
    <row r="3277" spans="1:4" ht="15.75" x14ac:dyDescent="0.25">
      <c r="A3277" s="427"/>
      <c r="B3277" s="428"/>
      <c r="C3277" s="428"/>
      <c r="D3277" s="429"/>
    </row>
    <row r="3278" spans="1:4" ht="15.75" x14ac:dyDescent="0.25">
      <c r="A3278" s="427"/>
      <c r="B3278" s="428"/>
      <c r="C3278" s="428"/>
      <c r="D3278" s="429"/>
    </row>
    <row r="3279" spans="1:4" ht="15.75" x14ac:dyDescent="0.25">
      <c r="A3279" s="427"/>
      <c r="B3279" s="428"/>
      <c r="C3279" s="428"/>
      <c r="D3279" s="429"/>
    </row>
    <row r="3280" spans="1:4" ht="15.75" x14ac:dyDescent="0.25">
      <c r="A3280" s="427"/>
      <c r="B3280" s="428"/>
      <c r="C3280" s="428"/>
      <c r="D3280" s="429"/>
    </row>
    <row r="3281" spans="1:4" ht="15.75" x14ac:dyDescent="0.25">
      <c r="A3281" s="427"/>
      <c r="B3281" s="428"/>
      <c r="C3281" s="428"/>
      <c r="D3281" s="429"/>
    </row>
    <row r="3282" spans="1:4" ht="15.75" x14ac:dyDescent="0.25">
      <c r="A3282" s="427"/>
      <c r="B3282" s="428"/>
      <c r="C3282" s="428"/>
      <c r="D3282" s="429"/>
    </row>
    <row r="3283" spans="1:4" ht="15.75" x14ac:dyDescent="0.25">
      <c r="A3283" s="427"/>
      <c r="B3283" s="428"/>
      <c r="C3283" s="428"/>
      <c r="D3283" s="429"/>
    </row>
    <row r="3284" spans="1:4" ht="15.75" x14ac:dyDescent="0.25">
      <c r="A3284" s="427"/>
      <c r="B3284" s="428"/>
      <c r="C3284" s="428"/>
      <c r="D3284" s="429"/>
    </row>
    <row r="3285" spans="1:4" ht="15.75" x14ac:dyDescent="0.25">
      <c r="A3285" s="427"/>
      <c r="B3285" s="428"/>
      <c r="C3285" s="428"/>
      <c r="D3285" s="429"/>
    </row>
    <row r="3286" spans="1:4" ht="15.75" x14ac:dyDescent="0.25">
      <c r="A3286" s="427"/>
      <c r="B3286" s="428"/>
      <c r="C3286" s="428"/>
      <c r="D3286" s="429"/>
    </row>
    <row r="3287" spans="1:4" ht="15.75" x14ac:dyDescent="0.25">
      <c r="A3287" s="427"/>
      <c r="B3287" s="428"/>
      <c r="C3287" s="428"/>
      <c r="D3287" s="429"/>
    </row>
    <row r="3288" spans="1:4" ht="15.75" x14ac:dyDescent="0.25">
      <c r="A3288" s="427"/>
      <c r="B3288" s="428"/>
      <c r="C3288" s="428"/>
      <c r="D3288" s="429"/>
    </row>
    <row r="3289" spans="1:4" ht="15.75" x14ac:dyDescent="0.25">
      <c r="A3289" s="427"/>
      <c r="B3289" s="428"/>
      <c r="C3289" s="428"/>
      <c r="D3289" s="429"/>
    </row>
    <row r="3290" spans="1:4" ht="15.75" x14ac:dyDescent="0.25">
      <c r="A3290" s="427"/>
      <c r="B3290" s="428"/>
      <c r="C3290" s="428"/>
      <c r="D3290" s="429"/>
    </row>
    <row r="3291" spans="1:4" ht="15.75" x14ac:dyDescent="0.25">
      <c r="A3291" s="427"/>
      <c r="B3291" s="428"/>
      <c r="C3291" s="428"/>
      <c r="D3291" s="429"/>
    </row>
    <row r="3292" spans="1:4" ht="15.75" x14ac:dyDescent="0.25">
      <c r="A3292" s="427"/>
      <c r="B3292" s="428"/>
      <c r="C3292" s="428"/>
      <c r="D3292" s="429"/>
    </row>
    <row r="3293" spans="1:4" ht="15.75" x14ac:dyDescent="0.25">
      <c r="A3293" s="427"/>
      <c r="B3293" s="428"/>
      <c r="C3293" s="428"/>
      <c r="D3293" s="429"/>
    </row>
    <row r="3294" spans="1:4" ht="15.75" x14ac:dyDescent="0.25">
      <c r="A3294" s="427"/>
      <c r="B3294" s="428"/>
      <c r="C3294" s="428"/>
      <c r="D3294" s="429"/>
    </row>
    <row r="3295" spans="1:4" ht="15.75" x14ac:dyDescent="0.25">
      <c r="A3295" s="427"/>
      <c r="B3295" s="428"/>
      <c r="C3295" s="428"/>
      <c r="D3295" s="429"/>
    </row>
    <row r="3296" spans="1:4" ht="15.75" x14ac:dyDescent="0.25">
      <c r="A3296" s="427"/>
      <c r="B3296" s="428"/>
      <c r="C3296" s="428"/>
      <c r="D3296" s="429"/>
    </row>
    <row r="3297" spans="1:4" ht="15.75" x14ac:dyDescent="0.25">
      <c r="A3297" s="427"/>
      <c r="B3297" s="428"/>
      <c r="C3297" s="428"/>
      <c r="D3297" s="429"/>
    </row>
    <row r="3298" spans="1:4" ht="15.75" x14ac:dyDescent="0.25">
      <c r="A3298" s="427"/>
      <c r="B3298" s="428"/>
      <c r="C3298" s="428"/>
      <c r="D3298" s="429"/>
    </row>
    <row r="3299" spans="1:4" ht="15.75" x14ac:dyDescent="0.25">
      <c r="A3299" s="427"/>
      <c r="B3299" s="428"/>
      <c r="C3299" s="428"/>
      <c r="D3299" s="429"/>
    </row>
    <row r="3300" spans="1:4" ht="15.75" x14ac:dyDescent="0.25">
      <c r="A3300" s="427"/>
      <c r="B3300" s="428"/>
      <c r="C3300" s="428"/>
      <c r="D3300" s="429"/>
    </row>
    <row r="3301" spans="1:4" ht="15.75" x14ac:dyDescent="0.25">
      <c r="A3301" s="427"/>
      <c r="B3301" s="428"/>
      <c r="C3301" s="428"/>
      <c r="D3301" s="429"/>
    </row>
    <row r="3302" spans="1:4" ht="15.75" x14ac:dyDescent="0.25">
      <c r="A3302" s="427"/>
      <c r="B3302" s="428"/>
      <c r="C3302" s="428"/>
      <c r="D3302" s="429"/>
    </row>
    <row r="3303" spans="1:4" ht="15.75" x14ac:dyDescent="0.25">
      <c r="A3303" s="427"/>
      <c r="B3303" s="428"/>
      <c r="C3303" s="428"/>
      <c r="D3303" s="429"/>
    </row>
    <row r="3304" spans="1:4" ht="15.75" x14ac:dyDescent="0.25">
      <c r="A3304" s="427"/>
      <c r="B3304" s="428"/>
      <c r="C3304" s="428"/>
      <c r="D3304" s="429"/>
    </row>
    <row r="3305" spans="1:4" ht="15.75" x14ac:dyDescent="0.25">
      <c r="A3305" s="427"/>
      <c r="B3305" s="428"/>
      <c r="C3305" s="428"/>
      <c r="D3305" s="429"/>
    </row>
    <row r="3306" spans="1:4" ht="15.75" x14ac:dyDescent="0.25">
      <c r="A3306" s="427"/>
      <c r="B3306" s="428"/>
      <c r="C3306" s="428"/>
      <c r="D3306" s="429"/>
    </row>
    <row r="3307" spans="1:4" ht="15.75" x14ac:dyDescent="0.25">
      <c r="A3307" s="427"/>
      <c r="B3307" s="428"/>
      <c r="C3307" s="428"/>
      <c r="D3307" s="429"/>
    </row>
    <row r="3308" spans="1:4" ht="15.75" x14ac:dyDescent="0.25">
      <c r="A3308" s="427"/>
      <c r="B3308" s="428"/>
      <c r="C3308" s="428"/>
      <c r="D3308" s="429"/>
    </row>
    <row r="3309" spans="1:4" ht="15.75" x14ac:dyDescent="0.25">
      <c r="A3309" s="427"/>
      <c r="B3309" s="428"/>
      <c r="C3309" s="428"/>
      <c r="D3309" s="429"/>
    </row>
    <row r="3310" spans="1:4" ht="15.75" x14ac:dyDescent="0.25">
      <c r="A3310" s="427"/>
      <c r="B3310" s="428"/>
      <c r="C3310" s="428"/>
      <c r="D3310" s="429"/>
    </row>
    <row r="3311" spans="1:4" ht="15.75" x14ac:dyDescent="0.25">
      <c r="A3311" s="427"/>
      <c r="B3311" s="428"/>
      <c r="C3311" s="428"/>
      <c r="D3311" s="429"/>
    </row>
    <row r="3312" spans="1:4" ht="15.75" x14ac:dyDescent="0.25">
      <c r="A3312" s="427"/>
      <c r="B3312" s="428"/>
      <c r="C3312" s="428"/>
      <c r="D3312" s="429"/>
    </row>
    <row r="3313" spans="1:4" ht="15.75" x14ac:dyDescent="0.25">
      <c r="A3313" s="427"/>
      <c r="B3313" s="428"/>
      <c r="C3313" s="428"/>
      <c r="D3313" s="429"/>
    </row>
    <row r="3314" spans="1:4" ht="15.75" x14ac:dyDescent="0.25">
      <c r="A3314" s="427"/>
      <c r="B3314" s="428"/>
      <c r="C3314" s="428"/>
      <c r="D3314" s="429"/>
    </row>
    <row r="3315" spans="1:4" ht="15.75" x14ac:dyDescent="0.25">
      <c r="A3315" s="427"/>
      <c r="B3315" s="428"/>
      <c r="C3315" s="428"/>
      <c r="D3315" s="429"/>
    </row>
    <row r="3316" spans="1:4" ht="15.75" x14ac:dyDescent="0.25">
      <c r="A3316" s="427"/>
      <c r="B3316" s="428"/>
      <c r="C3316" s="428"/>
      <c r="D3316" s="429"/>
    </row>
    <row r="3317" spans="1:4" ht="15.75" x14ac:dyDescent="0.25">
      <c r="A3317" s="427"/>
      <c r="B3317" s="428"/>
      <c r="C3317" s="428"/>
      <c r="D3317" s="429"/>
    </row>
    <row r="3318" spans="1:4" ht="15.75" x14ac:dyDescent="0.25">
      <c r="A3318" s="427"/>
      <c r="B3318" s="428"/>
      <c r="C3318" s="428"/>
      <c r="D3318" s="429"/>
    </row>
    <row r="3319" spans="1:4" ht="15.75" x14ac:dyDescent="0.25">
      <c r="A3319" s="427"/>
      <c r="B3319" s="428"/>
      <c r="C3319" s="428"/>
      <c r="D3319" s="429"/>
    </row>
    <row r="3320" spans="1:4" ht="15.75" x14ac:dyDescent="0.25">
      <c r="A3320" s="427"/>
      <c r="B3320" s="428"/>
      <c r="C3320" s="428"/>
      <c r="D3320" s="429"/>
    </row>
    <row r="3321" spans="1:4" ht="15.75" x14ac:dyDescent="0.25">
      <c r="A3321" s="427"/>
      <c r="B3321" s="428"/>
      <c r="C3321" s="428"/>
      <c r="D3321" s="429"/>
    </row>
    <row r="3322" spans="1:4" ht="15.75" x14ac:dyDescent="0.25">
      <c r="A3322" s="427"/>
      <c r="B3322" s="428"/>
      <c r="C3322" s="428"/>
      <c r="D3322" s="429"/>
    </row>
    <row r="3323" spans="1:4" ht="15.75" x14ac:dyDescent="0.25">
      <c r="A3323" s="427"/>
      <c r="B3323" s="428"/>
      <c r="C3323" s="428"/>
      <c r="D3323" s="429"/>
    </row>
    <row r="3324" spans="1:4" ht="15.75" x14ac:dyDescent="0.25">
      <c r="A3324" s="427"/>
      <c r="B3324" s="428"/>
      <c r="C3324" s="428"/>
      <c r="D3324" s="429"/>
    </row>
    <row r="3325" spans="1:4" ht="15.75" x14ac:dyDescent="0.25">
      <c r="A3325" s="427"/>
      <c r="B3325" s="428"/>
      <c r="C3325" s="428"/>
      <c r="D3325" s="429"/>
    </row>
    <row r="3326" spans="1:4" ht="15.75" x14ac:dyDescent="0.25">
      <c r="A3326" s="427"/>
      <c r="B3326" s="428"/>
      <c r="C3326" s="428"/>
      <c r="D3326" s="429"/>
    </row>
    <row r="3327" spans="1:4" ht="15.75" x14ac:dyDescent="0.25">
      <c r="A3327" s="427"/>
      <c r="B3327" s="428"/>
      <c r="C3327" s="428"/>
      <c r="D3327" s="429"/>
    </row>
    <row r="3328" spans="1:4" ht="15.75" x14ac:dyDescent="0.25">
      <c r="A3328" s="427"/>
      <c r="B3328" s="428"/>
      <c r="C3328" s="428"/>
      <c r="D3328" s="429"/>
    </row>
    <row r="3329" spans="1:4" ht="15.75" x14ac:dyDescent="0.25">
      <c r="A3329" s="427"/>
      <c r="B3329" s="428"/>
      <c r="C3329" s="428"/>
      <c r="D3329" s="429"/>
    </row>
    <row r="3330" spans="1:4" ht="15.75" x14ac:dyDescent="0.25">
      <c r="A3330" s="427"/>
      <c r="B3330" s="428"/>
      <c r="C3330" s="428"/>
      <c r="D3330" s="429"/>
    </row>
    <row r="3331" spans="1:4" ht="15.75" x14ac:dyDescent="0.25">
      <c r="A3331" s="427"/>
      <c r="B3331" s="428"/>
      <c r="C3331" s="428"/>
      <c r="D3331" s="429"/>
    </row>
    <row r="3332" spans="1:4" ht="15.75" x14ac:dyDescent="0.25">
      <c r="A3332" s="427"/>
      <c r="B3332" s="428"/>
      <c r="C3332" s="428"/>
      <c r="D3332" s="429"/>
    </row>
    <row r="3333" spans="1:4" ht="15.75" x14ac:dyDescent="0.25">
      <c r="A3333" s="427"/>
      <c r="B3333" s="428"/>
      <c r="C3333" s="428"/>
      <c r="D3333" s="429"/>
    </row>
    <row r="3334" spans="1:4" ht="15.75" x14ac:dyDescent="0.25">
      <c r="A3334" s="427"/>
      <c r="B3334" s="428"/>
      <c r="C3334" s="428"/>
      <c r="D3334" s="429"/>
    </row>
    <row r="3335" spans="1:4" ht="15.75" x14ac:dyDescent="0.25">
      <c r="A3335" s="427"/>
      <c r="B3335" s="428"/>
      <c r="C3335" s="428"/>
      <c r="D3335" s="429"/>
    </row>
    <row r="3336" spans="1:4" ht="15.75" x14ac:dyDescent="0.25">
      <c r="A3336" s="427"/>
      <c r="B3336" s="428"/>
      <c r="C3336" s="428"/>
      <c r="D3336" s="429"/>
    </row>
    <row r="3337" spans="1:4" ht="15.75" x14ac:dyDescent="0.25">
      <c r="A3337" s="427"/>
      <c r="B3337" s="428"/>
      <c r="C3337" s="428"/>
      <c r="D3337" s="429"/>
    </row>
    <row r="3338" spans="1:4" ht="15.75" x14ac:dyDescent="0.25">
      <c r="A3338" s="427"/>
      <c r="B3338" s="428"/>
      <c r="C3338" s="428"/>
      <c r="D3338" s="429"/>
    </row>
    <row r="3339" spans="1:4" ht="15.75" x14ac:dyDescent="0.25">
      <c r="A3339" s="427"/>
      <c r="B3339" s="428"/>
      <c r="C3339" s="428"/>
      <c r="D3339" s="429"/>
    </row>
    <row r="3340" spans="1:4" ht="15.75" x14ac:dyDescent="0.25">
      <c r="A3340" s="427"/>
      <c r="B3340" s="428"/>
      <c r="C3340" s="428"/>
      <c r="D3340" s="429"/>
    </row>
    <row r="3341" spans="1:4" ht="15.75" x14ac:dyDescent="0.25">
      <c r="A3341" s="427"/>
      <c r="B3341" s="428"/>
      <c r="C3341" s="428"/>
      <c r="D3341" s="429"/>
    </row>
    <row r="3342" spans="1:4" ht="15.75" x14ac:dyDescent="0.25">
      <c r="A3342" s="427"/>
      <c r="B3342" s="428"/>
      <c r="C3342" s="428"/>
      <c r="D3342" s="429"/>
    </row>
    <row r="3343" spans="1:4" ht="15.75" x14ac:dyDescent="0.25">
      <c r="A3343" s="427"/>
      <c r="B3343" s="428"/>
      <c r="C3343" s="428"/>
      <c r="D3343" s="429"/>
    </row>
    <row r="3344" spans="1:4" ht="15.75" x14ac:dyDescent="0.25">
      <c r="A3344" s="427"/>
      <c r="B3344" s="428"/>
      <c r="C3344" s="428"/>
      <c r="D3344" s="429"/>
    </row>
    <row r="3345" spans="1:4" ht="15.75" x14ac:dyDescent="0.25">
      <c r="A3345" s="427"/>
      <c r="B3345" s="428"/>
      <c r="C3345" s="428"/>
      <c r="D3345" s="429"/>
    </row>
    <row r="3346" spans="1:4" ht="15.75" x14ac:dyDescent="0.25">
      <c r="A3346" s="427"/>
      <c r="B3346" s="428"/>
      <c r="C3346" s="428"/>
      <c r="D3346" s="429"/>
    </row>
    <row r="3347" spans="1:4" ht="15.75" x14ac:dyDescent="0.25">
      <c r="A3347" s="427"/>
      <c r="B3347" s="428"/>
      <c r="C3347" s="428"/>
      <c r="D3347" s="429"/>
    </row>
    <row r="3348" spans="1:4" ht="15.75" x14ac:dyDescent="0.25">
      <c r="A3348" s="427"/>
      <c r="B3348" s="428"/>
      <c r="C3348" s="428"/>
      <c r="D3348" s="429"/>
    </row>
    <row r="3349" spans="1:4" ht="15.75" x14ac:dyDescent="0.25">
      <c r="A3349" s="427"/>
      <c r="B3349" s="428"/>
      <c r="C3349" s="428"/>
      <c r="D3349" s="429"/>
    </row>
    <row r="3350" spans="1:4" ht="15.75" x14ac:dyDescent="0.25">
      <c r="A3350" s="427"/>
      <c r="B3350" s="428"/>
      <c r="C3350" s="428"/>
      <c r="D3350" s="429"/>
    </row>
    <row r="3351" spans="1:4" ht="15.75" x14ac:dyDescent="0.25">
      <c r="A3351" s="427"/>
      <c r="B3351" s="428"/>
      <c r="C3351" s="428"/>
      <c r="D3351" s="429"/>
    </row>
    <row r="3352" spans="1:4" ht="15.75" x14ac:dyDescent="0.25">
      <c r="A3352" s="427"/>
      <c r="B3352" s="428"/>
      <c r="C3352" s="428"/>
      <c r="D3352" s="429"/>
    </row>
    <row r="3353" spans="1:4" ht="15.75" x14ac:dyDescent="0.25">
      <c r="A3353" s="427"/>
      <c r="B3353" s="428"/>
      <c r="C3353" s="428"/>
      <c r="D3353" s="429"/>
    </row>
    <row r="3354" spans="1:4" ht="15.75" x14ac:dyDescent="0.25">
      <c r="A3354" s="427"/>
      <c r="B3354" s="428"/>
      <c r="C3354" s="428"/>
      <c r="D3354" s="429"/>
    </row>
    <row r="3355" spans="1:4" ht="15.75" x14ac:dyDescent="0.25">
      <c r="A3355" s="427"/>
      <c r="B3355" s="428"/>
      <c r="C3355" s="428"/>
      <c r="D3355" s="429"/>
    </row>
    <row r="3356" spans="1:4" ht="15.75" x14ac:dyDescent="0.25">
      <c r="A3356" s="427"/>
      <c r="B3356" s="428"/>
      <c r="C3356" s="428"/>
      <c r="D3356" s="429"/>
    </row>
    <row r="3357" spans="1:4" ht="15.75" x14ac:dyDescent="0.25">
      <c r="A3357" s="427"/>
      <c r="B3357" s="428"/>
      <c r="C3357" s="428"/>
      <c r="D3357" s="429"/>
    </row>
    <row r="3358" spans="1:4" ht="15.75" x14ac:dyDescent="0.25">
      <c r="A3358" s="427"/>
      <c r="B3358" s="428"/>
      <c r="C3358" s="428"/>
      <c r="D3358" s="429"/>
    </row>
    <row r="3359" spans="1:4" ht="15.75" x14ac:dyDescent="0.25">
      <c r="A3359" s="427"/>
      <c r="B3359" s="428"/>
      <c r="C3359" s="428"/>
      <c r="D3359" s="429"/>
    </row>
    <row r="3360" spans="1:4" ht="15.75" x14ac:dyDescent="0.25">
      <c r="A3360" s="427"/>
      <c r="B3360" s="428"/>
      <c r="C3360" s="428"/>
      <c r="D3360" s="429"/>
    </row>
    <row r="3361" spans="1:4" ht="15.75" x14ac:dyDescent="0.25">
      <c r="A3361" s="427"/>
      <c r="B3361" s="428"/>
      <c r="C3361" s="428"/>
      <c r="D3361" s="429"/>
    </row>
    <row r="3362" spans="1:4" ht="15.75" x14ac:dyDescent="0.25">
      <c r="A3362" s="427"/>
      <c r="B3362" s="428"/>
      <c r="C3362" s="428"/>
      <c r="D3362" s="429"/>
    </row>
    <row r="3363" spans="1:4" ht="15.75" x14ac:dyDescent="0.25">
      <c r="A3363" s="427"/>
      <c r="B3363" s="428"/>
      <c r="C3363" s="428"/>
      <c r="D3363" s="429"/>
    </row>
    <row r="3364" spans="1:4" ht="15.75" x14ac:dyDescent="0.25">
      <c r="A3364" s="427"/>
      <c r="B3364" s="428"/>
      <c r="C3364" s="428"/>
      <c r="D3364" s="429"/>
    </row>
    <row r="3365" spans="1:4" ht="15.75" x14ac:dyDescent="0.25">
      <c r="A3365" s="427"/>
      <c r="B3365" s="428"/>
      <c r="C3365" s="428"/>
      <c r="D3365" s="429"/>
    </row>
    <row r="3366" spans="1:4" ht="15.75" x14ac:dyDescent="0.25">
      <c r="A3366" s="427"/>
      <c r="B3366" s="428"/>
      <c r="C3366" s="428"/>
      <c r="D3366" s="429"/>
    </row>
    <row r="3367" spans="1:4" ht="15.75" x14ac:dyDescent="0.25">
      <c r="A3367" s="427"/>
      <c r="B3367" s="428"/>
      <c r="C3367" s="428"/>
      <c r="D3367" s="429"/>
    </row>
    <row r="3368" spans="1:4" ht="15.75" x14ac:dyDescent="0.25">
      <c r="A3368" s="427"/>
      <c r="B3368" s="428"/>
      <c r="C3368" s="428"/>
      <c r="D3368" s="429"/>
    </row>
    <row r="3369" spans="1:4" ht="15.75" x14ac:dyDescent="0.25">
      <c r="A3369" s="427"/>
      <c r="B3369" s="428"/>
      <c r="C3369" s="428"/>
      <c r="D3369" s="429"/>
    </row>
    <row r="3370" spans="1:4" ht="15.75" x14ac:dyDescent="0.25">
      <c r="A3370" s="427"/>
      <c r="B3370" s="428"/>
      <c r="C3370" s="428"/>
      <c r="D3370" s="429"/>
    </row>
    <row r="3371" spans="1:4" ht="15.75" x14ac:dyDescent="0.25">
      <c r="A3371" s="427"/>
      <c r="B3371" s="428"/>
      <c r="C3371" s="428"/>
      <c r="D3371" s="429"/>
    </row>
    <row r="3372" spans="1:4" ht="15.75" x14ac:dyDescent="0.25">
      <c r="A3372" s="427"/>
      <c r="B3372" s="428"/>
      <c r="C3372" s="428"/>
      <c r="D3372" s="429"/>
    </row>
    <row r="3373" spans="1:4" ht="15.75" x14ac:dyDescent="0.25">
      <c r="A3373" s="427"/>
      <c r="B3373" s="428"/>
      <c r="C3373" s="428"/>
      <c r="D3373" s="429"/>
    </row>
    <row r="3374" spans="1:4" ht="15.75" x14ac:dyDescent="0.25">
      <c r="A3374" s="427"/>
      <c r="B3374" s="428"/>
      <c r="C3374" s="428"/>
      <c r="D3374" s="429"/>
    </row>
    <row r="3375" spans="1:4" ht="15.75" x14ac:dyDescent="0.25">
      <c r="A3375" s="427"/>
      <c r="B3375" s="428"/>
      <c r="C3375" s="428"/>
      <c r="D3375" s="429"/>
    </row>
    <row r="3376" spans="1:4" ht="15.75" x14ac:dyDescent="0.25">
      <c r="A3376" s="427"/>
      <c r="B3376" s="428"/>
      <c r="C3376" s="428"/>
      <c r="D3376" s="429"/>
    </row>
    <row r="3377" spans="1:4" ht="15.75" x14ac:dyDescent="0.25">
      <c r="A3377" s="427"/>
      <c r="B3377" s="428"/>
      <c r="C3377" s="428"/>
      <c r="D3377" s="429"/>
    </row>
    <row r="3378" spans="1:4" ht="15.75" x14ac:dyDescent="0.25">
      <c r="A3378" s="427"/>
      <c r="B3378" s="428"/>
      <c r="C3378" s="428"/>
      <c r="D3378" s="429"/>
    </row>
    <row r="3379" spans="1:4" ht="15.75" x14ac:dyDescent="0.25">
      <c r="A3379" s="427"/>
      <c r="B3379" s="428"/>
      <c r="C3379" s="428"/>
      <c r="D3379" s="429"/>
    </row>
    <row r="3380" spans="1:4" ht="15.75" x14ac:dyDescent="0.25">
      <c r="A3380" s="427"/>
      <c r="B3380" s="428"/>
      <c r="C3380" s="428"/>
      <c r="D3380" s="429"/>
    </row>
    <row r="3381" spans="1:4" ht="15.75" x14ac:dyDescent="0.25">
      <c r="A3381" s="427"/>
      <c r="B3381" s="428"/>
      <c r="C3381" s="428"/>
      <c r="D3381" s="429"/>
    </row>
    <row r="3382" spans="1:4" ht="15.75" x14ac:dyDescent="0.25">
      <c r="A3382" s="427"/>
      <c r="B3382" s="428"/>
      <c r="C3382" s="428"/>
      <c r="D3382" s="429"/>
    </row>
    <row r="3383" spans="1:4" ht="15.75" x14ac:dyDescent="0.25">
      <c r="A3383" s="427"/>
      <c r="B3383" s="428"/>
      <c r="C3383" s="428"/>
      <c r="D3383" s="429"/>
    </row>
    <row r="3384" spans="1:4" ht="15.75" x14ac:dyDescent="0.25">
      <c r="A3384" s="427"/>
      <c r="B3384" s="428"/>
      <c r="C3384" s="428"/>
      <c r="D3384" s="429"/>
    </row>
    <row r="3385" spans="1:4" ht="15.75" x14ac:dyDescent="0.25">
      <c r="A3385" s="427"/>
      <c r="B3385" s="428"/>
      <c r="C3385" s="428"/>
      <c r="D3385" s="429"/>
    </row>
    <row r="3386" spans="1:4" ht="15.75" x14ac:dyDescent="0.25">
      <c r="A3386" s="427"/>
      <c r="B3386" s="428"/>
      <c r="C3386" s="428"/>
      <c r="D3386" s="429"/>
    </row>
    <row r="3387" spans="1:4" ht="15.75" x14ac:dyDescent="0.25">
      <c r="A3387" s="427"/>
      <c r="B3387" s="428"/>
      <c r="C3387" s="428"/>
      <c r="D3387" s="429"/>
    </row>
    <row r="3388" spans="1:4" ht="15.75" x14ac:dyDescent="0.25">
      <c r="A3388" s="427"/>
      <c r="B3388" s="428"/>
      <c r="C3388" s="428"/>
      <c r="D3388" s="429"/>
    </row>
    <row r="3389" spans="1:4" ht="15.75" x14ac:dyDescent="0.25">
      <c r="A3389" s="427"/>
      <c r="B3389" s="428"/>
      <c r="C3389" s="428"/>
      <c r="D3389" s="429"/>
    </row>
    <row r="3390" spans="1:4" ht="15.75" x14ac:dyDescent="0.25">
      <c r="A3390" s="427"/>
      <c r="B3390" s="428"/>
      <c r="C3390" s="428"/>
      <c r="D3390" s="429"/>
    </row>
    <row r="3391" spans="1:4" ht="15.75" x14ac:dyDescent="0.25">
      <c r="A3391" s="427"/>
      <c r="B3391" s="428"/>
      <c r="C3391" s="428"/>
      <c r="D3391" s="429"/>
    </row>
    <row r="3392" spans="1:4" ht="15.75" x14ac:dyDescent="0.25">
      <c r="A3392" s="427"/>
      <c r="B3392" s="428"/>
      <c r="C3392" s="428"/>
      <c r="D3392" s="429"/>
    </row>
    <row r="3393" spans="1:4" ht="15.75" x14ac:dyDescent="0.25">
      <c r="A3393" s="427"/>
      <c r="B3393" s="428"/>
      <c r="C3393" s="428"/>
      <c r="D3393" s="429"/>
    </row>
    <row r="3394" spans="1:4" ht="15.75" x14ac:dyDescent="0.25">
      <c r="A3394" s="427"/>
      <c r="B3394" s="428"/>
      <c r="C3394" s="428"/>
      <c r="D3394" s="429"/>
    </row>
    <row r="3395" spans="1:4" ht="15.75" x14ac:dyDescent="0.25">
      <c r="A3395" s="427"/>
      <c r="B3395" s="428"/>
      <c r="C3395" s="428"/>
      <c r="D3395" s="429"/>
    </row>
    <row r="3396" spans="1:4" ht="15.75" x14ac:dyDescent="0.25">
      <c r="A3396" s="427"/>
      <c r="B3396" s="428"/>
      <c r="C3396" s="428"/>
      <c r="D3396" s="429"/>
    </row>
    <row r="3397" spans="1:4" ht="15.75" x14ac:dyDescent="0.25">
      <c r="A3397" s="427"/>
      <c r="B3397" s="428"/>
      <c r="C3397" s="428"/>
      <c r="D3397" s="429"/>
    </row>
    <row r="3398" spans="1:4" ht="15.75" x14ac:dyDescent="0.25">
      <c r="A3398" s="427"/>
      <c r="B3398" s="428"/>
      <c r="C3398" s="428"/>
      <c r="D3398" s="429"/>
    </row>
    <row r="3399" spans="1:4" ht="15.75" x14ac:dyDescent="0.25">
      <c r="A3399" s="427"/>
      <c r="B3399" s="428"/>
      <c r="C3399" s="428"/>
      <c r="D3399" s="429"/>
    </row>
    <row r="3400" spans="1:4" ht="15.75" x14ac:dyDescent="0.25">
      <c r="A3400" s="427"/>
      <c r="B3400" s="428"/>
      <c r="C3400" s="428"/>
      <c r="D3400" s="429"/>
    </row>
    <row r="3401" spans="1:4" ht="15.75" x14ac:dyDescent="0.25">
      <c r="A3401" s="427"/>
      <c r="B3401" s="428"/>
      <c r="C3401" s="428"/>
      <c r="D3401" s="429"/>
    </row>
    <row r="3402" spans="1:4" ht="15.75" x14ac:dyDescent="0.25">
      <c r="A3402" s="427"/>
      <c r="B3402" s="428"/>
      <c r="C3402" s="428"/>
      <c r="D3402" s="429"/>
    </row>
    <row r="3403" spans="1:4" ht="15.75" x14ac:dyDescent="0.25">
      <c r="A3403" s="427"/>
      <c r="B3403" s="428"/>
      <c r="C3403" s="428"/>
      <c r="D3403" s="429"/>
    </row>
    <row r="3404" spans="1:4" ht="15.75" x14ac:dyDescent="0.25">
      <c r="A3404" s="427"/>
      <c r="B3404" s="428"/>
      <c r="C3404" s="428"/>
      <c r="D3404" s="429"/>
    </row>
    <row r="3405" spans="1:4" ht="15.75" x14ac:dyDescent="0.25">
      <c r="A3405" s="427"/>
      <c r="B3405" s="428"/>
      <c r="C3405" s="428"/>
      <c r="D3405" s="429"/>
    </row>
    <row r="3406" spans="1:4" ht="15.75" x14ac:dyDescent="0.25">
      <c r="A3406" s="427"/>
      <c r="B3406" s="428"/>
      <c r="C3406" s="428"/>
      <c r="D3406" s="429"/>
    </row>
    <row r="3407" spans="1:4" ht="15.75" x14ac:dyDescent="0.25">
      <c r="A3407" s="427"/>
      <c r="B3407" s="428"/>
      <c r="C3407" s="428"/>
      <c r="D3407" s="429"/>
    </row>
    <row r="3408" spans="1:4" ht="15.75" x14ac:dyDescent="0.25">
      <c r="A3408" s="427"/>
      <c r="B3408" s="428"/>
      <c r="C3408" s="428"/>
      <c r="D3408" s="429"/>
    </row>
    <row r="3409" spans="1:4" ht="15.75" x14ac:dyDescent="0.25">
      <c r="A3409" s="427"/>
      <c r="B3409" s="428"/>
      <c r="C3409" s="428"/>
      <c r="D3409" s="429"/>
    </row>
    <row r="3410" spans="1:4" ht="15.75" x14ac:dyDescent="0.25">
      <c r="A3410" s="427"/>
      <c r="B3410" s="428"/>
      <c r="C3410" s="428"/>
      <c r="D3410" s="429"/>
    </row>
    <row r="3411" spans="1:4" ht="15.75" x14ac:dyDescent="0.25">
      <c r="A3411" s="427"/>
      <c r="B3411" s="428"/>
      <c r="C3411" s="428"/>
      <c r="D3411" s="429"/>
    </row>
    <row r="3412" spans="1:4" ht="15.75" x14ac:dyDescent="0.25">
      <c r="A3412" s="427"/>
      <c r="B3412" s="428"/>
      <c r="C3412" s="428"/>
      <c r="D3412" s="429"/>
    </row>
    <row r="3413" spans="1:4" ht="15.75" x14ac:dyDescent="0.25">
      <c r="A3413" s="427"/>
      <c r="B3413" s="428"/>
      <c r="C3413" s="428"/>
      <c r="D3413" s="429"/>
    </row>
    <row r="3414" spans="1:4" ht="15.75" x14ac:dyDescent="0.25">
      <c r="A3414" s="427"/>
      <c r="B3414" s="428"/>
      <c r="C3414" s="428"/>
      <c r="D3414" s="429"/>
    </row>
    <row r="3415" spans="1:4" ht="15.75" x14ac:dyDescent="0.25">
      <c r="A3415" s="427"/>
      <c r="B3415" s="428"/>
      <c r="C3415" s="428"/>
      <c r="D3415" s="429"/>
    </row>
    <row r="3416" spans="1:4" ht="15.75" x14ac:dyDescent="0.25">
      <c r="A3416" s="427"/>
      <c r="B3416" s="428"/>
      <c r="C3416" s="428"/>
      <c r="D3416" s="429"/>
    </row>
    <row r="3417" spans="1:4" ht="15.75" x14ac:dyDescent="0.25">
      <c r="A3417" s="427"/>
      <c r="B3417" s="428"/>
      <c r="C3417" s="428"/>
      <c r="D3417" s="429"/>
    </row>
    <row r="3418" spans="1:4" ht="15.75" x14ac:dyDescent="0.25">
      <c r="A3418" s="427"/>
      <c r="B3418" s="428"/>
      <c r="C3418" s="428"/>
      <c r="D3418" s="429"/>
    </row>
    <row r="3419" spans="1:4" ht="15.75" x14ac:dyDescent="0.25">
      <c r="A3419" s="427"/>
      <c r="B3419" s="428"/>
      <c r="C3419" s="428"/>
      <c r="D3419" s="429"/>
    </row>
    <row r="3420" spans="1:4" ht="15.75" x14ac:dyDescent="0.25">
      <c r="A3420" s="427"/>
      <c r="B3420" s="428"/>
      <c r="C3420" s="428"/>
      <c r="D3420" s="429"/>
    </row>
    <row r="3421" spans="1:4" ht="15.75" x14ac:dyDescent="0.25">
      <c r="A3421" s="427"/>
      <c r="B3421" s="428"/>
      <c r="C3421" s="428"/>
      <c r="D3421" s="429"/>
    </row>
    <row r="3422" spans="1:4" ht="15.75" x14ac:dyDescent="0.25">
      <c r="A3422" s="427"/>
      <c r="B3422" s="428"/>
      <c r="C3422" s="428"/>
      <c r="D3422" s="429"/>
    </row>
    <row r="3423" spans="1:4" ht="15.75" x14ac:dyDescent="0.25">
      <c r="A3423" s="427"/>
      <c r="B3423" s="428"/>
      <c r="C3423" s="428"/>
      <c r="D3423" s="429"/>
    </row>
    <row r="3424" spans="1:4" ht="15.75" x14ac:dyDescent="0.25">
      <c r="A3424" s="427"/>
      <c r="B3424" s="428"/>
      <c r="C3424" s="428"/>
      <c r="D3424" s="429"/>
    </row>
    <row r="3425" spans="1:4" ht="15.75" x14ac:dyDescent="0.25">
      <c r="A3425" s="427"/>
      <c r="B3425" s="428"/>
      <c r="C3425" s="428"/>
      <c r="D3425" s="429"/>
    </row>
    <row r="3426" spans="1:4" ht="15.75" x14ac:dyDescent="0.25">
      <c r="A3426" s="427"/>
      <c r="B3426" s="428"/>
      <c r="C3426" s="428"/>
      <c r="D3426" s="429"/>
    </row>
    <row r="3427" spans="1:4" ht="15.75" x14ac:dyDescent="0.25">
      <c r="A3427" s="427"/>
      <c r="B3427" s="428"/>
      <c r="C3427" s="428"/>
      <c r="D3427" s="429"/>
    </row>
    <row r="3428" spans="1:4" ht="15.75" x14ac:dyDescent="0.25">
      <c r="A3428" s="427"/>
      <c r="B3428" s="428"/>
      <c r="C3428" s="428"/>
      <c r="D3428" s="429"/>
    </row>
    <row r="3429" spans="1:4" ht="15.75" x14ac:dyDescent="0.25">
      <c r="A3429" s="427"/>
      <c r="B3429" s="428"/>
      <c r="C3429" s="428"/>
      <c r="D3429" s="429"/>
    </row>
    <row r="3430" spans="1:4" ht="15.75" x14ac:dyDescent="0.25">
      <c r="A3430" s="427"/>
      <c r="B3430" s="428"/>
      <c r="C3430" s="428"/>
      <c r="D3430" s="429"/>
    </row>
    <row r="3431" spans="1:4" ht="15.75" x14ac:dyDescent="0.25">
      <c r="A3431" s="427"/>
      <c r="B3431" s="428"/>
      <c r="C3431" s="428"/>
      <c r="D3431" s="429"/>
    </row>
    <row r="3432" spans="1:4" ht="15.75" x14ac:dyDescent="0.25">
      <c r="A3432" s="427"/>
      <c r="B3432" s="428"/>
      <c r="C3432" s="428"/>
      <c r="D3432" s="429"/>
    </row>
    <row r="3433" spans="1:4" ht="15.75" x14ac:dyDescent="0.25">
      <c r="A3433" s="427"/>
      <c r="B3433" s="428"/>
      <c r="C3433" s="428"/>
      <c r="D3433" s="429"/>
    </row>
    <row r="3434" spans="1:4" ht="15.75" x14ac:dyDescent="0.25">
      <c r="A3434" s="427"/>
      <c r="B3434" s="428"/>
      <c r="C3434" s="428"/>
      <c r="D3434" s="429"/>
    </row>
    <row r="3435" spans="1:4" ht="15.75" x14ac:dyDescent="0.25">
      <c r="A3435" s="427"/>
      <c r="B3435" s="428"/>
      <c r="C3435" s="428"/>
      <c r="D3435" s="429"/>
    </row>
    <row r="3436" spans="1:4" ht="15.75" x14ac:dyDescent="0.25">
      <c r="A3436" s="427"/>
      <c r="B3436" s="428"/>
      <c r="C3436" s="428"/>
      <c r="D3436" s="429"/>
    </row>
    <row r="3437" spans="1:4" ht="15.75" x14ac:dyDescent="0.25">
      <c r="A3437" s="427"/>
      <c r="B3437" s="428"/>
      <c r="C3437" s="428"/>
      <c r="D3437" s="429"/>
    </row>
    <row r="3438" spans="1:4" ht="15.75" x14ac:dyDescent="0.25">
      <c r="A3438" s="427"/>
      <c r="B3438" s="428"/>
      <c r="C3438" s="428"/>
      <c r="D3438" s="429"/>
    </row>
    <row r="3439" spans="1:4" ht="15.75" x14ac:dyDescent="0.25">
      <c r="A3439" s="427"/>
      <c r="B3439" s="428"/>
      <c r="C3439" s="428"/>
      <c r="D3439" s="429"/>
    </row>
    <row r="3440" spans="1:4" ht="15.75" x14ac:dyDescent="0.25">
      <c r="A3440" s="427"/>
      <c r="B3440" s="428"/>
      <c r="C3440" s="428"/>
      <c r="D3440" s="429"/>
    </row>
    <row r="3441" spans="1:4" ht="15.75" x14ac:dyDescent="0.25">
      <c r="A3441" s="427"/>
      <c r="B3441" s="428"/>
      <c r="C3441" s="428"/>
      <c r="D3441" s="429"/>
    </row>
    <row r="3442" spans="1:4" ht="15.75" x14ac:dyDescent="0.25">
      <c r="A3442" s="427"/>
      <c r="B3442" s="428"/>
      <c r="C3442" s="428"/>
      <c r="D3442" s="429"/>
    </row>
    <row r="3443" spans="1:4" ht="15.75" x14ac:dyDescent="0.25">
      <c r="A3443" s="427"/>
      <c r="B3443" s="428"/>
      <c r="C3443" s="428"/>
      <c r="D3443" s="429"/>
    </row>
    <row r="3444" spans="1:4" ht="15.75" x14ac:dyDescent="0.25">
      <c r="A3444" s="427"/>
      <c r="B3444" s="428"/>
      <c r="C3444" s="428"/>
      <c r="D3444" s="429"/>
    </row>
    <row r="3445" spans="1:4" ht="15.75" x14ac:dyDescent="0.25">
      <c r="A3445" s="427"/>
      <c r="B3445" s="428"/>
      <c r="C3445" s="428"/>
      <c r="D3445" s="429"/>
    </row>
    <row r="3446" spans="1:4" ht="15.75" x14ac:dyDescent="0.25">
      <c r="A3446" s="427"/>
      <c r="B3446" s="428"/>
      <c r="C3446" s="428"/>
      <c r="D3446" s="429"/>
    </row>
    <row r="3447" spans="1:4" ht="15.75" x14ac:dyDescent="0.25">
      <c r="A3447" s="427"/>
      <c r="B3447" s="428"/>
      <c r="C3447" s="428"/>
      <c r="D3447" s="429"/>
    </row>
    <row r="3448" spans="1:4" ht="15.75" x14ac:dyDescent="0.25">
      <c r="A3448" s="427"/>
      <c r="B3448" s="428"/>
      <c r="C3448" s="428"/>
      <c r="D3448" s="429"/>
    </row>
    <row r="3449" spans="1:4" ht="15.75" x14ac:dyDescent="0.25">
      <c r="A3449" s="427"/>
      <c r="B3449" s="428"/>
      <c r="C3449" s="428"/>
      <c r="D3449" s="429"/>
    </row>
    <row r="3450" spans="1:4" ht="15.75" x14ac:dyDescent="0.25">
      <c r="A3450" s="427"/>
      <c r="B3450" s="428"/>
      <c r="C3450" s="428"/>
      <c r="D3450" s="429"/>
    </row>
    <row r="3451" spans="1:4" ht="15.75" x14ac:dyDescent="0.25">
      <c r="A3451" s="427"/>
      <c r="B3451" s="428"/>
      <c r="C3451" s="428"/>
      <c r="D3451" s="429"/>
    </row>
    <row r="3452" spans="1:4" ht="15.75" x14ac:dyDescent="0.25">
      <c r="A3452" s="427"/>
      <c r="B3452" s="428"/>
      <c r="C3452" s="428"/>
      <c r="D3452" s="429"/>
    </row>
    <row r="3453" spans="1:4" ht="15.75" x14ac:dyDescent="0.25">
      <c r="A3453" s="427"/>
      <c r="B3453" s="428"/>
      <c r="C3453" s="428"/>
      <c r="D3453" s="429"/>
    </row>
    <row r="3454" spans="1:4" ht="15.75" x14ac:dyDescent="0.25">
      <c r="A3454" s="427"/>
      <c r="B3454" s="428"/>
      <c r="C3454" s="428"/>
      <c r="D3454" s="429"/>
    </row>
    <row r="3455" spans="1:4" ht="15.75" x14ac:dyDescent="0.25">
      <c r="A3455" s="427"/>
      <c r="B3455" s="428"/>
      <c r="C3455" s="428"/>
      <c r="D3455" s="429"/>
    </row>
    <row r="3456" spans="1:4" ht="15.75" x14ac:dyDescent="0.25">
      <c r="A3456" s="427"/>
      <c r="B3456" s="428"/>
      <c r="C3456" s="428"/>
      <c r="D3456" s="429"/>
    </row>
    <row r="3457" spans="1:4" ht="15.75" x14ac:dyDescent="0.25">
      <c r="A3457" s="427"/>
      <c r="B3457" s="428"/>
      <c r="C3457" s="428"/>
      <c r="D3457" s="429"/>
    </row>
    <row r="3458" spans="1:4" ht="15.75" x14ac:dyDescent="0.25">
      <c r="A3458" s="427"/>
      <c r="B3458" s="428"/>
      <c r="C3458" s="428"/>
      <c r="D3458" s="429"/>
    </row>
    <row r="3459" spans="1:4" ht="15.75" x14ac:dyDescent="0.25">
      <c r="A3459" s="427"/>
      <c r="B3459" s="428"/>
      <c r="C3459" s="428"/>
      <c r="D3459" s="429"/>
    </row>
    <row r="3460" spans="1:4" ht="15.75" x14ac:dyDescent="0.25">
      <c r="A3460" s="427"/>
      <c r="B3460" s="428"/>
      <c r="C3460" s="428"/>
      <c r="D3460" s="429"/>
    </row>
    <row r="3461" spans="1:4" ht="15.75" x14ac:dyDescent="0.25">
      <c r="A3461" s="427"/>
      <c r="B3461" s="428"/>
      <c r="C3461" s="428"/>
      <c r="D3461" s="429"/>
    </row>
    <row r="3462" spans="1:4" ht="15.75" x14ac:dyDescent="0.25">
      <c r="A3462" s="427"/>
      <c r="B3462" s="428"/>
      <c r="C3462" s="428"/>
      <c r="D3462" s="429"/>
    </row>
    <row r="3463" spans="1:4" ht="15.75" x14ac:dyDescent="0.25">
      <c r="A3463" s="427"/>
      <c r="B3463" s="428"/>
      <c r="C3463" s="428"/>
      <c r="D3463" s="429"/>
    </row>
    <row r="3464" spans="1:4" ht="15.75" x14ac:dyDescent="0.25">
      <c r="A3464" s="427"/>
      <c r="B3464" s="428"/>
      <c r="C3464" s="428"/>
      <c r="D3464" s="429"/>
    </row>
    <row r="3465" spans="1:4" ht="15.75" x14ac:dyDescent="0.25">
      <c r="A3465" s="427"/>
      <c r="B3465" s="428"/>
      <c r="C3465" s="428"/>
      <c r="D3465" s="429"/>
    </row>
    <row r="3466" spans="1:4" ht="15.75" x14ac:dyDescent="0.25">
      <c r="A3466" s="427"/>
      <c r="B3466" s="428"/>
      <c r="C3466" s="428"/>
      <c r="D3466" s="429"/>
    </row>
    <row r="3467" spans="1:4" ht="15.75" x14ac:dyDescent="0.25">
      <c r="A3467" s="427"/>
      <c r="B3467" s="428"/>
      <c r="C3467" s="428"/>
      <c r="D3467" s="429"/>
    </row>
    <row r="3468" spans="1:4" ht="15.75" x14ac:dyDescent="0.25">
      <c r="A3468" s="427"/>
      <c r="B3468" s="428"/>
      <c r="C3468" s="428"/>
      <c r="D3468" s="429"/>
    </row>
    <row r="3469" spans="1:4" ht="15.75" x14ac:dyDescent="0.25">
      <c r="A3469" s="427"/>
      <c r="B3469" s="428"/>
      <c r="C3469" s="428"/>
      <c r="D3469" s="429"/>
    </row>
    <row r="3470" spans="1:4" ht="15.75" x14ac:dyDescent="0.25">
      <c r="A3470" s="427"/>
      <c r="B3470" s="428"/>
      <c r="C3470" s="428"/>
      <c r="D3470" s="429"/>
    </row>
    <row r="3471" spans="1:4" ht="15.75" x14ac:dyDescent="0.25">
      <c r="A3471" s="427"/>
      <c r="B3471" s="428"/>
      <c r="C3471" s="428"/>
      <c r="D3471" s="429"/>
    </row>
    <row r="3472" spans="1:4" ht="15.75" x14ac:dyDescent="0.25">
      <c r="A3472" s="427"/>
      <c r="B3472" s="428"/>
      <c r="C3472" s="428"/>
      <c r="D3472" s="429"/>
    </row>
    <row r="3473" spans="1:4" ht="15.75" x14ac:dyDescent="0.25">
      <c r="A3473" s="427"/>
      <c r="B3473" s="428"/>
      <c r="C3473" s="428"/>
      <c r="D3473" s="429"/>
    </row>
    <row r="3474" spans="1:4" ht="15.75" x14ac:dyDescent="0.25">
      <c r="A3474" s="427"/>
      <c r="B3474" s="428"/>
      <c r="C3474" s="428"/>
      <c r="D3474" s="429"/>
    </row>
    <row r="3475" spans="1:4" ht="15.75" x14ac:dyDescent="0.25">
      <c r="A3475" s="427"/>
      <c r="B3475" s="428"/>
      <c r="C3475" s="428"/>
      <c r="D3475" s="429"/>
    </row>
    <row r="3476" spans="1:4" ht="15.75" x14ac:dyDescent="0.25">
      <c r="A3476" s="427"/>
      <c r="B3476" s="428"/>
      <c r="C3476" s="428"/>
      <c r="D3476" s="429"/>
    </row>
    <row r="3477" spans="1:4" ht="15.75" x14ac:dyDescent="0.25">
      <c r="A3477" s="427"/>
      <c r="B3477" s="428"/>
      <c r="C3477" s="428"/>
      <c r="D3477" s="429"/>
    </row>
    <row r="3478" spans="1:4" ht="15.75" x14ac:dyDescent="0.25">
      <c r="A3478" s="427"/>
      <c r="B3478" s="428"/>
      <c r="C3478" s="428"/>
      <c r="D3478" s="429"/>
    </row>
    <row r="3479" spans="1:4" ht="15.75" x14ac:dyDescent="0.25">
      <c r="A3479" s="427"/>
      <c r="B3479" s="428"/>
      <c r="C3479" s="428"/>
      <c r="D3479" s="429"/>
    </row>
    <row r="3480" spans="1:4" ht="15.75" x14ac:dyDescent="0.25">
      <c r="A3480" s="427"/>
      <c r="B3480" s="428"/>
      <c r="C3480" s="428"/>
      <c r="D3480" s="429"/>
    </row>
    <row r="3481" spans="1:4" ht="15.75" x14ac:dyDescent="0.25">
      <c r="A3481" s="427"/>
      <c r="B3481" s="428"/>
      <c r="C3481" s="428"/>
      <c r="D3481" s="429"/>
    </row>
    <row r="3482" spans="1:4" ht="15.75" x14ac:dyDescent="0.25">
      <c r="A3482" s="427"/>
      <c r="B3482" s="428"/>
      <c r="C3482" s="428"/>
      <c r="D3482" s="429"/>
    </row>
    <row r="3483" spans="1:4" ht="15.75" x14ac:dyDescent="0.25">
      <c r="A3483" s="427"/>
      <c r="B3483" s="428"/>
      <c r="C3483" s="428"/>
      <c r="D3483" s="429"/>
    </row>
    <row r="3484" spans="1:4" ht="15.75" x14ac:dyDescent="0.25">
      <c r="A3484" s="427"/>
      <c r="B3484" s="428"/>
      <c r="C3484" s="428"/>
      <c r="D3484" s="429"/>
    </row>
    <row r="3485" spans="1:4" ht="15.75" x14ac:dyDescent="0.25">
      <c r="A3485" s="427"/>
      <c r="B3485" s="428"/>
      <c r="C3485" s="428"/>
      <c r="D3485" s="429"/>
    </row>
    <row r="3486" spans="1:4" ht="15.75" x14ac:dyDescent="0.25">
      <c r="A3486" s="427"/>
      <c r="B3486" s="428"/>
      <c r="C3486" s="428"/>
      <c r="D3486" s="429"/>
    </row>
    <row r="3487" spans="1:4" ht="15.75" x14ac:dyDescent="0.25">
      <c r="A3487" s="427"/>
      <c r="B3487" s="428"/>
      <c r="C3487" s="428"/>
      <c r="D3487" s="429"/>
    </row>
    <row r="3488" spans="1:4" ht="15.75" x14ac:dyDescent="0.25">
      <c r="A3488" s="427"/>
      <c r="B3488" s="428"/>
      <c r="C3488" s="428"/>
      <c r="D3488" s="429"/>
    </row>
    <row r="3489" spans="1:4" ht="15.75" x14ac:dyDescent="0.25">
      <c r="A3489" s="427"/>
      <c r="B3489" s="428"/>
      <c r="C3489" s="428"/>
      <c r="D3489" s="429"/>
    </row>
    <row r="3490" spans="1:4" ht="15.75" x14ac:dyDescent="0.25">
      <c r="A3490" s="427"/>
      <c r="B3490" s="428"/>
      <c r="C3490" s="428"/>
      <c r="D3490" s="429"/>
    </row>
    <row r="3491" spans="1:4" ht="15.75" x14ac:dyDescent="0.25">
      <c r="A3491" s="427"/>
      <c r="B3491" s="428"/>
      <c r="C3491" s="428"/>
      <c r="D3491" s="429"/>
    </row>
    <row r="3492" spans="1:4" ht="15.75" x14ac:dyDescent="0.25">
      <c r="A3492" s="427"/>
      <c r="B3492" s="428"/>
      <c r="C3492" s="428"/>
      <c r="D3492" s="429"/>
    </row>
    <row r="3493" spans="1:4" ht="15.75" x14ac:dyDescent="0.25">
      <c r="A3493" s="427"/>
      <c r="B3493" s="428"/>
      <c r="C3493" s="428"/>
      <c r="D3493" s="429"/>
    </row>
    <row r="3494" spans="1:4" ht="15.75" x14ac:dyDescent="0.25">
      <c r="A3494" s="427"/>
      <c r="B3494" s="428"/>
      <c r="C3494" s="428"/>
      <c r="D3494" s="429"/>
    </row>
    <row r="3495" spans="1:4" ht="15.75" x14ac:dyDescent="0.25">
      <c r="A3495" s="427"/>
      <c r="B3495" s="428"/>
      <c r="C3495" s="428"/>
      <c r="D3495" s="429"/>
    </row>
    <row r="3496" spans="1:4" ht="15.75" x14ac:dyDescent="0.25">
      <c r="A3496" s="427"/>
      <c r="B3496" s="428"/>
      <c r="C3496" s="428"/>
      <c r="D3496" s="429"/>
    </row>
    <row r="3497" spans="1:4" ht="15.75" x14ac:dyDescent="0.25">
      <c r="A3497" s="427"/>
      <c r="B3497" s="428"/>
      <c r="C3497" s="428"/>
      <c r="D3497" s="429"/>
    </row>
    <row r="3498" spans="1:4" ht="15.75" x14ac:dyDescent="0.25">
      <c r="A3498" s="427"/>
      <c r="B3498" s="428"/>
      <c r="C3498" s="428"/>
      <c r="D3498" s="429"/>
    </row>
    <row r="3499" spans="1:4" ht="15.75" x14ac:dyDescent="0.25">
      <c r="A3499" s="427"/>
      <c r="B3499" s="428"/>
      <c r="C3499" s="428"/>
      <c r="D3499" s="429"/>
    </row>
    <row r="3500" spans="1:4" ht="15.75" x14ac:dyDescent="0.25">
      <c r="A3500" s="427"/>
      <c r="B3500" s="428"/>
      <c r="C3500" s="428"/>
      <c r="D3500" s="429"/>
    </row>
    <row r="3501" spans="1:4" ht="15.75" x14ac:dyDescent="0.25">
      <c r="A3501" s="427"/>
      <c r="B3501" s="428"/>
      <c r="C3501" s="428"/>
      <c r="D3501" s="429"/>
    </row>
    <row r="3502" spans="1:4" ht="15.75" x14ac:dyDescent="0.25">
      <c r="A3502" s="427"/>
      <c r="B3502" s="428"/>
      <c r="C3502" s="428"/>
      <c r="D3502" s="429"/>
    </row>
    <row r="3503" spans="1:4" ht="15.75" x14ac:dyDescent="0.25">
      <c r="A3503" s="427"/>
      <c r="B3503" s="428"/>
      <c r="C3503" s="428"/>
      <c r="D3503" s="429"/>
    </row>
    <row r="3504" spans="1:4" ht="15.75" x14ac:dyDescent="0.25">
      <c r="A3504" s="427"/>
      <c r="B3504" s="428"/>
      <c r="C3504" s="428"/>
      <c r="D3504" s="429"/>
    </row>
    <row r="3505" spans="1:4" ht="15.75" x14ac:dyDescent="0.25">
      <c r="A3505" s="427"/>
      <c r="B3505" s="428"/>
      <c r="C3505" s="428"/>
      <c r="D3505" s="429"/>
    </row>
    <row r="3506" spans="1:4" ht="15.75" x14ac:dyDescent="0.25">
      <c r="A3506" s="427"/>
      <c r="B3506" s="428"/>
      <c r="C3506" s="428"/>
      <c r="D3506" s="429"/>
    </row>
    <row r="3507" spans="1:4" ht="15.75" x14ac:dyDescent="0.25">
      <c r="A3507" s="427"/>
      <c r="B3507" s="428"/>
      <c r="C3507" s="428"/>
      <c r="D3507" s="429"/>
    </row>
    <row r="3508" spans="1:4" ht="15.75" x14ac:dyDescent="0.25">
      <c r="A3508" s="427"/>
      <c r="B3508" s="428"/>
      <c r="C3508" s="428"/>
      <c r="D3508" s="429"/>
    </row>
    <row r="3509" spans="1:4" ht="15.75" x14ac:dyDescent="0.25">
      <c r="A3509" s="427"/>
      <c r="B3509" s="428"/>
      <c r="C3509" s="428"/>
      <c r="D3509" s="429"/>
    </row>
    <row r="3510" spans="1:4" ht="15.75" x14ac:dyDescent="0.25">
      <c r="A3510" s="427"/>
      <c r="B3510" s="428"/>
      <c r="C3510" s="428"/>
      <c r="D3510" s="429"/>
    </row>
    <row r="3511" spans="1:4" ht="15.75" x14ac:dyDescent="0.25">
      <c r="A3511" s="427"/>
      <c r="B3511" s="428"/>
      <c r="C3511" s="428"/>
      <c r="D3511" s="429"/>
    </row>
    <row r="3512" spans="1:4" ht="15.75" x14ac:dyDescent="0.25">
      <c r="A3512" s="427"/>
      <c r="B3512" s="428"/>
      <c r="C3512" s="428"/>
      <c r="D3512" s="429"/>
    </row>
    <row r="3513" spans="1:4" ht="15.75" x14ac:dyDescent="0.25">
      <c r="A3513" s="427"/>
      <c r="B3513" s="428"/>
      <c r="C3513" s="428"/>
      <c r="D3513" s="429"/>
    </row>
    <row r="3514" spans="1:4" ht="15.75" x14ac:dyDescent="0.25">
      <c r="A3514" s="427"/>
      <c r="B3514" s="428"/>
      <c r="C3514" s="428"/>
      <c r="D3514" s="429"/>
    </row>
    <row r="3515" spans="1:4" ht="15.75" x14ac:dyDescent="0.25">
      <c r="A3515" s="427"/>
      <c r="B3515" s="428"/>
      <c r="C3515" s="428"/>
      <c r="D3515" s="429"/>
    </row>
    <row r="3516" spans="1:4" ht="15.75" x14ac:dyDescent="0.25">
      <c r="A3516" s="427"/>
      <c r="B3516" s="428"/>
      <c r="C3516" s="428"/>
      <c r="D3516" s="429"/>
    </row>
    <row r="3517" spans="1:4" ht="15.75" x14ac:dyDescent="0.25">
      <c r="A3517" s="427"/>
      <c r="B3517" s="428"/>
      <c r="C3517" s="428"/>
      <c r="D3517" s="429"/>
    </row>
    <row r="3518" spans="1:4" ht="15.75" x14ac:dyDescent="0.25">
      <c r="A3518" s="427"/>
      <c r="B3518" s="428"/>
      <c r="C3518" s="428"/>
      <c r="D3518" s="429"/>
    </row>
    <row r="3519" spans="1:4" ht="15.75" x14ac:dyDescent="0.25">
      <c r="A3519" s="427"/>
      <c r="B3519" s="428"/>
      <c r="C3519" s="428"/>
      <c r="D3519" s="429"/>
    </row>
    <row r="3520" spans="1:4" ht="15.75" x14ac:dyDescent="0.25">
      <c r="A3520" s="427"/>
      <c r="B3520" s="428"/>
      <c r="C3520" s="428"/>
      <c r="D3520" s="429"/>
    </row>
    <row r="3521" spans="1:4" ht="15.75" x14ac:dyDescent="0.25">
      <c r="A3521" s="427"/>
      <c r="B3521" s="428"/>
      <c r="C3521" s="428"/>
      <c r="D3521" s="429"/>
    </row>
    <row r="3522" spans="1:4" ht="15.75" x14ac:dyDescent="0.25">
      <c r="A3522" s="427"/>
      <c r="B3522" s="428"/>
      <c r="C3522" s="428"/>
      <c r="D3522" s="429"/>
    </row>
    <row r="3523" spans="1:4" ht="15.75" x14ac:dyDescent="0.25">
      <c r="A3523" s="427"/>
      <c r="B3523" s="428"/>
      <c r="C3523" s="428"/>
      <c r="D3523" s="429"/>
    </row>
    <row r="3524" spans="1:4" ht="15.75" x14ac:dyDescent="0.25">
      <c r="A3524" s="427"/>
      <c r="B3524" s="428"/>
      <c r="C3524" s="428"/>
      <c r="D3524" s="429"/>
    </row>
    <row r="3525" spans="1:4" ht="15.75" x14ac:dyDescent="0.25">
      <c r="A3525" s="427"/>
      <c r="B3525" s="428"/>
      <c r="C3525" s="428"/>
      <c r="D3525" s="429"/>
    </row>
    <row r="3526" spans="1:4" ht="15.75" x14ac:dyDescent="0.25">
      <c r="A3526" s="427"/>
      <c r="B3526" s="428"/>
      <c r="C3526" s="428"/>
      <c r="D3526" s="429"/>
    </row>
    <row r="3527" spans="1:4" ht="15.75" x14ac:dyDescent="0.25">
      <c r="A3527" s="427"/>
      <c r="B3527" s="428"/>
      <c r="C3527" s="428"/>
      <c r="D3527" s="429"/>
    </row>
    <row r="3528" spans="1:4" ht="15.75" x14ac:dyDescent="0.25">
      <c r="A3528" s="427"/>
      <c r="B3528" s="428"/>
      <c r="C3528" s="428"/>
      <c r="D3528" s="429"/>
    </row>
    <row r="3529" spans="1:4" ht="15.75" x14ac:dyDescent="0.25">
      <c r="A3529" s="427"/>
      <c r="B3529" s="428"/>
      <c r="C3529" s="428"/>
      <c r="D3529" s="429"/>
    </row>
    <row r="3530" spans="1:4" ht="15.75" x14ac:dyDescent="0.25">
      <c r="A3530" s="427"/>
      <c r="B3530" s="428"/>
      <c r="C3530" s="428"/>
      <c r="D3530" s="429"/>
    </row>
    <row r="3531" spans="1:4" ht="15.75" x14ac:dyDescent="0.25">
      <c r="A3531" s="427"/>
      <c r="B3531" s="428"/>
      <c r="C3531" s="428"/>
      <c r="D3531" s="429"/>
    </row>
    <row r="3532" spans="1:4" ht="15.75" x14ac:dyDescent="0.25">
      <c r="A3532" s="427"/>
      <c r="B3532" s="428"/>
      <c r="C3532" s="428"/>
      <c r="D3532" s="429"/>
    </row>
    <row r="3533" spans="1:4" ht="15.75" x14ac:dyDescent="0.25">
      <c r="A3533" s="427"/>
      <c r="B3533" s="428"/>
      <c r="C3533" s="428"/>
      <c r="D3533" s="429"/>
    </row>
    <row r="3534" spans="1:4" ht="15.75" x14ac:dyDescent="0.25">
      <c r="A3534" s="427"/>
      <c r="B3534" s="428"/>
      <c r="C3534" s="428"/>
      <c r="D3534" s="429"/>
    </row>
    <row r="3535" spans="1:4" ht="15.75" x14ac:dyDescent="0.25">
      <c r="A3535" s="427"/>
      <c r="B3535" s="428"/>
      <c r="C3535" s="428"/>
      <c r="D3535" s="429"/>
    </row>
    <row r="3536" spans="1:4" ht="15.75" x14ac:dyDescent="0.25">
      <c r="A3536" s="427"/>
      <c r="B3536" s="428"/>
      <c r="C3536" s="428"/>
      <c r="D3536" s="429"/>
    </row>
    <row r="3537" spans="1:4" ht="15.75" x14ac:dyDescent="0.25">
      <c r="A3537" s="427"/>
      <c r="B3537" s="428"/>
      <c r="C3537" s="428"/>
      <c r="D3537" s="429"/>
    </row>
    <row r="3538" spans="1:4" ht="15.75" x14ac:dyDescent="0.25">
      <c r="A3538" s="427"/>
      <c r="B3538" s="428"/>
      <c r="C3538" s="428"/>
      <c r="D3538" s="429"/>
    </row>
    <row r="3539" spans="1:4" ht="15.75" x14ac:dyDescent="0.25">
      <c r="A3539" s="427"/>
      <c r="B3539" s="428"/>
      <c r="C3539" s="428"/>
      <c r="D3539" s="429"/>
    </row>
    <row r="3540" spans="1:4" ht="15.75" x14ac:dyDescent="0.25">
      <c r="A3540" s="427"/>
      <c r="B3540" s="428"/>
      <c r="C3540" s="428"/>
      <c r="D3540" s="429"/>
    </row>
    <row r="3541" spans="1:4" ht="15.75" x14ac:dyDescent="0.25">
      <c r="A3541" s="427"/>
      <c r="B3541" s="428"/>
      <c r="C3541" s="428"/>
      <c r="D3541" s="429"/>
    </row>
    <row r="3542" spans="1:4" ht="15.75" x14ac:dyDescent="0.25">
      <c r="A3542" s="427"/>
      <c r="B3542" s="428"/>
      <c r="C3542" s="428"/>
      <c r="D3542" s="429"/>
    </row>
    <row r="3543" spans="1:4" ht="15.75" x14ac:dyDescent="0.25">
      <c r="A3543" s="427"/>
      <c r="B3543" s="428"/>
      <c r="C3543" s="428"/>
      <c r="D3543" s="429"/>
    </row>
    <row r="3544" spans="1:4" ht="15.75" x14ac:dyDescent="0.25">
      <c r="A3544" s="427"/>
      <c r="B3544" s="428"/>
      <c r="C3544" s="428"/>
      <c r="D3544" s="429"/>
    </row>
    <row r="3545" spans="1:4" ht="15.75" x14ac:dyDescent="0.25">
      <c r="A3545" s="427"/>
      <c r="B3545" s="428"/>
      <c r="C3545" s="428"/>
      <c r="D3545" s="429"/>
    </row>
    <row r="3546" spans="1:4" ht="15.75" x14ac:dyDescent="0.25">
      <c r="A3546" s="427"/>
      <c r="B3546" s="428"/>
      <c r="C3546" s="428"/>
      <c r="D3546" s="429"/>
    </row>
    <row r="3547" spans="1:4" ht="15.75" x14ac:dyDescent="0.25">
      <c r="A3547" s="427"/>
      <c r="B3547" s="428"/>
      <c r="C3547" s="428"/>
      <c r="D3547" s="429"/>
    </row>
    <row r="3548" spans="1:4" ht="15.75" x14ac:dyDescent="0.25">
      <c r="A3548" s="427"/>
      <c r="B3548" s="428"/>
      <c r="C3548" s="428"/>
      <c r="D3548" s="429"/>
    </row>
    <row r="3549" spans="1:4" ht="15.75" x14ac:dyDescent="0.25">
      <c r="A3549" s="427"/>
      <c r="B3549" s="428"/>
      <c r="C3549" s="428"/>
      <c r="D3549" s="429"/>
    </row>
    <row r="3550" spans="1:4" ht="15.75" x14ac:dyDescent="0.25">
      <c r="A3550" s="427"/>
      <c r="B3550" s="428"/>
      <c r="C3550" s="428"/>
      <c r="D3550" s="429"/>
    </row>
    <row r="3551" spans="1:4" ht="15.75" x14ac:dyDescent="0.25">
      <c r="A3551" s="427"/>
      <c r="B3551" s="428"/>
      <c r="C3551" s="428"/>
      <c r="D3551" s="429"/>
    </row>
    <row r="3552" spans="1:4" ht="15.75" x14ac:dyDescent="0.25">
      <c r="A3552" s="427"/>
      <c r="B3552" s="428"/>
      <c r="C3552" s="428"/>
      <c r="D3552" s="429"/>
    </row>
    <row r="3553" spans="1:4" ht="15.75" x14ac:dyDescent="0.25">
      <c r="A3553" s="427"/>
      <c r="B3553" s="428"/>
      <c r="C3553" s="428"/>
      <c r="D3553" s="429"/>
    </row>
    <row r="3554" spans="1:4" ht="15.75" x14ac:dyDescent="0.25">
      <c r="A3554" s="427"/>
      <c r="B3554" s="428"/>
      <c r="C3554" s="428"/>
      <c r="D3554" s="429"/>
    </row>
    <row r="3555" spans="1:4" ht="15.75" x14ac:dyDescent="0.25">
      <c r="A3555" s="427"/>
      <c r="B3555" s="428"/>
      <c r="C3555" s="428"/>
      <c r="D3555" s="429"/>
    </row>
    <row r="3556" spans="1:4" ht="15.75" x14ac:dyDescent="0.25">
      <c r="A3556" s="427"/>
      <c r="B3556" s="428"/>
      <c r="C3556" s="428"/>
      <c r="D3556" s="429"/>
    </row>
    <row r="3557" spans="1:4" ht="15.75" x14ac:dyDescent="0.25">
      <c r="A3557" s="427"/>
      <c r="B3557" s="428"/>
      <c r="C3557" s="428"/>
      <c r="D3557" s="429"/>
    </row>
    <row r="3558" spans="1:4" ht="15.75" x14ac:dyDescent="0.25">
      <c r="A3558" s="427"/>
      <c r="B3558" s="428"/>
      <c r="C3558" s="428"/>
      <c r="D3558" s="429"/>
    </row>
    <row r="3559" spans="1:4" ht="15.75" x14ac:dyDescent="0.25">
      <c r="A3559" s="427"/>
      <c r="B3559" s="428"/>
      <c r="C3559" s="428"/>
      <c r="D3559" s="429"/>
    </row>
    <row r="3560" spans="1:4" ht="15.75" x14ac:dyDescent="0.25">
      <c r="A3560" s="427"/>
      <c r="B3560" s="428"/>
      <c r="C3560" s="428"/>
      <c r="D3560" s="429"/>
    </row>
    <row r="3561" spans="1:4" ht="15.75" x14ac:dyDescent="0.25">
      <c r="A3561" s="427"/>
      <c r="B3561" s="428"/>
      <c r="C3561" s="428"/>
      <c r="D3561" s="429"/>
    </row>
    <row r="3562" spans="1:4" ht="15.75" x14ac:dyDescent="0.25">
      <c r="A3562" s="427"/>
      <c r="B3562" s="428"/>
      <c r="C3562" s="428"/>
      <c r="D3562" s="429"/>
    </row>
    <row r="3563" spans="1:4" ht="15.75" x14ac:dyDescent="0.25">
      <c r="A3563" s="427"/>
      <c r="B3563" s="428"/>
      <c r="C3563" s="428"/>
      <c r="D3563" s="429"/>
    </row>
    <row r="3564" spans="1:4" ht="15.75" x14ac:dyDescent="0.25">
      <c r="A3564" s="427"/>
      <c r="B3564" s="428"/>
      <c r="C3564" s="428"/>
      <c r="D3564" s="429"/>
    </row>
    <row r="3565" spans="1:4" ht="15.75" x14ac:dyDescent="0.25">
      <c r="A3565" s="427"/>
      <c r="B3565" s="428"/>
      <c r="C3565" s="428"/>
      <c r="D3565" s="429"/>
    </row>
    <row r="3566" spans="1:4" ht="15.75" x14ac:dyDescent="0.25">
      <c r="A3566" s="427"/>
      <c r="B3566" s="428"/>
      <c r="C3566" s="428"/>
      <c r="D3566" s="429"/>
    </row>
    <row r="3567" spans="1:4" ht="15.75" x14ac:dyDescent="0.25">
      <c r="A3567" s="427"/>
      <c r="B3567" s="428"/>
      <c r="C3567" s="428"/>
      <c r="D3567" s="429"/>
    </row>
    <row r="3568" spans="1:4" ht="15.75" x14ac:dyDescent="0.25">
      <c r="A3568" s="427"/>
      <c r="B3568" s="428"/>
      <c r="C3568" s="428"/>
      <c r="D3568" s="429"/>
    </row>
    <row r="3569" spans="1:4" ht="15.75" x14ac:dyDescent="0.25">
      <c r="A3569" s="427"/>
      <c r="B3569" s="428"/>
      <c r="C3569" s="428"/>
      <c r="D3569" s="429"/>
    </row>
    <row r="3570" spans="1:4" ht="15.75" x14ac:dyDescent="0.25">
      <c r="A3570" s="427"/>
      <c r="B3570" s="428"/>
      <c r="C3570" s="428"/>
      <c r="D3570" s="429"/>
    </row>
    <row r="3571" spans="1:4" ht="15.75" x14ac:dyDescent="0.25">
      <c r="A3571" s="427"/>
      <c r="B3571" s="428"/>
      <c r="C3571" s="428"/>
      <c r="D3571" s="429"/>
    </row>
    <row r="3572" spans="1:4" ht="15.75" x14ac:dyDescent="0.25">
      <c r="A3572" s="427"/>
      <c r="B3572" s="428"/>
      <c r="C3572" s="428"/>
      <c r="D3572" s="429"/>
    </row>
    <row r="3573" spans="1:4" ht="15.75" x14ac:dyDescent="0.25">
      <c r="A3573" s="427"/>
      <c r="B3573" s="428"/>
      <c r="C3573" s="428"/>
      <c r="D3573" s="429"/>
    </row>
    <row r="3574" spans="1:4" ht="15.75" x14ac:dyDescent="0.25">
      <c r="A3574" s="427"/>
      <c r="B3574" s="428"/>
      <c r="C3574" s="428"/>
      <c r="D3574" s="429"/>
    </row>
    <row r="3575" spans="1:4" ht="15.75" x14ac:dyDescent="0.25">
      <c r="A3575" s="427"/>
      <c r="B3575" s="428"/>
      <c r="C3575" s="428"/>
      <c r="D3575" s="429"/>
    </row>
    <row r="3576" spans="1:4" ht="15.75" x14ac:dyDescent="0.25">
      <c r="A3576" s="427"/>
      <c r="B3576" s="428"/>
      <c r="C3576" s="428"/>
      <c r="D3576" s="429"/>
    </row>
    <row r="3577" spans="1:4" ht="15.75" x14ac:dyDescent="0.25">
      <c r="A3577" s="427"/>
      <c r="B3577" s="428"/>
      <c r="C3577" s="428"/>
      <c r="D3577" s="429"/>
    </row>
    <row r="3578" spans="1:4" ht="15.75" x14ac:dyDescent="0.25">
      <c r="A3578" s="427"/>
      <c r="B3578" s="428"/>
      <c r="C3578" s="428"/>
      <c r="D3578" s="429"/>
    </row>
    <row r="3579" spans="1:4" ht="15.75" x14ac:dyDescent="0.25">
      <c r="A3579" s="427"/>
      <c r="B3579" s="428"/>
      <c r="C3579" s="428"/>
      <c r="D3579" s="429"/>
    </row>
    <row r="3580" spans="1:4" ht="15.75" x14ac:dyDescent="0.25">
      <c r="A3580" s="427"/>
      <c r="B3580" s="428"/>
      <c r="C3580" s="428"/>
      <c r="D3580" s="429"/>
    </row>
    <row r="3581" spans="1:4" ht="15.75" x14ac:dyDescent="0.25">
      <c r="A3581" s="427"/>
      <c r="B3581" s="428"/>
      <c r="C3581" s="428"/>
      <c r="D3581" s="429"/>
    </row>
    <row r="3582" spans="1:4" ht="15.75" x14ac:dyDescent="0.25">
      <c r="A3582" s="427"/>
      <c r="B3582" s="428"/>
      <c r="C3582" s="428"/>
      <c r="D3582" s="429"/>
    </row>
    <row r="3583" spans="1:4" ht="15.75" x14ac:dyDescent="0.25">
      <c r="A3583" s="427"/>
      <c r="B3583" s="428"/>
      <c r="C3583" s="428"/>
      <c r="D3583" s="429"/>
    </row>
    <row r="3584" spans="1:4" ht="15.75" x14ac:dyDescent="0.25">
      <c r="A3584" s="427"/>
      <c r="B3584" s="428"/>
      <c r="C3584" s="428"/>
      <c r="D3584" s="429"/>
    </row>
    <row r="3585" spans="1:4" ht="15.75" x14ac:dyDescent="0.25">
      <c r="A3585" s="427"/>
      <c r="B3585" s="428"/>
      <c r="C3585" s="428"/>
      <c r="D3585" s="429"/>
    </row>
    <row r="3586" spans="1:4" ht="15.75" x14ac:dyDescent="0.25">
      <c r="A3586" s="427"/>
      <c r="B3586" s="428"/>
      <c r="C3586" s="428"/>
      <c r="D3586" s="429"/>
    </row>
    <row r="3587" spans="1:4" ht="15.75" x14ac:dyDescent="0.25">
      <c r="A3587" s="427"/>
      <c r="B3587" s="428"/>
      <c r="C3587" s="428"/>
      <c r="D3587" s="429"/>
    </row>
    <row r="3588" spans="1:4" ht="15.75" x14ac:dyDescent="0.25">
      <c r="A3588" s="427"/>
      <c r="B3588" s="428"/>
      <c r="C3588" s="428"/>
      <c r="D3588" s="429"/>
    </row>
    <row r="3589" spans="1:4" ht="15.75" x14ac:dyDescent="0.25">
      <c r="A3589" s="427"/>
      <c r="B3589" s="428"/>
      <c r="C3589" s="428"/>
      <c r="D3589" s="429"/>
    </row>
    <row r="3590" spans="1:4" ht="15.75" x14ac:dyDescent="0.25">
      <c r="A3590" s="427"/>
      <c r="B3590" s="428"/>
      <c r="C3590" s="428"/>
      <c r="D3590" s="429"/>
    </row>
    <row r="3591" spans="1:4" ht="15.75" x14ac:dyDescent="0.25">
      <c r="A3591" s="427"/>
      <c r="B3591" s="428"/>
      <c r="C3591" s="428"/>
      <c r="D3591" s="429"/>
    </row>
    <row r="3592" spans="1:4" ht="15.75" x14ac:dyDescent="0.25">
      <c r="A3592" s="427"/>
      <c r="B3592" s="428"/>
      <c r="C3592" s="428"/>
      <c r="D3592" s="429"/>
    </row>
    <row r="3593" spans="1:4" ht="15.75" x14ac:dyDescent="0.25">
      <c r="A3593" s="427"/>
      <c r="B3593" s="428"/>
      <c r="C3593" s="428"/>
      <c r="D3593" s="429"/>
    </row>
    <row r="3594" spans="1:4" ht="15.75" x14ac:dyDescent="0.25">
      <c r="A3594" s="427"/>
      <c r="B3594" s="428"/>
      <c r="C3594" s="428"/>
      <c r="D3594" s="429"/>
    </row>
    <row r="3595" spans="1:4" ht="15.75" x14ac:dyDescent="0.25">
      <c r="A3595" s="427"/>
      <c r="B3595" s="428"/>
      <c r="C3595" s="428"/>
      <c r="D3595" s="429"/>
    </row>
    <row r="3596" spans="1:4" ht="15.75" x14ac:dyDescent="0.25">
      <c r="A3596" s="427"/>
      <c r="B3596" s="428"/>
      <c r="C3596" s="428"/>
      <c r="D3596" s="429"/>
    </row>
    <row r="3597" spans="1:4" ht="15.75" x14ac:dyDescent="0.25">
      <c r="A3597" s="427"/>
      <c r="B3597" s="428"/>
      <c r="C3597" s="428"/>
      <c r="D3597" s="429"/>
    </row>
    <row r="3598" spans="1:4" ht="15.75" x14ac:dyDescent="0.25">
      <c r="A3598" s="427"/>
      <c r="B3598" s="428"/>
      <c r="C3598" s="428"/>
      <c r="D3598" s="429"/>
    </row>
    <row r="3599" spans="1:4" ht="15.75" x14ac:dyDescent="0.25">
      <c r="A3599" s="427"/>
      <c r="B3599" s="428"/>
      <c r="C3599" s="428"/>
      <c r="D3599" s="429"/>
    </row>
    <row r="3600" spans="1:4" ht="15.75" x14ac:dyDescent="0.25">
      <c r="A3600" s="427"/>
      <c r="B3600" s="428"/>
      <c r="C3600" s="428"/>
      <c r="D3600" s="429"/>
    </row>
    <row r="3601" spans="1:4" ht="15.75" x14ac:dyDescent="0.25">
      <c r="A3601" s="427"/>
      <c r="B3601" s="428"/>
      <c r="C3601" s="428"/>
      <c r="D3601" s="429"/>
    </row>
    <row r="3602" spans="1:4" ht="15.75" x14ac:dyDescent="0.25">
      <c r="A3602" s="427"/>
      <c r="B3602" s="428"/>
      <c r="C3602" s="428"/>
      <c r="D3602" s="429"/>
    </row>
    <row r="3603" spans="1:4" ht="15.75" x14ac:dyDescent="0.25">
      <c r="A3603" s="427"/>
      <c r="B3603" s="428"/>
      <c r="C3603" s="428"/>
      <c r="D3603" s="429"/>
    </row>
    <row r="3604" spans="1:4" ht="15.75" x14ac:dyDescent="0.25">
      <c r="A3604" s="427"/>
      <c r="B3604" s="428"/>
      <c r="C3604" s="428"/>
      <c r="D3604" s="429"/>
    </row>
    <row r="3605" spans="1:4" ht="15.75" x14ac:dyDescent="0.25">
      <c r="A3605" s="427"/>
      <c r="B3605" s="428"/>
      <c r="C3605" s="428"/>
      <c r="D3605" s="429"/>
    </row>
    <row r="3606" spans="1:4" ht="15.75" x14ac:dyDescent="0.25">
      <c r="A3606" s="427"/>
      <c r="B3606" s="428"/>
      <c r="C3606" s="428"/>
      <c r="D3606" s="429"/>
    </row>
    <row r="3607" spans="1:4" ht="15.75" x14ac:dyDescent="0.25">
      <c r="A3607" s="427"/>
      <c r="B3607" s="428"/>
      <c r="C3607" s="428"/>
      <c r="D3607" s="429"/>
    </row>
    <row r="3608" spans="1:4" ht="15.75" x14ac:dyDescent="0.25">
      <c r="A3608" s="427"/>
      <c r="B3608" s="428"/>
      <c r="C3608" s="428"/>
      <c r="D3608" s="429"/>
    </row>
    <row r="3609" spans="1:4" ht="15.75" x14ac:dyDescent="0.25">
      <c r="A3609" s="427"/>
      <c r="B3609" s="428"/>
      <c r="C3609" s="428"/>
      <c r="D3609" s="429"/>
    </row>
    <row r="3610" spans="1:4" ht="15.75" x14ac:dyDescent="0.25">
      <c r="A3610" s="427"/>
      <c r="B3610" s="428"/>
      <c r="C3610" s="428"/>
      <c r="D3610" s="429"/>
    </row>
    <row r="3611" spans="1:4" ht="15.75" x14ac:dyDescent="0.25">
      <c r="A3611" s="427"/>
      <c r="B3611" s="428"/>
      <c r="C3611" s="428"/>
      <c r="D3611" s="429"/>
    </row>
    <row r="3612" spans="1:4" ht="15.75" x14ac:dyDescent="0.25">
      <c r="A3612" s="427"/>
      <c r="B3612" s="428"/>
      <c r="C3612" s="428"/>
      <c r="D3612" s="429"/>
    </row>
    <row r="3613" spans="1:4" ht="15.75" x14ac:dyDescent="0.25">
      <c r="A3613" s="427"/>
      <c r="B3613" s="428"/>
      <c r="C3613" s="428"/>
      <c r="D3613" s="429"/>
    </row>
    <row r="3614" spans="1:4" ht="15.75" x14ac:dyDescent="0.25">
      <c r="A3614" s="427"/>
      <c r="B3614" s="428"/>
      <c r="C3614" s="428"/>
      <c r="D3614" s="429"/>
    </row>
    <row r="3615" spans="1:4" ht="15.75" x14ac:dyDescent="0.25">
      <c r="A3615" s="427"/>
      <c r="B3615" s="428"/>
      <c r="C3615" s="428"/>
      <c r="D3615" s="429"/>
    </row>
    <row r="3616" spans="1:4" ht="15.75" x14ac:dyDescent="0.25">
      <c r="A3616" s="427"/>
      <c r="B3616" s="428"/>
      <c r="C3616" s="428"/>
      <c r="D3616" s="429"/>
    </row>
    <row r="3617" spans="1:4" ht="15.75" x14ac:dyDescent="0.25">
      <c r="A3617" s="427"/>
      <c r="B3617" s="428"/>
      <c r="C3617" s="428"/>
      <c r="D3617" s="429"/>
    </row>
    <row r="3618" spans="1:4" ht="15.75" x14ac:dyDescent="0.25">
      <c r="A3618" s="427"/>
      <c r="B3618" s="428"/>
      <c r="C3618" s="428"/>
      <c r="D3618" s="429"/>
    </row>
    <row r="3619" spans="1:4" ht="15.75" x14ac:dyDescent="0.25">
      <c r="A3619" s="427"/>
      <c r="B3619" s="428"/>
      <c r="C3619" s="428"/>
      <c r="D3619" s="429"/>
    </row>
    <row r="3620" spans="1:4" ht="15.75" x14ac:dyDescent="0.25">
      <c r="A3620" s="427"/>
      <c r="B3620" s="428"/>
      <c r="C3620" s="428"/>
      <c r="D3620" s="429"/>
    </row>
    <row r="3621" spans="1:4" ht="15.75" x14ac:dyDescent="0.25">
      <c r="A3621" s="427"/>
      <c r="B3621" s="428"/>
      <c r="C3621" s="428"/>
      <c r="D3621" s="429"/>
    </row>
    <row r="3622" spans="1:4" ht="15.75" x14ac:dyDescent="0.25">
      <c r="A3622" s="427"/>
      <c r="B3622" s="428"/>
      <c r="C3622" s="428"/>
      <c r="D3622" s="429"/>
    </row>
    <row r="3623" spans="1:4" ht="15.75" x14ac:dyDescent="0.25">
      <c r="A3623" s="427"/>
      <c r="B3623" s="428"/>
      <c r="C3623" s="428"/>
      <c r="D3623" s="429"/>
    </row>
    <row r="3624" spans="1:4" ht="15.75" x14ac:dyDescent="0.25">
      <c r="A3624" s="427"/>
      <c r="B3624" s="428"/>
      <c r="C3624" s="428"/>
      <c r="D3624" s="429"/>
    </row>
    <row r="3625" spans="1:4" ht="15.75" x14ac:dyDescent="0.25">
      <c r="A3625" s="427"/>
      <c r="B3625" s="428"/>
      <c r="C3625" s="428"/>
      <c r="D3625" s="429"/>
    </row>
    <row r="3626" spans="1:4" ht="15.75" x14ac:dyDescent="0.25">
      <c r="A3626" s="427"/>
      <c r="B3626" s="428"/>
      <c r="C3626" s="428"/>
      <c r="D3626" s="429"/>
    </row>
    <row r="3627" spans="1:4" ht="15.75" x14ac:dyDescent="0.25">
      <c r="A3627" s="427"/>
      <c r="B3627" s="428"/>
      <c r="C3627" s="428"/>
      <c r="D3627" s="429"/>
    </row>
    <row r="3628" spans="1:4" ht="15.75" x14ac:dyDescent="0.25">
      <c r="A3628" s="427"/>
      <c r="B3628" s="428"/>
      <c r="C3628" s="428"/>
      <c r="D3628" s="429"/>
    </row>
    <row r="3629" spans="1:4" ht="15.75" x14ac:dyDescent="0.25">
      <c r="A3629" s="427"/>
      <c r="B3629" s="428"/>
      <c r="C3629" s="428"/>
      <c r="D3629" s="429"/>
    </row>
    <row r="3630" spans="1:4" ht="15.75" x14ac:dyDescent="0.25">
      <c r="A3630" s="427"/>
      <c r="B3630" s="428"/>
      <c r="C3630" s="428"/>
      <c r="D3630" s="429"/>
    </row>
    <row r="3631" spans="1:4" ht="15.75" x14ac:dyDescent="0.25">
      <c r="A3631" s="427"/>
      <c r="B3631" s="428"/>
      <c r="C3631" s="428"/>
      <c r="D3631" s="429"/>
    </row>
    <row r="3632" spans="1:4" ht="15.75" x14ac:dyDescent="0.25">
      <c r="A3632" s="427"/>
      <c r="B3632" s="428"/>
      <c r="C3632" s="428"/>
      <c r="D3632" s="429"/>
    </row>
    <row r="3633" spans="1:4" ht="15.75" x14ac:dyDescent="0.25">
      <c r="A3633" s="427"/>
      <c r="B3633" s="428"/>
      <c r="C3633" s="428"/>
      <c r="D3633" s="429"/>
    </row>
    <row r="3634" spans="1:4" ht="15.75" x14ac:dyDescent="0.25">
      <c r="A3634" s="427"/>
      <c r="B3634" s="428"/>
      <c r="C3634" s="428"/>
      <c r="D3634" s="429"/>
    </row>
    <row r="3635" spans="1:4" ht="15.75" x14ac:dyDescent="0.25">
      <c r="A3635" s="427"/>
      <c r="B3635" s="428"/>
      <c r="C3635" s="428"/>
      <c r="D3635" s="429"/>
    </row>
    <row r="3636" spans="1:4" ht="15.75" x14ac:dyDescent="0.25">
      <c r="A3636" s="427"/>
      <c r="B3636" s="428"/>
      <c r="C3636" s="428"/>
      <c r="D3636" s="429"/>
    </row>
    <row r="3637" spans="1:4" ht="15.75" x14ac:dyDescent="0.25">
      <c r="A3637" s="427"/>
      <c r="B3637" s="428"/>
      <c r="C3637" s="428"/>
      <c r="D3637" s="429"/>
    </row>
    <row r="3638" spans="1:4" ht="15.75" x14ac:dyDescent="0.25">
      <c r="A3638" s="427"/>
      <c r="B3638" s="428"/>
      <c r="C3638" s="428"/>
      <c r="D3638" s="429"/>
    </row>
    <row r="3639" spans="1:4" ht="15.75" x14ac:dyDescent="0.25">
      <c r="A3639" s="427"/>
      <c r="B3639" s="428"/>
      <c r="C3639" s="428"/>
      <c r="D3639" s="429"/>
    </row>
    <row r="3640" spans="1:4" ht="15.75" x14ac:dyDescent="0.25">
      <c r="A3640" s="427"/>
      <c r="B3640" s="428"/>
      <c r="C3640" s="428"/>
      <c r="D3640" s="429"/>
    </row>
    <row r="3641" spans="1:4" ht="15.75" x14ac:dyDescent="0.25">
      <c r="A3641" s="427"/>
      <c r="B3641" s="428"/>
      <c r="C3641" s="428"/>
      <c r="D3641" s="429"/>
    </row>
    <row r="3642" spans="1:4" ht="15.75" x14ac:dyDescent="0.25">
      <c r="A3642" s="427"/>
      <c r="B3642" s="428"/>
      <c r="C3642" s="428"/>
      <c r="D3642" s="429"/>
    </row>
    <row r="3643" spans="1:4" ht="15.75" x14ac:dyDescent="0.25">
      <c r="A3643" s="427"/>
      <c r="B3643" s="428"/>
      <c r="C3643" s="428"/>
      <c r="D3643" s="429"/>
    </row>
    <row r="3644" spans="1:4" ht="15.75" x14ac:dyDescent="0.25">
      <c r="A3644" s="427"/>
      <c r="B3644" s="428"/>
      <c r="C3644" s="428"/>
      <c r="D3644" s="429"/>
    </row>
    <row r="3645" spans="1:4" ht="15.75" x14ac:dyDescent="0.25">
      <c r="A3645" s="427"/>
      <c r="B3645" s="428"/>
      <c r="C3645" s="428"/>
      <c r="D3645" s="429"/>
    </row>
    <row r="3646" spans="1:4" ht="15.75" x14ac:dyDescent="0.25">
      <c r="A3646" s="427"/>
      <c r="B3646" s="428"/>
      <c r="C3646" s="428"/>
      <c r="D3646" s="429"/>
    </row>
    <row r="3647" spans="1:4" ht="15.75" x14ac:dyDescent="0.25">
      <c r="A3647" s="427"/>
      <c r="B3647" s="428"/>
      <c r="C3647" s="428"/>
      <c r="D3647" s="429"/>
    </row>
    <row r="3648" spans="1:4" ht="15.75" x14ac:dyDescent="0.25">
      <c r="A3648" s="427"/>
      <c r="B3648" s="428"/>
      <c r="C3648" s="428"/>
      <c r="D3648" s="429"/>
    </row>
    <row r="3649" spans="1:4" ht="15.75" x14ac:dyDescent="0.25">
      <c r="A3649" s="427"/>
      <c r="B3649" s="428"/>
      <c r="C3649" s="428"/>
      <c r="D3649" s="429"/>
    </row>
    <row r="3650" spans="1:4" ht="15.75" x14ac:dyDescent="0.25">
      <c r="A3650" s="427"/>
      <c r="B3650" s="428"/>
      <c r="C3650" s="428"/>
      <c r="D3650" s="429"/>
    </row>
    <row r="3651" spans="1:4" ht="15.75" x14ac:dyDescent="0.25">
      <c r="A3651" s="427"/>
      <c r="B3651" s="428"/>
      <c r="C3651" s="428"/>
      <c r="D3651" s="429"/>
    </row>
    <row r="3652" spans="1:4" ht="15.75" x14ac:dyDescent="0.25">
      <c r="A3652" s="427"/>
      <c r="B3652" s="428"/>
      <c r="C3652" s="428"/>
      <c r="D3652" s="429"/>
    </row>
    <row r="3653" spans="1:4" ht="15.75" x14ac:dyDescent="0.25">
      <c r="A3653" s="427"/>
      <c r="B3653" s="428"/>
      <c r="C3653" s="428"/>
      <c r="D3653" s="429"/>
    </row>
    <row r="3654" spans="1:4" ht="15.75" x14ac:dyDescent="0.25">
      <c r="A3654" s="427"/>
      <c r="B3654" s="428"/>
      <c r="C3654" s="428"/>
      <c r="D3654" s="429"/>
    </row>
    <row r="3655" spans="1:4" ht="15.75" x14ac:dyDescent="0.25">
      <c r="A3655" s="427"/>
      <c r="B3655" s="428"/>
      <c r="C3655" s="428"/>
      <c r="D3655" s="429"/>
    </row>
    <row r="3656" spans="1:4" ht="15.75" x14ac:dyDescent="0.25">
      <c r="A3656" s="427"/>
      <c r="B3656" s="428"/>
      <c r="C3656" s="428"/>
      <c r="D3656" s="429"/>
    </row>
    <row r="3657" spans="1:4" ht="15.75" x14ac:dyDescent="0.25">
      <c r="A3657" s="427"/>
      <c r="B3657" s="428"/>
      <c r="C3657" s="428"/>
      <c r="D3657" s="429"/>
    </row>
    <row r="3658" spans="1:4" ht="15.75" x14ac:dyDescent="0.25">
      <c r="A3658" s="427"/>
      <c r="B3658" s="428"/>
      <c r="C3658" s="428"/>
      <c r="D3658" s="429"/>
    </row>
    <row r="3659" spans="1:4" ht="15.75" x14ac:dyDescent="0.25">
      <c r="A3659" s="427"/>
      <c r="B3659" s="428"/>
      <c r="C3659" s="428"/>
      <c r="D3659" s="429"/>
    </row>
    <row r="3660" spans="1:4" ht="15.75" x14ac:dyDescent="0.25">
      <c r="A3660" s="427"/>
      <c r="B3660" s="428"/>
      <c r="C3660" s="428"/>
      <c r="D3660" s="429"/>
    </row>
    <row r="3661" spans="1:4" ht="15.75" x14ac:dyDescent="0.25">
      <c r="A3661" s="427"/>
      <c r="B3661" s="428"/>
      <c r="C3661" s="428"/>
      <c r="D3661" s="429"/>
    </row>
    <row r="3662" spans="1:4" ht="15.75" x14ac:dyDescent="0.25">
      <c r="A3662" s="427"/>
      <c r="B3662" s="428"/>
      <c r="C3662" s="428"/>
      <c r="D3662" s="429"/>
    </row>
    <row r="3663" spans="1:4" ht="15.75" x14ac:dyDescent="0.25">
      <c r="A3663" s="427"/>
      <c r="B3663" s="428"/>
      <c r="C3663" s="428"/>
      <c r="D3663" s="429"/>
    </row>
    <row r="3664" spans="1:4" ht="15.75" x14ac:dyDescent="0.25">
      <c r="A3664" s="427"/>
      <c r="B3664" s="428"/>
      <c r="C3664" s="428"/>
      <c r="D3664" s="429"/>
    </row>
    <row r="3665" spans="1:4" ht="15.75" x14ac:dyDescent="0.25">
      <c r="A3665" s="427"/>
      <c r="B3665" s="428"/>
      <c r="C3665" s="428"/>
      <c r="D3665" s="429"/>
    </row>
    <row r="3666" spans="1:4" ht="15.75" x14ac:dyDescent="0.25">
      <c r="A3666" s="427"/>
      <c r="B3666" s="428"/>
      <c r="C3666" s="428"/>
      <c r="D3666" s="429"/>
    </row>
    <row r="3667" spans="1:4" ht="15.75" x14ac:dyDescent="0.25">
      <c r="A3667" s="427"/>
      <c r="B3667" s="428"/>
      <c r="C3667" s="428"/>
      <c r="D3667" s="429"/>
    </row>
    <row r="3668" spans="1:4" ht="15.75" x14ac:dyDescent="0.25">
      <c r="A3668" s="427"/>
      <c r="B3668" s="428"/>
      <c r="C3668" s="428"/>
      <c r="D3668" s="429"/>
    </row>
    <row r="3669" spans="1:4" ht="15.75" x14ac:dyDescent="0.25">
      <c r="A3669" s="427"/>
      <c r="B3669" s="428"/>
      <c r="C3669" s="428"/>
      <c r="D3669" s="429"/>
    </row>
    <row r="3670" spans="1:4" ht="15.75" x14ac:dyDescent="0.25">
      <c r="A3670" s="427"/>
      <c r="B3670" s="428"/>
      <c r="C3670" s="428"/>
      <c r="D3670" s="429"/>
    </row>
    <row r="3671" spans="1:4" ht="15.75" x14ac:dyDescent="0.25">
      <c r="A3671" s="427"/>
      <c r="B3671" s="428"/>
      <c r="C3671" s="428"/>
      <c r="D3671" s="429"/>
    </row>
    <row r="3672" spans="1:4" ht="15.75" x14ac:dyDescent="0.25">
      <c r="A3672" s="427"/>
      <c r="B3672" s="428"/>
      <c r="C3672" s="428"/>
      <c r="D3672" s="429"/>
    </row>
    <row r="3673" spans="1:4" ht="15.75" x14ac:dyDescent="0.25">
      <c r="A3673" s="427"/>
      <c r="B3673" s="428"/>
      <c r="C3673" s="428"/>
      <c r="D3673" s="429"/>
    </row>
    <row r="3674" spans="1:4" ht="15.75" x14ac:dyDescent="0.25">
      <c r="A3674" s="427"/>
      <c r="B3674" s="428"/>
      <c r="C3674" s="428"/>
      <c r="D3674" s="429"/>
    </row>
    <row r="3675" spans="1:4" ht="15.75" x14ac:dyDescent="0.25">
      <c r="A3675" s="427"/>
      <c r="B3675" s="428"/>
      <c r="C3675" s="428"/>
      <c r="D3675" s="429"/>
    </row>
    <row r="3676" spans="1:4" ht="15.75" x14ac:dyDescent="0.25">
      <c r="A3676" s="427"/>
      <c r="B3676" s="428"/>
      <c r="C3676" s="428"/>
      <c r="D3676" s="429"/>
    </row>
    <row r="3677" spans="1:4" ht="15.75" x14ac:dyDescent="0.25">
      <c r="A3677" s="427"/>
      <c r="B3677" s="428"/>
      <c r="C3677" s="428"/>
      <c r="D3677" s="429"/>
    </row>
    <row r="3678" spans="1:4" ht="15.75" x14ac:dyDescent="0.25">
      <c r="A3678" s="427"/>
      <c r="B3678" s="428"/>
      <c r="C3678" s="428"/>
      <c r="D3678" s="429"/>
    </row>
    <row r="3679" spans="1:4" ht="15.75" x14ac:dyDescent="0.25">
      <c r="A3679" s="427"/>
      <c r="B3679" s="428"/>
      <c r="C3679" s="428"/>
      <c r="D3679" s="429"/>
    </row>
    <row r="3680" spans="1:4" ht="15.75" x14ac:dyDescent="0.25">
      <c r="A3680" s="427"/>
      <c r="B3680" s="428"/>
      <c r="C3680" s="428"/>
      <c r="D3680" s="429"/>
    </row>
    <row r="3681" spans="1:4" ht="15.75" x14ac:dyDescent="0.25">
      <c r="A3681" s="427"/>
      <c r="B3681" s="428"/>
      <c r="C3681" s="428"/>
      <c r="D3681" s="429"/>
    </row>
    <row r="3682" spans="1:4" ht="15.75" x14ac:dyDescent="0.25">
      <c r="A3682" s="427"/>
      <c r="B3682" s="428"/>
      <c r="C3682" s="428"/>
      <c r="D3682" s="429"/>
    </row>
    <row r="3683" spans="1:4" ht="15.75" x14ac:dyDescent="0.25">
      <c r="A3683" s="427"/>
      <c r="B3683" s="428"/>
      <c r="C3683" s="428"/>
      <c r="D3683" s="429"/>
    </row>
    <row r="3684" spans="1:4" ht="15.75" x14ac:dyDescent="0.25">
      <c r="A3684" s="427"/>
      <c r="B3684" s="428"/>
      <c r="C3684" s="428"/>
      <c r="D3684" s="429"/>
    </row>
    <row r="3685" spans="1:4" ht="15.75" x14ac:dyDescent="0.25">
      <c r="A3685" s="427"/>
      <c r="B3685" s="428"/>
      <c r="C3685" s="428"/>
      <c r="D3685" s="429"/>
    </row>
    <row r="3686" spans="1:4" ht="15.75" x14ac:dyDescent="0.25">
      <c r="A3686" s="427"/>
      <c r="B3686" s="428"/>
      <c r="C3686" s="428"/>
      <c r="D3686" s="429"/>
    </row>
    <row r="3687" spans="1:4" ht="15.75" x14ac:dyDescent="0.25">
      <c r="A3687" s="427"/>
      <c r="B3687" s="428"/>
      <c r="C3687" s="428"/>
      <c r="D3687" s="429"/>
    </row>
    <row r="3688" spans="1:4" ht="15.75" x14ac:dyDescent="0.25">
      <c r="A3688" s="427"/>
      <c r="B3688" s="428"/>
      <c r="C3688" s="428"/>
      <c r="D3688" s="429"/>
    </row>
    <row r="3689" spans="1:4" ht="15.75" x14ac:dyDescent="0.25">
      <c r="A3689" s="427"/>
      <c r="B3689" s="428"/>
      <c r="C3689" s="428"/>
      <c r="D3689" s="429"/>
    </row>
    <row r="3690" spans="1:4" ht="15.75" x14ac:dyDescent="0.25">
      <c r="A3690" s="427"/>
      <c r="B3690" s="428"/>
      <c r="C3690" s="428"/>
      <c r="D3690" s="429"/>
    </row>
    <row r="3691" spans="1:4" ht="15.75" x14ac:dyDescent="0.25">
      <c r="A3691" s="427"/>
      <c r="B3691" s="428"/>
      <c r="C3691" s="428"/>
      <c r="D3691" s="429"/>
    </row>
    <row r="3692" spans="1:4" ht="15.75" x14ac:dyDescent="0.25">
      <c r="A3692" s="427"/>
      <c r="B3692" s="428"/>
      <c r="C3692" s="428"/>
      <c r="D3692" s="429"/>
    </row>
    <row r="3693" spans="1:4" ht="15.75" x14ac:dyDescent="0.25">
      <c r="A3693" s="427"/>
      <c r="B3693" s="428"/>
      <c r="C3693" s="428"/>
      <c r="D3693" s="429"/>
    </row>
    <row r="3694" spans="1:4" ht="15.75" x14ac:dyDescent="0.25">
      <c r="A3694" s="427"/>
      <c r="B3694" s="428"/>
      <c r="C3694" s="428"/>
      <c r="D3694" s="429"/>
    </row>
    <row r="3695" spans="1:4" ht="15.75" x14ac:dyDescent="0.25">
      <c r="A3695" s="427"/>
      <c r="B3695" s="428"/>
      <c r="C3695" s="428"/>
      <c r="D3695" s="429"/>
    </row>
    <row r="3696" spans="1:4" ht="15.75" x14ac:dyDescent="0.25">
      <c r="A3696" s="427"/>
      <c r="B3696" s="428"/>
      <c r="C3696" s="428"/>
      <c r="D3696" s="429"/>
    </row>
    <row r="3697" spans="1:4" ht="15.75" x14ac:dyDescent="0.25">
      <c r="A3697" s="427"/>
      <c r="B3697" s="428"/>
      <c r="C3697" s="428"/>
      <c r="D3697" s="429"/>
    </row>
    <row r="3698" spans="1:4" ht="15.75" x14ac:dyDescent="0.25">
      <c r="A3698" s="427"/>
      <c r="B3698" s="428"/>
      <c r="C3698" s="428"/>
      <c r="D3698" s="429"/>
    </row>
    <row r="3699" spans="1:4" ht="15.75" x14ac:dyDescent="0.25">
      <c r="A3699" s="427"/>
      <c r="B3699" s="428"/>
      <c r="C3699" s="428"/>
      <c r="D3699" s="429"/>
    </row>
    <row r="3700" spans="1:4" ht="15.75" x14ac:dyDescent="0.25">
      <c r="A3700" s="427"/>
      <c r="B3700" s="428"/>
      <c r="C3700" s="428"/>
      <c r="D3700" s="429"/>
    </row>
    <row r="3701" spans="1:4" ht="15.75" x14ac:dyDescent="0.25">
      <c r="A3701" s="427"/>
      <c r="B3701" s="428"/>
      <c r="C3701" s="428"/>
      <c r="D3701" s="429"/>
    </row>
    <row r="3702" spans="1:4" ht="15.75" x14ac:dyDescent="0.25">
      <c r="A3702" s="427"/>
      <c r="B3702" s="428"/>
      <c r="C3702" s="428"/>
      <c r="D3702" s="429"/>
    </row>
    <row r="3703" spans="1:4" ht="15.75" x14ac:dyDescent="0.25">
      <c r="A3703" s="427"/>
      <c r="B3703" s="428"/>
      <c r="C3703" s="428"/>
      <c r="D3703" s="429"/>
    </row>
    <row r="3704" spans="1:4" ht="15.75" x14ac:dyDescent="0.25">
      <c r="A3704" s="427"/>
      <c r="B3704" s="428"/>
      <c r="C3704" s="428"/>
      <c r="D3704" s="429"/>
    </row>
    <row r="3705" spans="1:4" ht="15.75" x14ac:dyDescent="0.25">
      <c r="A3705" s="427"/>
      <c r="B3705" s="428"/>
      <c r="C3705" s="428"/>
      <c r="D3705" s="429"/>
    </row>
    <row r="3706" spans="1:4" ht="15.75" x14ac:dyDescent="0.25">
      <c r="A3706" s="427"/>
      <c r="B3706" s="428"/>
      <c r="C3706" s="428"/>
      <c r="D3706" s="429"/>
    </row>
    <row r="3707" spans="1:4" ht="15.75" x14ac:dyDescent="0.25">
      <c r="A3707" s="427"/>
      <c r="B3707" s="428"/>
      <c r="C3707" s="428"/>
      <c r="D3707" s="429"/>
    </row>
    <row r="3708" spans="1:4" ht="15.75" x14ac:dyDescent="0.25">
      <c r="A3708" s="427"/>
      <c r="B3708" s="428"/>
      <c r="C3708" s="428"/>
      <c r="D3708" s="429"/>
    </row>
    <row r="3709" spans="1:4" ht="15.75" x14ac:dyDescent="0.25">
      <c r="A3709" s="427"/>
      <c r="B3709" s="428"/>
      <c r="C3709" s="428"/>
      <c r="D3709" s="429"/>
    </row>
    <row r="3710" spans="1:4" ht="15.75" x14ac:dyDescent="0.25">
      <c r="A3710" s="427"/>
      <c r="B3710" s="428"/>
      <c r="C3710" s="428"/>
      <c r="D3710" s="429"/>
    </row>
    <row r="3711" spans="1:4" ht="15.75" x14ac:dyDescent="0.25">
      <c r="A3711" s="427"/>
      <c r="B3711" s="428"/>
      <c r="C3711" s="428"/>
      <c r="D3711" s="429"/>
    </row>
    <row r="3712" spans="1:4" ht="15.75" x14ac:dyDescent="0.25">
      <c r="A3712" s="427"/>
      <c r="B3712" s="428"/>
      <c r="C3712" s="428"/>
      <c r="D3712" s="429"/>
    </row>
    <row r="3713" spans="1:4" ht="15.75" x14ac:dyDescent="0.25">
      <c r="A3713" s="427"/>
      <c r="B3713" s="428"/>
      <c r="C3713" s="428"/>
      <c r="D3713" s="429"/>
    </row>
    <row r="3714" spans="1:4" ht="15.75" x14ac:dyDescent="0.25">
      <c r="A3714" s="427"/>
      <c r="B3714" s="428"/>
      <c r="C3714" s="428"/>
      <c r="D3714" s="429"/>
    </row>
    <row r="3715" spans="1:4" ht="15.75" x14ac:dyDescent="0.25">
      <c r="A3715" s="427"/>
      <c r="B3715" s="428"/>
      <c r="C3715" s="428"/>
      <c r="D3715" s="429"/>
    </row>
    <row r="3716" spans="1:4" ht="15.75" x14ac:dyDescent="0.25">
      <c r="A3716" s="427"/>
      <c r="B3716" s="428"/>
      <c r="C3716" s="428"/>
      <c r="D3716" s="429"/>
    </row>
    <row r="3717" spans="1:4" ht="15.75" x14ac:dyDescent="0.25">
      <c r="A3717" s="427"/>
      <c r="B3717" s="428"/>
      <c r="C3717" s="428"/>
      <c r="D3717" s="429"/>
    </row>
    <row r="3718" spans="1:4" ht="15.75" x14ac:dyDescent="0.25">
      <c r="A3718" s="427"/>
      <c r="B3718" s="428"/>
      <c r="C3718" s="428"/>
      <c r="D3718" s="429"/>
    </row>
    <row r="3719" spans="1:4" ht="15.75" x14ac:dyDescent="0.25">
      <c r="A3719" s="427"/>
      <c r="B3719" s="428"/>
      <c r="C3719" s="428"/>
      <c r="D3719" s="429"/>
    </row>
    <row r="3720" spans="1:4" ht="15.75" x14ac:dyDescent="0.25">
      <c r="A3720" s="427"/>
      <c r="B3720" s="428"/>
      <c r="C3720" s="428"/>
      <c r="D3720" s="429"/>
    </row>
    <row r="3721" spans="1:4" ht="15.75" x14ac:dyDescent="0.25">
      <c r="A3721" s="427"/>
      <c r="B3721" s="428"/>
      <c r="C3721" s="428"/>
      <c r="D3721" s="429"/>
    </row>
    <row r="3722" spans="1:4" ht="15.75" x14ac:dyDescent="0.25">
      <c r="A3722" s="427"/>
      <c r="B3722" s="428"/>
      <c r="C3722" s="428"/>
      <c r="D3722" s="429"/>
    </row>
    <row r="3723" spans="1:4" ht="15.75" x14ac:dyDescent="0.25">
      <c r="A3723" s="427"/>
      <c r="B3723" s="428"/>
      <c r="C3723" s="428"/>
      <c r="D3723" s="429"/>
    </row>
    <row r="3724" spans="1:4" ht="15.75" x14ac:dyDescent="0.25">
      <c r="A3724" s="427"/>
      <c r="B3724" s="428"/>
      <c r="C3724" s="428"/>
      <c r="D3724" s="429"/>
    </row>
    <row r="3725" spans="1:4" ht="15.75" x14ac:dyDescent="0.25">
      <c r="A3725" s="427"/>
      <c r="B3725" s="428"/>
      <c r="C3725" s="428"/>
      <c r="D3725" s="429"/>
    </row>
    <row r="3726" spans="1:4" ht="15.75" x14ac:dyDescent="0.25">
      <c r="A3726" s="427"/>
      <c r="B3726" s="428"/>
      <c r="C3726" s="428"/>
      <c r="D3726" s="429"/>
    </row>
    <row r="3727" spans="1:4" ht="15.75" x14ac:dyDescent="0.25">
      <c r="A3727" s="427"/>
      <c r="B3727" s="428"/>
      <c r="C3727" s="428"/>
      <c r="D3727" s="429"/>
    </row>
    <row r="3728" spans="1:4" ht="15.75" x14ac:dyDescent="0.25">
      <c r="A3728" s="427"/>
      <c r="B3728" s="428"/>
      <c r="C3728" s="428"/>
      <c r="D3728" s="429"/>
    </row>
    <row r="3729" spans="1:4" ht="15.75" x14ac:dyDescent="0.25">
      <c r="A3729" s="427"/>
      <c r="B3729" s="428"/>
      <c r="C3729" s="428"/>
      <c r="D3729" s="429"/>
    </row>
    <row r="3730" spans="1:4" ht="15.75" x14ac:dyDescent="0.25">
      <c r="A3730" s="427"/>
      <c r="B3730" s="428"/>
      <c r="C3730" s="428"/>
      <c r="D3730" s="429"/>
    </row>
    <row r="3731" spans="1:4" ht="15.75" x14ac:dyDescent="0.25">
      <c r="A3731" s="427"/>
      <c r="B3731" s="428"/>
      <c r="C3731" s="428"/>
      <c r="D3731" s="429"/>
    </row>
    <row r="3732" spans="1:4" ht="15.75" x14ac:dyDescent="0.25">
      <c r="A3732" s="427"/>
      <c r="B3732" s="428"/>
      <c r="C3732" s="428"/>
      <c r="D3732" s="429"/>
    </row>
    <row r="3733" spans="1:4" ht="15.75" x14ac:dyDescent="0.25">
      <c r="A3733" s="427"/>
      <c r="B3733" s="428"/>
      <c r="C3733" s="428"/>
      <c r="D3733" s="429"/>
    </row>
    <row r="3734" spans="1:4" ht="15.75" x14ac:dyDescent="0.25">
      <c r="A3734" s="427"/>
      <c r="B3734" s="428"/>
      <c r="C3734" s="428"/>
      <c r="D3734" s="429"/>
    </row>
    <row r="3735" spans="1:4" ht="15.75" x14ac:dyDescent="0.25">
      <c r="A3735" s="427"/>
      <c r="B3735" s="428"/>
      <c r="C3735" s="428"/>
      <c r="D3735" s="429"/>
    </row>
    <row r="3736" spans="1:4" ht="15.75" x14ac:dyDescent="0.25">
      <c r="A3736" s="427"/>
      <c r="B3736" s="428"/>
      <c r="C3736" s="428"/>
      <c r="D3736" s="429"/>
    </row>
    <row r="3737" spans="1:4" ht="15.75" x14ac:dyDescent="0.25">
      <c r="A3737" s="427"/>
      <c r="B3737" s="428"/>
      <c r="C3737" s="428"/>
      <c r="D3737" s="429"/>
    </row>
    <row r="3738" spans="1:4" ht="15.75" x14ac:dyDescent="0.25">
      <c r="A3738" s="427"/>
      <c r="B3738" s="428"/>
      <c r="C3738" s="428"/>
      <c r="D3738" s="429"/>
    </row>
    <row r="3739" spans="1:4" ht="15.75" x14ac:dyDescent="0.25">
      <c r="A3739" s="427"/>
      <c r="B3739" s="428"/>
      <c r="C3739" s="428"/>
      <c r="D3739" s="429"/>
    </row>
    <row r="3740" spans="1:4" ht="15.75" x14ac:dyDescent="0.25">
      <c r="A3740" s="427"/>
      <c r="B3740" s="428"/>
      <c r="C3740" s="428"/>
      <c r="D3740" s="429"/>
    </row>
    <row r="3741" spans="1:4" ht="15.75" x14ac:dyDescent="0.25">
      <c r="A3741" s="427"/>
      <c r="B3741" s="428"/>
      <c r="C3741" s="428"/>
      <c r="D3741" s="429"/>
    </row>
    <row r="3742" spans="1:4" ht="15.75" x14ac:dyDescent="0.25">
      <c r="A3742" s="427"/>
      <c r="B3742" s="428"/>
      <c r="C3742" s="428"/>
      <c r="D3742" s="429"/>
    </row>
    <row r="3743" spans="1:4" ht="15.75" x14ac:dyDescent="0.25">
      <c r="A3743" s="427"/>
      <c r="B3743" s="428"/>
      <c r="C3743" s="428"/>
      <c r="D3743" s="429"/>
    </row>
    <row r="3744" spans="1:4" ht="15.75" x14ac:dyDescent="0.25">
      <c r="A3744" s="427"/>
      <c r="B3744" s="428"/>
      <c r="C3744" s="428"/>
      <c r="D3744" s="429"/>
    </row>
    <row r="3745" spans="1:4" ht="15.75" x14ac:dyDescent="0.25">
      <c r="A3745" s="427"/>
      <c r="B3745" s="428"/>
      <c r="C3745" s="428"/>
      <c r="D3745" s="429"/>
    </row>
    <row r="3746" spans="1:4" ht="15.75" x14ac:dyDescent="0.25">
      <c r="A3746" s="427"/>
      <c r="B3746" s="428"/>
      <c r="C3746" s="428"/>
      <c r="D3746" s="429"/>
    </row>
    <row r="3747" spans="1:4" ht="15.75" x14ac:dyDescent="0.25">
      <c r="A3747" s="427"/>
      <c r="B3747" s="428"/>
      <c r="C3747" s="428"/>
      <c r="D3747" s="429"/>
    </row>
    <row r="3748" spans="1:4" ht="15.75" x14ac:dyDescent="0.25">
      <c r="A3748" s="427"/>
      <c r="B3748" s="428"/>
      <c r="C3748" s="428"/>
      <c r="D3748" s="429"/>
    </row>
    <row r="3749" spans="1:4" ht="15.75" x14ac:dyDescent="0.25">
      <c r="A3749" s="427"/>
      <c r="B3749" s="428"/>
      <c r="C3749" s="428"/>
      <c r="D3749" s="429"/>
    </row>
    <row r="3750" spans="1:4" ht="15.75" x14ac:dyDescent="0.25">
      <c r="A3750" s="427"/>
      <c r="B3750" s="428"/>
      <c r="C3750" s="428"/>
      <c r="D3750" s="429"/>
    </row>
    <row r="3751" spans="1:4" ht="15.75" x14ac:dyDescent="0.25">
      <c r="A3751" s="427"/>
      <c r="B3751" s="428"/>
      <c r="C3751" s="428"/>
      <c r="D3751" s="429"/>
    </row>
    <row r="3752" spans="1:4" ht="15.75" x14ac:dyDescent="0.25">
      <c r="A3752" s="427"/>
      <c r="B3752" s="428"/>
      <c r="C3752" s="428"/>
      <c r="D3752" s="429"/>
    </row>
    <row r="3753" spans="1:4" ht="15.75" x14ac:dyDescent="0.25">
      <c r="A3753" s="427"/>
      <c r="B3753" s="428"/>
      <c r="C3753" s="428"/>
      <c r="D3753" s="429"/>
    </row>
    <row r="3754" spans="1:4" ht="15.75" x14ac:dyDescent="0.25">
      <c r="A3754" s="427"/>
      <c r="B3754" s="428"/>
      <c r="C3754" s="428"/>
      <c r="D3754" s="429"/>
    </row>
    <row r="3755" spans="1:4" ht="15.75" x14ac:dyDescent="0.25">
      <c r="A3755" s="427"/>
      <c r="B3755" s="428"/>
      <c r="C3755" s="428"/>
      <c r="D3755" s="429"/>
    </row>
    <row r="3756" spans="1:4" ht="15.75" x14ac:dyDescent="0.25">
      <c r="A3756" s="427"/>
      <c r="B3756" s="428"/>
      <c r="C3756" s="428"/>
      <c r="D3756" s="429"/>
    </row>
    <row r="3757" spans="1:4" ht="15.75" x14ac:dyDescent="0.25">
      <c r="A3757" s="427"/>
      <c r="B3757" s="428"/>
      <c r="C3757" s="428"/>
      <c r="D3757" s="429"/>
    </row>
    <row r="3758" spans="1:4" ht="15.75" x14ac:dyDescent="0.25">
      <c r="A3758" s="427"/>
      <c r="B3758" s="428"/>
      <c r="C3758" s="428"/>
      <c r="D3758" s="429"/>
    </row>
    <row r="3759" spans="1:4" ht="15.75" x14ac:dyDescent="0.25">
      <c r="A3759" s="427"/>
      <c r="B3759" s="428"/>
      <c r="C3759" s="428"/>
      <c r="D3759" s="429"/>
    </row>
    <row r="3760" spans="1:4" ht="15.75" x14ac:dyDescent="0.25">
      <c r="A3760" s="427"/>
      <c r="B3760" s="428"/>
      <c r="C3760" s="428"/>
      <c r="D3760" s="429"/>
    </row>
    <row r="3761" spans="1:4" ht="15.75" x14ac:dyDescent="0.25">
      <c r="A3761" s="427"/>
      <c r="B3761" s="428"/>
      <c r="C3761" s="428"/>
      <c r="D3761" s="429"/>
    </row>
    <row r="3762" spans="1:4" ht="15.75" x14ac:dyDescent="0.25">
      <c r="A3762" s="427"/>
      <c r="B3762" s="428"/>
      <c r="C3762" s="428"/>
      <c r="D3762" s="429"/>
    </row>
    <row r="3763" spans="1:4" ht="15.75" x14ac:dyDescent="0.25">
      <c r="A3763" s="427"/>
      <c r="B3763" s="428"/>
      <c r="C3763" s="428"/>
      <c r="D3763" s="429"/>
    </row>
    <row r="3764" spans="1:4" ht="15.75" x14ac:dyDescent="0.25">
      <c r="A3764" s="427"/>
      <c r="B3764" s="428"/>
      <c r="C3764" s="428"/>
      <c r="D3764" s="429"/>
    </row>
    <row r="3765" spans="1:4" ht="15.75" x14ac:dyDescent="0.25">
      <c r="A3765" s="427"/>
      <c r="B3765" s="428"/>
      <c r="C3765" s="428"/>
      <c r="D3765" s="429"/>
    </row>
    <row r="3766" spans="1:4" ht="15.75" x14ac:dyDescent="0.25">
      <c r="A3766" s="427"/>
      <c r="B3766" s="428"/>
      <c r="C3766" s="428"/>
      <c r="D3766" s="429"/>
    </row>
    <row r="3767" spans="1:4" ht="15.75" x14ac:dyDescent="0.25">
      <c r="A3767" s="427"/>
      <c r="B3767" s="428"/>
      <c r="C3767" s="428"/>
      <c r="D3767" s="429"/>
    </row>
    <row r="3768" spans="1:4" ht="15.75" x14ac:dyDescent="0.25">
      <c r="A3768" s="427"/>
      <c r="B3768" s="428"/>
      <c r="C3768" s="428"/>
      <c r="D3768" s="429"/>
    </row>
    <row r="3769" spans="1:4" ht="15.75" x14ac:dyDescent="0.25">
      <c r="A3769" s="427"/>
      <c r="B3769" s="428"/>
      <c r="C3769" s="428"/>
      <c r="D3769" s="429"/>
    </row>
    <row r="3770" spans="1:4" ht="15.75" x14ac:dyDescent="0.25">
      <c r="A3770" s="427"/>
      <c r="B3770" s="428"/>
      <c r="C3770" s="428"/>
      <c r="D3770" s="429"/>
    </row>
    <row r="3771" spans="1:4" ht="15.75" x14ac:dyDescent="0.25">
      <c r="A3771" s="427"/>
      <c r="B3771" s="428"/>
      <c r="C3771" s="428"/>
      <c r="D3771" s="429"/>
    </row>
    <row r="3772" spans="1:4" ht="15.75" x14ac:dyDescent="0.25">
      <c r="A3772" s="427"/>
      <c r="B3772" s="428"/>
      <c r="C3772" s="428"/>
      <c r="D3772" s="429"/>
    </row>
    <row r="3773" spans="1:4" ht="15.75" x14ac:dyDescent="0.25">
      <c r="A3773" s="427"/>
      <c r="B3773" s="428"/>
      <c r="C3773" s="428"/>
      <c r="D3773" s="429"/>
    </row>
    <row r="3774" spans="1:4" ht="15.75" x14ac:dyDescent="0.25">
      <c r="A3774" s="427"/>
      <c r="B3774" s="428"/>
      <c r="C3774" s="428"/>
      <c r="D3774" s="429"/>
    </row>
    <row r="3775" spans="1:4" ht="15.75" x14ac:dyDescent="0.25">
      <c r="A3775" s="427"/>
      <c r="B3775" s="428"/>
      <c r="C3775" s="428"/>
      <c r="D3775" s="429"/>
    </row>
    <row r="3776" spans="1:4" ht="15.75" x14ac:dyDescent="0.25">
      <c r="A3776" s="427"/>
      <c r="B3776" s="428"/>
      <c r="C3776" s="428"/>
      <c r="D3776" s="429"/>
    </row>
    <row r="3777" spans="1:4" ht="15.75" x14ac:dyDescent="0.25">
      <c r="A3777" s="427"/>
      <c r="B3777" s="428"/>
      <c r="C3777" s="428"/>
      <c r="D3777" s="429"/>
    </row>
    <row r="3778" spans="1:4" ht="15.75" x14ac:dyDescent="0.25">
      <c r="A3778" s="427"/>
      <c r="B3778" s="428"/>
      <c r="C3778" s="428"/>
      <c r="D3778" s="429"/>
    </row>
    <row r="3779" spans="1:4" ht="15.75" x14ac:dyDescent="0.25">
      <c r="A3779" s="427"/>
      <c r="B3779" s="428"/>
      <c r="C3779" s="428"/>
      <c r="D3779" s="429"/>
    </row>
    <row r="3780" spans="1:4" ht="15.75" x14ac:dyDescent="0.25">
      <c r="A3780" s="427"/>
      <c r="B3780" s="428"/>
      <c r="C3780" s="428"/>
      <c r="D3780" s="429"/>
    </row>
    <row r="3781" spans="1:4" ht="15.75" x14ac:dyDescent="0.25">
      <c r="A3781" s="427"/>
      <c r="B3781" s="428"/>
      <c r="C3781" s="428"/>
      <c r="D3781" s="429"/>
    </row>
    <row r="3782" spans="1:4" ht="15.75" x14ac:dyDescent="0.25">
      <c r="A3782" s="427"/>
      <c r="B3782" s="428"/>
      <c r="C3782" s="428"/>
      <c r="D3782" s="429"/>
    </row>
    <row r="3783" spans="1:4" ht="15.75" x14ac:dyDescent="0.25">
      <c r="A3783" s="427"/>
      <c r="B3783" s="428"/>
      <c r="C3783" s="428"/>
      <c r="D3783" s="429"/>
    </row>
    <row r="3784" spans="1:4" ht="15.75" x14ac:dyDescent="0.25">
      <c r="A3784" s="427"/>
      <c r="B3784" s="428"/>
      <c r="C3784" s="428"/>
      <c r="D3784" s="429"/>
    </row>
    <row r="3785" spans="1:4" ht="15.75" x14ac:dyDescent="0.25">
      <c r="A3785" s="427"/>
      <c r="B3785" s="428"/>
      <c r="C3785" s="428"/>
      <c r="D3785" s="429"/>
    </row>
    <row r="3786" spans="1:4" ht="15.75" x14ac:dyDescent="0.25">
      <c r="A3786" s="427"/>
      <c r="B3786" s="428"/>
      <c r="C3786" s="428"/>
      <c r="D3786" s="429"/>
    </row>
    <row r="3787" spans="1:4" ht="15.75" x14ac:dyDescent="0.25">
      <c r="A3787" s="427"/>
      <c r="B3787" s="428"/>
      <c r="C3787" s="428"/>
      <c r="D3787" s="429"/>
    </row>
    <row r="3788" spans="1:4" ht="15.75" x14ac:dyDescent="0.25">
      <c r="A3788" s="427"/>
      <c r="B3788" s="428"/>
      <c r="C3788" s="428"/>
      <c r="D3788" s="429"/>
    </row>
    <row r="3789" spans="1:4" ht="15.75" x14ac:dyDescent="0.25">
      <c r="A3789" s="427"/>
      <c r="B3789" s="428"/>
      <c r="C3789" s="428"/>
      <c r="D3789" s="429"/>
    </row>
    <row r="3790" spans="1:4" ht="15.75" x14ac:dyDescent="0.25">
      <c r="A3790" s="427"/>
      <c r="B3790" s="428"/>
      <c r="C3790" s="428"/>
      <c r="D3790" s="429"/>
    </row>
    <row r="3791" spans="1:4" ht="15.75" x14ac:dyDescent="0.25">
      <c r="A3791" s="427"/>
      <c r="B3791" s="428"/>
      <c r="C3791" s="428"/>
      <c r="D3791" s="429"/>
    </row>
    <row r="3792" spans="1:4" ht="15.75" x14ac:dyDescent="0.25">
      <c r="A3792" s="427"/>
      <c r="B3792" s="428"/>
      <c r="C3792" s="428"/>
      <c r="D3792" s="429"/>
    </row>
    <row r="3793" spans="1:4" ht="15.75" x14ac:dyDescent="0.25">
      <c r="A3793" s="427"/>
      <c r="B3793" s="428"/>
      <c r="C3793" s="428"/>
      <c r="D3793" s="429"/>
    </row>
    <row r="3794" spans="1:4" ht="15.75" x14ac:dyDescent="0.25">
      <c r="A3794" s="427"/>
      <c r="B3794" s="428"/>
      <c r="C3794" s="428"/>
      <c r="D3794" s="429"/>
    </row>
    <row r="3795" spans="1:4" ht="15.75" x14ac:dyDescent="0.25">
      <c r="A3795" s="427"/>
      <c r="B3795" s="428"/>
      <c r="C3795" s="428"/>
      <c r="D3795" s="429"/>
    </row>
    <row r="3796" spans="1:4" ht="15.75" x14ac:dyDescent="0.25">
      <c r="A3796" s="427"/>
      <c r="B3796" s="428"/>
      <c r="C3796" s="428"/>
      <c r="D3796" s="429"/>
    </row>
    <row r="3797" spans="1:4" ht="15.75" x14ac:dyDescent="0.25">
      <c r="A3797" s="427"/>
      <c r="B3797" s="428"/>
      <c r="C3797" s="428"/>
      <c r="D3797" s="429"/>
    </row>
    <row r="3798" spans="1:4" ht="15.75" x14ac:dyDescent="0.25">
      <c r="A3798" s="427"/>
      <c r="B3798" s="428"/>
      <c r="C3798" s="428"/>
      <c r="D3798" s="429"/>
    </row>
    <row r="3799" spans="1:4" ht="15.75" x14ac:dyDescent="0.25">
      <c r="A3799" s="427"/>
      <c r="B3799" s="428"/>
      <c r="C3799" s="428"/>
      <c r="D3799" s="429"/>
    </row>
    <row r="3800" spans="1:4" ht="15.75" x14ac:dyDescent="0.25">
      <c r="A3800" s="427"/>
      <c r="B3800" s="428"/>
      <c r="C3800" s="428"/>
      <c r="D3800" s="429"/>
    </row>
    <row r="3801" spans="1:4" ht="15.75" x14ac:dyDescent="0.25">
      <c r="A3801" s="427"/>
      <c r="B3801" s="428"/>
      <c r="C3801" s="428"/>
      <c r="D3801" s="429"/>
    </row>
    <row r="3802" spans="1:4" ht="15.75" x14ac:dyDescent="0.25">
      <c r="A3802" s="427"/>
      <c r="B3802" s="428"/>
      <c r="C3802" s="428"/>
      <c r="D3802" s="429"/>
    </row>
    <row r="3803" spans="1:4" ht="15.75" x14ac:dyDescent="0.25">
      <c r="A3803" s="427"/>
      <c r="B3803" s="428"/>
      <c r="C3803" s="428"/>
      <c r="D3803" s="429"/>
    </row>
    <row r="3804" spans="1:4" ht="15.75" x14ac:dyDescent="0.25">
      <c r="A3804" s="427"/>
      <c r="B3804" s="428"/>
      <c r="C3804" s="428"/>
      <c r="D3804" s="429"/>
    </row>
    <row r="3805" spans="1:4" ht="15.75" x14ac:dyDescent="0.25">
      <c r="A3805" s="427"/>
      <c r="B3805" s="428"/>
      <c r="C3805" s="428"/>
      <c r="D3805" s="429"/>
    </row>
    <row r="3806" spans="1:4" ht="15.75" x14ac:dyDescent="0.25">
      <c r="A3806" s="427"/>
      <c r="B3806" s="428"/>
      <c r="C3806" s="428"/>
      <c r="D3806" s="429"/>
    </row>
    <row r="3807" spans="1:4" ht="15.75" x14ac:dyDescent="0.25">
      <c r="A3807" s="427"/>
      <c r="B3807" s="428"/>
      <c r="C3807" s="428"/>
      <c r="D3807" s="429"/>
    </row>
    <row r="3808" spans="1:4" ht="15.75" x14ac:dyDescent="0.25">
      <c r="A3808" s="427"/>
      <c r="B3808" s="428"/>
      <c r="C3808" s="428"/>
      <c r="D3808" s="429"/>
    </row>
    <row r="3809" spans="1:4" ht="15.75" x14ac:dyDescent="0.25">
      <c r="A3809" s="427"/>
      <c r="B3809" s="428"/>
      <c r="C3809" s="428"/>
      <c r="D3809" s="429"/>
    </row>
    <row r="3810" spans="1:4" ht="15.75" x14ac:dyDescent="0.25">
      <c r="A3810" s="427"/>
      <c r="B3810" s="428"/>
      <c r="C3810" s="428"/>
      <c r="D3810" s="429"/>
    </row>
  </sheetData>
  <mergeCells count="1">
    <mergeCell ref="A1:D1"/>
  </mergeCells>
  <dataValidations count="3">
    <dataValidation type="list" allowBlank="1" showInputMessage="1" showErrorMessage="1" sqref="B6:B3810" xr:uid="{00000000-0002-0000-0500-000000000000}">
      <formula1>P_LSub_Group</formula1>
    </dataValidation>
    <dataValidation type="list" allowBlank="1" showInputMessage="1" showErrorMessage="1" sqref="A6:A3810" xr:uid="{00000000-0002-0000-0500-000001000000}">
      <formula1>Year</formula1>
    </dataValidation>
    <dataValidation type="list" allowBlank="1" showInputMessage="1" showErrorMessage="1" sqref="C6:C3810" xr:uid="{00000000-0002-0000-0500-000002000000}">
      <formula1>$BP$1:$BP$20</formula1>
    </dataValidation>
  </dataValidations>
  <pageMargins left="0.7" right="0.7" top="0.75" bottom="0.75" header="0.3" footer="0.3"/>
  <pageSetup orientation="portrait" r:id="rId1"/>
  <picture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outlinePr summaryRight="0"/>
  </sheetPr>
  <dimension ref="A1:AN407"/>
  <sheetViews>
    <sheetView showGridLines="0" showRowColHeaders="0" zoomScaleNormal="100" workbookViewId="0">
      <pane ySplit="7" topLeftCell="A8" activePane="bottomLeft" state="frozen"/>
      <selection pane="bottomLeft"/>
    </sheetView>
  </sheetViews>
  <sheetFormatPr defaultRowHeight="15" outlineLevelCol="2" x14ac:dyDescent="0.25"/>
  <cols>
    <col min="1" max="1" width="3.140625" style="20" customWidth="1" collapsed="1"/>
    <col min="2" max="2" width="11" style="20" hidden="1" customWidth="1" outlineLevel="1"/>
    <col min="3" max="3" width="60.42578125" style="20" hidden="1" customWidth="1" outlineLevel="1"/>
    <col min="4" max="4" width="15.42578125" style="20" hidden="1" customWidth="1" outlineLevel="1"/>
    <col min="5" max="5" width="20" style="20" hidden="1" customWidth="1" outlineLevel="1"/>
    <col min="6" max="6" width="4.7109375" style="20" customWidth="1" collapsed="1"/>
    <col min="7" max="7" width="14.7109375" style="20" hidden="1" customWidth="1" outlineLevel="1"/>
    <col min="8" max="8" width="70.42578125" style="20" hidden="1" customWidth="1" outlineLevel="1"/>
    <col min="9" max="9" width="18.140625" style="20" hidden="1" customWidth="1" outlineLevel="1"/>
    <col min="10" max="10" width="17" style="20" hidden="1" customWidth="1" outlineLevel="1"/>
    <col min="11" max="11" width="9.140625" style="20" collapsed="1"/>
    <col min="12" max="12" width="7.140625" style="20" hidden="1" customWidth="1" outlineLevel="1"/>
    <col min="13" max="13" width="33.7109375" style="20" hidden="1" customWidth="1" outlineLevel="1"/>
    <col min="14" max="14" width="71.85546875" style="20" hidden="1" customWidth="1" outlineLevel="1"/>
    <col min="15" max="15" width="22.5703125" style="20" hidden="1" customWidth="1" outlineLevel="2"/>
    <col min="16" max="16" width="21.7109375" style="20" hidden="1" customWidth="1" outlineLevel="2"/>
    <col min="17" max="18" width="9.140625" style="20"/>
    <col min="19" max="19" width="11.140625" style="20" customWidth="1" outlineLevel="1"/>
    <col min="20" max="20" width="18.85546875" style="20" customWidth="1" outlineLevel="1"/>
    <col min="21" max="21" width="37.7109375" style="20" customWidth="1" outlineLevel="1" collapsed="1"/>
    <col min="22" max="22" width="19.5703125" style="20" hidden="1" customWidth="1" outlineLevel="2"/>
    <col min="23" max="23" width="19.85546875" style="20" hidden="1" customWidth="1" outlineLevel="2"/>
    <col min="24" max="24" width="3.85546875" style="20" customWidth="1" outlineLevel="1"/>
    <col min="25" max="25" width="17.5703125" style="20" customWidth="1" outlineLevel="1" collapsed="1"/>
    <col min="26" max="27" width="19.85546875" style="20" hidden="1" customWidth="1" outlineLevel="2"/>
    <col min="28" max="28" width="19.85546875" style="20" customWidth="1" outlineLevel="1"/>
    <col min="29" max="29" width="19.85546875" style="20" customWidth="1" outlineLevel="1" collapsed="1"/>
    <col min="30" max="30" width="17.7109375" style="20" hidden="1" customWidth="1" outlineLevel="2"/>
    <col min="31" max="31" width="17.85546875" style="20" hidden="1" customWidth="1" outlineLevel="2"/>
    <col min="32" max="32" width="3.42578125" style="20" customWidth="1" outlineLevel="1" collapsed="1"/>
    <col min="33" max="33" width="19.5703125" style="20" hidden="1" customWidth="1" outlineLevel="2"/>
    <col min="34" max="34" width="22.42578125" style="20" hidden="1"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c r="AM7" s="61"/>
      <c r="AN7" s="61"/>
    </row>
    <row r="8" spans="2:40" x14ac:dyDescent="0.25">
      <c r="B8" s="31" t="s">
        <v>41</v>
      </c>
      <c r="C8" s="32" t="s">
        <v>38</v>
      </c>
      <c r="D8" s="32" t="s">
        <v>40</v>
      </c>
      <c r="E8" s="33" t="s">
        <v>39</v>
      </c>
      <c r="G8" s="31" t="s">
        <v>183</v>
      </c>
      <c r="H8" s="27" t="s">
        <v>44</v>
      </c>
      <c r="I8" s="27" t="s">
        <v>40</v>
      </c>
      <c r="J8" s="27" t="s">
        <v>39</v>
      </c>
      <c r="L8" s="34">
        <v>1</v>
      </c>
      <c r="M8" s="35" t="s">
        <v>138</v>
      </c>
      <c r="N8" s="35" t="s">
        <v>532</v>
      </c>
      <c r="O8" s="34">
        <f>IFERROR(SUMIF(Table4[,],Table6[[#This Row],[Accounts Name]],Table4[,3]),"")</f>
        <v>3977142.74</v>
      </c>
      <c r="P8" s="34">
        <f>IFERROR(SUMIF(Table4[,],Table6[[#This Row],[Accounts Name]],Table4[,2]),"")</f>
        <v>0</v>
      </c>
      <c r="S8" s="36">
        <v>1</v>
      </c>
      <c r="T8" s="34" t="s">
        <v>11</v>
      </c>
      <c r="U8" s="37" t="s">
        <v>138</v>
      </c>
      <c r="V8" s="34">
        <f>IFERROR(SUMIF(Table6[Sub-Accounts],Table8[[#This Row],[Update your chart of accounts here]],Table6[Debit]),"")</f>
        <v>5942202.0100000007</v>
      </c>
      <c r="W8" s="34">
        <f>IFERROR(SUMIF(Table6[Sub-Accounts],Table8[[#This Row],[Update your chart of accounts here]],Table6[Credit]),"")</f>
        <v>0</v>
      </c>
      <c r="X8" s="34"/>
      <c r="Y8" s="34" t="s">
        <v>228</v>
      </c>
      <c r="Z8" s="34"/>
      <c r="AA8" s="34">
        <f>J25</f>
        <v>21</v>
      </c>
      <c r="AB8" s="34">
        <f>MAX(Table8[[#This Row],[Debit]]+Table8[[#This Row],[Debit -]]-Table8[[#This Row],[Credit]]-Table8[[#This Row],[Credit +]],0)</f>
        <v>5942181.0100000007</v>
      </c>
      <c r="AC8" s="34">
        <f>MAX(Table8[[#This Row],[Credit]]-Table8[[#This Row],[Debit]]+Table8[[#This Row],[Credit +]]-Table8[[#This Row],[Debit -]],0)</f>
        <v>0</v>
      </c>
      <c r="AD8" s="34" t="str">
        <f>IFERROR(IF(AND(OR(Table8[[#This Row],[Classification]]="Expense",Table8[[#This Row],[Classification]]="Cost of Goods Sold"),Table8[[#This Row],[Debit\]]&gt;Table8[[#This Row],[Credit.]]),Table8[[#This Row],[Debit\]]-Table8[[#This Row],[Credit.]],""),"")</f>
        <v/>
      </c>
      <c r="AE8" s="34" t="str">
        <f>IFERROR(IF(AND(OR(Table8[[#This Row],[Classification]]="Income",Table8[[#This Row],[Classification]]="Cost of Goods Sold"),Table8[[#This Row],[Credit.]]&gt;Table8[[#This Row],[Debit\]]),Table8[[#This Row],[Credit.]]-Table8[[#This Row],[Debit\]],""),"")</f>
        <v/>
      </c>
      <c r="AF8" s="34"/>
      <c r="AG8" s="34">
        <f>IFERROR(IF(AND(Table8[[#This Row],[Classification]]="Assets",Table8[[#This Row],[Debit\]]-Table8[[#This Row],[Credit.]]),Table8[[#This Row],[Debit\]]-Table8[[#This Row],[Credit.]],""),"")</f>
        <v>5942181.0100000007</v>
      </c>
      <c r="AH8" s="34" t="str">
        <f>IFERROR(IF(AND(OR(Table8[[#This Row],[Classification]]="Liabilities",Table8[[#This Row],[Classification]]="Owner´s Equity"),Table8[[#This Row],[Credit.]]&gt;Table8[[#This Row],[Debit\]]),Table8[[#This Row],[Credit.]]-Table8[[#This Row],[Debit\]],""),"")</f>
        <v/>
      </c>
    </row>
    <row r="9" spans="2:40" x14ac:dyDescent="0.25">
      <c r="B9" s="34"/>
      <c r="C9" s="38" t="s">
        <v>532</v>
      </c>
      <c r="D9" s="34">
        <v>3977142.74</v>
      </c>
      <c r="E9" s="34"/>
      <c r="G9" s="39" t="s">
        <v>181</v>
      </c>
      <c r="H9" s="40" t="s">
        <v>171</v>
      </c>
      <c r="I9" s="41">
        <v>409278.51677448238</v>
      </c>
      <c r="J9" s="41"/>
      <c r="L9" s="34">
        <v>2</v>
      </c>
      <c r="M9" s="35" t="s">
        <v>139</v>
      </c>
      <c r="N9" s="35" t="s">
        <v>533</v>
      </c>
      <c r="O9" s="34">
        <f>IFERROR(SUMIF(Table4[,],Table6[[#This Row],[Accounts Name]],Table4[,3]),"")</f>
        <v>0</v>
      </c>
      <c r="P9" s="34">
        <f>IFERROR(SUMIF(Table4[,],Table6[[#This Row],[Accounts Name]],Table4[,2]),"")</f>
        <v>1699952.7</v>
      </c>
      <c r="S9" s="36">
        <f>S8+1</f>
        <v>2</v>
      </c>
      <c r="T9" s="34" t="s">
        <v>12</v>
      </c>
      <c r="U9" s="37" t="s">
        <v>139</v>
      </c>
      <c r="V9" s="34">
        <f>IFERROR(SUMIF(Table6[Sub-Accounts],Table8[[#This Row],[Update your chart of accounts here]],Table6[Debit]),"")</f>
        <v>0</v>
      </c>
      <c r="W9" s="34">
        <f>IFERROR(SUMIF(Table6[Sub-Accounts],Table8[[#This Row],[Update your chart of accounts here]],Table6[Credit]),"")</f>
        <v>3699952.7</v>
      </c>
      <c r="X9" s="34"/>
      <c r="Y9" s="34"/>
      <c r="Z9" s="34"/>
      <c r="AA9" s="34"/>
      <c r="AB9" s="34">
        <f>MAX(Table8[[#This Row],[Debit]]+Table8[[#This Row],[Debit -]]-Table8[[#This Row],[Credit]]-Table8[[#This Row],[Credit +]],0)</f>
        <v>0</v>
      </c>
      <c r="AC9" s="34">
        <f>MAX(Table8[[#This Row],[Credit]]-Table8[[#This Row],[Debit]]+Table8[[#This Row],[Credit +]]-Table8[[#This Row],[Debit -]],0)</f>
        <v>3699952.7</v>
      </c>
      <c r="AD9" s="34" t="str">
        <f>IFERROR(IF(AND(OR(Table8[[#This Row],[Classification]]="Expense",Table8[[#This Row],[Classification]]="Cost of Goods Sold"),Table8[[#This Row],[Debit\]]&gt;Table8[[#This Row],[Credit.]]),Table8[[#This Row],[Debit\]]-Table8[[#This Row],[Credit.]],""),"")</f>
        <v/>
      </c>
      <c r="AE9" s="34" t="str">
        <f>IFERROR(IF(AND(OR(Table8[[#This Row],[Classification]]="Income",Table8[[#This Row],[Classification]]="Cost of Goods Sold"),Table8[[#This Row],[Credit.]]&gt;Table8[[#This Row],[Debit\]]),Table8[[#This Row],[Credit.]]-Table8[[#This Row],[Debit\]],""),"")</f>
        <v/>
      </c>
      <c r="AF9" s="34"/>
      <c r="AG9" s="34" t="str">
        <f>IFERROR(IF(AND(Table8[[#This Row],[Classification]]="Assets",Table8[[#This Row],[Debit\]]-Table8[[#This Row],[Credit.]]),Table8[[#This Row],[Debit\]]-Table8[[#This Row],[Credit.]],""),"")</f>
        <v/>
      </c>
      <c r="AH9" s="34">
        <f>IFERROR(IF(AND(OR(Table8[[#This Row],[Classification]]="Liabilities",Table8[[#This Row],[Classification]]="Owner´s Equity"),Table8[[#This Row],[Credit.]]&gt;Table8[[#This Row],[Debit\]]),Table8[[#This Row],[Credit.]]-Table8[[#This Row],[Debit\]],""),"")</f>
        <v>3699952.7</v>
      </c>
    </row>
    <row r="10" spans="2:40" ht="15" customHeight="1" x14ac:dyDescent="0.25">
      <c r="B10" s="34"/>
      <c r="C10" s="38" t="s">
        <v>533</v>
      </c>
      <c r="D10" s="34"/>
      <c r="E10" s="34">
        <v>1699952.7</v>
      </c>
      <c r="G10" s="39"/>
      <c r="H10" s="40" t="s">
        <v>143</v>
      </c>
      <c r="I10" s="41"/>
      <c r="J10" s="41">
        <f>I9</f>
        <v>409278.51677448238</v>
      </c>
      <c r="L10" s="34">
        <v>3</v>
      </c>
      <c r="M10" s="35" t="s">
        <v>139</v>
      </c>
      <c r="N10" s="35" t="s">
        <v>540</v>
      </c>
      <c r="O10" s="34">
        <f>IFERROR(SUMIF(Table4[,],Table6[[#This Row],[Accounts Name]],Table4[,3]),"")</f>
        <v>0</v>
      </c>
      <c r="P10" s="34">
        <f>IFERROR(SUMIF(Table4[,],Table6[[#This Row],[Accounts Name]],Table4[,2]),"")</f>
        <v>2000000</v>
      </c>
      <c r="S10" s="36">
        <f t="shared" ref="S10:S73" si="0">S9+1</f>
        <v>3</v>
      </c>
      <c r="T10" s="34" t="s">
        <v>11</v>
      </c>
      <c r="U10" s="37" t="s">
        <v>172</v>
      </c>
      <c r="V10" s="34">
        <f>IFERROR(SUMIF(Table6[Sub-Accounts],Table8[[#This Row],[Update your chart of accounts here]],Table6[Debit]),"")</f>
        <v>4355552.28</v>
      </c>
      <c r="W10" s="34">
        <f>IFERROR(SUMIF(Table6[Sub-Accounts],Table8[[#This Row],[Update your chart of accounts here]],Table6[Credit]),"")</f>
        <v>2517904</v>
      </c>
      <c r="X10" s="34"/>
      <c r="Y10" s="34" t="s">
        <v>224</v>
      </c>
      <c r="Z10" s="34">
        <f>I12</f>
        <v>251563</v>
      </c>
      <c r="AA10" s="34">
        <f>Table5[[#This Row],[,2]]</f>
        <v>409278.51677448238</v>
      </c>
      <c r="AB10" s="34">
        <f>MAX(Table8[[#This Row],[Debit]]+Table8[[#This Row],[Debit -]]-Table8[[#This Row],[Credit]]-Table8[[#This Row],[Credit +]],0)</f>
        <v>1679932.7632255179</v>
      </c>
      <c r="AC10" s="34">
        <f>MAX(Table8[[#This Row],[Credit]]-Table8[[#This Row],[Debit]]+Table8[[#This Row],[Credit +]]-Table8[[#This Row],[Debit -]],0)</f>
        <v>0</v>
      </c>
      <c r="AD10" s="34" t="str">
        <f>IFERROR(IF(AND(OR(Table8[[#This Row],[Classification]]="Expense",Table8[[#This Row],[Classification]]="Cost of Goods Sold"),Table8[[#This Row],[Debit\]]&gt;Table8[[#This Row],[Credit.]]),Table8[[#This Row],[Debit\]]-Table8[[#This Row],[Credit.]],""),"")</f>
        <v/>
      </c>
      <c r="AE10" s="34" t="str">
        <f>IFERROR(IF(AND(OR(Table8[[#This Row],[Classification]]="Income",Table8[[#This Row],[Classification]]="Cost of Goods Sold"),Table8[[#This Row],[Credit.]]&gt;Table8[[#This Row],[Debit\]]),Table8[[#This Row],[Credit.]]-Table8[[#This Row],[Debit\]],""),"")</f>
        <v/>
      </c>
      <c r="AF10" s="34"/>
      <c r="AG10" s="34">
        <f>IFERROR(IF(AND(Table8[[#This Row],[Classification]]="Assets",Table8[[#This Row],[Debit\]]-Table8[[#This Row],[Credit.]]),Table8[[#This Row],[Debit\]]-Table8[[#This Row],[Credit.]],""),"")</f>
        <v>1679932.7632255179</v>
      </c>
      <c r="AH10" s="34" t="str">
        <f>IFERROR(IF(AND(OR(Table8[[#This Row],[Classification]]="Liabilities",Table8[[#This Row],[Classification]]="Owner´s Equity"),Table8[[#This Row],[Credit.]]&gt;Table8[[#This Row],[Debit\]]),Table8[[#This Row],[Credit.]]-Table8[[#This Row],[Debit\]],""),"")</f>
        <v/>
      </c>
    </row>
    <row r="11" spans="2:40" x14ac:dyDescent="0.25">
      <c r="B11" s="34"/>
      <c r="C11" s="42" t="s">
        <v>540</v>
      </c>
      <c r="D11" s="34"/>
      <c r="E11" s="34">
        <v>2000000</v>
      </c>
      <c r="G11" s="39"/>
      <c r="H11" s="43" t="s">
        <v>180</v>
      </c>
      <c r="I11" s="41"/>
      <c r="J11" s="41"/>
      <c r="L11" s="34">
        <v>4</v>
      </c>
      <c r="M11" s="35" t="s">
        <v>138</v>
      </c>
      <c r="N11" s="35" t="s">
        <v>66</v>
      </c>
      <c r="O11" s="34">
        <f>IFERROR(SUMIF(Table4[,],Table6[[#This Row],[Accounts Name]],Table4[,3]),"")</f>
        <v>219779.97</v>
      </c>
      <c r="P11" s="34">
        <f>IFERROR(SUMIF(Table4[,],Table6[[#This Row],[Accounts Name]],Table4[,2]),"")</f>
        <v>0</v>
      </c>
      <c r="S11" s="36">
        <f t="shared" si="0"/>
        <v>4</v>
      </c>
      <c r="T11" s="34" t="s">
        <v>11</v>
      </c>
      <c r="U11" s="37" t="s">
        <v>140</v>
      </c>
      <c r="V11" s="34">
        <f>IFERROR(SUMIF(Table6[Sub-Accounts],Table8[[#This Row],[Update your chart of accounts here]],Table6[Debit]),"")</f>
        <v>21108825.949999999</v>
      </c>
      <c r="W11" s="34">
        <f>IFERROR(SUMIF(Table6[Sub-Accounts],Table8[[#This Row],[Update your chart of accounts here]],Table6[Credit]),"")</f>
        <v>0</v>
      </c>
      <c r="X11" s="34"/>
      <c r="Y11" s="34" t="s">
        <v>231</v>
      </c>
      <c r="Z11" s="34"/>
      <c r="AA11" s="34">
        <f>J31</f>
        <v>2551250</v>
      </c>
      <c r="AB11" s="34">
        <f>MAX(Table8[[#This Row],[Debit]]+Table8[[#This Row],[Debit -]]-Table8[[#This Row],[Credit]]-Table8[[#This Row],[Credit +]],0)</f>
        <v>18557575.949999999</v>
      </c>
      <c r="AC11" s="34">
        <f>MAX(Table8[[#This Row],[Credit]]-Table8[[#This Row],[Debit]]+Table8[[#This Row],[Credit +]]-Table8[[#This Row],[Debit -]],0)</f>
        <v>0</v>
      </c>
      <c r="AD11" s="34" t="str">
        <f>IFERROR(IF(AND(OR(Table8[[#This Row],[Classification]]="Expense",Table8[[#This Row],[Classification]]="Cost of Goods Sold"),Table8[[#This Row],[Debit\]]&gt;Table8[[#This Row],[Credit.]]),Table8[[#This Row],[Debit\]]-Table8[[#This Row],[Credit.]],""),"")</f>
        <v/>
      </c>
      <c r="AE11" s="34" t="str">
        <f>IFERROR(IF(AND(OR(Table8[[#This Row],[Classification]]="Income",Table8[[#This Row],[Classification]]="Cost of Goods Sold"),Table8[[#This Row],[Credit.]]&gt;Table8[[#This Row],[Debit\]]),Table8[[#This Row],[Credit.]]-Table8[[#This Row],[Debit\]],""),"")</f>
        <v/>
      </c>
      <c r="AF11" s="34"/>
      <c r="AG11" s="34">
        <f>IFERROR(IF(AND(Table8[[#This Row],[Classification]]="Assets",Table8[[#This Row],[Debit\]]-Table8[[#This Row],[Credit.]]),Table8[[#This Row],[Debit\]]-Table8[[#This Row],[Credit.]],""),"")</f>
        <v>18557575.949999999</v>
      </c>
      <c r="AH11" s="34" t="str">
        <f>IFERROR(IF(AND(OR(Table8[[#This Row],[Classification]]="Liabilities",Table8[[#This Row],[Classification]]="Owner´s Equity"),Table8[[#This Row],[Credit.]]&gt;Table8[[#This Row],[Debit\]]),Table8[[#This Row],[Credit.]]-Table8[[#This Row],[Debit\]],""),"")</f>
        <v/>
      </c>
    </row>
    <row r="12" spans="2:40" ht="15" customHeight="1" x14ac:dyDescent="0.25">
      <c r="B12" s="34"/>
      <c r="C12" s="38" t="s">
        <v>66</v>
      </c>
      <c r="D12" s="34">
        <v>219779.97</v>
      </c>
      <c r="E12" s="34"/>
      <c r="G12" s="39" t="s">
        <v>182</v>
      </c>
      <c r="H12" s="40" t="s">
        <v>143</v>
      </c>
      <c r="I12" s="41">
        <v>251563</v>
      </c>
      <c r="J12" s="41"/>
      <c r="L12" s="34">
        <v>5</v>
      </c>
      <c r="M12" s="35" t="s">
        <v>138</v>
      </c>
      <c r="N12" s="35" t="s">
        <v>534</v>
      </c>
      <c r="O12" s="34">
        <f>IFERROR(SUMIF(Table4[,],Table6[[#This Row],[Accounts Name]],Table4[,3]),"")</f>
        <v>1054457.3500000001</v>
      </c>
      <c r="P12" s="34">
        <f>IFERROR(SUMIF(Table4[,],Table6[[#This Row],[Accounts Name]],Table4[,2]),"")</f>
        <v>0</v>
      </c>
      <c r="S12" s="36">
        <f t="shared" si="0"/>
        <v>5</v>
      </c>
      <c r="T12" s="34" t="s">
        <v>61</v>
      </c>
      <c r="U12" s="37" t="s">
        <v>207</v>
      </c>
      <c r="V12" s="34">
        <f>IFERROR(SUMIF(Table6[Sub-Accounts],Table8[[#This Row],[Update your chart of accounts here]],Table6[Debit]),"")</f>
        <v>0</v>
      </c>
      <c r="W12" s="34">
        <f>IFERROR(SUMIF(Table6[Sub-Accounts],Table8[[#This Row],[Update your chart of accounts here]],Table6[Credit]),"")</f>
        <v>0</v>
      </c>
      <c r="X12" s="34"/>
      <c r="Y12" s="34"/>
      <c r="Z12" s="34">
        <v>8341041.1232255697</v>
      </c>
      <c r="AA12" s="34">
        <f>AU6</f>
        <v>0</v>
      </c>
      <c r="AB12" s="34">
        <f>MAX(Table8[[#This Row],[Debit]]+Table8[[#This Row],[Debit -]]-Table8[[#This Row],[Credit]]-Table8[[#This Row],[Credit +]],0)</f>
        <v>8341041.1232255697</v>
      </c>
      <c r="AC12" s="34">
        <f>MAX(Table8[[#This Row],[Credit]]-Table8[[#This Row],[Debit]]+Table8[[#This Row],[Credit +]]-Table8[[#This Row],[Debit -]],0)</f>
        <v>0</v>
      </c>
      <c r="AD12" s="34">
        <f>IFERROR(IF(AND(OR(Table8[[#This Row],[Classification]]="Expense",Table8[[#This Row],[Classification]]="Cost of Goods Sold"),Table8[[#This Row],[Debit\]]&gt;Table8[[#This Row],[Credit.]]),Table8[[#This Row],[Debit\]]-Table8[[#This Row],[Credit.]],""),"")</f>
        <v>8341041.1232255697</v>
      </c>
      <c r="AE12" s="34" t="str">
        <f>IFERROR(IF(AND(OR(Table8[[#This Row],[Classification]]="Income",Table8[[#This Row],[Classification]]="Cost of Goods Sold"),Table8[[#This Row],[Credit.]]&gt;Table8[[#This Row],[Debit\]]),Table8[[#This Row],[Credit.]]-Table8[[#This Row],[Debit\]],""),"")</f>
        <v/>
      </c>
      <c r="AF12" s="34"/>
      <c r="AG12" s="34" t="str">
        <f>IFERROR(IF(AND(Table8[[#This Row],[Classification]]="Assets",Table8[[#This Row],[Debit\]]-Table8[[#This Row],[Credit.]]),Table8[[#This Row],[Debit\]]-Table8[[#This Row],[Credit.]],""),"")</f>
        <v/>
      </c>
      <c r="AH12" s="34" t="str">
        <f>IFERROR(IF(AND(OR(Table8[[#This Row],[Classification]]="Liabilities",Table8[[#This Row],[Classification]]="Owner´s Equity"),Table8[[#This Row],[Credit.]]&gt;Table8[[#This Row],[Debit\]]),Table8[[#This Row],[Credit.]]-Table8[[#This Row],[Debit\]],""),"")</f>
        <v/>
      </c>
    </row>
    <row r="13" spans="2:40" x14ac:dyDescent="0.25">
      <c r="B13" s="34"/>
      <c r="C13" s="38" t="s">
        <v>534</v>
      </c>
      <c r="D13" s="34">
        <v>1054457.3500000001</v>
      </c>
      <c r="E13" s="34"/>
      <c r="G13" s="39"/>
      <c r="H13" s="40" t="s">
        <v>173</v>
      </c>
      <c r="I13" s="41"/>
      <c r="J13" s="41">
        <v>251563</v>
      </c>
      <c r="L13" s="34">
        <v>6</v>
      </c>
      <c r="M13" s="35" t="s">
        <v>138</v>
      </c>
      <c r="N13" s="35" t="s">
        <v>538</v>
      </c>
      <c r="O13" s="34">
        <f>IFERROR(SUMIF(Table4[,],Table6[[#This Row],[Accounts Name]],Table4[,3]),"")</f>
        <v>230653</v>
      </c>
      <c r="P13" s="34">
        <f>IFERROR(SUMIF(Table4[,],Table6[[#This Row],[Accounts Name]],Table4[,2]),"")</f>
        <v>0</v>
      </c>
      <c r="S13" s="36">
        <f t="shared" si="0"/>
        <v>6</v>
      </c>
      <c r="T13" s="34" t="s">
        <v>6</v>
      </c>
      <c r="U13" s="37" t="s">
        <v>142</v>
      </c>
      <c r="V13" s="34">
        <f>IFERROR(SUMIF(Table6[Sub-Accounts],Table8[[#This Row],[Update your chart of accounts here]],Table6[Debit]),"")</f>
        <v>3296400</v>
      </c>
      <c r="W13" s="34">
        <f>IFERROR(SUMIF(Table6[Sub-Accounts],Table8[[#This Row],[Update your chart of accounts here]],Table6[Credit]),"")</f>
        <v>0</v>
      </c>
      <c r="X13" s="34"/>
      <c r="Y13" s="34" t="s">
        <v>227</v>
      </c>
      <c r="Z13" s="65"/>
      <c r="AA13" s="34"/>
      <c r="AB13" s="34">
        <f>MAX(Table8[[#This Row],[Debit]]+Table8[[#This Row],[Debit -]]-Table8[[#This Row],[Credit]]-Table8[[#This Row],[Credit +]],0)</f>
        <v>3296400</v>
      </c>
      <c r="AC13" s="34">
        <f>MAX(Table8[[#This Row],[Credit]]-Table8[[#This Row],[Debit]]+Table8[[#This Row],[Credit +]]-Table8[[#This Row],[Debit -]],0)</f>
        <v>0</v>
      </c>
      <c r="AD13" s="34">
        <f>IFERROR(IF(AND(OR(Table8[[#This Row],[Classification]]="Expense",Table8[[#This Row],[Classification]]="Cost of Goods Sold"),Table8[[#This Row],[Debit\]]&gt;Table8[[#This Row],[Credit.]]),Table8[[#This Row],[Debit\]]-Table8[[#This Row],[Credit.]],""),"")</f>
        <v>3296400</v>
      </c>
      <c r="AE13" s="34" t="str">
        <f>IFERROR(IF(AND(OR(Table8[[#This Row],[Classification]]="Income",Table8[[#This Row],[Classification]]="Cost of Goods Sold"),Table8[[#This Row],[Credit.]]&gt;Table8[[#This Row],[Debit\]]),Table8[[#This Row],[Credit.]]-Table8[[#This Row],[Debit\]],""),"")</f>
        <v/>
      </c>
      <c r="AF13" s="34"/>
      <c r="AG13" s="34" t="str">
        <f>IFERROR(IF(AND(Table8[[#This Row],[Classification]]="Assets",Table8[[#This Row],[Debit\]]-Table8[[#This Row],[Credit.]]),Table8[[#This Row],[Debit\]]-Table8[[#This Row],[Credit.]],""),"")</f>
        <v/>
      </c>
      <c r="AH13" s="34" t="str">
        <f>IFERROR(IF(AND(OR(Table8[[#This Row],[Classification]]="Liabilities",Table8[[#This Row],[Classification]]="Owner´s Equity"),Table8[[#This Row],[Credit.]]&gt;Table8[[#This Row],[Debit\]]),Table8[[#This Row],[Credit.]]-Table8[[#This Row],[Debit\]],""),"")</f>
        <v/>
      </c>
    </row>
    <row r="14" spans="2:40" x14ac:dyDescent="0.25">
      <c r="B14" s="34"/>
      <c r="C14" s="38" t="s">
        <v>538</v>
      </c>
      <c r="D14" s="34">
        <v>230653</v>
      </c>
      <c r="E14" s="34"/>
      <c r="G14" s="39"/>
      <c r="H14" s="43" t="s">
        <v>184</v>
      </c>
      <c r="I14" s="41"/>
      <c r="J14" s="41"/>
      <c r="L14" s="34">
        <v>7</v>
      </c>
      <c r="M14" s="35" t="s">
        <v>138</v>
      </c>
      <c r="N14" s="35" t="s">
        <v>539</v>
      </c>
      <c r="O14" s="34">
        <f>IFERROR(SUMIF(Table4[,],Table6[[#This Row],[Accounts Name]],Table4[,3]),"")</f>
        <v>460168.95</v>
      </c>
      <c r="P14" s="34">
        <f>IFERROR(SUMIF(Table4[,],Table6[[#This Row],[Accounts Name]],Table4[,2]),"")</f>
        <v>0</v>
      </c>
      <c r="S14" s="36">
        <f t="shared" si="0"/>
        <v>7</v>
      </c>
      <c r="T14" s="34" t="s">
        <v>12</v>
      </c>
      <c r="U14" s="37" t="s">
        <v>141</v>
      </c>
      <c r="V14" s="34">
        <f>IFERROR(SUMIF(Table6[Sub-Accounts],Table8[[#This Row],[Update your chart of accounts here]],Table6[Debit]),"")</f>
        <v>0</v>
      </c>
      <c r="W14" s="34">
        <f>IFERROR(SUMIF(Table6[Sub-Accounts],Table8[[#This Row],[Update your chart of accounts here]],Table6[Credit]),"")</f>
        <v>15517383.640000001</v>
      </c>
      <c r="X14" s="34"/>
      <c r="Y14" s="34" t="s">
        <v>233</v>
      </c>
      <c r="Z14" s="34">
        <f>I18</f>
        <v>50000</v>
      </c>
      <c r="AA14" s="34">
        <f>J22</f>
        <v>115200</v>
      </c>
      <c r="AB14" s="34">
        <f>MAX(Table8[[#This Row],[Debit]]+Table8[[#This Row],[Debit -]]-Table8[[#This Row],[Credit]]-Table8[[#This Row],[Credit +]],0)</f>
        <v>0</v>
      </c>
      <c r="AC14" s="34">
        <f>MAX(Table8[[#This Row],[Credit]]-Table8[[#This Row],[Debit]]+Table8[[#This Row],[Credit +]]-Table8[[#This Row],[Debit -]],0)</f>
        <v>15582583.640000001</v>
      </c>
      <c r="AD14" s="34" t="str">
        <f>IFERROR(IF(AND(OR(Table8[[#This Row],[Classification]]="Expense",Table8[[#This Row],[Classification]]="Cost of Goods Sold"),Table8[[#This Row],[Debit\]]&gt;Table8[[#This Row],[Credit.]]),Table8[[#This Row],[Debit\]]-Table8[[#This Row],[Credit.]],""),"")</f>
        <v/>
      </c>
      <c r="AE14" s="34" t="str">
        <f>IFERROR(IF(AND(OR(Table8[[#This Row],[Classification]]="Income",Table8[[#This Row],[Classification]]="Cost of Goods Sold"),Table8[[#This Row],[Credit.]]&gt;Table8[[#This Row],[Debit\]]),Table8[[#This Row],[Credit.]]-Table8[[#This Row],[Debit\]],""),"")</f>
        <v/>
      </c>
      <c r="AF14" s="34"/>
      <c r="AG14" s="34" t="str">
        <f>IFERROR(IF(AND(Table8[[#This Row],[Classification]]="Assets",Table8[[#This Row],[Debit\]]-Table8[[#This Row],[Credit.]]),Table8[[#This Row],[Debit\]]-Table8[[#This Row],[Credit.]],""),"")</f>
        <v/>
      </c>
      <c r="AH14" s="34">
        <f>IFERROR(IF(AND(OR(Table8[[#This Row],[Classification]]="Liabilities",Table8[[#This Row],[Classification]]="Owner´s Equity"),Table8[[#This Row],[Credit.]]&gt;Table8[[#This Row],[Debit\]]),Table8[[#This Row],[Credit.]]-Table8[[#This Row],[Debit\]],""),"")</f>
        <v>15582583.640000001</v>
      </c>
    </row>
    <row r="15" spans="2:40" x14ac:dyDescent="0.25">
      <c r="B15" s="34"/>
      <c r="C15" s="37" t="s">
        <v>539</v>
      </c>
      <c r="D15" s="34">
        <v>460168.95</v>
      </c>
      <c r="E15" s="34"/>
      <c r="G15" s="39" t="s">
        <v>191</v>
      </c>
      <c r="H15" s="40" t="s">
        <v>174</v>
      </c>
      <c r="I15" s="41"/>
      <c r="J15" s="41">
        <v>1000000</v>
      </c>
      <c r="L15" s="34">
        <v>8</v>
      </c>
      <c r="M15" s="35" t="s">
        <v>140</v>
      </c>
      <c r="N15" s="35" t="s">
        <v>70</v>
      </c>
      <c r="O15" s="34">
        <f>IFERROR(SUMIF(Table4[,],Table6[[#This Row],[Accounts Name]],Table4[,3]),"")</f>
        <v>17870623.949999999</v>
      </c>
      <c r="P15" s="34">
        <f>IFERROR(SUMIF(Table4[,],Table6[[#This Row],[Accounts Name]],Table4[,2]),"")</f>
        <v>0</v>
      </c>
      <c r="S15" s="36">
        <f t="shared" si="0"/>
        <v>8</v>
      </c>
      <c r="T15" s="34"/>
      <c r="U15" s="37" t="s">
        <v>208</v>
      </c>
      <c r="V15" s="34">
        <f>IFERROR(SUMIF(Table6[Sub-Accounts],Table8[[#This Row],[Update your chart of accounts here]],Table6[Debit]),"")</f>
        <v>0</v>
      </c>
      <c r="W15" s="34">
        <f>IFERROR(SUMIF(Table6[Sub-Accounts],Table8[[#This Row],[Update your chart of accounts here]],Table6[Credit]),"")</f>
        <v>0</v>
      </c>
      <c r="X15" s="34"/>
      <c r="Y15" s="34"/>
      <c r="Z15" s="34"/>
      <c r="AA15" s="34"/>
      <c r="AB15" s="34">
        <f>MAX(Table8[[#This Row],[Debit]]+Table8[[#This Row],[Debit -]]-Table8[[#This Row],[Credit]]-Table8[[#This Row],[Credit +]],0)</f>
        <v>0</v>
      </c>
      <c r="AC15" s="34">
        <f>MAX(Table8[[#This Row],[Credit]]-Table8[[#This Row],[Debit]]+Table8[[#This Row],[Credit +]]-Table8[[#This Row],[Debit -]],0)</f>
        <v>0</v>
      </c>
      <c r="AD15" s="34" t="str">
        <f>IFERROR(IF(AND(OR(Table8[[#This Row],[Classification]]="Expense",Table8[[#This Row],[Classification]]="Cost of Goods Sold"),Table8[[#This Row],[Debit\]]&gt;Table8[[#This Row],[Credit.]]),Table8[[#This Row],[Debit\]]-Table8[[#This Row],[Credit.]],""),"")</f>
        <v/>
      </c>
      <c r="AE15" s="34" t="str">
        <f>IFERROR(IF(AND(OR(Table8[[#This Row],[Classification]]="Income",Table8[[#This Row],[Classification]]="Cost of Goods Sold"),Table8[[#This Row],[Credit.]]&gt;Table8[[#This Row],[Debit\]]),Table8[[#This Row],[Credit.]]-Table8[[#This Row],[Debit\]],""),"")</f>
        <v/>
      </c>
      <c r="AF15" s="34"/>
      <c r="AG15" s="34" t="str">
        <f>IFERROR(IF(AND(Table8[[#This Row],[Classification]]="Assets",Table8[[#This Row],[Debit\]]-Table8[[#This Row],[Credit.]]),Table8[[#This Row],[Debit\]]-Table8[[#This Row],[Credit.]],""),"")</f>
        <v/>
      </c>
      <c r="AH15" s="34" t="str">
        <f>IFERROR(IF(AND(OR(Table8[[#This Row],[Classification]]="Liabilities",Table8[[#This Row],[Classification]]="Owner´s Equity"),Table8[[#This Row],[Credit.]]&gt;Table8[[#This Row],[Debit\]]),Table8[[#This Row],[Credit.]]-Table8[[#This Row],[Debit\]],""),"")</f>
        <v/>
      </c>
    </row>
    <row r="16" spans="2:40" x14ac:dyDescent="0.25">
      <c r="B16" s="34"/>
      <c r="C16" s="37" t="s">
        <v>70</v>
      </c>
      <c r="D16" s="34">
        <v>17870623.949999999</v>
      </c>
      <c r="E16" s="34"/>
      <c r="G16" s="39"/>
      <c r="H16" s="40" t="s">
        <v>145</v>
      </c>
      <c r="I16" s="41">
        <v>1000000</v>
      </c>
      <c r="J16" s="41"/>
      <c r="L16" s="34">
        <v>9</v>
      </c>
      <c r="M16" s="35" t="s">
        <v>141</v>
      </c>
      <c r="N16" s="35" t="s">
        <v>71</v>
      </c>
      <c r="O16" s="34">
        <f>IFERROR(SUMIF(Table4[,],Table6[[#This Row],[Accounts Name]],Table4[,3]),"")</f>
        <v>0</v>
      </c>
      <c r="P16" s="34">
        <f>IFERROR(SUMIF(Table4[,],Table6[[#This Row],[Accounts Name]],Table4[,2]),"")</f>
        <v>8925200</v>
      </c>
      <c r="S16" s="36">
        <f t="shared" si="0"/>
        <v>9</v>
      </c>
      <c r="T16" s="34"/>
      <c r="U16" s="37" t="s">
        <v>209</v>
      </c>
      <c r="V16" s="34">
        <f>IFERROR(SUMIF(Table6[Sub-Accounts],Table8[[#This Row],[Update your chart of accounts here]],Table6[Debit]),"")</f>
        <v>0</v>
      </c>
      <c r="W16" s="34">
        <f>IFERROR(SUMIF(Table6[Sub-Accounts],Table8[[#This Row],[Update your chart of accounts here]],Table6[Credit]),"")</f>
        <v>0</v>
      </c>
      <c r="X16" s="34"/>
      <c r="Y16" s="34"/>
      <c r="Z16" s="34"/>
      <c r="AA16" s="34"/>
      <c r="AB16" s="34">
        <f>MAX(Table8[[#This Row],[Debit]]+Table8[[#This Row],[Debit -]]-Table8[[#This Row],[Credit]]-Table8[[#This Row],[Credit +]],0)</f>
        <v>0</v>
      </c>
      <c r="AC16" s="34">
        <f>MAX(Table8[[#This Row],[Credit]]-Table8[[#This Row],[Debit]]+Table8[[#This Row],[Credit +]]-Table8[[#This Row],[Debit -]],0)</f>
        <v>0</v>
      </c>
      <c r="AD16" s="34" t="str">
        <f>IFERROR(IF(AND(OR(Table8[[#This Row],[Classification]]="Expense",Table8[[#This Row],[Classification]]="Cost of Goods Sold"),Table8[[#This Row],[Debit\]]&gt;Table8[[#This Row],[Credit.]]),Table8[[#This Row],[Debit\]]-Table8[[#This Row],[Credit.]],""),"")</f>
        <v/>
      </c>
      <c r="AE16" s="34" t="str">
        <f>IFERROR(IF(AND(OR(Table8[[#This Row],[Classification]]="Income",Table8[[#This Row],[Classification]]="Cost of Goods Sold"),Table8[[#This Row],[Credit.]]&gt;Table8[[#This Row],[Debit\]]),Table8[[#This Row],[Credit.]]-Table8[[#This Row],[Debit\]],""),"")</f>
        <v/>
      </c>
      <c r="AF16" s="34"/>
      <c r="AG16" s="34" t="str">
        <f>IFERROR(IF(AND(Table8[[#This Row],[Classification]]="Assets",Table8[[#This Row],[Debit\]]-Table8[[#This Row],[Credit.]]),Table8[[#This Row],[Debit\]]-Table8[[#This Row],[Credit.]],""),"")</f>
        <v/>
      </c>
      <c r="AH16" s="34" t="str">
        <f>IFERROR(IF(AND(OR(Table8[[#This Row],[Classification]]="Liabilities",Table8[[#This Row],[Classification]]="Owner´s Equity"),Table8[[#This Row],[Credit.]]&gt;Table8[[#This Row],[Debit\]]),Table8[[#This Row],[Credit.]]-Table8[[#This Row],[Debit\]],""),"")</f>
        <v/>
      </c>
    </row>
    <row r="17" spans="2:34" x14ac:dyDescent="0.25">
      <c r="B17" s="34"/>
      <c r="C17" s="37" t="s">
        <v>71</v>
      </c>
      <c r="D17" s="34"/>
      <c r="E17" s="34">
        <v>8925200</v>
      </c>
      <c r="G17" s="39"/>
      <c r="H17" s="43" t="s">
        <v>185</v>
      </c>
      <c r="I17" s="41"/>
      <c r="J17" s="41"/>
      <c r="L17" s="34">
        <v>10</v>
      </c>
      <c r="M17" s="35" t="s">
        <v>142</v>
      </c>
      <c r="N17" s="35" t="s">
        <v>72</v>
      </c>
      <c r="O17" s="34">
        <f>IFERROR(SUMIF(Table4[,],Table6[[#This Row],[Accounts Name]],Table4[,3]),"")</f>
        <v>3296400</v>
      </c>
      <c r="P17" s="34">
        <f>IFERROR(SUMIF(Table4[,],Table6[[#This Row],[Accounts Name]],Table4[,2]),"")</f>
        <v>0</v>
      </c>
      <c r="S17" s="36">
        <f t="shared" si="0"/>
        <v>10</v>
      </c>
      <c r="T17" s="34" t="s">
        <v>48</v>
      </c>
      <c r="U17" s="37" t="s">
        <v>146</v>
      </c>
      <c r="V17" s="34">
        <f>IFERROR(SUMIF(Table6[Sub-Accounts],Table8[[#This Row],[Update your chart of accounts here]],Table6[Debit]),"")</f>
        <v>0</v>
      </c>
      <c r="W17" s="34">
        <f>IFERROR(SUMIF(Table6[Sub-Accounts],Table8[[#This Row],[Update your chart of accounts here]],Table6[Credit]),"")</f>
        <v>400</v>
      </c>
      <c r="X17" s="34"/>
      <c r="Y17" s="34"/>
      <c r="Z17" s="34"/>
      <c r="AA17" s="34"/>
      <c r="AB17" s="34">
        <f>MAX(Table8[[#This Row],[Debit]]+Table8[[#This Row],[Debit -]]-Table8[[#This Row],[Credit]]-Table8[[#This Row],[Credit +]],0)</f>
        <v>0</v>
      </c>
      <c r="AC17" s="34">
        <f>MAX(Table8[[#This Row],[Credit]]-Table8[[#This Row],[Debit]]+Table8[[#This Row],[Credit +]]-Table8[[#This Row],[Debit -]],0)</f>
        <v>400</v>
      </c>
      <c r="AD17" s="34" t="str">
        <f>IFERROR(IF(AND(OR(Table8[[#This Row],[Classification]]="Expense",Table8[[#This Row],[Classification]]="Cost of Goods Sold"),Table8[[#This Row],[Debit\]]&gt;Table8[[#This Row],[Credit.]]),Table8[[#This Row],[Debit\]]-Table8[[#This Row],[Credit.]],""),"")</f>
        <v/>
      </c>
      <c r="AE17" s="34" t="str">
        <f>IFERROR(IF(AND(OR(Table8[[#This Row],[Classification]]="Income",Table8[[#This Row],[Classification]]="Cost of Goods Sold"),Table8[[#This Row],[Credit.]]&gt;Table8[[#This Row],[Debit\]]),Table8[[#This Row],[Credit.]]-Table8[[#This Row],[Debit\]],""),"")</f>
        <v/>
      </c>
      <c r="AF17" s="34"/>
      <c r="AG17" s="34" t="str">
        <f>IFERROR(IF(AND(Table8[[#This Row],[Classification]]="Assets",Table8[[#This Row],[Debit\]]-Table8[[#This Row],[Credit.]]),Table8[[#This Row],[Debit\]]-Table8[[#This Row],[Credit.]],""),"")</f>
        <v/>
      </c>
      <c r="AH17" s="34">
        <f>IFERROR(IF(AND(OR(Table8[[#This Row],[Classification]]="Liabilities",Table8[[#This Row],[Classification]]="Owner´s Equity"),Table8[[#This Row],[Credit.]]&gt;Table8[[#This Row],[Debit\]]),Table8[[#This Row],[Credit.]]-Table8[[#This Row],[Debit\]],""),"")</f>
        <v>400</v>
      </c>
    </row>
    <row r="18" spans="2:34" x14ac:dyDescent="0.25">
      <c r="B18" s="34"/>
      <c r="C18" s="37" t="s">
        <v>72</v>
      </c>
      <c r="D18" s="34">
        <v>3296400</v>
      </c>
      <c r="E18" s="34"/>
      <c r="G18" s="39" t="s">
        <v>192</v>
      </c>
      <c r="H18" s="40" t="s">
        <v>186</v>
      </c>
      <c r="I18" s="41">
        <v>50000</v>
      </c>
      <c r="J18" s="41"/>
      <c r="L18" s="34">
        <v>11</v>
      </c>
      <c r="M18" s="35" t="s">
        <v>140</v>
      </c>
      <c r="N18" s="35" t="s">
        <v>73</v>
      </c>
      <c r="O18" s="34">
        <f>IFERROR(SUMIF(Table4[,],Table6[[#This Row],[Accounts Name]],Table4[,3]),"")</f>
        <v>165000</v>
      </c>
      <c r="P18" s="34">
        <f>IFERROR(SUMIF(Table4[,],Table6[[#This Row],[Accounts Name]],Table4[,2]),"")</f>
        <v>0</v>
      </c>
      <c r="S18" s="36">
        <f t="shared" si="0"/>
        <v>11</v>
      </c>
      <c r="T18" s="34"/>
      <c r="U18" s="37" t="s">
        <v>210</v>
      </c>
      <c r="V18" s="34">
        <f>IFERROR(SUMIF(Table6[Sub-Accounts],Table8[[#This Row],[Update your chart of accounts here]],Table6[Debit]),"")</f>
        <v>0</v>
      </c>
      <c r="W18" s="34">
        <f>IFERROR(SUMIF(Table6[Sub-Accounts],Table8[[#This Row],[Update your chart of accounts here]],Table6[Credit]),"")</f>
        <v>0</v>
      </c>
      <c r="X18" s="34"/>
      <c r="Y18" s="34"/>
      <c r="Z18" s="34"/>
      <c r="AA18" s="34"/>
      <c r="AB18" s="34">
        <f>MAX(Table8[[#This Row],[Debit]]+Table8[[#This Row],[Debit -]]-Table8[[#This Row],[Credit]]-Table8[[#This Row],[Credit +]],0)</f>
        <v>0</v>
      </c>
      <c r="AC18" s="34">
        <f>MAX(Table8[[#This Row],[Credit]]-Table8[[#This Row],[Debit]]+Table8[[#This Row],[Credit +]]-Table8[[#This Row],[Debit -]],0)</f>
        <v>0</v>
      </c>
      <c r="AD18" s="34" t="str">
        <f>IFERROR(IF(AND(OR(Table8[[#This Row],[Classification]]="Expense",Table8[[#This Row],[Classification]]="Cost of Goods Sold"),Table8[[#This Row],[Debit\]]&gt;Table8[[#This Row],[Credit.]]),Table8[[#This Row],[Debit\]]-Table8[[#This Row],[Credit.]],""),"")</f>
        <v/>
      </c>
      <c r="AE18" s="34" t="str">
        <f>IFERROR(IF(AND(OR(Table8[[#This Row],[Classification]]="Income",Table8[[#This Row],[Classification]]="Cost of Goods Sold"),Table8[[#This Row],[Credit.]]&gt;Table8[[#This Row],[Debit\]]),Table8[[#This Row],[Credit.]]-Table8[[#This Row],[Debit\]],""),"")</f>
        <v/>
      </c>
      <c r="AF18" s="34"/>
      <c r="AG18" s="34" t="str">
        <f>IFERROR(IF(AND(Table8[[#This Row],[Classification]]="Assets",Table8[[#This Row],[Debit\]]-Table8[[#This Row],[Credit.]]),Table8[[#This Row],[Debit\]]-Table8[[#This Row],[Credit.]],""),"")</f>
        <v/>
      </c>
      <c r="AH18" s="34" t="str">
        <f>IFERROR(IF(AND(OR(Table8[[#This Row],[Classification]]="Liabilities",Table8[[#This Row],[Classification]]="Owner´s Equity"),Table8[[#This Row],[Credit.]]&gt;Table8[[#This Row],[Debit\]]),Table8[[#This Row],[Credit.]]-Table8[[#This Row],[Debit\]],""),"")</f>
        <v/>
      </c>
    </row>
    <row r="19" spans="2:34" x14ac:dyDescent="0.25">
      <c r="B19" s="34"/>
      <c r="C19" s="37" t="s">
        <v>73</v>
      </c>
      <c r="D19" s="34">
        <v>165000</v>
      </c>
      <c r="E19" s="34"/>
      <c r="G19" s="39"/>
      <c r="H19" s="40" t="s">
        <v>178</v>
      </c>
      <c r="I19" s="41"/>
      <c r="J19" s="41">
        <v>50000</v>
      </c>
      <c r="L19" s="34">
        <v>12</v>
      </c>
      <c r="M19" s="35" t="s">
        <v>143</v>
      </c>
      <c r="N19" s="35" t="s">
        <v>74</v>
      </c>
      <c r="O19" s="34">
        <f>IFERROR(SUMIF(Table4[,],Table6[[#This Row],[Accounts Name]],Table4[,3]),"")</f>
        <v>676160</v>
      </c>
      <c r="P19" s="34">
        <f>IFERROR(SUMIF(Table4[,],Table6[[#This Row],[Accounts Name]],Table4[,2]),"")</f>
        <v>0</v>
      </c>
      <c r="S19" s="36">
        <f t="shared" si="0"/>
        <v>12</v>
      </c>
      <c r="T19" s="34"/>
      <c r="U19" s="37" t="s">
        <v>211</v>
      </c>
      <c r="V19" s="34">
        <f>IFERROR(SUMIF(Table6[Sub-Accounts],Table8[[#This Row],[Update your chart of accounts here]],Table6[Debit]),"")</f>
        <v>0</v>
      </c>
      <c r="W19" s="34">
        <f>IFERROR(SUMIF(Table6[Sub-Accounts],Table8[[#This Row],[Update your chart of accounts here]],Table6[Credit]),"")</f>
        <v>0</v>
      </c>
      <c r="X19" s="34"/>
      <c r="Y19" s="34"/>
      <c r="Z19" s="34"/>
      <c r="AA19" s="34"/>
      <c r="AB19" s="34">
        <f>MAX(Table8[[#This Row],[Debit]]+Table8[[#This Row],[Debit -]]-Table8[[#This Row],[Credit]]-Table8[[#This Row],[Credit +]],0)</f>
        <v>0</v>
      </c>
      <c r="AC19" s="34">
        <f>MAX(Table8[[#This Row],[Credit]]-Table8[[#This Row],[Debit]]+Table8[[#This Row],[Credit +]]-Table8[[#This Row],[Debit -]],0)</f>
        <v>0</v>
      </c>
      <c r="AD19" s="34" t="str">
        <f>IFERROR(IF(AND(OR(Table8[[#This Row],[Classification]]="Expense",Table8[[#This Row],[Classification]]="Cost of Goods Sold"),Table8[[#This Row],[Debit\]]&gt;Table8[[#This Row],[Credit.]]),Table8[[#This Row],[Debit\]]-Table8[[#This Row],[Credit.]],""),"")</f>
        <v/>
      </c>
      <c r="AE19" s="34" t="str">
        <f>IFERROR(IF(AND(OR(Table8[[#This Row],[Classification]]="Income",Table8[[#This Row],[Classification]]="Cost of Goods Sold"),Table8[[#This Row],[Credit.]]&gt;Table8[[#This Row],[Debit\]]),Table8[[#This Row],[Credit.]]-Table8[[#This Row],[Debit\]],""),"")</f>
        <v/>
      </c>
      <c r="AF19" s="34"/>
      <c r="AG19" s="34" t="str">
        <f>IFERROR(IF(AND(Table8[[#This Row],[Classification]]="Assets",Table8[[#This Row],[Debit\]]-Table8[[#This Row],[Credit.]]),Table8[[#This Row],[Debit\]]-Table8[[#This Row],[Credit.]],""),"")</f>
        <v/>
      </c>
      <c r="AH19" s="34" t="str">
        <f>IFERROR(IF(AND(OR(Table8[[#This Row],[Classification]]="Liabilities",Table8[[#This Row],[Classification]]="Owner´s Equity"),Table8[[#This Row],[Credit.]]&gt;Table8[[#This Row],[Debit\]]),Table8[[#This Row],[Credit.]]-Table8[[#This Row],[Debit\]],""),"")</f>
        <v/>
      </c>
    </row>
    <row r="20" spans="2:34" x14ac:dyDescent="0.25">
      <c r="B20" s="34"/>
      <c r="C20" s="37" t="s">
        <v>74</v>
      </c>
      <c r="D20" s="34">
        <v>676160</v>
      </c>
      <c r="E20" s="34"/>
      <c r="G20" s="39"/>
      <c r="H20" s="43" t="s">
        <v>187</v>
      </c>
      <c r="I20" s="41"/>
      <c r="J20" s="41"/>
      <c r="L20" s="34">
        <v>13</v>
      </c>
      <c r="M20" s="35" t="s">
        <v>143</v>
      </c>
      <c r="N20" s="35" t="s">
        <v>75</v>
      </c>
      <c r="O20" s="34">
        <f>IFERROR(SUMIF(Table4[,],Table6[[#This Row],[Accounts Name]],Table4[,3]),"")</f>
        <v>0</v>
      </c>
      <c r="P20" s="34">
        <f>IFERROR(SUMIF(Table4[,],Table6[[#This Row],[Accounts Name]],Table4[,2]),"")</f>
        <v>654898</v>
      </c>
      <c r="S20" s="36">
        <f t="shared" si="0"/>
        <v>13</v>
      </c>
      <c r="T20" s="34"/>
      <c r="U20" s="37" t="s">
        <v>212</v>
      </c>
      <c r="V20" s="34">
        <f>IFERROR(SUMIF(Table6[Sub-Accounts],Table8[[#This Row],[Update your chart of accounts here]],Table6[Debit]),"")</f>
        <v>0</v>
      </c>
      <c r="W20" s="34">
        <f>IFERROR(SUMIF(Table6[Sub-Accounts],Table8[[#This Row],[Update your chart of accounts here]],Table6[Credit]),"")</f>
        <v>0</v>
      </c>
      <c r="X20" s="34"/>
      <c r="Y20" s="34"/>
      <c r="Z20" s="34"/>
      <c r="AA20" s="34"/>
      <c r="AB20" s="34">
        <f>MAX(Table8[[#This Row],[Debit]]+Table8[[#This Row],[Debit -]]-Table8[[#This Row],[Credit]]-Table8[[#This Row],[Credit +]],0)</f>
        <v>0</v>
      </c>
      <c r="AC20" s="34">
        <f>MAX(Table8[[#This Row],[Credit]]-Table8[[#This Row],[Debit]]+Table8[[#This Row],[Credit +]]-Table8[[#This Row],[Debit -]],0)</f>
        <v>0</v>
      </c>
      <c r="AD20" s="34" t="str">
        <f>IFERROR(IF(AND(OR(Table8[[#This Row],[Classification]]="Expense",Table8[[#This Row],[Classification]]="Cost of Goods Sold"),Table8[[#This Row],[Debit\]]&gt;Table8[[#This Row],[Credit.]]),Table8[[#This Row],[Debit\]]-Table8[[#This Row],[Credit.]],""),"")</f>
        <v/>
      </c>
      <c r="AE20" s="34" t="str">
        <f>IFERROR(IF(AND(OR(Table8[[#This Row],[Classification]]="Income",Table8[[#This Row],[Classification]]="Cost of Goods Sold"),Table8[[#This Row],[Credit.]]&gt;Table8[[#This Row],[Debit\]]),Table8[[#This Row],[Credit.]]-Table8[[#This Row],[Debit\]],""),"")</f>
        <v/>
      </c>
      <c r="AF20" s="34"/>
      <c r="AG20" s="34" t="str">
        <f>IFERROR(IF(AND(Table8[[#This Row],[Classification]]="Assets",Table8[[#This Row],[Debit\]]-Table8[[#This Row],[Credit.]]),Table8[[#This Row],[Debit\]]-Table8[[#This Row],[Credit.]],""),"")</f>
        <v/>
      </c>
      <c r="AH20" s="34" t="str">
        <f>IFERROR(IF(AND(OR(Table8[[#This Row],[Classification]]="Liabilities",Table8[[#This Row],[Classification]]="Owner´s Equity"),Table8[[#This Row],[Credit.]]&gt;Table8[[#This Row],[Debit\]]),Table8[[#This Row],[Credit.]]-Table8[[#This Row],[Debit\]],""),"")</f>
        <v/>
      </c>
    </row>
    <row r="21" spans="2:34" x14ac:dyDescent="0.25">
      <c r="B21" s="34"/>
      <c r="C21" s="37" t="s">
        <v>75</v>
      </c>
      <c r="D21" s="34"/>
      <c r="E21" s="34">
        <v>654898</v>
      </c>
      <c r="G21" s="39" t="s">
        <v>193</v>
      </c>
      <c r="H21" s="40" t="s">
        <v>178</v>
      </c>
      <c r="I21" s="41">
        <v>115200</v>
      </c>
      <c r="J21" s="41"/>
      <c r="L21" s="34">
        <v>14</v>
      </c>
      <c r="M21" s="35" t="s">
        <v>143</v>
      </c>
      <c r="N21" s="35" t="s">
        <v>76</v>
      </c>
      <c r="O21" s="34">
        <f>IFERROR(SUMIF(Table4[,],Table6[[#This Row],[Accounts Name]],Table4[,3]),"")</f>
        <v>828735.28</v>
      </c>
      <c r="P21" s="34">
        <f>IFERROR(SUMIF(Table4[,],Table6[[#This Row],[Accounts Name]],Table4[,2]),"")</f>
        <v>0</v>
      </c>
      <c r="S21" s="36">
        <f t="shared" si="0"/>
        <v>14</v>
      </c>
      <c r="T21" s="34"/>
      <c r="U21" s="37" t="s">
        <v>213</v>
      </c>
      <c r="V21" s="34">
        <f>IFERROR(SUMIF(Table6[Sub-Accounts],Table8[[#This Row],[Update your chart of accounts here]],Table6[Debit]),"")</f>
        <v>0</v>
      </c>
      <c r="W21" s="34">
        <f>IFERROR(SUMIF(Table6[Sub-Accounts],Table8[[#This Row],[Update your chart of accounts here]],Table6[Credit]),"")</f>
        <v>0</v>
      </c>
      <c r="X21" s="34"/>
      <c r="Y21" s="34"/>
      <c r="Z21" s="34"/>
      <c r="AA21" s="34"/>
      <c r="AB21" s="34">
        <f>MAX(Table8[[#This Row],[Debit]]+Table8[[#This Row],[Debit -]]-Table8[[#This Row],[Credit]]-Table8[[#This Row],[Credit +]],0)</f>
        <v>0</v>
      </c>
      <c r="AC21" s="34">
        <f>MAX(Table8[[#This Row],[Credit]]-Table8[[#This Row],[Debit]]+Table8[[#This Row],[Credit +]]-Table8[[#This Row],[Debit -]],0)</f>
        <v>0</v>
      </c>
      <c r="AD21" s="34" t="str">
        <f>IFERROR(IF(AND(OR(Table8[[#This Row],[Classification]]="Expense",Table8[[#This Row],[Classification]]="Cost of Goods Sold"),Table8[[#This Row],[Debit\]]&gt;Table8[[#This Row],[Credit.]]),Table8[[#This Row],[Debit\]]-Table8[[#This Row],[Credit.]],""),"")</f>
        <v/>
      </c>
      <c r="AE21" s="34" t="str">
        <f>IFERROR(IF(AND(OR(Table8[[#This Row],[Classification]]="Income",Table8[[#This Row],[Classification]]="Cost of Goods Sold"),Table8[[#This Row],[Credit.]]&gt;Table8[[#This Row],[Debit\]]),Table8[[#This Row],[Credit.]]-Table8[[#This Row],[Debit\]],""),"")</f>
        <v/>
      </c>
      <c r="AF21" s="34"/>
      <c r="AG21" s="34" t="str">
        <f>IFERROR(IF(AND(Table8[[#This Row],[Classification]]="Assets",Table8[[#This Row],[Debit\]]-Table8[[#This Row],[Credit.]]),Table8[[#This Row],[Debit\]]-Table8[[#This Row],[Credit.]],""),"")</f>
        <v/>
      </c>
      <c r="AH21" s="34" t="str">
        <f>IFERROR(IF(AND(OR(Table8[[#This Row],[Classification]]="Liabilities",Table8[[#This Row],[Classification]]="Owner´s Equity"),Table8[[#This Row],[Credit.]]&gt;Table8[[#This Row],[Debit\]]),Table8[[#This Row],[Credit.]]-Table8[[#This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IFERROR(SUMIF(Table4[,],Table6[[#This Row],[Accounts Name]],Table4[,3]),"")</f>
        <v>0</v>
      </c>
      <c r="P22" s="34">
        <f>IFERROR(SUMIF(Table4[,],Table6[[#This Row],[Accounts Name]],Table4[,2]),"")</f>
        <v>347656</v>
      </c>
      <c r="S22" s="36">
        <f t="shared" si="0"/>
        <v>15</v>
      </c>
      <c r="T22" s="34" t="s">
        <v>11</v>
      </c>
      <c r="U22" s="37" t="s">
        <v>144</v>
      </c>
      <c r="V22" s="34">
        <f>IFERROR(SUMIF(Table6[Sub-Accounts],Table8[[#This Row],[Update your chart of accounts here]],Table6[Debit]),"")</f>
        <v>2228108</v>
      </c>
      <c r="W22" s="34">
        <f>IFERROR(SUMIF(Table6[Sub-Accounts],Table8[[#This Row],[Update your chart of accounts here]],Table6[Credit]),"")</f>
        <v>0</v>
      </c>
      <c r="X22" s="34"/>
      <c r="Y22" s="34" t="s">
        <v>227</v>
      </c>
      <c r="Z22" s="34"/>
      <c r="AA22" s="34">
        <f>J19</f>
        <v>50000</v>
      </c>
      <c r="AB22" s="34">
        <f>MAX(Table8[[#This Row],[Debit]]+Table8[[#This Row],[Debit -]]-Table8[[#This Row],[Credit]]-Table8[[#This Row],[Credit +]],0)</f>
        <v>2178108</v>
      </c>
      <c r="AC22" s="34">
        <f>MAX(Table8[[#This Row],[Credit]]-Table8[[#This Row],[Debit]]+Table8[[#This Row],[Credit +]]-Table8[[#This Row],[Debit -]],0)</f>
        <v>0</v>
      </c>
      <c r="AD22" s="34" t="str">
        <f>IFERROR(IF(AND(OR(Table8[[#This Row],[Classification]]="Expense",Table8[[#This Row],[Classification]]="Cost of Goods Sold"),Table8[[#This Row],[Debit\]]&gt;Table8[[#This Row],[Credit.]]),Table8[[#This Row],[Debit\]]-Table8[[#This Row],[Credit.]],""),"")</f>
        <v/>
      </c>
      <c r="AE22" s="34" t="str">
        <f>IFERROR(IF(AND(OR(Table8[[#This Row],[Classification]]="Income",Table8[[#This Row],[Classification]]="Cost of Goods Sold"),Table8[[#This Row],[Credit.]]&gt;Table8[[#This Row],[Debit\]]),Table8[[#This Row],[Credit.]]-Table8[[#This Row],[Debit\]],""),"")</f>
        <v/>
      </c>
      <c r="AF22" s="34"/>
      <c r="AG22" s="34">
        <f>IFERROR(IF(AND(Table8[[#This Row],[Classification]]="Assets",Table8[[#This Row],[Debit\]]-Table8[[#This Row],[Credit.]]),Table8[[#This Row],[Debit\]]-Table8[[#This Row],[Credit.]],""),"")</f>
        <v>2178108</v>
      </c>
      <c r="AH22" s="34" t="str">
        <f>IFERROR(IF(AND(OR(Table8[[#This Row],[Classification]]="Liabilities",Table8[[#This Row],[Classification]]="Owner´s Equity"),Table8[[#This Row],[Credit.]]&gt;Table8[[#This Row],[Debit\]]),Table8[[#This Row],[Credit.]]-Table8[[#This Row],[Debit\]],""),"")</f>
        <v/>
      </c>
    </row>
    <row r="23" spans="2:34" x14ac:dyDescent="0.25">
      <c r="B23" s="34"/>
      <c r="C23" s="37" t="s">
        <v>77</v>
      </c>
      <c r="D23" s="34"/>
      <c r="E23" s="34">
        <v>347656</v>
      </c>
      <c r="G23" s="39"/>
      <c r="H23" s="43" t="s">
        <v>188</v>
      </c>
      <c r="I23" s="41"/>
      <c r="J23" s="41"/>
      <c r="L23" s="34">
        <v>16</v>
      </c>
      <c r="M23" s="35" t="s">
        <v>143</v>
      </c>
      <c r="N23" s="35" t="s">
        <v>78</v>
      </c>
      <c r="O23" s="34">
        <f>IFERROR(SUMIF(Table4[,],Table6[[#This Row],[Accounts Name]],Table4[,3]),"")</f>
        <v>1150000</v>
      </c>
      <c r="P23" s="34">
        <f>IFERROR(SUMIF(Table4[,],Table6[[#This Row],[Accounts Name]],Table4[,2]),"")</f>
        <v>0</v>
      </c>
      <c r="S23" s="36">
        <f t="shared" si="0"/>
        <v>16</v>
      </c>
      <c r="T23" s="34"/>
      <c r="U23" s="37" t="s">
        <v>214</v>
      </c>
      <c r="V23" s="34">
        <f>IFERROR(SUMIF(Table6[Sub-Accounts],Table8[[#This Row],[Update your chart of accounts here]],Table6[Debit]),"")</f>
        <v>0</v>
      </c>
      <c r="W23" s="34">
        <f>IFERROR(SUMIF(Table6[Sub-Accounts],Table8[[#This Row],[Update your chart of accounts here]],Table6[Credit]),"")</f>
        <v>0</v>
      </c>
      <c r="X23" s="34"/>
      <c r="Y23" s="34"/>
      <c r="Z23" s="34"/>
      <c r="AA23" s="34"/>
      <c r="AB23" s="34">
        <f>MAX(Table8[[#This Row],[Debit]]+Table8[[#This Row],[Debit -]]-Table8[[#This Row],[Credit]]-Table8[[#This Row],[Credit +]],0)</f>
        <v>0</v>
      </c>
      <c r="AC23" s="34">
        <f>MAX(Table8[[#This Row],[Credit]]-Table8[[#This Row],[Debit]]+Table8[[#This Row],[Credit +]]-Table8[[#This Row],[Debit -]],0)</f>
        <v>0</v>
      </c>
      <c r="AD23" s="34" t="str">
        <f>IFERROR(IF(AND(OR(Table8[[#This Row],[Classification]]="Expense",Table8[[#This Row],[Classification]]="Cost of Goods Sold"),Table8[[#This Row],[Debit\]]&gt;Table8[[#This Row],[Credit.]]),Table8[[#This Row],[Debit\]]-Table8[[#This Row],[Credit.]],""),"")</f>
        <v/>
      </c>
      <c r="AE23" s="34" t="str">
        <f>IFERROR(IF(AND(OR(Table8[[#This Row],[Classification]]="Income",Table8[[#This Row],[Classification]]="Cost of Goods Sold"),Table8[[#This Row],[Credit.]]&gt;Table8[[#This Row],[Debit\]]),Table8[[#This Row],[Credit.]]-Table8[[#This Row],[Debit\]],""),"")</f>
        <v/>
      </c>
      <c r="AF23" s="34"/>
      <c r="AG23" s="34" t="str">
        <f>IFERROR(IF(AND(Table8[[#This Row],[Classification]]="Assets",Table8[[#This Row],[Debit\]]-Table8[[#This Row],[Credit.]]),Table8[[#This Row],[Debit\]]-Table8[[#This Row],[Credit.]],""),"")</f>
        <v/>
      </c>
      <c r="AH23" s="34" t="str">
        <f>IFERROR(IF(AND(OR(Table8[[#This Row],[Classification]]="Liabilities",Table8[[#This Row],[Classification]]="Owner´s Equity"),Table8[[#This Row],[Credit.]]&gt;Table8[[#This Row],[Debit\]]),Table8[[#This Row],[Credit.]]-Table8[[#This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IFERROR(SUMIF(Table4[,],Table6[[#This Row],[Accounts Name]],Table4[,3]),"")</f>
        <v>375657</v>
      </c>
      <c r="P24" s="34">
        <f>IFERROR(SUMIF(Table4[,],Table6[[#This Row],[Accounts Name]],Table4[,2]),"")</f>
        <v>0</v>
      </c>
      <c r="S24" s="36">
        <f t="shared" si="0"/>
        <v>17</v>
      </c>
      <c r="T24" s="34" t="s">
        <v>48</v>
      </c>
      <c r="U24" s="37" t="s">
        <v>145</v>
      </c>
      <c r="V24" s="34">
        <f>IFERROR(SUMIF(Table6[Sub-Accounts],Table8[[#This Row],[Update your chart of accounts here]],Table6[Debit]),"")</f>
        <v>0</v>
      </c>
      <c r="W24" s="34">
        <f>IFERROR(SUMIF(Table6[Sub-Accounts],Table8[[#This Row],[Update your chart of accounts here]],Table6[Credit]),"")</f>
        <v>11852079.26</v>
      </c>
      <c r="X24" s="34"/>
      <c r="Y24" s="34" t="s">
        <v>226</v>
      </c>
      <c r="Z24" s="34">
        <f>I16</f>
        <v>1000000</v>
      </c>
      <c r="AA24" s="34"/>
      <c r="AB24" s="34">
        <f>MAX(Table8[[#This Row],[Debit]]+Table8[[#This Row],[Debit -]]-Table8[[#This Row],[Credit]]-Table8[[#This Row],[Credit +]],0)</f>
        <v>0</v>
      </c>
      <c r="AC24" s="34">
        <f>MAX(Table8[[#This Row],[Credit]]-Table8[[#This Row],[Debit]]+Table8[[#This Row],[Credit +]]-Table8[[#This Row],[Debit -]],0)</f>
        <v>10852079.26</v>
      </c>
      <c r="AD24" s="34" t="str">
        <f>IFERROR(IF(AND(OR(Table8[[#This Row],[Classification]]="Expense",Table8[[#This Row],[Classification]]="Cost of Goods Sold"),Table8[[#This Row],[Debit\]]&gt;Table8[[#This Row],[Credit.]]),Table8[[#This Row],[Debit\]]-Table8[[#This Row],[Credit.]],""),"")</f>
        <v/>
      </c>
      <c r="AE24" s="34" t="str">
        <f>IFERROR(IF(AND(OR(Table8[[#This Row],[Classification]]="Income",Table8[[#This Row],[Classification]]="Cost of Goods Sold"),Table8[[#This Row],[Credit.]]&gt;Table8[[#This Row],[Debit\]]),Table8[[#This Row],[Credit.]]-Table8[[#This Row],[Debit\]],""),"")</f>
        <v/>
      </c>
      <c r="AF24" s="34"/>
      <c r="AG24" s="34" t="str">
        <f>IFERROR(IF(AND(Table8[[#This Row],[Classification]]="Assets",Table8[[#This Row],[Debit\]]-Table8[[#This Row],[Credit.]]),Table8[[#This Row],[Debit\]]-Table8[[#This Row],[Credit.]],""),"")</f>
        <v/>
      </c>
      <c r="AH24" s="34">
        <f>IFERROR(IF(AND(OR(Table8[[#This Row],[Classification]]="Liabilities",Table8[[#This Row],[Classification]]="Owner´s Equity"),Table8[[#This Row],[Credit.]]&gt;Table8[[#This Row],[Debit\]]),Table8[[#This Row],[Credit.]]-Table8[[#This Row],[Debit\]],""),"")</f>
        <v>10852079.26</v>
      </c>
    </row>
    <row r="25" spans="2:34" x14ac:dyDescent="0.25">
      <c r="B25" s="34"/>
      <c r="C25" s="37" t="s">
        <v>79</v>
      </c>
      <c r="D25" s="34">
        <v>375657</v>
      </c>
      <c r="E25" s="34"/>
      <c r="G25" s="39"/>
      <c r="H25" s="40" t="s">
        <v>177</v>
      </c>
      <c r="I25" s="41"/>
      <c r="J25" s="41">
        <v>21</v>
      </c>
      <c r="L25" s="34">
        <v>18</v>
      </c>
      <c r="M25" s="35" t="s">
        <v>143</v>
      </c>
      <c r="N25" s="35" t="s">
        <v>80</v>
      </c>
      <c r="O25" s="34">
        <f>IFERROR(SUMIF(Table4[,],Table6[[#This Row],[Accounts Name]],Table4[,3]),"")</f>
        <v>0</v>
      </c>
      <c r="P25" s="34">
        <f>IFERROR(SUMIF(Table4[,],Table6[[#This Row],[Accounts Name]],Table4[,2]),"")</f>
        <v>288789</v>
      </c>
      <c r="S25" s="36">
        <f t="shared" si="0"/>
        <v>18</v>
      </c>
      <c r="T25" s="34"/>
      <c r="U25" s="37" t="s">
        <v>215</v>
      </c>
      <c r="V25" s="34">
        <f>IFERROR(SUMIF(Table6[Sub-Accounts],Table8[[#This Row],[Update your chart of accounts here]],Table6[Debit]),"")</f>
        <v>0</v>
      </c>
      <c r="W25" s="34">
        <f>IFERROR(SUMIF(Table6[Sub-Accounts],Table8[[#This Row],[Update your chart of accounts here]],Table6[Credit]),"")</f>
        <v>0</v>
      </c>
      <c r="X25" s="34"/>
      <c r="Y25" s="34"/>
      <c r="Z25" s="34"/>
      <c r="AA25" s="34"/>
      <c r="AB25" s="34">
        <f>MAX(Table8[[#This Row],[Debit]]+Table8[[#This Row],[Debit -]]-Table8[[#This Row],[Credit]]-Table8[[#This Row],[Credit +]],0)</f>
        <v>0</v>
      </c>
      <c r="AC25" s="34">
        <f>MAX(Table8[[#This Row],[Credit]]-Table8[[#This Row],[Debit]]+Table8[[#This Row],[Credit +]]-Table8[[#This Row],[Debit -]],0)</f>
        <v>0</v>
      </c>
      <c r="AD25" s="34" t="str">
        <f>IFERROR(IF(AND(OR(Table8[[#This Row],[Classification]]="Expense",Table8[[#This Row],[Classification]]="Cost of Goods Sold"),Table8[[#This Row],[Debit\]]&gt;Table8[[#This Row],[Credit.]]),Table8[[#This Row],[Debit\]]-Table8[[#This Row],[Credit.]],""),"")</f>
        <v/>
      </c>
      <c r="AE25" s="34" t="str">
        <f>IFERROR(IF(AND(OR(Table8[[#This Row],[Classification]]="Income",Table8[[#This Row],[Classification]]="Cost of Goods Sold"),Table8[[#This Row],[Credit.]]&gt;Table8[[#This Row],[Debit\]]),Table8[[#This Row],[Credit.]]-Table8[[#This Row],[Debit\]],""),"")</f>
        <v/>
      </c>
      <c r="AF25" s="34"/>
      <c r="AG25" s="34" t="str">
        <f>IFERROR(IF(AND(Table8[[#This Row],[Classification]]="Assets",Table8[[#This Row],[Debit\]]-Table8[[#This Row],[Credit.]]),Table8[[#This Row],[Debit\]]-Table8[[#This Row],[Credit.]],""),"")</f>
        <v/>
      </c>
      <c r="AH25" s="34" t="str">
        <f>IFERROR(IF(AND(OR(Table8[[#This Row],[Classification]]="Liabilities",Table8[[#This Row],[Classification]]="Owner´s Equity"),Table8[[#This Row],[Credit.]]&gt;Table8[[#This Row],[Debit\]]),Table8[[#This Row],[Credit.]]-Table8[[#This Row],[Debit\]],""),"")</f>
        <v/>
      </c>
    </row>
    <row r="26" spans="2:34" x14ac:dyDescent="0.25">
      <c r="B26" s="34"/>
      <c r="C26" s="37" t="s">
        <v>80</v>
      </c>
      <c r="D26" s="34"/>
      <c r="E26" s="34">
        <v>288789</v>
      </c>
      <c r="G26" s="39"/>
      <c r="H26" s="43" t="s">
        <v>189</v>
      </c>
      <c r="I26" s="41"/>
      <c r="J26" s="41"/>
      <c r="L26" s="34">
        <v>19</v>
      </c>
      <c r="M26" s="35" t="s">
        <v>143</v>
      </c>
      <c r="N26" s="35" t="s">
        <v>81</v>
      </c>
      <c r="O26" s="34">
        <f>IFERROR(SUMIF(Table4[,],Table6[[#This Row],[Accounts Name]],Table4[,3]),"")</f>
        <v>975000</v>
      </c>
      <c r="P26" s="34">
        <f>IFERROR(SUMIF(Table4[,],Table6[[#This Row],[Accounts Name]],Table4[,2]),"")</f>
        <v>0</v>
      </c>
      <c r="S26" s="36">
        <f t="shared" si="0"/>
        <v>19</v>
      </c>
      <c r="T26" s="34" t="s">
        <v>62</v>
      </c>
      <c r="U26" s="37" t="s">
        <v>62</v>
      </c>
      <c r="V26" s="34">
        <f>IFERROR(SUMIF(Table6[Sub-Accounts],Table8[[#This Row],[Update your chart of accounts here]],Table6[Debit]),"")</f>
        <v>0</v>
      </c>
      <c r="W26" s="34">
        <f>IFERROR(SUMIF(Table6[Sub-Accounts],Table8[[#This Row],[Update your chart of accounts here]],Table6[Credit]),"")</f>
        <v>332888373.44999999</v>
      </c>
      <c r="X26" s="34"/>
      <c r="Y26" s="34" t="s">
        <v>228</v>
      </c>
      <c r="Z26" s="34">
        <f>I24</f>
        <v>21</v>
      </c>
      <c r="AA26" s="34"/>
      <c r="AB26" s="34">
        <f>MAX(Table8[[#This Row],[Debit]]+Table8[[#This Row],[Debit -]]-Table8[[#This Row],[Credit]]-Table8[[#This Row],[Credit +]],0)</f>
        <v>0</v>
      </c>
      <c r="AC26" s="34">
        <f>MAX(Table8[[#This Row],[Credit]]-Table8[[#This Row],[Debit]]+Table8[[#This Row],[Credit +]]-Table8[[#This Row],[Debit -]],0)</f>
        <v>332888352.44999999</v>
      </c>
      <c r="AD26" s="34" t="str">
        <f>IFERROR(IF(AND(OR(Table8[[#This Row],[Classification]]="Expense",Table8[[#This Row],[Classification]]="Cost of Goods Sold"),Table8[[#This Row],[Debit\]]&gt;Table8[[#This Row],[Credit.]]),Table8[[#This Row],[Debit\]]-Table8[[#This Row],[Credit.]],""),"")</f>
        <v/>
      </c>
      <c r="AE26" s="34">
        <f>IFERROR(IF(AND(OR(Table8[[#This Row],[Classification]]="Income",Table8[[#This Row],[Classification]]="Cost of Goods Sold"),Table8[[#This Row],[Credit.]]&gt;Table8[[#This Row],[Debit\]]),Table8[[#This Row],[Credit.]]-Table8[[#This Row],[Debit\]],""),"")</f>
        <v>332888352.44999999</v>
      </c>
      <c r="AF26" s="34"/>
      <c r="AG26" s="34" t="str">
        <f>IFERROR(IF(AND(Table8[[#This Row],[Classification]]="Assets",Table8[[#This Row],[Debit\]]-Table8[[#This Row],[Credit.]]),Table8[[#This Row],[Debit\]]-Table8[[#This Row],[Credit.]],""),"")</f>
        <v/>
      </c>
      <c r="AH26" s="34" t="str">
        <f>IFERROR(IF(AND(OR(Table8[[#This Row],[Classification]]="Liabilities",Table8[[#This Row],[Classification]]="Owner´s Equity"),Table8[[#This Row],[Credit.]]&gt;Table8[[#This Row],[Debit\]]),Table8[[#This Row],[Credit.]]-Table8[[#This Row],[Debit\]],""),"")</f>
        <v/>
      </c>
    </row>
    <row r="27" spans="2:34" x14ac:dyDescent="0.25">
      <c r="B27" s="34"/>
      <c r="C27" s="37" t="s">
        <v>81</v>
      </c>
      <c r="D27" s="34">
        <v>975000</v>
      </c>
      <c r="E27" s="34"/>
      <c r="G27" s="39" t="s">
        <v>195</v>
      </c>
      <c r="H27" s="40" t="s">
        <v>175</v>
      </c>
      <c r="I27" s="41">
        <v>845624</v>
      </c>
      <c r="J27" s="41"/>
      <c r="L27" s="34">
        <v>20</v>
      </c>
      <c r="M27" s="35" t="s">
        <v>143</v>
      </c>
      <c r="N27" s="35" t="s">
        <v>82</v>
      </c>
      <c r="O27" s="34">
        <f>IFERROR(SUMIF(Table4[,],Table6[[#This Row],[Accounts Name]],Table4[,3]),"")</f>
        <v>0</v>
      </c>
      <c r="P27" s="34">
        <f>IFERROR(SUMIF(Table4[,],Table6[[#This Row],[Accounts Name]],Table4[,2]),"")</f>
        <v>426561</v>
      </c>
      <c r="S27" s="36">
        <f t="shared" si="0"/>
        <v>20</v>
      </c>
      <c r="T27" s="34" t="s">
        <v>62</v>
      </c>
      <c r="U27" s="37" t="s">
        <v>216</v>
      </c>
      <c r="V27" s="34">
        <f>IFERROR(SUMIF(Table6[Sub-Accounts],Table8[[#This Row],[Update your chart of accounts here]],Table6[Debit]),"")</f>
        <v>0</v>
      </c>
      <c r="W27" s="34">
        <f>IFERROR(SUMIF(Table6[Sub-Accounts],Table8[[#This Row],[Update your chart of accounts here]],Table6[Credit]),"")</f>
        <v>0</v>
      </c>
      <c r="X27" s="34"/>
      <c r="Y27" s="34" t="s">
        <v>225</v>
      </c>
      <c r="Z27" s="34"/>
      <c r="AA27" s="34">
        <f>J13</f>
        <v>251563</v>
      </c>
      <c r="AB27" s="34">
        <f>MAX(Table8[[#This Row],[Debit]]+Table8[[#This Row],[Debit -]]-Table8[[#This Row],[Credit]]-Table8[[#This Row],[Credit +]],0)</f>
        <v>0</v>
      </c>
      <c r="AC27" s="34">
        <f>MAX(Table8[[#This Row],[Credit]]-Table8[[#This Row],[Debit]]+Table8[[#This Row],[Credit +]]-Table8[[#This Row],[Debit -]],0)</f>
        <v>251563</v>
      </c>
      <c r="AD27" s="34" t="str">
        <f>IFERROR(IF(AND(OR(Table8[[#This Row],[Classification]]="Expense",Table8[[#This Row],[Classification]]="Cost of Goods Sold"),Table8[[#This Row],[Debit\]]&gt;Table8[[#This Row],[Credit.]]),Table8[[#This Row],[Debit\]]-Table8[[#This Row],[Credit.]],""),"")</f>
        <v/>
      </c>
      <c r="AE27" s="34">
        <f>IFERROR(IF(AND(OR(Table8[[#This Row],[Classification]]="Income",Table8[[#This Row],[Classification]]="Cost of Goods Sold"),Table8[[#This Row],[Credit.]]&gt;Table8[[#This Row],[Debit\]]),Table8[[#This Row],[Credit.]]-Table8[[#This Row],[Debit\]],""),"")</f>
        <v>251563</v>
      </c>
      <c r="AF27" s="34"/>
      <c r="AG27" s="34" t="str">
        <f>IFERROR(IF(AND(Table8[[#This Row],[Classification]]="Assets",Table8[[#This Row],[Debit\]]-Table8[[#This Row],[Credit.]]),Table8[[#This Row],[Debit\]]-Table8[[#This Row],[Credit.]],""),"")</f>
        <v/>
      </c>
      <c r="AH27" s="34" t="str">
        <f>IFERROR(IF(AND(OR(Table8[[#This Row],[Classification]]="Liabilities",Table8[[#This Row],[Classification]]="Owner´s Equity"),Table8[[#This Row],[Credit.]]&gt;Table8[[#This Row],[Debit\]]),Table8[[#This Row],[Credit.]]-Table8[[#This Row],[Debit\]],""),"")</f>
        <v/>
      </c>
    </row>
    <row r="28" spans="2:34" x14ac:dyDescent="0.25">
      <c r="B28" s="34"/>
      <c r="C28" s="37" t="s">
        <v>82</v>
      </c>
      <c r="D28" s="34"/>
      <c r="E28" s="34">
        <v>426561</v>
      </c>
      <c r="G28" s="39"/>
      <c r="H28" s="40" t="s">
        <v>162</v>
      </c>
      <c r="I28" s="41">
        <v>0</v>
      </c>
      <c r="J28" s="41"/>
      <c r="L28" s="34">
        <v>21</v>
      </c>
      <c r="M28" s="35" t="s">
        <v>143</v>
      </c>
      <c r="N28" s="35" t="s">
        <v>83</v>
      </c>
      <c r="O28" s="34">
        <f>IFERROR(SUMIF(Table4[,],Table6[[#This Row],[Accounts Name]],Table4[,3]),"")</f>
        <v>350000</v>
      </c>
      <c r="P28" s="34">
        <f>IFERROR(SUMIF(Table4[,],Table6[[#This Row],[Accounts Name]],Table4[,2]),"")</f>
        <v>0</v>
      </c>
      <c r="S28" s="36">
        <f t="shared" si="0"/>
        <v>21</v>
      </c>
      <c r="T28" s="34" t="s">
        <v>6</v>
      </c>
      <c r="U28" s="37" t="s">
        <v>147</v>
      </c>
      <c r="V28" s="34">
        <f>IFERROR(SUMIF(Table6[Sub-Accounts],Table8[[#This Row],[Update your chart of accounts here]],Table6[Debit]),"")</f>
        <v>316209838.63</v>
      </c>
      <c r="W28" s="34">
        <f>IFERROR(SUMIF(Table6[Sub-Accounts],Table8[[#This Row],[Update your chart of accounts here]],Table6[Credit]),"")</f>
        <v>0</v>
      </c>
      <c r="X28" s="34"/>
      <c r="Y28" s="34" t="s">
        <v>231</v>
      </c>
      <c r="Z28" s="34">
        <f>I30</f>
        <v>1379881</v>
      </c>
      <c r="AA28" s="34"/>
      <c r="AB28" s="34">
        <f>MAX(Table8[[#This Row],[Debit]]+Table8[[#This Row],[Debit -]]-Table8[[#This Row],[Credit]]-Table8[[#This Row],[Credit +]],0)</f>
        <v>317589719.63</v>
      </c>
      <c r="AC28" s="34">
        <f>MAX(Table8[[#This Row],[Credit]]-Table8[[#This Row],[Debit]]+Table8[[#This Row],[Credit +]]-Table8[[#This Row],[Debit -]],0)</f>
        <v>0</v>
      </c>
      <c r="AD28" s="34">
        <f>IFERROR(IF(AND(OR(Table8[[#This Row],[Classification]]="Expense",Table8[[#This Row],[Classification]]="Cost of Goods Sold"),Table8[[#This Row],[Debit\]]&gt;Table8[[#This Row],[Credit.]]),Table8[[#This Row],[Debit\]]-Table8[[#This Row],[Credit.]],""),"")</f>
        <v>317589719.63</v>
      </c>
      <c r="AE28" s="34" t="str">
        <f>IFERROR(IF(AND(OR(Table8[[#This Row],[Classification]]="Income",Table8[[#This Row],[Classification]]="Cost of Goods Sold"),Table8[[#This Row],[Credit.]]&gt;Table8[[#This Row],[Debit\]]),Table8[[#This Row],[Credit.]]-Table8[[#This Row],[Debit\]],""),"")</f>
        <v/>
      </c>
      <c r="AF28" s="34"/>
      <c r="AG28" s="34" t="str">
        <f>IFERROR(IF(AND(Table8[[#This Row],[Classification]]="Assets",Table8[[#This Row],[Debit\]]-Table8[[#This Row],[Credit.]]),Table8[[#This Row],[Debit\]]-Table8[[#This Row],[Credit.]],""),"")</f>
        <v/>
      </c>
      <c r="AH28" s="34" t="str">
        <f>IFERROR(IF(AND(OR(Table8[[#This Row],[Classification]]="Liabilities",Table8[[#This Row],[Classification]]="Owner´s Equity"),Table8[[#This Row],[Credit.]]&gt;Table8[[#This Row],[Debit\]]),Table8[[#This Row],[Credit.]]-Table8[[#This Row],[Debit\]],""),"")</f>
        <v/>
      </c>
    </row>
    <row r="29" spans="2:34" x14ac:dyDescent="0.25">
      <c r="B29" s="34"/>
      <c r="C29" s="37" t="s">
        <v>83</v>
      </c>
      <c r="D29" s="34">
        <v>350000</v>
      </c>
      <c r="E29" s="34"/>
      <c r="G29" s="39"/>
      <c r="H29" s="40" t="s">
        <v>167</v>
      </c>
      <c r="I29" s="41">
        <v>325745</v>
      </c>
      <c r="J29" s="41"/>
      <c r="L29" s="34">
        <v>22</v>
      </c>
      <c r="M29" s="35" t="s">
        <v>141</v>
      </c>
      <c r="N29" s="35" t="s">
        <v>84</v>
      </c>
      <c r="O29" s="34">
        <f>IFERROR(SUMIF(Table4[,],Table6[[#This Row],[Accounts Name]],Table4[,3]),"")</f>
        <v>0</v>
      </c>
      <c r="P29" s="34">
        <f>IFERROR(SUMIF(Table4[,],Table6[[#This Row],[Accounts Name]],Table4[,2]),"")</f>
        <v>4840392.6399999997</v>
      </c>
      <c r="S29" s="36">
        <f t="shared" si="0"/>
        <v>22</v>
      </c>
      <c r="T29" s="34" t="s">
        <v>61</v>
      </c>
      <c r="U29" s="37" t="s">
        <v>151</v>
      </c>
      <c r="V29" s="34">
        <f>IFERROR(SUMIF(Table6[Sub-Accounts],Table8[[#This Row],[Update your chart of accounts here]],Table6[Debit]),"")</f>
        <v>3516485</v>
      </c>
      <c r="W29" s="34">
        <f>IFERROR(SUMIF(Table6[Sub-Accounts],Table8[[#This Row],[Update your chart of accounts here]],Table6[Credit]),"")</f>
        <v>0</v>
      </c>
      <c r="X29" s="34"/>
      <c r="Y29" s="34"/>
      <c r="Z29" s="34"/>
      <c r="AA29" s="34"/>
      <c r="AB29" s="34">
        <f>MAX(Table8[[#This Row],[Debit]]+Table8[[#This Row],[Debit -]]-Table8[[#This Row],[Credit]]-Table8[[#This Row],[Credit +]],0)</f>
        <v>3516485</v>
      </c>
      <c r="AC29" s="34">
        <f>MAX(Table8[[#This Row],[Credit]]-Table8[[#This Row],[Debit]]+Table8[[#This Row],[Credit +]]-Table8[[#This Row],[Debit -]],0)</f>
        <v>0</v>
      </c>
      <c r="AD29" s="34">
        <f>IFERROR(IF(AND(OR(Table8[[#This Row],[Classification]]="Expense",Table8[[#This Row],[Classification]]="Cost of Goods Sold"),Table8[[#This Row],[Debit\]]&gt;Table8[[#This Row],[Credit.]]),Table8[[#This Row],[Debit\]]-Table8[[#This Row],[Credit.]],""),"")</f>
        <v>3516485</v>
      </c>
      <c r="AE29" s="34" t="str">
        <f>IFERROR(IF(AND(OR(Table8[[#This Row],[Classification]]="Income",Table8[[#This Row],[Classification]]="Cost of Goods Sold"),Table8[[#This Row],[Credit.]]&gt;Table8[[#This Row],[Debit\]]),Table8[[#This Row],[Credit.]]-Table8[[#This Row],[Debit\]],""),"")</f>
        <v/>
      </c>
      <c r="AF29" s="34"/>
      <c r="AG29" s="34" t="str">
        <f>IFERROR(IF(AND(Table8[[#This Row],[Classification]]="Assets",Table8[[#This Row],[Debit\]]-Table8[[#This Row],[Credit.]]),Table8[[#This Row],[Debit\]]-Table8[[#This Row],[Credit.]],""),"")</f>
        <v/>
      </c>
      <c r="AH29" s="34" t="str">
        <f>IFERROR(IF(AND(OR(Table8[[#This Row],[Classification]]="Liabilities",Table8[[#This Row],[Classification]]="Owner´s Equity"),Table8[[#This Row],[Credit.]]&gt;Table8[[#This Row],[Debit\]]),Table8[[#This Row],[Credit.]]-Table8[[#This Row],[Debit\]],""),"")</f>
        <v/>
      </c>
    </row>
    <row r="30" spans="2:34" x14ac:dyDescent="0.25">
      <c r="B30" s="34"/>
      <c r="C30" s="37" t="s">
        <v>84</v>
      </c>
      <c r="D30" s="34"/>
      <c r="E30" s="34">
        <v>4840392.6399999997</v>
      </c>
      <c r="G30" s="39"/>
      <c r="H30" s="40" t="s">
        <v>147</v>
      </c>
      <c r="I30" s="41">
        <v>1379881</v>
      </c>
      <c r="J30" s="41"/>
      <c r="L30" s="34">
        <v>23</v>
      </c>
      <c r="M30" s="35" t="s">
        <v>141</v>
      </c>
      <c r="N30" s="35" t="s">
        <v>85</v>
      </c>
      <c r="O30" s="34">
        <f>IFERROR(SUMIF(Table4[,],Table6[[#This Row],[Accounts Name]],Table4[,3]),"")</f>
        <v>0</v>
      </c>
      <c r="P30" s="34">
        <f>IFERROR(SUMIF(Table4[,],Table6[[#This Row],[Accounts Name]],Table4[,2]),"")</f>
        <v>175000</v>
      </c>
      <c r="S30" s="36">
        <f t="shared" si="0"/>
        <v>23</v>
      </c>
      <c r="T30" s="34" t="s">
        <v>61</v>
      </c>
      <c r="U30" s="37" t="s">
        <v>167</v>
      </c>
      <c r="V30" s="34">
        <f>IFERROR(SUMIF(Table6[Sub-Accounts],Table8[[#This Row],[Update your chart of accounts here]],Table6[Debit]),"")</f>
        <v>395822.76</v>
      </c>
      <c r="W30" s="34">
        <f>IFERROR(SUMIF(Table6[Sub-Accounts],Table8[[#This Row],[Update your chart of accounts here]],Table6[Credit]),"")</f>
        <v>0</v>
      </c>
      <c r="X30" s="34"/>
      <c r="Y30" s="34" t="s">
        <v>231</v>
      </c>
      <c r="Z30" s="34">
        <f>I29</f>
        <v>325745</v>
      </c>
      <c r="AA30" s="34"/>
      <c r="AB30" s="34">
        <f>MAX(Table8[[#This Row],[Debit]]+Table8[[#This Row],[Debit -]]-Table8[[#This Row],[Credit]]-Table8[[#This Row],[Credit +]],0)</f>
        <v>721567.76</v>
      </c>
      <c r="AC30" s="34">
        <f>MAX(Table8[[#This Row],[Credit]]-Table8[[#This Row],[Debit]]+Table8[[#This Row],[Credit +]]-Table8[[#This Row],[Debit -]],0)</f>
        <v>0</v>
      </c>
      <c r="AD30" s="34">
        <f>IFERROR(IF(AND(OR(Table8[[#This Row],[Classification]]="Expense",Table8[[#This Row],[Classification]]="Cost of Goods Sold"),Table8[[#This Row],[Debit\]]&gt;Table8[[#This Row],[Credit.]]),Table8[[#This Row],[Debit\]]-Table8[[#This Row],[Credit.]],""),"")</f>
        <v>721567.76</v>
      </c>
      <c r="AE30" s="34" t="str">
        <f>IFERROR(IF(AND(OR(Table8[[#This Row],[Classification]]="Income",Table8[[#This Row],[Classification]]="Cost of Goods Sold"),Table8[[#This Row],[Credit.]]&gt;Table8[[#This Row],[Debit\]]),Table8[[#This Row],[Credit.]]-Table8[[#This Row],[Debit\]],""),"")</f>
        <v/>
      </c>
      <c r="AF30" s="34"/>
      <c r="AG30" s="34" t="str">
        <f>IFERROR(IF(AND(Table8[[#This Row],[Classification]]="Assets",Table8[[#This Row],[Debit\]]-Table8[[#This Row],[Credit.]]),Table8[[#This Row],[Debit\]]-Table8[[#This Row],[Credit.]],""),"")</f>
        <v/>
      </c>
      <c r="AH30" s="34" t="str">
        <f>IFERROR(IF(AND(OR(Table8[[#This Row],[Classification]]="Liabilities",Table8[[#This Row],[Classification]]="Owner´s Equity"),Table8[[#This Row],[Credit.]]&gt;Table8[[#This Row],[Debit\]]),Table8[[#This Row],[Credit.]]-Table8[[#This Row],[Debit\]],""),"")</f>
        <v/>
      </c>
    </row>
    <row r="31" spans="2:34" x14ac:dyDescent="0.25">
      <c r="B31" s="34"/>
      <c r="C31" s="37" t="s">
        <v>85</v>
      </c>
      <c r="D31" s="34"/>
      <c r="E31" s="34">
        <v>175000</v>
      </c>
      <c r="G31" s="39"/>
      <c r="H31" s="40" t="s">
        <v>176</v>
      </c>
      <c r="I31" s="41"/>
      <c r="J31" s="41">
        <v>2551250</v>
      </c>
      <c r="L31" s="34">
        <v>24</v>
      </c>
      <c r="M31" s="35" t="s">
        <v>141</v>
      </c>
      <c r="N31" s="35" t="s">
        <v>86</v>
      </c>
      <c r="O31" s="34">
        <f>IFERROR(SUMIF(Table4[,],Table6[[#This Row],[Accounts Name]],Table4[,3]),"")</f>
        <v>0</v>
      </c>
      <c r="P31" s="34">
        <f>IFERROR(SUMIF(Table4[,],Table6[[#This Row],[Accounts Name]],Table4[,2]),"")</f>
        <v>100000</v>
      </c>
      <c r="S31" s="36">
        <f t="shared" si="0"/>
        <v>24</v>
      </c>
      <c r="T31" s="34" t="s">
        <v>61</v>
      </c>
      <c r="U31" s="37" t="s">
        <v>166</v>
      </c>
      <c r="V31" s="34">
        <f>IFERROR(SUMIF(Table6[Sub-Accounts],Table8[[#This Row],[Update your chart of accounts here]],Table6[Debit]),"")</f>
        <v>1409746.56</v>
      </c>
      <c r="W31" s="34">
        <f>IFERROR(SUMIF(Table6[Sub-Accounts],Table8[[#This Row],[Update your chart of accounts here]],Table6[Credit]),"")</f>
        <v>0</v>
      </c>
      <c r="X31" s="34"/>
      <c r="Y31" s="34"/>
      <c r="Z31" s="34"/>
      <c r="AA31" s="34"/>
      <c r="AB31" s="34">
        <f>MAX(Table8[[#This Row],[Debit]]+Table8[[#This Row],[Debit -]]-Table8[[#This Row],[Credit]]-Table8[[#This Row],[Credit +]],0)</f>
        <v>1409746.56</v>
      </c>
      <c r="AC31" s="34">
        <f>MAX(Table8[[#This Row],[Credit]]-Table8[[#This Row],[Debit]]+Table8[[#This Row],[Credit +]]-Table8[[#This Row],[Debit -]],0)</f>
        <v>0</v>
      </c>
      <c r="AD31" s="34">
        <f>IFERROR(IF(AND(OR(Table8[[#This Row],[Classification]]="Expense",Table8[[#This Row],[Classification]]="Cost of Goods Sold"),Table8[[#This Row],[Debit\]]&gt;Table8[[#This Row],[Credit.]]),Table8[[#This Row],[Debit\]]-Table8[[#This Row],[Credit.]],""),"")</f>
        <v>1409746.56</v>
      </c>
      <c r="AE31" s="34" t="str">
        <f>IFERROR(IF(AND(OR(Table8[[#This Row],[Classification]]="Income",Table8[[#This Row],[Classification]]="Cost of Goods Sold"),Table8[[#This Row],[Credit.]]&gt;Table8[[#This Row],[Debit\]]),Table8[[#This Row],[Credit.]]-Table8[[#This Row],[Debit\]],""),"")</f>
        <v/>
      </c>
      <c r="AF31" s="34"/>
      <c r="AG31" s="34" t="str">
        <f>IFERROR(IF(AND(Table8[[#This Row],[Classification]]="Assets",Table8[[#This Row],[Debit\]]-Table8[[#This Row],[Credit.]]),Table8[[#This Row],[Debit\]]-Table8[[#This Row],[Credit.]],""),"")</f>
        <v/>
      </c>
      <c r="AH31" s="34" t="str">
        <f>IFERROR(IF(AND(OR(Table8[[#This Row],[Classification]]="Liabilities",Table8[[#This Row],[Classification]]="Owner´s Equity"),Table8[[#This Row],[Credit.]]&gt;Table8[[#This Row],[Debit\]]),Table8[[#This Row],[Credit.]]-Table8[[#This Row],[Debit\]],""),"")</f>
        <v/>
      </c>
    </row>
    <row r="32" spans="2:34" ht="16.5" x14ac:dyDescent="0.35">
      <c r="B32" s="34"/>
      <c r="C32" s="37" t="s">
        <v>86</v>
      </c>
      <c r="D32" s="34"/>
      <c r="E32" s="34">
        <v>100000</v>
      </c>
      <c r="G32" s="44"/>
      <c r="H32" s="43" t="s">
        <v>190</v>
      </c>
      <c r="I32" s="41"/>
      <c r="J32" s="41"/>
      <c r="L32" s="34">
        <v>25</v>
      </c>
      <c r="M32" s="35" t="s">
        <v>141</v>
      </c>
      <c r="N32" s="35" t="s">
        <v>87</v>
      </c>
      <c r="O32" s="34">
        <f>IFERROR(SUMIF(Table4[,],Table6[[#This Row],[Accounts Name]],Table4[,3]),"")</f>
        <v>0</v>
      </c>
      <c r="P32" s="34">
        <f>IFERROR(SUMIF(Table4[,],Table6[[#This Row],[Accounts Name]],Table4[,2]),"")</f>
        <v>10050</v>
      </c>
      <c r="S32" s="36">
        <f t="shared" si="0"/>
        <v>25</v>
      </c>
      <c r="T32" s="34" t="s">
        <v>61</v>
      </c>
      <c r="U32" s="37" t="s">
        <v>175</v>
      </c>
      <c r="V32" s="34">
        <f>IFERROR(SUMIF(Table6[Sub-Accounts],Table8[[#This Row],[Update your chart of accounts here]],Table6[Debit]),"")</f>
        <v>0</v>
      </c>
      <c r="W32" s="34">
        <f>IFERROR(SUMIF(Table6[Sub-Accounts],Table8[[#This Row],[Update your chart of accounts here]],Table6[Credit]),"")</f>
        <v>0</v>
      </c>
      <c r="X32" s="34"/>
      <c r="Y32" s="34" t="s">
        <v>231</v>
      </c>
      <c r="Z32" s="34">
        <f>I27</f>
        <v>845624</v>
      </c>
      <c r="AA32" s="34"/>
      <c r="AB32" s="34">
        <f>MAX(Table8[[#This Row],[Debit]]+Table8[[#This Row],[Debit -]]-Table8[[#This Row],[Credit]]-Table8[[#This Row],[Credit +]],0)</f>
        <v>845624</v>
      </c>
      <c r="AC32" s="34">
        <f>MAX(Table8[[#This Row],[Credit]]-Table8[[#This Row],[Debit]]+Table8[[#This Row],[Credit +]]-Table8[[#This Row],[Debit -]],0)</f>
        <v>0</v>
      </c>
      <c r="AD32" s="34">
        <f>IFERROR(IF(AND(OR(Table8[[#This Row],[Classification]]="Expense",Table8[[#This Row],[Classification]]="Cost of Goods Sold"),Table8[[#This Row],[Debit\]]&gt;Table8[[#This Row],[Credit.]]),Table8[[#This Row],[Debit\]]-Table8[[#This Row],[Credit.]],""),"")</f>
        <v>845624</v>
      </c>
      <c r="AE32" s="34" t="str">
        <f>IFERROR(IF(AND(OR(Table8[[#This Row],[Classification]]="Income",Table8[[#This Row],[Classification]]="Cost of Goods Sold"),Table8[[#This Row],[Credit.]]&gt;Table8[[#This Row],[Debit\]]),Table8[[#This Row],[Credit.]]-Table8[[#This Row],[Debit\]],""),"")</f>
        <v/>
      </c>
      <c r="AF32" s="34"/>
      <c r="AG32" s="34" t="str">
        <f>IFERROR(IF(AND(Table8[[#This Row],[Classification]]="Assets",Table8[[#This Row],[Debit\]]-Table8[[#This Row],[Credit.]]),Table8[[#This Row],[Debit\]]-Table8[[#This Row],[Credit.]],""),"")</f>
        <v/>
      </c>
      <c r="AH32" s="34" t="str">
        <f>IFERROR(IF(AND(OR(Table8[[#This Row],[Classification]]="Liabilities",Table8[[#This Row],[Classification]]="Owner´s Equity"),Table8[[#This Row],[Credit.]]&gt;Table8[[#This Row],[Debit\]]),Table8[[#This Row],[Credit.]]-Table8[[#This Row],[Debit\]],""),"")</f>
        <v/>
      </c>
    </row>
    <row r="33" spans="2:34" x14ac:dyDescent="0.25">
      <c r="B33" s="34"/>
      <c r="C33" s="37" t="s">
        <v>87</v>
      </c>
      <c r="D33" s="34"/>
      <c r="E33" s="34">
        <v>10050</v>
      </c>
      <c r="G33" s="39"/>
      <c r="H33" s="40"/>
      <c r="I33" s="41"/>
      <c r="J33" s="41"/>
      <c r="L33" s="34">
        <v>26</v>
      </c>
      <c r="M33" s="35" t="s">
        <v>141</v>
      </c>
      <c r="N33" s="35" t="s">
        <v>88</v>
      </c>
      <c r="O33" s="34">
        <f>IFERROR(SUMIF(Table4[,],Table6[[#This Row],[Accounts Name]],Table4[,3]),"")</f>
        <v>0</v>
      </c>
      <c r="P33" s="34">
        <f>IFERROR(SUMIF(Table4[,],Table6[[#This Row],[Accounts Name]],Table4[,2]),"")</f>
        <v>4800</v>
      </c>
      <c r="S33" s="36">
        <f t="shared" si="0"/>
        <v>26</v>
      </c>
      <c r="T33" s="34" t="s">
        <v>61</v>
      </c>
      <c r="U33" s="37" t="s">
        <v>154</v>
      </c>
      <c r="V33" s="34">
        <f>IFERROR(SUMIF(Table6[Sub-Accounts],Table8[[#This Row],[Update your chart of accounts here]],Table6[Debit]),"")</f>
        <v>2500001</v>
      </c>
      <c r="W33" s="34">
        <f>IFERROR(SUMIF(Table6[Sub-Accounts],Table8[[#This Row],[Update your chart of accounts here]],Table6[Credit]),"")</f>
        <v>0</v>
      </c>
      <c r="X33" s="34"/>
      <c r="Y33" s="34"/>
      <c r="Z33" s="34"/>
      <c r="AA33" s="34"/>
      <c r="AB33" s="34">
        <f>MAX(Table8[[#This Row],[Debit]]+Table8[[#This Row],[Debit -]]-Table8[[#This Row],[Credit]]-Table8[[#This Row],[Credit +]],0)</f>
        <v>2500001</v>
      </c>
      <c r="AC33" s="34">
        <f>MAX(Table8[[#This Row],[Credit]]-Table8[[#This Row],[Debit]]+Table8[[#This Row],[Credit +]]-Table8[[#This Row],[Debit -]],0)</f>
        <v>0</v>
      </c>
      <c r="AD33" s="34">
        <f>IFERROR(IF(AND(OR(Table8[[#This Row],[Classification]]="Expense",Table8[[#This Row],[Classification]]="Cost of Goods Sold"),Table8[[#This Row],[Debit\]]&gt;Table8[[#This Row],[Credit.]]),Table8[[#This Row],[Debit\]]-Table8[[#This Row],[Credit.]],""),"")</f>
        <v>2500001</v>
      </c>
      <c r="AE33" s="34" t="str">
        <f>IFERROR(IF(AND(OR(Table8[[#This Row],[Classification]]="Income",Table8[[#This Row],[Classification]]="Cost of Goods Sold"),Table8[[#This Row],[Credit.]]&gt;Table8[[#This Row],[Debit\]]),Table8[[#This Row],[Credit.]]-Table8[[#This Row],[Debit\]],""),"")</f>
        <v/>
      </c>
      <c r="AF33" s="34"/>
      <c r="AG33" s="34" t="str">
        <f>IFERROR(IF(AND(Table8[[#This Row],[Classification]]="Assets",Table8[[#This Row],[Debit\]]-Table8[[#This Row],[Credit.]]),Table8[[#This Row],[Debit\]]-Table8[[#This Row],[Credit.]],""),"")</f>
        <v/>
      </c>
      <c r="AH33" s="34" t="str">
        <f>IFERROR(IF(AND(OR(Table8[[#This Row],[Classification]]="Liabilities",Table8[[#This Row],[Classification]]="Owner´s Equity"),Table8[[#This Row],[Credit.]]&gt;Table8[[#This Row],[Debit\]]),Table8[[#This Row],[Credit.]]-Table8[[#This Row],[Debit\]],""),"")</f>
        <v/>
      </c>
    </row>
    <row r="34" spans="2:34" x14ac:dyDescent="0.25">
      <c r="B34" s="34"/>
      <c r="C34" s="37" t="s">
        <v>88</v>
      </c>
      <c r="D34" s="34"/>
      <c r="E34" s="34">
        <v>4800</v>
      </c>
      <c r="G34" s="39"/>
      <c r="H34" s="40"/>
      <c r="I34" s="41"/>
      <c r="J34" s="41"/>
      <c r="L34" s="34">
        <v>27</v>
      </c>
      <c r="M34" s="35" t="s">
        <v>141</v>
      </c>
      <c r="N34" s="35" t="s">
        <v>89</v>
      </c>
      <c r="O34" s="34">
        <f>IFERROR(SUMIF(Table4[,],Table6[[#This Row],[Accounts Name]],Table4[,3]),"")</f>
        <v>0</v>
      </c>
      <c r="P34" s="34">
        <f>IFERROR(SUMIF(Table4[,],Table6[[#This Row],[Accounts Name]],Table4[,2]),"")</f>
        <v>110610</v>
      </c>
      <c r="S34" s="36">
        <f t="shared" si="0"/>
        <v>27</v>
      </c>
      <c r="T34" s="34" t="s">
        <v>61</v>
      </c>
      <c r="U34" s="37" t="s">
        <v>161</v>
      </c>
      <c r="V34" s="34">
        <f>IFERROR(SUMIF(Table6[Sub-Accounts],Table8[[#This Row],[Update your chart of accounts here]],Table6[Debit]),"")</f>
        <v>77850</v>
      </c>
      <c r="W34" s="34">
        <f>IFERROR(SUMIF(Table6[Sub-Accounts],Table8[[#This Row],[Update your chart of accounts here]],Table6[Credit]),"")</f>
        <v>0</v>
      </c>
      <c r="X34" s="34"/>
      <c r="Y34" s="34"/>
      <c r="Z34" s="34"/>
      <c r="AA34" s="34"/>
      <c r="AB34" s="34">
        <f>MAX(Table8[[#This Row],[Debit]]+Table8[[#This Row],[Debit -]]-Table8[[#This Row],[Credit]]-Table8[[#This Row],[Credit +]],0)</f>
        <v>77850</v>
      </c>
      <c r="AC34" s="34">
        <f>MAX(Table8[[#This Row],[Credit]]-Table8[[#This Row],[Debit]]+Table8[[#This Row],[Credit +]]-Table8[[#This Row],[Debit -]],0)</f>
        <v>0</v>
      </c>
      <c r="AD34" s="34">
        <f>IFERROR(IF(AND(OR(Table8[[#This Row],[Classification]]="Expense",Table8[[#This Row],[Classification]]="Cost of Goods Sold"),Table8[[#This Row],[Debit\]]&gt;Table8[[#This Row],[Credit.]]),Table8[[#This Row],[Debit\]]-Table8[[#This Row],[Credit.]],""),"")</f>
        <v>77850</v>
      </c>
      <c r="AE34" s="34" t="str">
        <f>IFERROR(IF(AND(OR(Table8[[#This Row],[Classification]]="Income",Table8[[#This Row],[Classification]]="Cost of Goods Sold"),Table8[[#This Row],[Credit.]]&gt;Table8[[#This Row],[Debit\]]),Table8[[#This Row],[Credit.]]-Table8[[#This Row],[Debit\]],""),"")</f>
        <v/>
      </c>
      <c r="AF34" s="34"/>
      <c r="AG34" s="34" t="str">
        <f>IFERROR(IF(AND(Table8[[#This Row],[Classification]]="Assets",Table8[[#This Row],[Debit\]]-Table8[[#This Row],[Credit.]]),Table8[[#This Row],[Debit\]]-Table8[[#This Row],[Credit.]],""),"")</f>
        <v/>
      </c>
      <c r="AH34" s="34" t="str">
        <f>IFERROR(IF(AND(OR(Table8[[#This Row],[Classification]]="Liabilities",Table8[[#This Row],[Classification]]="Owner´s Equity"),Table8[[#This Row],[Credit.]]&gt;Table8[[#This Row],[Debit\]]),Table8[[#This Row],[Credit.]]-Table8[[#This Row],[Debit\]],""),"")</f>
        <v/>
      </c>
    </row>
    <row r="35" spans="2:34" x14ac:dyDescent="0.25">
      <c r="B35" s="34"/>
      <c r="C35" s="37" t="s">
        <v>89</v>
      </c>
      <c r="D35" s="34"/>
      <c r="E35" s="34">
        <v>110610</v>
      </c>
      <c r="G35" s="39"/>
      <c r="H35" s="43"/>
      <c r="I35" s="41"/>
      <c r="J35" s="41"/>
      <c r="L35" s="34">
        <v>28</v>
      </c>
      <c r="M35" s="35" t="s">
        <v>141</v>
      </c>
      <c r="N35" s="35" t="s">
        <v>90</v>
      </c>
      <c r="O35" s="34">
        <f>IFERROR(SUMIF(Table4[,],Table6[[#This Row],[Accounts Name]],Table4[,3]),"")</f>
        <v>0</v>
      </c>
      <c r="P35" s="34">
        <f>IFERROR(SUMIF(Table4[,],Table6[[#This Row],[Accounts Name]],Table4[,2]),"")</f>
        <v>33200</v>
      </c>
      <c r="S35" s="36">
        <f t="shared" si="0"/>
        <v>28</v>
      </c>
      <c r="T35" s="34" t="s">
        <v>61</v>
      </c>
      <c r="U35" s="37" t="s">
        <v>162</v>
      </c>
      <c r="V35" s="34">
        <f>IFERROR(SUMIF(Table6[Sub-Accounts],Table8[[#This Row],[Update your chart of accounts here]],Table6[Debit]),"")</f>
        <v>268183.07</v>
      </c>
      <c r="W35" s="34">
        <f>IFERROR(SUMIF(Table6[Sub-Accounts],Table8[[#This Row],[Update your chart of accounts here]],Table6[Credit]),"")</f>
        <v>0</v>
      </c>
      <c r="X35" s="34"/>
      <c r="Y35" s="34"/>
      <c r="Z35" s="34">
        <f>I28</f>
        <v>0</v>
      </c>
      <c r="AA35" s="34"/>
      <c r="AB35" s="34">
        <f>MAX(Table8[[#This Row],[Debit]]+Table8[[#This Row],[Debit -]]-Table8[[#This Row],[Credit]]-Table8[[#This Row],[Credit +]],0)</f>
        <v>268183.07</v>
      </c>
      <c r="AC35" s="34">
        <f>MAX(Table8[[#This Row],[Credit]]-Table8[[#This Row],[Debit]]+Table8[[#This Row],[Credit +]]-Table8[[#This Row],[Debit -]],0)</f>
        <v>0</v>
      </c>
      <c r="AD35" s="34">
        <f>IFERROR(IF(AND(OR(Table8[[#This Row],[Classification]]="Expense",Table8[[#This Row],[Classification]]="Cost of Goods Sold"),Table8[[#This Row],[Debit\]]&gt;Table8[[#This Row],[Credit.]]),Table8[[#This Row],[Debit\]]-Table8[[#This Row],[Credit.]],""),"")</f>
        <v>268183.07</v>
      </c>
      <c r="AE35" s="34" t="str">
        <f>IFERROR(IF(AND(OR(Table8[[#This Row],[Classification]]="Income",Table8[[#This Row],[Classification]]="Cost of Goods Sold"),Table8[[#This Row],[Credit.]]&gt;Table8[[#This Row],[Debit\]]),Table8[[#This Row],[Credit.]]-Table8[[#This Row],[Debit\]],""),"")</f>
        <v/>
      </c>
      <c r="AF35" s="34"/>
      <c r="AG35" s="34" t="str">
        <f>IFERROR(IF(AND(Table8[[#This Row],[Classification]]="Assets",Table8[[#This Row],[Debit\]]-Table8[[#This Row],[Credit.]]),Table8[[#This Row],[Debit\]]-Table8[[#This Row],[Credit.]],""),"")</f>
        <v/>
      </c>
      <c r="AH35" s="34" t="str">
        <f>IFERROR(IF(AND(OR(Table8[[#This Row],[Classification]]="Liabilities",Table8[[#This Row],[Classification]]="Owner´s Equity"),Table8[[#This Row],[Credit.]]&gt;Table8[[#This Row],[Debit\]]),Table8[[#This Row],[Credit.]]-Table8[[#This Row],[Debit\]],""),"")</f>
        <v/>
      </c>
    </row>
    <row r="36" spans="2:34" x14ac:dyDescent="0.25">
      <c r="B36" s="34"/>
      <c r="C36" s="37" t="s">
        <v>90</v>
      </c>
      <c r="D36" s="34"/>
      <c r="E36" s="34">
        <v>33200</v>
      </c>
      <c r="G36" s="39"/>
      <c r="H36" s="40"/>
      <c r="I36" s="41"/>
      <c r="J36" s="41"/>
      <c r="L36" s="34">
        <v>29</v>
      </c>
      <c r="M36" s="35" t="s">
        <v>140</v>
      </c>
      <c r="N36" s="35" t="s">
        <v>91</v>
      </c>
      <c r="O36" s="34">
        <f>IFERROR(SUMIF(Table4[,],Table6[[#This Row],[Accounts Name]],Table4[,3]),"")</f>
        <v>124460</v>
      </c>
      <c r="P36" s="34">
        <f>IFERROR(SUMIF(Table4[,],Table6[[#This Row],[Accounts Name]],Table4[,2]),"")</f>
        <v>0</v>
      </c>
      <c r="S36" s="36">
        <f t="shared" si="0"/>
        <v>29</v>
      </c>
      <c r="T36" s="34" t="s">
        <v>61</v>
      </c>
      <c r="U36" s="37" t="s">
        <v>165</v>
      </c>
      <c r="V36" s="34">
        <f>IFERROR(SUMIF(Table6[Sub-Accounts],Table8[[#This Row],[Update your chart of accounts here]],Table6[Debit]),"")</f>
        <v>653656.38</v>
      </c>
      <c r="W36" s="34">
        <f>IFERROR(SUMIF(Table6[Sub-Accounts],Table8[[#This Row],[Update your chart of accounts here]],Table6[Credit]),"")</f>
        <v>0</v>
      </c>
      <c r="X36" s="34"/>
      <c r="Y36" s="34"/>
      <c r="Z36" s="34"/>
      <c r="AA36" s="34"/>
      <c r="AB36" s="34">
        <f>MAX(Table8[[#This Row],[Debit]]+Table8[[#This Row],[Debit -]]-Table8[[#This Row],[Credit]]-Table8[[#This Row],[Credit +]],0)</f>
        <v>653656.38</v>
      </c>
      <c r="AC36" s="34">
        <f>MAX(Table8[[#This Row],[Credit]]-Table8[[#This Row],[Debit]]+Table8[[#This Row],[Credit +]]-Table8[[#This Row],[Debit -]],0)</f>
        <v>0</v>
      </c>
      <c r="AD36" s="34">
        <f>IFERROR(IF(AND(OR(Table8[[#This Row],[Classification]]="Expense",Table8[[#This Row],[Classification]]="Cost of Goods Sold"),Table8[[#This Row],[Debit\]]&gt;Table8[[#This Row],[Credit.]]),Table8[[#This Row],[Debit\]]-Table8[[#This Row],[Credit.]],""),"")</f>
        <v>653656.38</v>
      </c>
      <c r="AE36" s="34" t="str">
        <f>IFERROR(IF(AND(OR(Table8[[#This Row],[Classification]]="Income",Table8[[#This Row],[Classification]]="Cost of Goods Sold"),Table8[[#This Row],[Credit.]]&gt;Table8[[#This Row],[Debit\]]),Table8[[#This Row],[Credit.]]-Table8[[#This Row],[Debit\]],""),"")</f>
        <v/>
      </c>
      <c r="AF36" s="34"/>
      <c r="AG36" s="34" t="str">
        <f>IFERROR(IF(AND(Table8[[#This Row],[Classification]]="Assets",Table8[[#This Row],[Debit\]]-Table8[[#This Row],[Credit.]]),Table8[[#This Row],[Debit\]]-Table8[[#This Row],[Credit.]],""),"")</f>
        <v/>
      </c>
      <c r="AH36" s="34" t="str">
        <f>IFERROR(IF(AND(OR(Table8[[#This Row],[Classification]]="Liabilities",Table8[[#This Row],[Classification]]="Owner´s Equity"),Table8[[#This Row],[Credit.]]&gt;Table8[[#This Row],[Debit\]]),Table8[[#This Row],[Credit.]]-Table8[[#This Row],[Debit\]],""),"")</f>
        <v/>
      </c>
    </row>
    <row r="37" spans="2:34" x14ac:dyDescent="0.25">
      <c r="B37" s="34"/>
      <c r="C37" s="37" t="s">
        <v>91</v>
      </c>
      <c r="D37" s="34">
        <v>124460</v>
      </c>
      <c r="E37" s="34"/>
      <c r="G37" s="39"/>
      <c r="H37" s="40"/>
      <c r="I37" s="41"/>
      <c r="J37" s="41"/>
      <c r="L37" s="34">
        <v>30</v>
      </c>
      <c r="M37" s="35" t="s">
        <v>144</v>
      </c>
      <c r="N37" s="35" t="s">
        <v>92</v>
      </c>
      <c r="O37" s="34">
        <f>IFERROR(SUMIF(Table4[,],Table6[[#This Row],[Accounts Name]],Table4[,3]),"")</f>
        <v>2228108</v>
      </c>
      <c r="P37" s="34">
        <f>IFERROR(SUMIF(Table4[,],Table6[[#This Row],[Accounts Name]],Table4[,2]),"")</f>
        <v>0</v>
      </c>
      <c r="S37" s="36">
        <f t="shared" si="0"/>
        <v>30</v>
      </c>
      <c r="T37" s="34" t="s">
        <v>61</v>
      </c>
      <c r="U37" s="37" t="s">
        <v>159</v>
      </c>
      <c r="V37" s="34">
        <f>IFERROR(SUMIF(Table6[Sub-Accounts],Table8[[#This Row],[Update your chart of accounts here]],Table6[Debit]),"")</f>
        <v>208578.65</v>
      </c>
      <c r="W37" s="34">
        <f>IFERROR(SUMIF(Table6[Sub-Accounts],Table8[[#This Row],[Update your chart of accounts here]],Table6[Credit]),"")</f>
        <v>0</v>
      </c>
      <c r="X37" s="34"/>
      <c r="Y37" s="34"/>
      <c r="Z37" s="34"/>
      <c r="AA37" s="34"/>
      <c r="AB37" s="34">
        <f>MAX(Table8[[#This Row],[Debit]]+Table8[[#This Row],[Debit -]]-Table8[[#This Row],[Credit]]-Table8[[#This Row],[Credit +]],0)</f>
        <v>208578.65</v>
      </c>
      <c r="AC37" s="34">
        <f>MAX(Table8[[#This Row],[Credit]]-Table8[[#This Row],[Debit]]+Table8[[#This Row],[Credit +]]-Table8[[#This Row],[Debit -]],0)</f>
        <v>0</v>
      </c>
      <c r="AD37" s="34">
        <f>IFERROR(IF(AND(OR(Table8[[#This Row],[Classification]]="Expense",Table8[[#This Row],[Classification]]="Cost of Goods Sold"),Table8[[#This Row],[Debit\]]&gt;Table8[[#This Row],[Credit.]]),Table8[[#This Row],[Debit\]]-Table8[[#This Row],[Credit.]],""),"")</f>
        <v>208578.65</v>
      </c>
      <c r="AE37" s="34" t="str">
        <f>IFERROR(IF(AND(OR(Table8[[#This Row],[Classification]]="Income",Table8[[#This Row],[Classification]]="Cost of Goods Sold"),Table8[[#This Row],[Credit.]]&gt;Table8[[#This Row],[Debit\]]),Table8[[#This Row],[Credit.]]-Table8[[#This Row],[Debit\]],""),"")</f>
        <v/>
      </c>
      <c r="AF37" s="34"/>
      <c r="AG37" s="34" t="str">
        <f>IFERROR(IF(AND(Table8[[#This Row],[Classification]]="Assets",Table8[[#This Row],[Debit\]]-Table8[[#This Row],[Credit.]]),Table8[[#This Row],[Debit\]]-Table8[[#This Row],[Credit.]],""),"")</f>
        <v/>
      </c>
      <c r="AH37" s="34" t="str">
        <f>IFERROR(IF(AND(OR(Table8[[#This Row],[Classification]]="Liabilities",Table8[[#This Row],[Classification]]="Owner´s Equity"),Table8[[#This Row],[Credit.]]&gt;Table8[[#This Row],[Debit\]]),Table8[[#This Row],[Credit.]]-Table8[[#This Row],[Debit\]],""),"")</f>
        <v/>
      </c>
    </row>
    <row r="38" spans="2:34" x14ac:dyDescent="0.25">
      <c r="B38" s="34"/>
      <c r="C38" s="37" t="s">
        <v>92</v>
      </c>
      <c r="D38" s="34">
        <v>2228108</v>
      </c>
      <c r="E38" s="34"/>
      <c r="G38" s="39"/>
      <c r="H38" s="43"/>
      <c r="I38" s="41"/>
      <c r="J38" s="41"/>
      <c r="L38" s="34">
        <v>31</v>
      </c>
      <c r="M38" s="35" t="s">
        <v>140</v>
      </c>
      <c r="N38" s="35" t="s">
        <v>93</v>
      </c>
      <c r="O38" s="34">
        <f>IFERROR(SUMIF(Table4[,],Table6[[#This Row],[Accounts Name]],Table4[,3]),"")</f>
        <v>510902</v>
      </c>
      <c r="P38" s="34">
        <f>IFERROR(SUMIF(Table4[,],Table6[[#This Row],[Accounts Name]],Table4[,2]),"")</f>
        <v>0</v>
      </c>
      <c r="S38" s="36">
        <f t="shared" si="0"/>
        <v>31</v>
      </c>
      <c r="T38" s="34" t="s">
        <v>61</v>
      </c>
      <c r="U38" s="37" t="s">
        <v>157</v>
      </c>
      <c r="V38" s="34">
        <f>IFERROR(SUMIF(Table6[Sub-Accounts],Table8[[#This Row],[Update your chart of accounts here]],Table6[Debit]),"")</f>
        <v>542263</v>
      </c>
      <c r="W38" s="34">
        <f>IFERROR(SUMIF(Table6[Sub-Accounts],Table8[[#This Row],[Update your chart of accounts here]],Table6[Credit]),"")</f>
        <v>0</v>
      </c>
      <c r="X38" s="34"/>
      <c r="Y38" s="34"/>
      <c r="Z38" s="34"/>
      <c r="AA38" s="34"/>
      <c r="AB38" s="34">
        <f>MAX(Table8[[#This Row],[Debit]]+Table8[[#This Row],[Debit -]]-Table8[[#This Row],[Credit]]-Table8[[#This Row],[Credit +]],0)</f>
        <v>542263</v>
      </c>
      <c r="AC38" s="34">
        <f>MAX(Table8[[#This Row],[Credit]]-Table8[[#This Row],[Debit]]+Table8[[#This Row],[Credit +]]-Table8[[#This Row],[Debit -]],0)</f>
        <v>0</v>
      </c>
      <c r="AD38" s="34">
        <f>IFERROR(IF(AND(OR(Table8[[#This Row],[Classification]]="Expense",Table8[[#This Row],[Classification]]="Cost of Goods Sold"),Table8[[#This Row],[Debit\]]&gt;Table8[[#This Row],[Credit.]]),Table8[[#This Row],[Debit\]]-Table8[[#This Row],[Credit.]],""),"")</f>
        <v>542263</v>
      </c>
      <c r="AE38" s="34" t="str">
        <f>IFERROR(IF(AND(OR(Table8[[#This Row],[Classification]]="Income",Table8[[#This Row],[Classification]]="Cost of Goods Sold"),Table8[[#This Row],[Credit.]]&gt;Table8[[#This Row],[Debit\]]),Table8[[#This Row],[Credit.]]-Table8[[#This Row],[Debit\]],""),"")</f>
        <v/>
      </c>
      <c r="AF38" s="34"/>
      <c r="AG38" s="34" t="str">
        <f>IFERROR(IF(AND(Table8[[#This Row],[Classification]]="Assets",Table8[[#This Row],[Debit\]]-Table8[[#This Row],[Credit.]]),Table8[[#This Row],[Debit\]]-Table8[[#This Row],[Credit.]],""),"")</f>
        <v/>
      </c>
      <c r="AH38" s="34" t="str">
        <f>IFERROR(IF(AND(OR(Table8[[#This Row],[Classification]]="Liabilities",Table8[[#This Row],[Classification]]="Owner´s Equity"),Table8[[#This Row],[Credit.]]&gt;Table8[[#This Row],[Debit\]]),Table8[[#This Row],[Credit.]]-Table8[[#This Row],[Debit\]],""),"")</f>
        <v/>
      </c>
    </row>
    <row r="39" spans="2:34" x14ac:dyDescent="0.25">
      <c r="B39" s="34"/>
      <c r="C39" s="37" t="s">
        <v>93</v>
      </c>
      <c r="D39" s="34">
        <v>510902</v>
      </c>
      <c r="E39" s="34"/>
      <c r="G39" s="39"/>
      <c r="H39" s="40"/>
      <c r="I39" s="41"/>
      <c r="J39" s="41"/>
      <c r="L39" s="34">
        <v>32</v>
      </c>
      <c r="M39" s="35" t="s">
        <v>140</v>
      </c>
      <c r="N39" s="35" t="s">
        <v>535</v>
      </c>
      <c r="O39" s="34">
        <f>IFERROR(SUMIF(Table4[,],Table6[[#This Row],[Accounts Name]],Table4[,3]),"")</f>
        <v>1702569</v>
      </c>
      <c r="P39" s="34">
        <f>IFERROR(SUMIF(Table4[,],Table6[[#This Row],[Accounts Name]],Table4[,2]),"")</f>
        <v>0</v>
      </c>
      <c r="S39" s="36">
        <f t="shared" si="0"/>
        <v>32</v>
      </c>
      <c r="T39" s="34" t="s">
        <v>61</v>
      </c>
      <c r="U39" s="37" t="s">
        <v>168</v>
      </c>
      <c r="V39" s="34">
        <f>IFERROR(SUMIF(Table6[Sub-Accounts],Table8[[#This Row],[Update your chart of accounts here]],Table6[Debit]),"")</f>
        <v>302989.64</v>
      </c>
      <c r="W39" s="34">
        <f>IFERROR(SUMIF(Table6[Sub-Accounts],Table8[[#This Row],[Update your chart of accounts here]],Table6[Credit]),"")</f>
        <v>0</v>
      </c>
      <c r="X39" s="34"/>
      <c r="Y39" s="34"/>
      <c r="Z39" s="34"/>
      <c r="AA39" s="34"/>
      <c r="AB39" s="34">
        <f>MAX(Table8[[#This Row],[Debit]]+Table8[[#This Row],[Debit -]]-Table8[[#This Row],[Credit]]-Table8[[#This Row],[Credit +]],0)</f>
        <v>302989.64</v>
      </c>
      <c r="AC39" s="34">
        <f>MAX(Table8[[#This Row],[Credit]]-Table8[[#This Row],[Debit]]+Table8[[#This Row],[Credit +]]-Table8[[#This Row],[Debit -]],0)</f>
        <v>0</v>
      </c>
      <c r="AD39" s="34">
        <f>IFERROR(IF(AND(OR(Table8[[#This Row],[Classification]]="Expense",Table8[[#This Row],[Classification]]="Cost of Goods Sold"),Table8[[#This Row],[Debit\]]&gt;Table8[[#This Row],[Credit.]]),Table8[[#This Row],[Debit\]]-Table8[[#This Row],[Credit.]],""),"")</f>
        <v>302989.64</v>
      </c>
      <c r="AE39" s="34" t="str">
        <f>IFERROR(IF(AND(OR(Table8[[#This Row],[Classification]]="Income",Table8[[#This Row],[Classification]]="Cost of Goods Sold"),Table8[[#This Row],[Credit.]]&gt;Table8[[#This Row],[Debit\]]),Table8[[#This Row],[Credit.]]-Table8[[#This Row],[Debit\]],""),"")</f>
        <v/>
      </c>
      <c r="AF39" s="34"/>
      <c r="AG39" s="34" t="str">
        <f>IFERROR(IF(AND(Table8[[#This Row],[Classification]]="Assets",Table8[[#This Row],[Debit\]]-Table8[[#This Row],[Credit.]]),Table8[[#This Row],[Debit\]]-Table8[[#This Row],[Credit.]],""),"")</f>
        <v/>
      </c>
      <c r="AH39" s="34" t="str">
        <f>IFERROR(IF(AND(OR(Table8[[#This Row],[Classification]]="Liabilities",Table8[[#This Row],[Classification]]="Owner´s Equity"),Table8[[#This Row],[Credit.]]&gt;Table8[[#This Row],[Debit\]]),Table8[[#This Row],[Credit.]]-Table8[[#This Row],[Debit\]],""),"")</f>
        <v/>
      </c>
    </row>
    <row r="40" spans="2:34" x14ac:dyDescent="0.25">
      <c r="B40" s="34"/>
      <c r="C40" s="37" t="s">
        <v>535</v>
      </c>
      <c r="D40" s="34">
        <v>1702569</v>
      </c>
      <c r="E40" s="34"/>
      <c r="G40" s="39"/>
      <c r="H40" s="40"/>
      <c r="I40" s="41"/>
      <c r="J40" s="41"/>
      <c r="L40" s="34">
        <v>33</v>
      </c>
      <c r="M40" s="35" t="s">
        <v>140</v>
      </c>
      <c r="N40" s="35" t="s">
        <v>536</v>
      </c>
      <c r="O40" s="34">
        <f>IFERROR(SUMIF(Table4[,],Table6[[#This Row],[Accounts Name]],Table4[,3]),"")</f>
        <v>735271</v>
      </c>
      <c r="P40" s="34">
        <f>IFERROR(SUMIF(Table4[,],Table6[[#This Row],[Accounts Name]],Table4[,2]),"")</f>
        <v>0</v>
      </c>
      <c r="S40" s="36">
        <f t="shared" si="0"/>
        <v>33</v>
      </c>
      <c r="T40" s="34" t="s">
        <v>61</v>
      </c>
      <c r="U40" s="37" t="s">
        <v>153</v>
      </c>
      <c r="V40" s="34">
        <f>IFERROR(SUMIF(Table6[Sub-Accounts],Table8[[#This Row],[Update your chart of accounts here]],Table6[Debit]),"")</f>
        <v>233250</v>
      </c>
      <c r="W40" s="34">
        <f>IFERROR(SUMIF(Table6[Sub-Accounts],Table8[[#This Row],[Update your chart of accounts here]],Table6[Credit]),"")</f>
        <v>0</v>
      </c>
      <c r="X40" s="34"/>
      <c r="Y40" s="34"/>
      <c r="Z40" s="34"/>
      <c r="AA40" s="34"/>
      <c r="AB40" s="34">
        <f>MAX(Table8[[#This Row],[Debit]]+Table8[[#This Row],[Debit -]]-Table8[[#This Row],[Credit]]-Table8[[#This Row],[Credit +]],0)</f>
        <v>233250</v>
      </c>
      <c r="AC40" s="34">
        <f>MAX(Table8[[#This Row],[Credit]]-Table8[[#This Row],[Debit]]+Table8[[#This Row],[Credit +]]-Table8[[#This Row],[Debit -]],0)</f>
        <v>0</v>
      </c>
      <c r="AD40" s="34">
        <f>IFERROR(IF(AND(OR(Table8[[#This Row],[Classification]]="Expense",Table8[[#This Row],[Classification]]="Cost of Goods Sold"),Table8[[#This Row],[Debit\]]&gt;Table8[[#This Row],[Credit.]]),Table8[[#This Row],[Debit\]]-Table8[[#This Row],[Credit.]],""),"")</f>
        <v>233250</v>
      </c>
      <c r="AE40" s="34" t="str">
        <f>IFERROR(IF(AND(OR(Table8[[#This Row],[Classification]]="Income",Table8[[#This Row],[Classification]]="Cost of Goods Sold"),Table8[[#This Row],[Credit.]]&gt;Table8[[#This Row],[Debit\]]),Table8[[#This Row],[Credit.]]-Table8[[#This Row],[Debit\]],""),"")</f>
        <v/>
      </c>
      <c r="AF40" s="34"/>
      <c r="AG40" s="34" t="str">
        <f>IFERROR(IF(AND(Table8[[#This Row],[Classification]]="Assets",Table8[[#This Row],[Debit\]]-Table8[[#This Row],[Credit.]]),Table8[[#This Row],[Debit\]]-Table8[[#This Row],[Credit.]],""),"")</f>
        <v/>
      </c>
      <c r="AH40" s="34" t="str">
        <f>IFERROR(IF(AND(OR(Table8[[#This Row],[Classification]]="Liabilities",Table8[[#This Row],[Classification]]="Owner´s Equity"),Table8[[#This Row],[Credit.]]&gt;Table8[[#This Row],[Debit\]]),Table8[[#This Row],[Credit.]]-Table8[[#This Row],[Debit\]],""),"")</f>
        <v/>
      </c>
    </row>
    <row r="41" spans="2:34" x14ac:dyDescent="0.25">
      <c r="B41" s="34"/>
      <c r="C41" s="37" t="s">
        <v>536</v>
      </c>
      <c r="D41" s="34">
        <v>735271</v>
      </c>
      <c r="E41" s="34"/>
      <c r="G41" s="39"/>
      <c r="H41" s="43"/>
      <c r="I41" s="41"/>
      <c r="J41" s="41"/>
      <c r="L41" s="34">
        <v>34</v>
      </c>
      <c r="M41" s="35" t="s">
        <v>141</v>
      </c>
      <c r="N41" s="35" t="s">
        <v>541</v>
      </c>
      <c r="O41" s="34">
        <f>IFERROR(SUMIF(Table4[,],Table6[[#This Row],[Accounts Name]],Table4[,3]),"")</f>
        <v>0</v>
      </c>
      <c r="P41" s="34">
        <f>IFERROR(SUMIF(Table4[,],Table6[[#This Row],[Accounts Name]],Table4[,2]),"")</f>
        <v>1318131</v>
      </c>
      <c r="S41" s="36">
        <f t="shared" si="0"/>
        <v>34</v>
      </c>
      <c r="T41" s="34" t="s">
        <v>61</v>
      </c>
      <c r="U41" s="37" t="s">
        <v>152</v>
      </c>
      <c r="V41" s="34">
        <f>IFERROR(SUMIF(Table6[Sub-Accounts],Table8[[#This Row],[Update your chart of accounts here]],Table6[Debit]),"")</f>
        <v>51948.32</v>
      </c>
      <c r="W41" s="34">
        <f>IFERROR(SUMIF(Table6[Sub-Accounts],Table8[[#This Row],[Update your chart of accounts here]],Table6[Credit]),"")</f>
        <v>0</v>
      </c>
      <c r="X41" s="34"/>
      <c r="Y41" s="34"/>
      <c r="Z41" s="34"/>
      <c r="AA41" s="34"/>
      <c r="AB41" s="34">
        <f>MAX(Table8[[#This Row],[Debit]]+Table8[[#This Row],[Debit -]]-Table8[[#This Row],[Credit]]-Table8[[#This Row],[Credit +]],0)</f>
        <v>51948.32</v>
      </c>
      <c r="AC41" s="34">
        <f>MAX(Table8[[#This Row],[Credit]]-Table8[[#This Row],[Debit]]+Table8[[#This Row],[Credit +]]-Table8[[#This Row],[Debit -]],0)</f>
        <v>0</v>
      </c>
      <c r="AD41" s="34">
        <f>IFERROR(IF(AND(OR(Table8[[#This Row],[Classification]]="Expense",Table8[[#This Row],[Classification]]="Cost of Goods Sold"),Table8[[#This Row],[Debit\]]&gt;Table8[[#This Row],[Credit.]]),Table8[[#This Row],[Debit\]]-Table8[[#This Row],[Credit.]],""),"")</f>
        <v>51948.32</v>
      </c>
      <c r="AE41" s="34" t="str">
        <f>IFERROR(IF(AND(OR(Table8[[#This Row],[Classification]]="Income",Table8[[#This Row],[Classification]]="Cost of Goods Sold"),Table8[[#This Row],[Credit.]]&gt;Table8[[#This Row],[Debit\]]),Table8[[#This Row],[Credit.]]-Table8[[#This Row],[Debit\]],""),"")</f>
        <v/>
      </c>
      <c r="AF41" s="34"/>
      <c r="AG41" s="34" t="str">
        <f>IFERROR(IF(AND(Table8[[#This Row],[Classification]]="Assets",Table8[[#This Row],[Debit\]]-Table8[[#This Row],[Credit.]]),Table8[[#This Row],[Debit\]]-Table8[[#This Row],[Credit.]],""),"")</f>
        <v/>
      </c>
      <c r="AH41" s="34" t="str">
        <f>IFERROR(IF(AND(OR(Table8[[#This Row],[Classification]]="Liabilities",Table8[[#This Row],[Classification]]="Owner´s Equity"),Table8[[#This Row],[Credit.]]&gt;Table8[[#This Row],[Debit\]]),Table8[[#This Row],[Credit.]]-Table8[[#This Row],[Debit\]],""),"")</f>
        <v/>
      </c>
    </row>
    <row r="42" spans="2:34" x14ac:dyDescent="0.25">
      <c r="B42" s="34"/>
      <c r="C42" s="37" t="s">
        <v>541</v>
      </c>
      <c r="D42" s="34"/>
      <c r="E42" s="34">
        <v>1318131</v>
      </c>
      <c r="G42" s="39"/>
      <c r="H42" s="40"/>
      <c r="I42" s="41"/>
      <c r="J42" s="41"/>
      <c r="L42" s="34">
        <v>35</v>
      </c>
      <c r="M42" s="35" t="s">
        <v>145</v>
      </c>
      <c r="N42" s="35" t="s">
        <v>97</v>
      </c>
      <c r="O42" s="34">
        <f>IFERROR(SUMIF(Table4[,],Table6[[#This Row],[Accounts Name]],Table4[,3]),"")</f>
        <v>0</v>
      </c>
      <c r="P42" s="34">
        <f>IFERROR(SUMIF(Table4[,],Table6[[#This Row],[Accounts Name]],Table4[,2]),"")</f>
        <v>11852079.26</v>
      </c>
      <c r="S42" s="36">
        <f t="shared" si="0"/>
        <v>35</v>
      </c>
      <c r="T42" s="34" t="s">
        <v>61</v>
      </c>
      <c r="U42" s="37" t="s">
        <v>156</v>
      </c>
      <c r="V42" s="34">
        <f>IFERROR(SUMIF(Table6[Sub-Accounts],Table8[[#This Row],[Update your chart of accounts here]],Table6[Debit]),"")</f>
        <v>219706</v>
      </c>
      <c r="W42" s="34">
        <f>IFERROR(SUMIF(Table6[Sub-Accounts],Table8[[#This Row],[Update your chart of accounts here]],Table6[Credit]),"")</f>
        <v>0</v>
      </c>
      <c r="X42" s="34"/>
      <c r="Y42" s="34"/>
      <c r="Z42" s="34"/>
      <c r="AA42" s="34"/>
      <c r="AB42" s="34">
        <f>MAX(Table8[[#This Row],[Debit]]+Table8[[#This Row],[Debit -]]-Table8[[#This Row],[Credit]]-Table8[[#This Row],[Credit +]],0)</f>
        <v>219706</v>
      </c>
      <c r="AC42" s="34">
        <f>MAX(Table8[[#This Row],[Credit]]-Table8[[#This Row],[Debit]]+Table8[[#This Row],[Credit +]]-Table8[[#This Row],[Debit -]],0)</f>
        <v>0</v>
      </c>
      <c r="AD42" s="34">
        <f>IFERROR(IF(AND(OR(Table8[[#This Row],[Classification]]="Expense",Table8[[#This Row],[Classification]]="Cost of Goods Sold"),Table8[[#This Row],[Debit\]]&gt;Table8[[#This Row],[Credit.]]),Table8[[#This Row],[Debit\]]-Table8[[#This Row],[Credit.]],""),"")</f>
        <v>219706</v>
      </c>
      <c r="AE42" s="34" t="str">
        <f>IFERROR(IF(AND(OR(Table8[[#This Row],[Classification]]="Income",Table8[[#This Row],[Classification]]="Cost of Goods Sold"),Table8[[#This Row],[Credit.]]&gt;Table8[[#This Row],[Debit\]]),Table8[[#This Row],[Credit.]]-Table8[[#This Row],[Debit\]],""),"")</f>
        <v/>
      </c>
      <c r="AF42" s="34"/>
      <c r="AG42" s="34" t="str">
        <f>IFERROR(IF(AND(Table8[[#This Row],[Classification]]="Assets",Table8[[#This Row],[Debit\]]-Table8[[#This Row],[Credit.]]),Table8[[#This Row],[Debit\]]-Table8[[#This Row],[Credit.]],""),"")</f>
        <v/>
      </c>
      <c r="AH42" s="34" t="str">
        <f>IFERROR(IF(AND(OR(Table8[[#This Row],[Classification]]="Liabilities",Table8[[#This Row],[Classification]]="Owner´s Equity"),Table8[[#This Row],[Credit.]]&gt;Table8[[#This Row],[Debit\]]),Table8[[#This Row],[Credit.]]-Table8[[#This Row],[Debit\]],""),"")</f>
        <v/>
      </c>
    </row>
    <row r="43" spans="2:34" x14ac:dyDescent="0.25">
      <c r="B43" s="34"/>
      <c r="C43" s="37" t="s">
        <v>97</v>
      </c>
      <c r="D43" s="34"/>
      <c r="E43" s="34">
        <v>11852079.26</v>
      </c>
      <c r="G43" s="39"/>
      <c r="H43" s="40"/>
      <c r="I43" s="41"/>
      <c r="J43" s="41"/>
      <c r="L43" s="34">
        <v>36</v>
      </c>
      <c r="M43" s="35" t="s">
        <v>146</v>
      </c>
      <c r="N43" s="35" t="s">
        <v>98</v>
      </c>
      <c r="O43" s="34">
        <f>IFERROR(SUMIF(Table4[,],Table6[[#This Row],[Accounts Name]],Table4[,3]),"")</f>
        <v>0</v>
      </c>
      <c r="P43" s="34">
        <f>IFERROR(SUMIF(Table4[,],Table6[[#This Row],[Accounts Name]],Table4[,2]),"")</f>
        <v>400</v>
      </c>
      <c r="S43" s="36">
        <f t="shared" si="0"/>
        <v>36</v>
      </c>
      <c r="T43" s="34" t="s">
        <v>61</v>
      </c>
      <c r="U43" s="37" t="s">
        <v>217</v>
      </c>
      <c r="V43" s="34">
        <f>IFERROR(SUMIF(Table6[Sub-Accounts],Table8[[#This Row],[Update your chart of accounts here]],Table6[Debit]),"")</f>
        <v>0</v>
      </c>
      <c r="W43" s="34">
        <f>IFERROR(SUMIF(Table6[Sub-Accounts],Table8[[#This Row],[Update your chart of accounts here]],Table6[Credit]),"")</f>
        <v>0</v>
      </c>
      <c r="X43" s="34"/>
      <c r="Y43" s="34"/>
      <c r="Z43" s="34"/>
      <c r="AA43" s="34"/>
      <c r="AB43" s="34">
        <f>MAX(Table8[[#This Row],[Debit]]+Table8[[#This Row],[Debit -]]-Table8[[#This Row],[Credit]]-Table8[[#This Row],[Credit +]],0)</f>
        <v>0</v>
      </c>
      <c r="AC43" s="34">
        <f>MAX(Table8[[#This Row],[Credit]]-Table8[[#This Row],[Debit]]+Table8[[#This Row],[Credit +]]-Table8[[#This Row],[Debit -]],0)</f>
        <v>0</v>
      </c>
      <c r="AD43" s="34" t="str">
        <f>IFERROR(IF(AND(OR(Table8[[#This Row],[Classification]]="Expense",Table8[[#This Row],[Classification]]="Cost of Goods Sold"),Table8[[#This Row],[Debit\]]&gt;Table8[[#This Row],[Credit.]]),Table8[[#This Row],[Debit\]]-Table8[[#This Row],[Credit.]],""),"")</f>
        <v/>
      </c>
      <c r="AE43" s="34" t="str">
        <f>IFERROR(IF(AND(OR(Table8[[#This Row],[Classification]]="Income",Table8[[#This Row],[Classification]]="Cost of Goods Sold"),Table8[[#This Row],[Credit.]]&gt;Table8[[#This Row],[Debit\]]),Table8[[#This Row],[Credit.]]-Table8[[#This Row],[Debit\]],""),"")</f>
        <v/>
      </c>
      <c r="AF43" s="34"/>
      <c r="AG43" s="34" t="str">
        <f>IFERROR(IF(AND(Table8[[#This Row],[Classification]]="Assets",Table8[[#This Row],[Debit\]]-Table8[[#This Row],[Credit.]]),Table8[[#This Row],[Debit\]]-Table8[[#This Row],[Credit.]],""),"")</f>
        <v/>
      </c>
      <c r="AH43" s="34" t="str">
        <f>IFERROR(IF(AND(OR(Table8[[#This Row],[Classification]]="Liabilities",Table8[[#This Row],[Classification]]="Owner´s Equity"),Table8[[#This Row],[Credit.]]&gt;Table8[[#This Row],[Debit\]]),Table8[[#This Row],[Credit.]]-Table8[[#This Row],[Debit\]],""),"")</f>
        <v/>
      </c>
    </row>
    <row r="44" spans="2:34" x14ac:dyDescent="0.25">
      <c r="B44" s="34"/>
      <c r="C44" s="37" t="s">
        <v>98</v>
      </c>
      <c r="D44" s="34"/>
      <c r="E44" s="34">
        <v>400</v>
      </c>
      <c r="G44" s="39"/>
      <c r="H44" s="43"/>
      <c r="I44" s="41"/>
      <c r="J44" s="41"/>
      <c r="L44" s="34">
        <v>37</v>
      </c>
      <c r="M44" s="35" t="s">
        <v>143</v>
      </c>
      <c r="N44" s="35" t="s">
        <v>537</v>
      </c>
      <c r="O44" s="34">
        <f>IFERROR(SUMIF(Table4[,],Table6[[#This Row],[Accounts Name]],Table4[,3]),"")</f>
        <v>0</v>
      </c>
      <c r="P44" s="34">
        <f>IFERROR(SUMIF(Table4[,],Table6[[#This Row],[Accounts Name]],Table4[,2]),"")</f>
        <v>800000</v>
      </c>
      <c r="S44" s="36">
        <f t="shared" si="0"/>
        <v>37</v>
      </c>
      <c r="T44" s="34" t="s">
        <v>61</v>
      </c>
      <c r="U44" s="37" t="s">
        <v>218</v>
      </c>
      <c r="V44" s="34">
        <f>IFERROR(SUMIF(Table6[Sub-Accounts],Table8[[#This Row],[Update your chart of accounts here]],Table6[Debit]),"")</f>
        <v>0</v>
      </c>
      <c r="W44" s="34">
        <f>IFERROR(SUMIF(Table6[Sub-Accounts],Table8[[#This Row],[Update your chart of accounts here]],Table6[Credit]),"")</f>
        <v>0</v>
      </c>
      <c r="X44" s="34"/>
      <c r="Y44" s="34"/>
      <c r="Z44" s="34"/>
      <c r="AA44" s="34"/>
      <c r="AB44" s="34">
        <f>MAX(Table8[[#This Row],[Debit]]+Table8[[#This Row],[Debit -]]-Table8[[#This Row],[Credit]]-Table8[[#This Row],[Credit +]],0)</f>
        <v>0</v>
      </c>
      <c r="AC44" s="34">
        <f>MAX(Table8[[#This Row],[Credit]]-Table8[[#This Row],[Debit]]+Table8[[#This Row],[Credit +]]-Table8[[#This Row],[Debit -]],0)</f>
        <v>0</v>
      </c>
      <c r="AD44" s="34" t="str">
        <f>IFERROR(IF(AND(OR(Table8[[#This Row],[Classification]]="Expense",Table8[[#This Row],[Classification]]="Cost of Goods Sold"),Table8[[#This Row],[Debit\]]&gt;Table8[[#This Row],[Credit.]]),Table8[[#This Row],[Debit\]]-Table8[[#This Row],[Credit.]],""),"")</f>
        <v/>
      </c>
      <c r="AE44" s="34" t="str">
        <f>IFERROR(IF(AND(OR(Table8[[#This Row],[Classification]]="Income",Table8[[#This Row],[Classification]]="Cost of Goods Sold"),Table8[[#This Row],[Credit.]]&gt;Table8[[#This Row],[Debit\]]),Table8[[#This Row],[Credit.]]-Table8[[#This Row],[Debit\]],""),"")</f>
        <v/>
      </c>
      <c r="AF44" s="34"/>
      <c r="AG44" s="34" t="str">
        <f>IFERROR(IF(AND(Table8[[#This Row],[Classification]]="Assets",Table8[[#This Row],[Debit\]]-Table8[[#This Row],[Credit.]]),Table8[[#This Row],[Debit\]]-Table8[[#This Row],[Credit.]],""),"")</f>
        <v/>
      </c>
      <c r="AH44" s="34" t="str">
        <f>IFERROR(IF(AND(OR(Table8[[#This Row],[Classification]]="Liabilities",Table8[[#This Row],[Classification]]="Owner´s Equity"),Table8[[#This Row],[Credit.]]&gt;Table8[[#This Row],[Debit\]]),Table8[[#This Row],[Credit.]]-Table8[[#This Row],[Debit\]],""),"")</f>
        <v/>
      </c>
    </row>
    <row r="45" spans="2:34" x14ac:dyDescent="0.25">
      <c r="B45" s="34"/>
      <c r="C45" s="37" t="s">
        <v>537</v>
      </c>
      <c r="D45" s="34"/>
      <c r="E45" s="34">
        <v>800000</v>
      </c>
      <c r="G45" s="39"/>
      <c r="H45" s="40"/>
      <c r="I45" s="41"/>
      <c r="J45" s="41"/>
      <c r="L45" s="34">
        <v>38</v>
      </c>
      <c r="M45" s="35" t="s">
        <v>62</v>
      </c>
      <c r="N45" s="35" t="s">
        <v>100</v>
      </c>
      <c r="O45" s="34">
        <f>IFERROR(SUMIF(Table4[,],Table6[[#This Row],[Accounts Name]],Table4[,3]),"")</f>
        <v>0</v>
      </c>
      <c r="P45" s="34">
        <f>IFERROR(SUMIF(Table4[,],Table6[[#This Row],[Accounts Name]],Table4[,2]),"")</f>
        <v>332888373.44999999</v>
      </c>
      <c r="S45" s="36">
        <f t="shared" si="0"/>
        <v>38</v>
      </c>
      <c r="T45" s="34" t="s">
        <v>61</v>
      </c>
      <c r="U45" s="37" t="s">
        <v>163</v>
      </c>
      <c r="V45" s="34">
        <f>IFERROR(SUMIF(Table6[Sub-Accounts],Table8[[#This Row],[Update your chart of accounts here]],Table6[Debit]),"")</f>
        <v>300</v>
      </c>
      <c r="W45" s="34">
        <f>IFERROR(SUMIF(Table6[Sub-Accounts],Table8[[#This Row],[Update your chart of accounts here]],Table6[Credit]),"")</f>
        <v>0</v>
      </c>
      <c r="X45" s="34"/>
      <c r="Y45" s="34"/>
      <c r="Z45" s="34"/>
      <c r="AA45" s="34"/>
      <c r="AB45" s="34">
        <f>MAX(Table8[[#This Row],[Debit]]+Table8[[#This Row],[Debit -]]-Table8[[#This Row],[Credit]]-Table8[[#This Row],[Credit +]],0)</f>
        <v>300</v>
      </c>
      <c r="AC45" s="34">
        <f>MAX(Table8[[#This Row],[Credit]]-Table8[[#This Row],[Debit]]+Table8[[#This Row],[Credit +]]-Table8[[#This Row],[Debit -]],0)</f>
        <v>0</v>
      </c>
      <c r="AD45" s="34">
        <f>IFERROR(IF(AND(OR(Table8[[#This Row],[Classification]]="Expense",Table8[[#This Row],[Classification]]="Cost of Goods Sold"),Table8[[#This Row],[Debit\]]&gt;Table8[[#This Row],[Credit.]]),Table8[[#This Row],[Debit\]]-Table8[[#This Row],[Credit.]],""),"")</f>
        <v>300</v>
      </c>
      <c r="AE45" s="34" t="str">
        <f>IFERROR(IF(AND(OR(Table8[[#This Row],[Classification]]="Income",Table8[[#This Row],[Classification]]="Cost of Goods Sold"),Table8[[#This Row],[Credit.]]&gt;Table8[[#This Row],[Debit\]]),Table8[[#This Row],[Credit.]]-Table8[[#This Row],[Debit\]],""),"")</f>
        <v/>
      </c>
      <c r="AF45" s="34"/>
      <c r="AG45" s="34" t="str">
        <f>IFERROR(IF(AND(Table8[[#This Row],[Classification]]="Assets",Table8[[#This Row],[Debit\]]-Table8[[#This Row],[Credit.]]),Table8[[#This Row],[Debit\]]-Table8[[#This Row],[Credit.]],""),"")</f>
        <v/>
      </c>
      <c r="AH45" s="34" t="str">
        <f>IFERROR(IF(AND(OR(Table8[[#This Row],[Classification]]="Liabilities",Table8[[#This Row],[Classification]]="Owner´s Equity"),Table8[[#This Row],[Credit.]]&gt;Table8[[#This Row],[Debit\]]),Table8[[#This Row],[Credit.]]-Table8[[#This Row],[Debit\]],""),"")</f>
        <v/>
      </c>
    </row>
    <row r="46" spans="2:34" x14ac:dyDescent="0.25">
      <c r="B46" s="34"/>
      <c r="C46" s="37" t="s">
        <v>100</v>
      </c>
      <c r="D46" s="34"/>
      <c r="E46" s="34">
        <v>332888373.44999999</v>
      </c>
      <c r="G46" s="39"/>
      <c r="H46" s="40"/>
      <c r="I46" s="41"/>
      <c r="J46" s="41"/>
      <c r="L46" s="34">
        <v>39</v>
      </c>
      <c r="M46" s="35" t="s">
        <v>147</v>
      </c>
      <c r="N46" s="35" t="s">
        <v>101</v>
      </c>
      <c r="O46" s="34">
        <f>IFERROR(SUMIF(Table4[,],Table6[[#This Row],[Accounts Name]],Table4[,3]),"")</f>
        <v>316209838.63</v>
      </c>
      <c r="P46" s="34">
        <f>IFERROR(SUMIF(Table4[,],Table6[[#This Row],[Accounts Name]],Table4[,2]),"")</f>
        <v>0</v>
      </c>
      <c r="S46" s="36">
        <f t="shared" si="0"/>
        <v>39</v>
      </c>
      <c r="T46" s="34" t="s">
        <v>61</v>
      </c>
      <c r="U46" s="37" t="s">
        <v>164</v>
      </c>
      <c r="V46" s="34">
        <f>IFERROR(SUMIF(Table6[Sub-Accounts],Table8[[#This Row],[Update your chart of accounts here]],Table6[Debit]),"")</f>
        <v>436840.42</v>
      </c>
      <c r="W46" s="34">
        <f>IFERROR(SUMIF(Table6[Sub-Accounts],Table8[[#This Row],[Update your chart of accounts here]],Table6[Credit]),"")</f>
        <v>0</v>
      </c>
      <c r="X46" s="34"/>
      <c r="Y46" s="34"/>
      <c r="Z46" s="34"/>
      <c r="AA46" s="34"/>
      <c r="AB46" s="34">
        <f>MAX(Table8[[#This Row],[Debit]]+Table8[[#This Row],[Debit -]]-Table8[[#This Row],[Credit]]-Table8[[#This Row],[Credit +]],0)</f>
        <v>436840.42</v>
      </c>
      <c r="AC46" s="34">
        <f>MAX(Table8[[#This Row],[Credit]]-Table8[[#This Row],[Debit]]+Table8[[#This Row],[Credit +]]-Table8[[#This Row],[Debit -]],0)</f>
        <v>0</v>
      </c>
      <c r="AD46" s="34">
        <f>IFERROR(IF(AND(OR(Table8[[#This Row],[Classification]]="Expense",Table8[[#This Row],[Classification]]="Cost of Goods Sold"),Table8[[#This Row],[Debit\]]&gt;Table8[[#This Row],[Credit.]]),Table8[[#This Row],[Debit\]]-Table8[[#This Row],[Credit.]],""),"")</f>
        <v>436840.42</v>
      </c>
      <c r="AE46" s="34" t="str">
        <f>IFERROR(IF(AND(OR(Table8[[#This Row],[Classification]]="Income",Table8[[#This Row],[Classification]]="Cost of Goods Sold"),Table8[[#This Row],[Credit.]]&gt;Table8[[#This Row],[Debit\]]),Table8[[#This Row],[Credit.]]-Table8[[#This Row],[Debit\]],""),"")</f>
        <v/>
      </c>
      <c r="AF46" s="34"/>
      <c r="AG46" s="34" t="str">
        <f>IFERROR(IF(AND(Table8[[#This Row],[Classification]]="Assets",Table8[[#This Row],[Debit\]]-Table8[[#This Row],[Credit.]]),Table8[[#This Row],[Debit\]]-Table8[[#This Row],[Credit.]],""),"")</f>
        <v/>
      </c>
      <c r="AH46" s="34" t="str">
        <f>IFERROR(IF(AND(OR(Table8[[#This Row],[Classification]]="Liabilities",Table8[[#This Row],[Classification]]="Owner´s Equity"),Table8[[#This Row],[Credit.]]&gt;Table8[[#This Row],[Debit\]]),Table8[[#This Row],[Credit.]]-Table8[[#This Row],[Debit\]],""),"")</f>
        <v/>
      </c>
    </row>
    <row r="47" spans="2:34" x14ac:dyDescent="0.25">
      <c r="B47" s="34"/>
      <c r="C47" s="37" t="s">
        <v>101</v>
      </c>
      <c r="D47" s="34">
        <v>316209838.63</v>
      </c>
      <c r="E47" s="34"/>
      <c r="G47" s="39"/>
      <c r="H47" s="43"/>
      <c r="I47" s="41"/>
      <c r="J47" s="41"/>
      <c r="L47" s="34">
        <v>40</v>
      </c>
      <c r="M47" s="35" t="s">
        <v>148</v>
      </c>
      <c r="N47" s="35" t="s">
        <v>102</v>
      </c>
      <c r="O47" s="34">
        <f>IFERROR(SUMIF(Table4[,],Table6[[#This Row],[Accounts Name]],Table4[,3]),"")</f>
        <v>568965.54</v>
      </c>
      <c r="P47" s="34">
        <f>IFERROR(SUMIF(Table4[,],Table6[[#This Row],[Accounts Name]],Table4[,2]),"")</f>
        <v>0</v>
      </c>
      <c r="S47" s="36">
        <f t="shared" si="0"/>
        <v>40</v>
      </c>
      <c r="T47" s="34" t="s">
        <v>61</v>
      </c>
      <c r="U47" s="37" t="s">
        <v>219</v>
      </c>
      <c r="V47" s="34">
        <f>IFERROR(SUMIF(Table6[Sub-Accounts],Table8[[#This Row],[Update your chart of accounts here]],Table6[Debit]),"")</f>
        <v>0</v>
      </c>
      <c r="W47" s="34">
        <f>IFERROR(SUMIF(Table6[Sub-Accounts],Table8[[#This Row],[Update your chart of accounts here]],Table6[Credit]),"")</f>
        <v>0</v>
      </c>
      <c r="X47" s="34"/>
      <c r="Y47" s="34"/>
      <c r="Z47" s="34"/>
      <c r="AA47" s="34"/>
      <c r="AB47" s="34">
        <f>MAX(Table8[[#This Row],[Debit]]+Table8[[#This Row],[Debit -]]-Table8[[#This Row],[Credit]]-Table8[[#This Row],[Credit +]],0)</f>
        <v>0</v>
      </c>
      <c r="AC47" s="34">
        <f>MAX(Table8[[#This Row],[Credit]]-Table8[[#This Row],[Debit]]+Table8[[#This Row],[Credit +]]-Table8[[#This Row],[Debit -]],0)</f>
        <v>0</v>
      </c>
      <c r="AD47" s="34" t="str">
        <f>IFERROR(IF(AND(OR(Table8[[#This Row],[Classification]]="Expense",Table8[[#This Row],[Classification]]="Cost of Goods Sold"),Table8[[#This Row],[Debit\]]&gt;Table8[[#This Row],[Credit.]]),Table8[[#This Row],[Debit\]]-Table8[[#This Row],[Credit.]],""),"")</f>
        <v/>
      </c>
      <c r="AE47" s="34" t="str">
        <f>IFERROR(IF(AND(OR(Table8[[#This Row],[Classification]]="Income",Table8[[#This Row],[Classification]]="Cost of Goods Sold"),Table8[[#This Row],[Credit.]]&gt;Table8[[#This Row],[Debit\]]),Table8[[#This Row],[Credit.]]-Table8[[#This Row],[Debit\]],""),"")</f>
        <v/>
      </c>
      <c r="AF47" s="34"/>
      <c r="AG47" s="34" t="str">
        <f>IFERROR(IF(AND(Table8[[#This Row],[Classification]]="Assets",Table8[[#This Row],[Debit\]]-Table8[[#This Row],[Credit.]]),Table8[[#This Row],[Debit\]]-Table8[[#This Row],[Credit.]],""),"")</f>
        <v/>
      </c>
      <c r="AH47" s="34" t="str">
        <f>IFERROR(IF(AND(OR(Table8[[#This Row],[Classification]]="Liabilities",Table8[[#This Row],[Classification]]="Owner´s Equity"),Table8[[#This Row],[Credit.]]&gt;Table8[[#This Row],[Debit\]]),Table8[[#This Row],[Credit.]]-Table8[[#This Row],[Debit\]],""),"")</f>
        <v/>
      </c>
    </row>
    <row r="48" spans="2:34" x14ac:dyDescent="0.25">
      <c r="B48" s="34"/>
      <c r="C48" s="37" t="s">
        <v>102</v>
      </c>
      <c r="D48" s="34">
        <v>568965.54</v>
      </c>
      <c r="E48" s="34"/>
      <c r="G48" s="39"/>
      <c r="H48" s="40"/>
      <c r="I48" s="41"/>
      <c r="J48" s="41"/>
      <c r="L48" s="34">
        <v>41</v>
      </c>
      <c r="M48" s="35" t="s">
        <v>149</v>
      </c>
      <c r="N48" s="35" t="s">
        <v>103</v>
      </c>
      <c r="O48" s="34">
        <f>IFERROR(SUMIF(Table4[,],Table6[[#This Row],[Accounts Name]],Table4[,3]),"")</f>
        <v>175000</v>
      </c>
      <c r="P48" s="34">
        <f>IFERROR(SUMIF(Table4[,],Table6[[#This Row],[Accounts Name]],Table4[,2]),"")</f>
        <v>0</v>
      </c>
      <c r="S48" s="36">
        <f t="shared" si="0"/>
        <v>41</v>
      </c>
      <c r="T48" s="34" t="s">
        <v>61</v>
      </c>
      <c r="U48" s="37" t="s">
        <v>169</v>
      </c>
      <c r="V48" s="34">
        <f>IFERROR(SUMIF(Table6[Sub-Accounts],Table8[[#This Row],[Update your chart of accounts here]],Table6[Debit]),"")</f>
        <v>2000</v>
      </c>
      <c r="W48" s="34">
        <f>IFERROR(SUMIF(Table6[Sub-Accounts],Table8[[#This Row],[Update your chart of accounts here]],Table6[Credit]),"")</f>
        <v>0</v>
      </c>
      <c r="X48" s="34"/>
      <c r="Y48" s="34"/>
      <c r="Z48" s="34"/>
      <c r="AA48" s="34"/>
      <c r="AB48" s="34">
        <f>MAX(Table8[[#This Row],[Debit]]+Table8[[#This Row],[Debit -]]-Table8[[#This Row],[Credit]]-Table8[[#This Row],[Credit +]],0)</f>
        <v>2000</v>
      </c>
      <c r="AC48" s="34">
        <f>MAX(Table8[[#This Row],[Credit]]-Table8[[#This Row],[Debit]]+Table8[[#This Row],[Credit +]]-Table8[[#This Row],[Debit -]],0)</f>
        <v>0</v>
      </c>
      <c r="AD48" s="34">
        <f>IFERROR(IF(AND(OR(Table8[[#This Row],[Classification]]="Expense",Table8[[#This Row],[Classification]]="Cost of Goods Sold"),Table8[[#This Row],[Debit\]]&gt;Table8[[#This Row],[Credit.]]),Table8[[#This Row],[Debit\]]-Table8[[#This Row],[Credit.]],""),"")</f>
        <v>2000</v>
      </c>
      <c r="AE48" s="34" t="str">
        <f>IFERROR(IF(AND(OR(Table8[[#This Row],[Classification]]="Income",Table8[[#This Row],[Classification]]="Cost of Goods Sold"),Table8[[#This Row],[Credit.]]&gt;Table8[[#This Row],[Debit\]]),Table8[[#This Row],[Credit.]]-Table8[[#This Row],[Debit\]],""),"")</f>
        <v/>
      </c>
      <c r="AF48" s="34"/>
      <c r="AG48" s="34" t="str">
        <f>IFERROR(IF(AND(Table8[[#This Row],[Classification]]="Assets",Table8[[#This Row],[Debit\]]-Table8[[#This Row],[Credit.]]),Table8[[#This Row],[Debit\]]-Table8[[#This Row],[Credit.]],""),"")</f>
        <v/>
      </c>
      <c r="AH48" s="34" t="str">
        <f>IFERROR(IF(AND(OR(Table8[[#This Row],[Classification]]="Liabilities",Table8[[#This Row],[Classification]]="Owner´s Equity"),Table8[[#This Row],[Credit.]]&gt;Table8[[#This Row],[Debit\]]),Table8[[#This Row],[Credit.]]-Table8[[#This Row],[Debit\]],""),"")</f>
        <v/>
      </c>
    </row>
    <row r="49" spans="2:34" x14ac:dyDescent="0.25">
      <c r="B49" s="34"/>
      <c r="C49" s="37" t="s">
        <v>103</v>
      </c>
      <c r="D49" s="34">
        <v>175000</v>
      </c>
      <c r="E49" s="34"/>
      <c r="G49" s="39"/>
      <c r="H49" s="40"/>
      <c r="I49" s="41"/>
      <c r="J49" s="41"/>
      <c r="L49" s="34">
        <v>42</v>
      </c>
      <c r="M49" s="35" t="s">
        <v>150</v>
      </c>
      <c r="N49" s="35" t="s">
        <v>104</v>
      </c>
      <c r="O49" s="34">
        <f>IFERROR(SUMIF(Table4[,],Table6[[#This Row],[Accounts Name]],Table4[,3]),"")</f>
        <v>176009.84</v>
      </c>
      <c r="P49" s="34">
        <f>IFERROR(SUMIF(Table4[,],Table6[[#This Row],[Accounts Name]],Table4[,2]),"")</f>
        <v>0</v>
      </c>
      <c r="S49" s="36">
        <f t="shared" si="0"/>
        <v>42</v>
      </c>
      <c r="T49" s="34" t="s">
        <v>61</v>
      </c>
      <c r="U49" s="37" t="s">
        <v>170</v>
      </c>
      <c r="V49" s="34">
        <f>IFERROR(SUMIF(Table6[Sub-Accounts],Table8[[#This Row],[Update your chart of accounts here]],Table6[Debit]),"")</f>
        <v>13250</v>
      </c>
      <c r="W49" s="34">
        <f>IFERROR(SUMIF(Table6[Sub-Accounts],Table8[[#This Row],[Update your chart of accounts here]],Table6[Credit]),"")</f>
        <v>0</v>
      </c>
      <c r="X49" s="34"/>
      <c r="Y49" s="34"/>
      <c r="Z49" s="34"/>
      <c r="AA49" s="34"/>
      <c r="AB49" s="34">
        <f>MAX(Table8[[#This Row],[Debit]]+Table8[[#This Row],[Debit -]]-Table8[[#This Row],[Credit]]-Table8[[#This Row],[Credit +]],0)</f>
        <v>13250</v>
      </c>
      <c r="AC49" s="34">
        <f>MAX(Table8[[#This Row],[Credit]]-Table8[[#This Row],[Debit]]+Table8[[#This Row],[Credit +]]-Table8[[#This Row],[Debit -]],0)</f>
        <v>0</v>
      </c>
      <c r="AD49" s="34">
        <f>IFERROR(IF(AND(OR(Table8[[#This Row],[Classification]]="Expense",Table8[[#This Row],[Classification]]="Cost of Goods Sold"),Table8[[#This Row],[Debit\]]&gt;Table8[[#This Row],[Credit.]]),Table8[[#This Row],[Debit\]]-Table8[[#This Row],[Credit.]],""),"")</f>
        <v>13250</v>
      </c>
      <c r="AE49" s="34" t="str">
        <f>IFERROR(IF(AND(OR(Table8[[#This Row],[Classification]]="Income",Table8[[#This Row],[Classification]]="Cost of Goods Sold"),Table8[[#This Row],[Credit.]]&gt;Table8[[#This Row],[Debit\]]),Table8[[#This Row],[Credit.]]-Table8[[#This Row],[Debit\]],""),"")</f>
        <v/>
      </c>
      <c r="AF49" s="34"/>
      <c r="AG49" s="34" t="str">
        <f>IFERROR(IF(AND(Table8[[#This Row],[Classification]]="Assets",Table8[[#This Row],[Debit\]]-Table8[[#This Row],[Credit.]]),Table8[[#This Row],[Debit\]]-Table8[[#This Row],[Credit.]],""),"")</f>
        <v/>
      </c>
      <c r="AH49" s="34" t="str">
        <f>IFERROR(IF(AND(OR(Table8[[#This Row],[Classification]]="Liabilities",Table8[[#This Row],[Classification]]="Owner´s Equity"),Table8[[#This Row],[Credit.]]&gt;Table8[[#This Row],[Debit\]]),Table8[[#This Row],[Credit.]]-Table8[[#This Row],[Debit\]],""),"")</f>
        <v/>
      </c>
    </row>
    <row r="50" spans="2:34" x14ac:dyDescent="0.25">
      <c r="B50" s="34"/>
      <c r="C50" s="37" t="s">
        <v>104</v>
      </c>
      <c r="D50" s="34">
        <v>176009.84</v>
      </c>
      <c r="E50" s="34"/>
      <c r="G50" s="39"/>
      <c r="H50" s="43"/>
      <c r="I50" s="41"/>
      <c r="J50" s="41"/>
      <c r="L50" s="34">
        <v>43</v>
      </c>
      <c r="M50" s="35" t="s">
        <v>151</v>
      </c>
      <c r="N50" s="35" t="s">
        <v>105</v>
      </c>
      <c r="O50" s="34">
        <f>IFERROR(SUMIF(Table4[,],Table6[[#This Row],[Accounts Name]],Table4[,3]),"")</f>
        <v>4000</v>
      </c>
      <c r="P50" s="34">
        <f>IFERROR(SUMIF(Table4[,],Table6[[#This Row],[Accounts Name]],Table4[,2]),"")</f>
        <v>0</v>
      </c>
      <c r="S50" s="36">
        <f t="shared" si="0"/>
        <v>43</v>
      </c>
      <c r="T50" s="34" t="s">
        <v>61</v>
      </c>
      <c r="U50" s="37" t="s">
        <v>220</v>
      </c>
      <c r="V50" s="34">
        <f>IFERROR(SUMIF(Table6[Sub-Accounts],Table8[[#This Row],[Update your chart of accounts here]],Table6[Debit]),"")</f>
        <v>0</v>
      </c>
      <c r="W50" s="34">
        <f>IFERROR(SUMIF(Table6[Sub-Accounts],Table8[[#This Row],[Update your chart of accounts here]],Table6[Credit]),"")</f>
        <v>0</v>
      </c>
      <c r="X50" s="34"/>
      <c r="Y50" s="34"/>
      <c r="Z50" s="34"/>
      <c r="AA50" s="34"/>
      <c r="AB50" s="34">
        <f>MAX(Table8[[#This Row],[Debit]]+Table8[[#This Row],[Debit -]]-Table8[[#This Row],[Credit]]-Table8[[#This Row],[Credit +]],0)</f>
        <v>0</v>
      </c>
      <c r="AC50" s="34">
        <f>MAX(Table8[[#This Row],[Credit]]-Table8[[#This Row],[Debit]]+Table8[[#This Row],[Credit +]]-Table8[[#This Row],[Debit -]],0)</f>
        <v>0</v>
      </c>
      <c r="AD50" s="34" t="str">
        <f>IFERROR(IF(AND(OR(Table8[[#This Row],[Classification]]="Expense",Table8[[#This Row],[Classification]]="Cost of Goods Sold"),Table8[[#This Row],[Debit\]]&gt;Table8[[#This Row],[Credit.]]),Table8[[#This Row],[Debit\]]-Table8[[#This Row],[Credit.]],""),"")</f>
        <v/>
      </c>
      <c r="AE50" s="34" t="str">
        <f>IFERROR(IF(AND(OR(Table8[[#This Row],[Classification]]="Income",Table8[[#This Row],[Classification]]="Cost of Goods Sold"),Table8[[#This Row],[Credit.]]&gt;Table8[[#This Row],[Debit\]]),Table8[[#This Row],[Credit.]]-Table8[[#This Row],[Debit\]],""),"")</f>
        <v/>
      </c>
      <c r="AF50" s="34"/>
      <c r="AG50" s="34" t="str">
        <f>IFERROR(IF(AND(Table8[[#This Row],[Classification]]="Assets",Table8[[#This Row],[Debit\]]-Table8[[#This Row],[Credit.]]),Table8[[#This Row],[Debit\]]-Table8[[#This Row],[Credit.]],""),"")</f>
        <v/>
      </c>
      <c r="AH50" s="34" t="str">
        <f>IFERROR(IF(AND(OR(Table8[[#This Row],[Classification]]="Liabilities",Table8[[#This Row],[Classification]]="Owner´s Equity"),Table8[[#This Row],[Credit.]]&gt;Table8[[#This Row],[Debit\]]),Table8[[#This Row],[Credit.]]-Table8[[#This Row],[Debit\]],""),"")</f>
        <v/>
      </c>
    </row>
    <row r="51" spans="2:34" x14ac:dyDescent="0.25">
      <c r="B51" s="34"/>
      <c r="C51" s="37" t="s">
        <v>105</v>
      </c>
      <c r="D51" s="34">
        <v>4000</v>
      </c>
      <c r="E51" s="34"/>
      <c r="G51" s="39"/>
      <c r="H51" s="40"/>
      <c r="I51" s="41"/>
      <c r="J51" s="41"/>
      <c r="L51" s="34">
        <v>44</v>
      </c>
      <c r="M51" s="35" t="s">
        <v>152</v>
      </c>
      <c r="N51" s="35" t="s">
        <v>106</v>
      </c>
      <c r="O51" s="34">
        <f>IFERROR(SUMIF(Table4[,],Table6[[#This Row],[Accounts Name]],Table4[,3]),"")</f>
        <v>50190.32</v>
      </c>
      <c r="P51" s="34">
        <f>IFERROR(SUMIF(Table4[,],Table6[[#This Row],[Accounts Name]],Table4[,2]),"")</f>
        <v>0</v>
      </c>
      <c r="S51" s="36">
        <f t="shared" si="0"/>
        <v>44</v>
      </c>
      <c r="T51" s="34" t="s">
        <v>61</v>
      </c>
      <c r="U51" s="37" t="s">
        <v>155</v>
      </c>
      <c r="V51" s="34">
        <f>IFERROR(SUMIF(Table6[Sub-Accounts],Table8[[#This Row],[Update your chart of accounts here]],Table6[Debit]),"")</f>
        <v>1000000</v>
      </c>
      <c r="W51" s="34">
        <f>IFERROR(SUMIF(Table6[Sub-Accounts],Table8[[#This Row],[Update your chart of accounts here]],Table6[Credit]),"")</f>
        <v>0</v>
      </c>
      <c r="X51" s="34"/>
      <c r="Y51" s="34" t="s">
        <v>226</v>
      </c>
      <c r="Z51" s="34"/>
      <c r="AA51" s="34">
        <f>J15</f>
        <v>1000000</v>
      </c>
      <c r="AB51" s="34">
        <f>MAX(Table8[[#This Row],[Debit]]+Table8[[#This Row],[Debit -]]-Table8[[#This Row],[Credit]]-Table8[[#This Row],[Credit +]],0)</f>
        <v>0</v>
      </c>
      <c r="AC51" s="34">
        <f>MAX(Table8[[#This Row],[Credit]]-Table8[[#This Row],[Debit]]+Table8[[#This Row],[Credit +]]-Table8[[#This Row],[Debit -]],0)</f>
        <v>0</v>
      </c>
      <c r="AD51" s="34" t="str">
        <f>IFERROR(IF(AND(OR(Table8[[#This Row],[Classification]]="Expense",Table8[[#This Row],[Classification]]="Cost of Goods Sold"),Table8[[#This Row],[Debit\]]&gt;Table8[[#This Row],[Credit.]]),Table8[[#This Row],[Debit\]]-Table8[[#This Row],[Credit.]],""),"")</f>
        <v/>
      </c>
      <c r="AE51" s="34" t="str">
        <f>IFERROR(IF(AND(OR(Table8[[#This Row],[Classification]]="Income",Table8[[#This Row],[Classification]]="Cost of Goods Sold"),Table8[[#This Row],[Credit.]]&gt;Table8[[#This Row],[Debit\]]),Table8[[#This Row],[Credit.]]-Table8[[#This Row],[Debit\]],""),"")</f>
        <v/>
      </c>
      <c r="AF51" s="34"/>
      <c r="AG51" s="34" t="str">
        <f>IFERROR(IF(AND(Table8[[#This Row],[Classification]]="Assets",Table8[[#This Row],[Debit\]]-Table8[[#This Row],[Credit.]]),Table8[[#This Row],[Debit\]]-Table8[[#This Row],[Credit.]],""),"")</f>
        <v/>
      </c>
      <c r="AH51" s="34" t="str">
        <f>IFERROR(IF(AND(OR(Table8[[#This Row],[Classification]]="Liabilities",Table8[[#This Row],[Classification]]="Owner´s Equity"),Table8[[#This Row],[Credit.]]&gt;Table8[[#This Row],[Debit\]]),Table8[[#This Row],[Credit.]]-Table8[[#This Row],[Debit\]],""),"")</f>
        <v/>
      </c>
    </row>
    <row r="52" spans="2:34" x14ac:dyDescent="0.25">
      <c r="B52" s="34"/>
      <c r="C52" s="37" t="s">
        <v>106</v>
      </c>
      <c r="D52" s="34">
        <v>50190.32</v>
      </c>
      <c r="E52" s="34"/>
      <c r="G52" s="39"/>
      <c r="H52" s="40"/>
      <c r="I52" s="41"/>
      <c r="J52" s="41"/>
      <c r="L52" s="34">
        <v>45</v>
      </c>
      <c r="M52" s="35" t="s">
        <v>153</v>
      </c>
      <c r="N52" s="35" t="s">
        <v>107</v>
      </c>
      <c r="O52" s="34">
        <f>IFERROR(SUMIF(Table4[,],Table6[[#This Row],[Accounts Name]],Table4[,3]),"")</f>
        <v>233250</v>
      </c>
      <c r="P52" s="34">
        <f>IFERROR(SUMIF(Table4[,],Table6[[#This Row],[Accounts Name]],Table4[,2]),"")</f>
        <v>0</v>
      </c>
      <c r="S52" s="36">
        <f t="shared" si="0"/>
        <v>45</v>
      </c>
      <c r="T52" s="34" t="s">
        <v>61</v>
      </c>
      <c r="U52" s="37" t="s">
        <v>171</v>
      </c>
      <c r="V52" s="34">
        <f>IFERROR(SUMIF(Table6[Sub-Accounts],Table8[[#This Row],[Update your chart of accounts here]],Table6[Debit]),"")</f>
        <v>0</v>
      </c>
      <c r="W52" s="34">
        <f>IFERROR(SUMIF(Table6[Sub-Accounts],Table8[[#This Row],[Update your chart of accounts here]],Table6[Credit]),"")</f>
        <v>0</v>
      </c>
      <c r="X52" s="34"/>
      <c r="Y52" s="34" t="s">
        <v>224</v>
      </c>
      <c r="Z52" s="34">
        <f>I9</f>
        <v>409278.51677448238</v>
      </c>
      <c r="AA52" s="34"/>
      <c r="AB52" s="34">
        <f>MAX(Table8[[#This Row],[Debit]]+Table8[[#This Row],[Debit -]]-Table8[[#This Row],[Credit]]-Table8[[#This Row],[Credit +]],0)</f>
        <v>409278.51677448238</v>
      </c>
      <c r="AC52" s="34">
        <f>MAX(Table8[[#This Row],[Credit]]-Table8[[#This Row],[Debit]]+Table8[[#This Row],[Credit +]]-Table8[[#This Row],[Debit -]],0)</f>
        <v>0</v>
      </c>
      <c r="AD52" s="34">
        <f>IFERROR(IF(AND(OR(Table8[[#This Row],[Classification]]="Expense",Table8[[#This Row],[Classification]]="Cost of Goods Sold"),Table8[[#This Row],[Debit\]]&gt;Table8[[#This Row],[Credit.]]),Table8[[#This Row],[Debit\]]-Table8[[#This Row],[Credit.]],""),"")</f>
        <v>409278.51677448238</v>
      </c>
      <c r="AE52" s="34" t="str">
        <f>IFERROR(IF(AND(OR(Table8[[#This Row],[Classification]]="Income",Table8[[#This Row],[Classification]]="Cost of Goods Sold"),Table8[[#This Row],[Credit.]]&gt;Table8[[#This Row],[Debit\]]),Table8[[#This Row],[Credit.]]-Table8[[#This Row],[Debit\]],""),"")</f>
        <v/>
      </c>
      <c r="AF52" s="34"/>
      <c r="AG52" s="34" t="str">
        <f>IFERROR(IF(AND(Table8[[#This Row],[Classification]]="Assets",Table8[[#This Row],[Debit\]]-Table8[[#This Row],[Credit.]]),Table8[[#This Row],[Debit\]]-Table8[[#This Row],[Credit.]],""),"")</f>
        <v/>
      </c>
      <c r="AH52" s="34" t="str">
        <f>IFERROR(IF(AND(OR(Table8[[#This Row],[Classification]]="Liabilities",Table8[[#This Row],[Classification]]="Owner´s Equity"),Table8[[#This Row],[Credit.]]&gt;Table8[[#This Row],[Debit\]]),Table8[[#This Row],[Credit.]]-Table8[[#This Row],[Debit\]],""),"")</f>
        <v/>
      </c>
    </row>
    <row r="53" spans="2:34" x14ac:dyDescent="0.25">
      <c r="B53" s="34"/>
      <c r="C53" s="37" t="s">
        <v>107</v>
      </c>
      <c r="D53" s="34">
        <v>233250</v>
      </c>
      <c r="E53" s="34"/>
      <c r="G53" s="39"/>
      <c r="H53" s="43"/>
      <c r="I53" s="41"/>
      <c r="J53" s="41"/>
      <c r="L53" s="34">
        <v>46</v>
      </c>
      <c r="M53" s="35" t="s">
        <v>154</v>
      </c>
      <c r="N53" s="35" t="s">
        <v>108</v>
      </c>
      <c r="O53" s="34">
        <f>IFERROR(SUMIF(Table4[,],Table6[[#This Row],[Accounts Name]],Table4[,3]),"")</f>
        <v>2500001</v>
      </c>
      <c r="P53" s="34">
        <f>IFERROR(SUMIF(Table4[,],Table6[[#This Row],[Accounts Name]],Table4[,2]),"")</f>
        <v>0</v>
      </c>
      <c r="S53" s="36">
        <f t="shared" si="0"/>
        <v>46</v>
      </c>
      <c r="T53" s="34" t="s">
        <v>61</v>
      </c>
      <c r="U53" s="37" t="s">
        <v>148</v>
      </c>
      <c r="V53" s="34">
        <f>IFERROR(SUMIF(Table6[Sub-Accounts],Table8[[#This Row],[Update your chart of accounts here]],Table6[Debit]),"")</f>
        <v>568965.54</v>
      </c>
      <c r="W53" s="34">
        <f>IFERROR(SUMIF(Table6[Sub-Accounts],Table8[[#This Row],[Update your chart of accounts here]],Table6[Credit]),"")</f>
        <v>0</v>
      </c>
      <c r="X53" s="34"/>
      <c r="Y53" s="34"/>
      <c r="Z53" s="34"/>
      <c r="AA53" s="34"/>
      <c r="AB53" s="34">
        <f>MAX(Table8[[#This Row],[Debit]]+Table8[[#This Row],[Debit -]]-Table8[[#This Row],[Credit]]-Table8[[#This Row],[Credit +]],0)</f>
        <v>568965.54</v>
      </c>
      <c r="AC53" s="34">
        <f>MAX(Table8[[#This Row],[Credit]]-Table8[[#This Row],[Debit]]+Table8[[#This Row],[Credit +]]-Table8[[#This Row],[Debit -]],0)</f>
        <v>0</v>
      </c>
      <c r="AD53" s="34">
        <f>IFERROR(IF(AND(OR(Table8[[#This Row],[Classification]]="Expense",Table8[[#This Row],[Classification]]="Cost of Goods Sold"),Table8[[#This Row],[Debit\]]&gt;Table8[[#This Row],[Credit.]]),Table8[[#This Row],[Debit\]]-Table8[[#This Row],[Credit.]],""),"")</f>
        <v>568965.54</v>
      </c>
      <c r="AE53" s="34" t="str">
        <f>IFERROR(IF(AND(OR(Table8[[#This Row],[Classification]]="Income",Table8[[#This Row],[Classification]]="Cost of Goods Sold"),Table8[[#This Row],[Credit.]]&gt;Table8[[#This Row],[Debit\]]),Table8[[#This Row],[Credit.]]-Table8[[#This Row],[Debit\]],""),"")</f>
        <v/>
      </c>
      <c r="AF53" s="34"/>
      <c r="AG53" s="34" t="str">
        <f>IFERROR(IF(AND(Table8[[#This Row],[Classification]]="Assets",Table8[[#This Row],[Debit\]]-Table8[[#This Row],[Credit.]]),Table8[[#This Row],[Debit\]]-Table8[[#This Row],[Credit.]],""),"")</f>
        <v/>
      </c>
      <c r="AH53" s="34" t="str">
        <f>IFERROR(IF(AND(OR(Table8[[#This Row],[Classification]]="Liabilities",Table8[[#This Row],[Classification]]="Owner´s Equity"),Table8[[#This Row],[Credit.]]&gt;Table8[[#This Row],[Debit\]]),Table8[[#This Row],[Credit.]]-Table8[[#This Row],[Debit\]],""),"")</f>
        <v/>
      </c>
    </row>
    <row r="54" spans="2:34" x14ac:dyDescent="0.25">
      <c r="B54" s="34"/>
      <c r="C54" s="37" t="s">
        <v>108</v>
      </c>
      <c r="D54" s="34">
        <v>2500001</v>
      </c>
      <c r="E54" s="34"/>
      <c r="G54" s="39"/>
      <c r="H54" s="40"/>
      <c r="I54" s="41"/>
      <c r="J54" s="41"/>
      <c r="L54" s="34">
        <v>47</v>
      </c>
      <c r="M54" s="35" t="s">
        <v>155</v>
      </c>
      <c r="N54" s="35" t="s">
        <v>109</v>
      </c>
      <c r="O54" s="34">
        <f>IFERROR(SUMIF(Table4[,],Table6[[#This Row],[Accounts Name]],Table4[,3]),"")</f>
        <v>1000000</v>
      </c>
      <c r="P54" s="34">
        <f>IFERROR(SUMIF(Table4[,],Table6[[#This Row],[Accounts Name]],Table4[,2]),"")</f>
        <v>0</v>
      </c>
      <c r="S54" s="36">
        <f t="shared" si="0"/>
        <v>47</v>
      </c>
      <c r="T54" s="34" t="s">
        <v>61</v>
      </c>
      <c r="U54" s="37" t="s">
        <v>158</v>
      </c>
      <c r="V54" s="34">
        <f>IFERROR(SUMIF(Table6[Sub-Accounts],Table8[[#This Row],[Update your chart of accounts here]],Table6[Debit]),"")</f>
        <v>436880</v>
      </c>
      <c r="W54" s="34">
        <f>IFERROR(SUMIF(Table6[Sub-Accounts],Table8[[#This Row],[Update your chart of accounts here]],Table6[Credit]),"")</f>
        <v>0</v>
      </c>
      <c r="X54" s="34"/>
      <c r="Y54" s="34"/>
      <c r="Z54" s="34"/>
      <c r="AA54" s="34"/>
      <c r="AB54" s="34">
        <f>MAX(Table8[[#This Row],[Debit]]+Table8[[#This Row],[Debit -]]-Table8[[#This Row],[Credit]]-Table8[[#This Row],[Credit +]],0)</f>
        <v>436880</v>
      </c>
      <c r="AC54" s="34">
        <f>MAX(Table8[[#This Row],[Credit]]-Table8[[#This Row],[Debit]]+Table8[[#This Row],[Credit +]]-Table8[[#This Row],[Debit -]],0)</f>
        <v>0</v>
      </c>
      <c r="AD54" s="34">
        <f>IFERROR(IF(AND(OR(Table8[[#This Row],[Classification]]="Expense",Table8[[#This Row],[Classification]]="Cost of Goods Sold"),Table8[[#This Row],[Debit\]]&gt;Table8[[#This Row],[Credit.]]),Table8[[#This Row],[Debit\]]-Table8[[#This Row],[Credit.]],""),"")</f>
        <v>436880</v>
      </c>
      <c r="AE54" s="34" t="str">
        <f>IFERROR(IF(AND(OR(Table8[[#This Row],[Classification]]="Income",Table8[[#This Row],[Classification]]="Cost of Goods Sold"),Table8[[#This Row],[Credit.]]&gt;Table8[[#This Row],[Debit\]]),Table8[[#This Row],[Credit.]]-Table8[[#This Row],[Debit\]],""),"")</f>
        <v/>
      </c>
      <c r="AF54" s="34"/>
      <c r="AG54" s="34" t="str">
        <f>IFERROR(IF(AND(Table8[[#This Row],[Classification]]="Assets",Table8[[#This Row],[Debit\]]-Table8[[#This Row],[Credit.]]),Table8[[#This Row],[Debit\]]-Table8[[#This Row],[Credit.]],""),"")</f>
        <v/>
      </c>
      <c r="AH54" s="34" t="str">
        <f>IFERROR(IF(AND(OR(Table8[[#This Row],[Classification]]="Liabilities",Table8[[#This Row],[Classification]]="Owner´s Equity"),Table8[[#This Row],[Credit.]]&gt;Table8[[#This Row],[Debit\]]),Table8[[#This Row],[Credit.]]-Table8[[#This Row],[Debit\]],""),"")</f>
        <v/>
      </c>
    </row>
    <row r="55" spans="2:34" x14ac:dyDescent="0.25">
      <c r="B55" s="34"/>
      <c r="C55" s="37" t="s">
        <v>109</v>
      </c>
      <c r="D55" s="34">
        <v>1000000</v>
      </c>
      <c r="E55" s="34"/>
      <c r="G55" s="39"/>
      <c r="H55" s="40"/>
      <c r="I55" s="41"/>
      <c r="J55" s="41"/>
      <c r="L55" s="34">
        <v>48</v>
      </c>
      <c r="M55" s="35" t="s">
        <v>156</v>
      </c>
      <c r="N55" s="35" t="s">
        <v>110</v>
      </c>
      <c r="O55" s="34">
        <f>IFERROR(SUMIF(Table4[,],Table6[[#This Row],[Accounts Name]],Table4[,3]),"")</f>
        <v>900</v>
      </c>
      <c r="P55" s="34">
        <f>IFERROR(SUMIF(Table4[,],Table6[[#This Row],[Accounts Name]],Table4[,2]),"")</f>
        <v>0</v>
      </c>
      <c r="S55" s="36">
        <f t="shared" si="0"/>
        <v>48</v>
      </c>
      <c r="T55" s="34" t="s">
        <v>61</v>
      </c>
      <c r="U55" s="37" t="s">
        <v>149</v>
      </c>
      <c r="V55" s="34">
        <f>IFERROR(SUMIF(Table6[Sub-Accounts],Table8[[#This Row],[Update your chart of accounts here]],Table6[Debit]),"")</f>
        <v>175000</v>
      </c>
      <c r="W55" s="34">
        <f>IFERROR(SUMIF(Table6[Sub-Accounts],Table8[[#This Row],[Update your chart of accounts here]],Table6[Credit]),"")</f>
        <v>0</v>
      </c>
      <c r="X55" s="34"/>
      <c r="Y55" s="34"/>
      <c r="Z55" s="34"/>
      <c r="AA55" s="34"/>
      <c r="AB55" s="34">
        <f>MAX(Table8[[#This Row],[Debit]]+Table8[[#This Row],[Debit -]]-Table8[[#This Row],[Credit]]-Table8[[#This Row],[Credit +]],0)</f>
        <v>175000</v>
      </c>
      <c r="AC55" s="34">
        <f>MAX(Table8[[#This Row],[Credit]]-Table8[[#This Row],[Debit]]+Table8[[#This Row],[Credit +]]-Table8[[#This Row],[Debit -]],0)</f>
        <v>0</v>
      </c>
      <c r="AD55" s="34">
        <f>IFERROR(IF(AND(OR(Table8[[#This Row],[Classification]]="Expense",Table8[[#This Row],[Classification]]="Cost of Goods Sold"),Table8[[#This Row],[Debit\]]&gt;Table8[[#This Row],[Credit.]]),Table8[[#This Row],[Debit\]]-Table8[[#This Row],[Credit.]],""),"")</f>
        <v>175000</v>
      </c>
      <c r="AE55" s="34" t="str">
        <f>IFERROR(IF(AND(OR(Table8[[#This Row],[Classification]]="Income",Table8[[#This Row],[Classification]]="Cost of Goods Sold"),Table8[[#This Row],[Credit.]]&gt;Table8[[#This Row],[Debit\]]),Table8[[#This Row],[Credit.]]-Table8[[#This Row],[Debit\]],""),"")</f>
        <v/>
      </c>
      <c r="AF55" s="34"/>
      <c r="AG55" s="34" t="str">
        <f>IFERROR(IF(AND(Table8[[#This Row],[Classification]]="Assets",Table8[[#This Row],[Debit\]]-Table8[[#This Row],[Credit.]]),Table8[[#This Row],[Debit\]]-Table8[[#This Row],[Credit.]],""),"")</f>
        <v/>
      </c>
      <c r="AH55" s="34" t="str">
        <f>IFERROR(IF(AND(OR(Table8[[#This Row],[Classification]]="Liabilities",Table8[[#This Row],[Classification]]="Owner´s Equity"),Table8[[#This Row],[Credit.]]&gt;Table8[[#This Row],[Debit\]]),Table8[[#This Row],[Credit.]]-Table8[[#This Row],[Debit\]],""),"")</f>
        <v/>
      </c>
    </row>
    <row r="56" spans="2:34" x14ac:dyDescent="0.25">
      <c r="B56" s="34"/>
      <c r="C56" s="37" t="s">
        <v>110</v>
      </c>
      <c r="D56" s="34">
        <v>900</v>
      </c>
      <c r="E56" s="34"/>
      <c r="G56" s="39"/>
      <c r="H56" s="43"/>
      <c r="I56" s="41"/>
      <c r="J56" s="41"/>
      <c r="L56" s="34">
        <v>49</v>
      </c>
      <c r="M56" s="35" t="s">
        <v>157</v>
      </c>
      <c r="N56" s="35" t="s">
        <v>111</v>
      </c>
      <c r="O56" s="34">
        <f>IFERROR(SUMIF(Table4[,],Table6[[#This Row],[Accounts Name]],Table4[,3]),"")</f>
        <v>542263</v>
      </c>
      <c r="P56" s="34">
        <f>IFERROR(SUMIF(Table4[,],Table6[[#This Row],[Accounts Name]],Table4[,2]),"")</f>
        <v>0</v>
      </c>
      <c r="S56" s="36">
        <f t="shared" si="0"/>
        <v>49</v>
      </c>
      <c r="T56" s="34" t="s">
        <v>61</v>
      </c>
      <c r="U56" s="37" t="s">
        <v>160</v>
      </c>
      <c r="V56" s="34">
        <f>IFERROR(SUMIF(Table6[Sub-Accounts],Table8[[#This Row],[Update your chart of accounts here]],Table6[Debit]),"")</f>
        <v>145440</v>
      </c>
      <c r="W56" s="34">
        <f>IFERROR(SUMIF(Table6[Sub-Accounts],Table8[[#This Row],[Update your chart of accounts here]],Table6[Credit]),"")</f>
        <v>0</v>
      </c>
      <c r="X56" s="34"/>
      <c r="Y56" s="34"/>
      <c r="Z56" s="34"/>
      <c r="AA56" s="34"/>
      <c r="AB56" s="34">
        <f>MAX(Table8[[#This Row],[Debit]]+Table8[[#This Row],[Debit -]]-Table8[[#This Row],[Credit]]-Table8[[#This Row],[Credit +]],0)</f>
        <v>145440</v>
      </c>
      <c r="AC56" s="34">
        <f>MAX(Table8[[#This Row],[Credit]]-Table8[[#This Row],[Debit]]+Table8[[#This Row],[Credit +]]-Table8[[#This Row],[Debit -]],0)</f>
        <v>0</v>
      </c>
      <c r="AD56" s="34">
        <f>IFERROR(IF(AND(OR(Table8[[#This Row],[Classification]]="Expense",Table8[[#This Row],[Classification]]="Cost of Goods Sold"),Table8[[#This Row],[Debit\]]&gt;Table8[[#This Row],[Credit.]]),Table8[[#This Row],[Debit\]]-Table8[[#This Row],[Credit.]],""),"")</f>
        <v>145440</v>
      </c>
      <c r="AE56" s="34" t="str">
        <f>IFERROR(IF(AND(OR(Table8[[#This Row],[Classification]]="Income",Table8[[#This Row],[Classification]]="Cost of Goods Sold"),Table8[[#This Row],[Credit.]]&gt;Table8[[#This Row],[Debit\]]),Table8[[#This Row],[Credit.]]-Table8[[#This Row],[Debit\]],""),"")</f>
        <v/>
      </c>
      <c r="AF56" s="34"/>
      <c r="AG56" s="34" t="str">
        <f>IFERROR(IF(AND(Table8[[#This Row],[Classification]]="Assets",Table8[[#This Row],[Debit\]]-Table8[[#This Row],[Credit.]]),Table8[[#This Row],[Debit\]]-Table8[[#This Row],[Credit.]],""),"")</f>
        <v/>
      </c>
      <c r="AH56" s="34" t="str">
        <f>IFERROR(IF(AND(OR(Table8[[#This Row],[Classification]]="Liabilities",Table8[[#This Row],[Classification]]="Owner´s Equity"),Table8[[#This Row],[Credit.]]&gt;Table8[[#This Row],[Debit\]]),Table8[[#This Row],[Credit.]]-Table8[[#This Row],[Debit\]],""),"")</f>
        <v/>
      </c>
    </row>
    <row r="57" spans="2:34" x14ac:dyDescent="0.25">
      <c r="B57" s="34"/>
      <c r="C57" s="37" t="s">
        <v>111</v>
      </c>
      <c r="D57" s="34">
        <v>542263</v>
      </c>
      <c r="E57" s="34"/>
      <c r="G57" s="39"/>
      <c r="H57" s="40"/>
      <c r="I57" s="41"/>
      <c r="J57" s="41"/>
      <c r="L57" s="34">
        <v>50</v>
      </c>
      <c r="M57" s="35" t="s">
        <v>158</v>
      </c>
      <c r="N57" s="35" t="s">
        <v>112</v>
      </c>
      <c r="O57" s="34">
        <f>IFERROR(SUMIF(Table4[,],Table6[[#This Row],[Accounts Name]],Table4[,3]),"")</f>
        <v>20412.8</v>
      </c>
      <c r="P57" s="34">
        <f>IFERROR(SUMIF(Table4[,],Table6[[#This Row],[Accounts Name]],Table4[,2]),"")</f>
        <v>0</v>
      </c>
      <c r="S57" s="36">
        <f t="shared" si="0"/>
        <v>50</v>
      </c>
      <c r="T57" s="34" t="s">
        <v>61</v>
      </c>
      <c r="U57" s="37" t="s">
        <v>150</v>
      </c>
      <c r="V57" s="34">
        <f>IFERROR(SUMIF(Table6[Sub-Accounts],Table8[[#This Row],[Update your chart of accounts here]],Table6[Debit]),"")</f>
        <v>176009.84</v>
      </c>
      <c r="W57" s="34">
        <f>IFERROR(SUMIF(Table6[Sub-Accounts],Table8[[#This Row],[Update your chart of accounts here]],Table6[Credit]),"")</f>
        <v>0</v>
      </c>
      <c r="X57" s="34"/>
      <c r="Y57" s="34"/>
      <c r="Z57" s="34"/>
      <c r="AA57" s="34"/>
      <c r="AB57" s="34">
        <f>MAX(Table8[[#This Row],[Debit]]+Table8[[#This Row],[Debit -]]-Table8[[#This Row],[Credit]]-Table8[[#This Row],[Credit +]],0)</f>
        <v>176009.84</v>
      </c>
      <c r="AC57" s="34">
        <f>MAX(Table8[[#This Row],[Credit]]-Table8[[#This Row],[Debit]]+Table8[[#This Row],[Credit +]]-Table8[[#This Row],[Debit -]],0)</f>
        <v>0</v>
      </c>
      <c r="AD57" s="34">
        <f>IFERROR(IF(AND(OR(Table8[[#This Row],[Classification]]="Expense",Table8[[#This Row],[Classification]]="Cost of Goods Sold"),Table8[[#This Row],[Debit\]]&gt;Table8[[#This Row],[Credit.]]),Table8[[#This Row],[Debit\]]-Table8[[#This Row],[Credit.]],""),"")</f>
        <v>176009.84</v>
      </c>
      <c r="AE57" s="34" t="str">
        <f>IFERROR(IF(AND(OR(Table8[[#This Row],[Classification]]="Income",Table8[[#This Row],[Classification]]="Cost of Goods Sold"),Table8[[#This Row],[Credit.]]&gt;Table8[[#This Row],[Debit\]]),Table8[[#This Row],[Credit.]]-Table8[[#This Row],[Debit\]],""),"")</f>
        <v/>
      </c>
      <c r="AF57" s="34"/>
      <c r="AG57" s="34" t="str">
        <f>IFERROR(IF(AND(Table8[[#This Row],[Classification]]="Assets",Table8[[#This Row],[Debit\]]-Table8[[#This Row],[Credit.]]),Table8[[#This Row],[Debit\]]-Table8[[#This Row],[Credit.]],""),"")</f>
        <v/>
      </c>
      <c r="AH57" s="34" t="str">
        <f>IFERROR(IF(AND(OR(Table8[[#This Row],[Classification]]="Liabilities",Table8[[#This Row],[Classification]]="Owner´s Equity"),Table8[[#This Row],[Credit.]]&gt;Table8[[#This Row],[Debit\]]),Table8[[#This Row],[Credit.]]-Table8[[#This Row],[Debit\]],""),"")</f>
        <v/>
      </c>
    </row>
    <row r="58" spans="2:34" x14ac:dyDescent="0.25">
      <c r="B58" s="34"/>
      <c r="C58" s="37" t="s">
        <v>112</v>
      </c>
      <c r="D58" s="34">
        <v>20412.8</v>
      </c>
      <c r="E58" s="34"/>
      <c r="G58" s="39"/>
      <c r="H58" s="40"/>
      <c r="I58" s="41"/>
      <c r="J58" s="41"/>
      <c r="L58" s="34">
        <v>51</v>
      </c>
      <c r="M58" s="35" t="s">
        <v>158</v>
      </c>
      <c r="N58" s="35" t="s">
        <v>113</v>
      </c>
      <c r="O58" s="34">
        <f>IFERROR(SUMIF(Table4[,],Table6[[#This Row],[Accounts Name]],Table4[,3]),"")</f>
        <v>416467.20000000001</v>
      </c>
      <c r="P58" s="34">
        <f>IFERROR(SUMIF(Table4[,],Table6[[#This Row],[Accounts Name]],Table4[,2]),"")</f>
        <v>0</v>
      </c>
      <c r="S58" s="36">
        <f t="shared" si="0"/>
        <v>51</v>
      </c>
      <c r="T58" s="34" t="s">
        <v>61</v>
      </c>
      <c r="U58" s="37" t="s">
        <v>221</v>
      </c>
      <c r="V58" s="34">
        <f>IFERROR(SUMIF(Table6[Sub-Accounts],Table8[[#This Row],[Update your chart of accounts here]],Table6[Debit]),"")</f>
        <v>0</v>
      </c>
      <c r="W58" s="34">
        <f>IFERROR(SUMIF(Table6[Sub-Accounts],Table8[[#This Row],[Update your chart of accounts here]],Table6[Credit]),"")</f>
        <v>0</v>
      </c>
      <c r="X58" s="34"/>
      <c r="Y58" s="34"/>
      <c r="Z58" s="34"/>
      <c r="AA58" s="34"/>
      <c r="AB58" s="34">
        <f>MAX(Table8[[#This Row],[Debit]]+Table8[[#This Row],[Debit -]]-Table8[[#This Row],[Credit]]-Table8[[#This Row],[Credit +]],0)</f>
        <v>0</v>
      </c>
      <c r="AC58" s="34">
        <f>MAX(Table8[[#This Row],[Credit]]-Table8[[#This Row],[Debit]]+Table8[[#This Row],[Credit +]]-Table8[[#This Row],[Debit -]],0)</f>
        <v>0</v>
      </c>
      <c r="AD58" s="34" t="str">
        <f>IFERROR(IF(AND(OR(Table8[[#This Row],[Classification]]="Expense",Table8[[#This Row],[Classification]]="Cost of Goods Sold"),Table8[[#This Row],[Debit\]]&gt;Table8[[#This Row],[Credit.]]),Table8[[#This Row],[Debit\]]-Table8[[#This Row],[Credit.]],""),"")</f>
        <v/>
      </c>
      <c r="AE58" s="34" t="str">
        <f>IFERROR(IF(AND(OR(Table8[[#This Row],[Classification]]="Income",Table8[[#This Row],[Classification]]="Cost of Goods Sold"),Table8[[#This Row],[Credit.]]&gt;Table8[[#This Row],[Debit\]]),Table8[[#This Row],[Credit.]]-Table8[[#This Row],[Debit\]],""),"")</f>
        <v/>
      </c>
      <c r="AF58" s="34"/>
      <c r="AG58" s="34" t="str">
        <f>IFERROR(IF(AND(Table8[[#This Row],[Classification]]="Assets",Table8[[#This Row],[Debit\]]-Table8[[#This Row],[Credit.]]),Table8[[#This Row],[Debit\]]-Table8[[#This Row],[Credit.]],""),"")</f>
        <v/>
      </c>
      <c r="AH58" s="34" t="str">
        <f>IFERROR(IF(AND(OR(Table8[[#This Row],[Classification]]="Liabilities",Table8[[#This Row],[Classification]]="Owner´s Equity"),Table8[[#This Row],[Credit.]]&gt;Table8[[#This Row],[Debit\]]),Table8[[#This Row],[Credit.]]-Table8[[#This Row],[Debit\]],""),"")</f>
        <v/>
      </c>
    </row>
    <row r="59" spans="2:34" x14ac:dyDescent="0.25">
      <c r="B59" s="34"/>
      <c r="C59" s="37" t="s">
        <v>113</v>
      </c>
      <c r="D59" s="34">
        <v>416467.20000000001</v>
      </c>
      <c r="E59" s="34"/>
      <c r="G59" s="39"/>
      <c r="H59" s="43"/>
      <c r="I59" s="41"/>
      <c r="J59" s="41"/>
      <c r="L59" s="34">
        <v>52</v>
      </c>
      <c r="M59" s="35" t="s">
        <v>159</v>
      </c>
      <c r="N59" s="35" t="s">
        <v>114</v>
      </c>
      <c r="O59" s="34">
        <f>IFERROR(SUMIF(Table4[,],Table6[[#This Row],[Accounts Name]],Table4[,3]),"")</f>
        <v>27500</v>
      </c>
      <c r="P59" s="34">
        <f>IFERROR(SUMIF(Table4[,],Table6[[#This Row],[Accounts Name]],Table4[,2]),"")</f>
        <v>0</v>
      </c>
      <c r="S59" s="36">
        <f t="shared" si="0"/>
        <v>52</v>
      </c>
      <c r="T59" s="34" t="s">
        <v>61</v>
      </c>
      <c r="U59" s="37" t="s">
        <v>222</v>
      </c>
      <c r="V59" s="34">
        <f>IFERROR(SUMIF(Table6[Sub-Accounts],Table8[[#This Row],[Update your chart of accounts here]],Table6[Debit]),"")</f>
        <v>0</v>
      </c>
      <c r="W59" s="34">
        <f>IFERROR(SUMIF(Table6[Sub-Accounts],Table8[[#This Row],[Update your chart of accounts here]],Table6[Credit]),"")</f>
        <v>0</v>
      </c>
      <c r="X59" s="34"/>
      <c r="Y59" s="34"/>
      <c r="Z59" s="34"/>
      <c r="AA59" s="34"/>
      <c r="AB59" s="34">
        <f>MAX(Table8[[#This Row],[Debit]]+Table8[[#This Row],[Debit -]]-Table8[[#This Row],[Credit]]-Table8[[#This Row],[Credit +]],0)</f>
        <v>0</v>
      </c>
      <c r="AC59" s="34">
        <f>MAX(Table8[[#This Row],[Credit]]-Table8[[#This Row],[Debit]]+Table8[[#This Row],[Credit +]]-Table8[[#This Row],[Debit -]],0)</f>
        <v>0</v>
      </c>
      <c r="AD59" s="34" t="str">
        <f>IFERROR(IF(AND(OR(Table8[[#This Row],[Classification]]="Expense",Table8[[#This Row],[Classification]]="Cost of Goods Sold"),Table8[[#This Row],[Debit\]]&gt;Table8[[#This Row],[Credit.]]),Table8[[#This Row],[Debit\]]-Table8[[#This Row],[Credit.]],""),"")</f>
        <v/>
      </c>
      <c r="AE59" s="34" t="str">
        <f>IFERROR(IF(AND(OR(Table8[[#This Row],[Classification]]="Income",Table8[[#This Row],[Classification]]="Cost of Goods Sold"),Table8[[#This Row],[Credit.]]&gt;Table8[[#This Row],[Debit\]]),Table8[[#This Row],[Credit.]]-Table8[[#This Row],[Debit\]],""),"")</f>
        <v/>
      </c>
      <c r="AF59" s="34"/>
      <c r="AG59" s="34" t="str">
        <f>IFERROR(IF(AND(Table8[[#This Row],[Classification]]="Assets",Table8[[#This Row],[Debit\]]-Table8[[#This Row],[Credit.]]),Table8[[#This Row],[Debit\]]-Table8[[#This Row],[Credit.]],""),"")</f>
        <v/>
      </c>
      <c r="AH59" s="34" t="str">
        <f>IFERROR(IF(AND(OR(Table8[[#This Row],[Classification]]="Liabilities",Table8[[#This Row],[Classification]]="Owner´s Equity"),Table8[[#This Row],[Credit.]]&gt;Table8[[#This Row],[Debit\]]),Table8[[#This Row],[Credit.]]-Table8[[#This Row],[Debit\]],""),"")</f>
        <v/>
      </c>
    </row>
    <row r="60" spans="2:34" x14ac:dyDescent="0.25">
      <c r="B60" s="34"/>
      <c r="C60" s="37" t="s">
        <v>114</v>
      </c>
      <c r="D60" s="34">
        <v>27500</v>
      </c>
      <c r="E60" s="34"/>
      <c r="G60" s="39"/>
      <c r="H60" s="40"/>
      <c r="I60" s="41"/>
      <c r="J60" s="41"/>
      <c r="L60" s="34">
        <v>53</v>
      </c>
      <c r="M60" s="35" t="s">
        <v>160</v>
      </c>
      <c r="N60" s="35" t="s">
        <v>115</v>
      </c>
      <c r="O60" s="34">
        <f>IFERROR(SUMIF(Table4[,],Table6[[#This Row],[Accounts Name]],Table4[,3]),"")</f>
        <v>30000</v>
      </c>
      <c r="P60" s="34">
        <f>IFERROR(SUMIF(Table4[,],Table6[[#This Row],[Accounts Name]],Table4[,2]),"")</f>
        <v>0</v>
      </c>
      <c r="S60" s="36">
        <f t="shared" si="0"/>
        <v>53</v>
      </c>
      <c r="T60" s="34" t="s">
        <v>11</v>
      </c>
      <c r="U60" s="37" t="s">
        <v>229</v>
      </c>
      <c r="V60" s="34">
        <f>IFERROR(SUMIF(Table6[Sub-Accounts],Table8[[#This Row],[Update your chart of accounts here]],Table6[Debit]),"")</f>
        <v>0</v>
      </c>
      <c r="W60" s="34">
        <f>IFERROR(SUMIF(Table6[Sub-Accounts],Table8[[#This Row],[Update your chart of accounts here]],Table6[Credit]),"")</f>
        <v>0</v>
      </c>
      <c r="X60" s="34"/>
      <c r="Y60" s="34"/>
      <c r="Z60" s="34">
        <f>AA62</f>
        <v>10003059</v>
      </c>
      <c r="AA60" s="34"/>
      <c r="AB60" s="34">
        <f>MAX(Table8[[#This Row],[Debit]]+Table8[[#This Row],[Debit -]]-Table8[[#This Row],[Credit]]-Table8[[#This Row],[Credit +]],0)</f>
        <v>10003059</v>
      </c>
      <c r="AC60" s="34">
        <f>MAX(Table8[[#This Row],[Credit]]-Table8[[#This Row],[Debit]]+Table8[[#This Row],[Credit +]]-Table8[[#This Row],[Debit -]],0)</f>
        <v>0</v>
      </c>
      <c r="AD60" s="34" t="str">
        <f>IFERROR(IF(AND(OR(Table8[[#This Row],[Classification]]="Expense",Table8[[#This Row],[Classification]]="Cost of Goods Sold"),Table8[[#This Row],[Debit\]]&gt;Table8[[#This Row],[Credit.]]),Table8[[#This Row],[Debit\]]-Table8[[#This Row],[Credit.]],""),"")</f>
        <v/>
      </c>
      <c r="AE60" s="34" t="str">
        <f>IFERROR(IF(AND(OR(Table8[[#This Row],[Classification]]="Income",Table8[[#This Row],[Classification]]="Cost of Goods Sold"),Table8[[#This Row],[Credit.]]&gt;Table8[[#This Row],[Debit\]]),Table8[[#This Row],[Credit.]]-Table8[[#This Row],[Debit\]],""),"")</f>
        <v/>
      </c>
      <c r="AF60" s="34"/>
      <c r="AG60" s="34">
        <f>IFERROR(IF(AND(Table8[[#This Row],[Classification]]="Assets",Table8[[#This Row],[Debit\]]-Table8[[#This Row],[Credit.]]),Table8[[#This Row],[Debit\]]-Table8[[#This Row],[Credit.]],""),"")</f>
        <v>10003059</v>
      </c>
      <c r="AH60" s="34" t="str">
        <f>IFERROR(IF(AND(OR(Table8[[#This Row],[Classification]]="Liabilities",Table8[[#This Row],[Classification]]="Owner´s Equity"),Table8[[#This Row],[Credit.]]&gt;Table8[[#This Row],[Debit\]]),Table8[[#This Row],[Credit.]]-Table8[[#This Row],[Debit\]],""),"")</f>
        <v/>
      </c>
    </row>
    <row r="61" spans="2:34" x14ac:dyDescent="0.25">
      <c r="B61" s="34"/>
      <c r="C61" s="37" t="s">
        <v>115</v>
      </c>
      <c r="D61" s="34">
        <v>30000</v>
      </c>
      <c r="E61" s="34"/>
      <c r="G61" s="39"/>
      <c r="H61" s="40"/>
      <c r="I61" s="41"/>
      <c r="J61" s="41"/>
      <c r="L61" s="34">
        <v>54</v>
      </c>
      <c r="M61" s="35" t="s">
        <v>161</v>
      </c>
      <c r="N61" s="35" t="s">
        <v>116</v>
      </c>
      <c r="O61" s="34">
        <f>IFERROR(SUMIF(Table4[,],Table6[[#This Row],[Accounts Name]],Table4[,3]),"")</f>
        <v>77850</v>
      </c>
      <c r="P61" s="34">
        <f>IFERROR(SUMIF(Table4[,],Table6[[#This Row],[Accounts Name]],Table4[,2]),"")</f>
        <v>0</v>
      </c>
      <c r="S61" s="36">
        <f t="shared" si="0"/>
        <v>54</v>
      </c>
      <c r="T61" s="34" t="s">
        <v>48</v>
      </c>
      <c r="U61" s="37" t="s">
        <v>207</v>
      </c>
      <c r="V61" s="34">
        <f>IFERROR(SUMIF(Table6[Sub-Accounts],Table8[[#This Row],[Update your chart of accounts here]],Table6[Debit]),"")</f>
        <v>0</v>
      </c>
      <c r="W61" s="34">
        <f>IFERROR(SUMIF(Table6[Sub-Accounts],Table8[[#This Row],[Update your chart of accounts here]],Table6[Credit]),"")</f>
        <v>0</v>
      </c>
      <c r="X61" s="34"/>
      <c r="Y61" s="34"/>
      <c r="Z61" s="34"/>
      <c r="AA61" s="34">
        <f>Z12</f>
        <v>8341041.1232255697</v>
      </c>
      <c r="AB61" s="34">
        <f>MAX(Table8[[#This Row],[Debit]]+Table8[[#This Row],[Debit -]]-Table8[[#This Row],[Credit]]-Table8[[#This Row],[Credit +]],0)</f>
        <v>0</v>
      </c>
      <c r="AC61" s="34">
        <f>MAX(Table8[[#This Row],[Credit]]-Table8[[#This Row],[Debit]]+Table8[[#This Row],[Credit +]]-Table8[[#This Row],[Debit -]],0)</f>
        <v>8341041.1232255697</v>
      </c>
      <c r="AD61" s="34" t="str">
        <f>IFERROR(IF(AND(OR(Table8[[#This Row],[Classification]]="Expense",Table8[[#This Row],[Classification]]="Cost of Goods Sold"),Table8[[#This Row],[Debit\]]&gt;Table8[[#This Row],[Credit.]]),Table8[[#This Row],[Debit\]]-Table8[[#This Row],[Credit.]],""),"")</f>
        <v/>
      </c>
      <c r="AE61" s="34" t="str">
        <f>IFERROR(IF(AND(OR(Table8[[#This Row],[Classification]]="Income",Table8[[#This Row],[Classification]]="Cost of Goods Sold"),Table8[[#This Row],[Credit.]]&gt;Table8[[#This Row],[Debit\]]),Table8[[#This Row],[Credit.]]-Table8[[#This Row],[Debit\]],""),"")</f>
        <v/>
      </c>
      <c r="AF61" s="34"/>
      <c r="AG61" s="34" t="str">
        <f>IFERROR(IF(AND(Table8[[#This Row],[Classification]]="Assets",Table8[[#This Row],[Debit\]]-Table8[[#This Row],[Credit.]]),Table8[[#This Row],[Debit\]]-Table8[[#This Row],[Credit.]],""),"")</f>
        <v/>
      </c>
      <c r="AH61" s="34">
        <f>IFERROR(IF(AND(OR(Table8[[#This Row],[Classification]]="Liabilities",Table8[[#This Row],[Classification]]="Owner´s Equity"),Table8[[#This Row],[Credit.]]&gt;Table8[[#This Row],[Debit\]]),Table8[[#This Row],[Credit.]]-Table8[[#This Row],[Debit\]],""),"")</f>
        <v>8341041.1232255697</v>
      </c>
    </row>
    <row r="62" spans="2:34" x14ac:dyDescent="0.25">
      <c r="B62" s="34"/>
      <c r="C62" s="37" t="s">
        <v>116</v>
      </c>
      <c r="D62" s="34">
        <v>77850</v>
      </c>
      <c r="E62" s="34"/>
      <c r="G62" s="39"/>
      <c r="H62" s="43"/>
      <c r="I62" s="41"/>
      <c r="J62" s="41"/>
      <c r="L62" s="34">
        <v>55</v>
      </c>
      <c r="M62" s="35" t="s">
        <v>162</v>
      </c>
      <c r="N62" s="35" t="s">
        <v>117</v>
      </c>
      <c r="O62" s="34">
        <f>IFERROR(SUMIF(Table4[,],Table6[[#This Row],[Accounts Name]],Table4[,3]),"")</f>
        <v>129108.59</v>
      </c>
      <c r="P62" s="34">
        <f>IFERROR(SUMIF(Table4[,],Table6[[#This Row],[Accounts Name]],Table4[,2]),"")</f>
        <v>0</v>
      </c>
      <c r="S62" s="36">
        <f t="shared" si="0"/>
        <v>55</v>
      </c>
      <c r="T62" s="34" t="s">
        <v>62</v>
      </c>
      <c r="U62" s="37" t="s">
        <v>229</v>
      </c>
      <c r="V62" s="34">
        <f>IFERROR(SUMIF(Table6[Sub-Accounts],Table8[[#This Row],[Update your chart of accounts here]],Table6[Debit]),"")</f>
        <v>0</v>
      </c>
      <c r="W62" s="34">
        <f>IFERROR(SUMIF(Table6[Sub-Accounts],Table8[[#This Row],[Update your chart of accounts here]],Table6[Credit]),"")</f>
        <v>0</v>
      </c>
      <c r="X62" s="34"/>
      <c r="Y62" s="34"/>
      <c r="Z62" s="34"/>
      <c r="AA62" s="34">
        <v>10003059</v>
      </c>
      <c r="AB62" s="34">
        <f>MAX(Table8[[#This Row],[Debit]]+Table8[[#This Row],[Debit -]]-Table8[[#This Row],[Credit]]-Table8[[#This Row],[Credit +]],0)</f>
        <v>0</v>
      </c>
      <c r="AC62" s="34">
        <f>MAX(Table8[[#This Row],[Credit]]-Table8[[#This Row],[Debit]]+Table8[[#This Row],[Credit +]]-Table8[[#This Row],[Debit -]],0)</f>
        <v>10003059</v>
      </c>
      <c r="AD62" s="34" t="str">
        <f>IFERROR(IF(AND(OR(Table8[[#This Row],[Classification]]="Expense",Table8[[#This Row],[Classification]]="Cost of Goods Sold"),Table8[[#This Row],[Debit\]]&gt;Table8[[#This Row],[Credit.]]),Table8[[#This Row],[Debit\]]-Table8[[#This Row],[Credit.]],""),"")</f>
        <v/>
      </c>
      <c r="AE62" s="34">
        <f>IFERROR(IF(AND(OR(Table8[[#This Row],[Classification]]="Income",Table8[[#This Row],[Classification]]="Cost of Goods Sold"),Table8[[#This Row],[Credit.]]&gt;Table8[[#This Row],[Debit\]]),Table8[[#This Row],[Credit.]]-Table8[[#This Row],[Debit\]],""),"")</f>
        <v>10003059</v>
      </c>
      <c r="AF62" s="34"/>
      <c r="AG62" s="34" t="str">
        <f>IFERROR(IF(AND(Table8[[#This Row],[Classification]]="Assets",Table8[[#This Row],[Debit\]]-Table8[[#This Row],[Credit.]]),Table8[[#This Row],[Debit\]]-Table8[[#This Row],[Credit.]],""),"")</f>
        <v/>
      </c>
      <c r="AH62" s="34" t="str">
        <f>IFERROR(IF(AND(OR(Table8[[#This Row],[Classification]]="Liabilities",Table8[[#This Row],[Classification]]="Owner´s Equity"),Table8[[#This Row],[Credit.]]&gt;Table8[[#This Row],[Debit\]]),Table8[[#This Row],[Credit.]]-Table8[[#This Row],[Debit\]],""),"")</f>
        <v/>
      </c>
    </row>
    <row r="63" spans="2:34" x14ac:dyDescent="0.25">
      <c r="B63" s="34"/>
      <c r="C63" s="37" t="s">
        <v>117</v>
      </c>
      <c r="D63" s="34">
        <v>129108.59</v>
      </c>
      <c r="E63" s="34"/>
      <c r="G63" s="39"/>
      <c r="H63" s="40"/>
      <c r="I63" s="41"/>
      <c r="J63" s="41"/>
      <c r="L63" s="34">
        <v>56</v>
      </c>
      <c r="M63" s="35" t="s">
        <v>156</v>
      </c>
      <c r="N63" s="35" t="s">
        <v>118</v>
      </c>
      <c r="O63" s="34">
        <f>IFERROR(SUMIF(Table4[,],Table6[[#This Row],[Accounts Name]],Table4[,3]),"")</f>
        <v>131390</v>
      </c>
      <c r="P63" s="34">
        <f>IFERROR(SUMIF(Table4[,],Table6[[#This Row],[Accounts Name]],Table4[,2]),"")</f>
        <v>0</v>
      </c>
      <c r="S63" s="36">
        <f t="shared" si="0"/>
        <v>56</v>
      </c>
      <c r="T63" s="34" t="s">
        <v>11</v>
      </c>
      <c r="U63" s="37" t="s">
        <v>232</v>
      </c>
      <c r="V63" s="34">
        <f>IFERROR(SUMIF(Table6[Sub-Accounts],Table8[[#This Row],[Update your chart of accounts here]],Table6[Debit]),"")</f>
        <v>0</v>
      </c>
      <c r="W63" s="34">
        <f>IFERROR(SUMIF(Table6[Sub-Accounts],Table8[[#This Row],[Update your chart of accounts here]],Table6[Credit]),"")</f>
        <v>0</v>
      </c>
      <c r="X63" s="34"/>
      <c r="Y63" s="34" t="s">
        <v>233</v>
      </c>
      <c r="Z63" s="34">
        <f>I21</f>
        <v>115200</v>
      </c>
      <c r="AA63" s="34"/>
      <c r="AB63" s="34">
        <f>MAX(Table8[[#This Row],[Debit]]+Table8[[#This Row],[Debit -]]-Table8[[#This Row],[Credit]]-Table8[[#This Row],[Credit +]],0)</f>
        <v>115200</v>
      </c>
      <c r="AC63" s="34">
        <f>MAX(Table8[[#This Row],[Credit]]-Table8[[#This Row],[Debit]]+Table8[[#This Row],[Credit +]]-Table8[[#This Row],[Debit -]],0)</f>
        <v>0</v>
      </c>
      <c r="AD63" s="34" t="str">
        <f>IFERROR(IF(AND(OR(Table8[[#This Row],[Classification]]="Expense",Table8[[#This Row],[Classification]]="Cost of Goods Sold"),Table8[[#This Row],[Debit\]]&gt;Table8[[#This Row],[Credit.]]),Table8[[#This Row],[Debit\]]-Table8[[#This Row],[Credit.]],""),"")</f>
        <v/>
      </c>
      <c r="AE63" s="34" t="str">
        <f>IFERROR(IF(AND(OR(Table8[[#This Row],[Classification]]="Income",Table8[[#This Row],[Classification]]="Cost of Goods Sold"),Table8[[#This Row],[Credit.]]&gt;Table8[[#This Row],[Debit\]]),Table8[[#This Row],[Credit.]]-Table8[[#This Row],[Debit\]],""),"")</f>
        <v/>
      </c>
      <c r="AF63" s="34"/>
      <c r="AG63" s="34">
        <f>IFERROR(IF(AND(Table8[[#This Row],[Classification]]="Assets",Table8[[#This Row],[Debit\]]-Table8[[#This Row],[Credit.]]),Table8[[#This Row],[Debit\]]-Table8[[#This Row],[Credit.]],""),"")</f>
        <v>115200</v>
      </c>
      <c r="AH63" s="34" t="str">
        <f>IFERROR(IF(AND(OR(Table8[[#This Row],[Classification]]="Liabilities",Table8[[#This Row],[Classification]]="Owner´s Equity"),Table8[[#This Row],[Credit.]]&gt;Table8[[#This Row],[Debit\]]),Table8[[#This Row],[Credit.]]-Table8[[#This Row],[Debit\]],""),"")</f>
        <v/>
      </c>
    </row>
    <row r="64" spans="2:34" x14ac:dyDescent="0.25">
      <c r="B64" s="34"/>
      <c r="C64" s="37" t="s">
        <v>118</v>
      </c>
      <c r="D64" s="34">
        <v>131390</v>
      </c>
      <c r="E64" s="34"/>
      <c r="G64" s="39"/>
      <c r="H64" s="40"/>
      <c r="I64" s="41"/>
      <c r="J64" s="41"/>
      <c r="L64" s="34">
        <v>57</v>
      </c>
      <c r="M64" s="35" t="s">
        <v>163</v>
      </c>
      <c r="N64" s="35" t="s">
        <v>119</v>
      </c>
      <c r="O64" s="34">
        <f>IFERROR(SUMIF(Table4[,],Table6[[#This Row],[Accounts Name]],Table4[,3]),"")</f>
        <v>300</v>
      </c>
      <c r="P64" s="34">
        <f>IFERROR(SUMIF(Table4[,],Table6[[#This Row],[Accounts Name]],Table4[,2]),"")</f>
        <v>0</v>
      </c>
      <c r="S64" s="36">
        <f t="shared" si="0"/>
        <v>57</v>
      </c>
      <c r="T64" s="34"/>
      <c r="U64" s="37"/>
      <c r="V64" s="34">
        <f>IFERROR(SUMIF(Table6[Sub-Accounts],Table8[[#This Row],[Update your chart of accounts here]],Table6[Debit]),"")</f>
        <v>0</v>
      </c>
      <c r="W64" s="34">
        <f>IFERROR(SUMIF(Table6[Sub-Accounts],Table8[[#This Row],[Update your chart of accounts here]],Table6[Credit]),"")</f>
        <v>0</v>
      </c>
      <c r="X64" s="34"/>
      <c r="Y64" s="34"/>
      <c r="Z64" s="34"/>
      <c r="AA64" s="34"/>
      <c r="AB64" s="34">
        <f>MAX(Table8[[#This Row],[Debit]]+Table8[[#This Row],[Debit -]]-Table8[[#This Row],[Credit]]-Table8[[#This Row],[Credit +]],0)</f>
        <v>0</v>
      </c>
      <c r="AC64" s="34">
        <f>MAX(Table8[[#This Row],[Credit]]-Table8[[#This Row],[Debit]]+Table8[[#This Row],[Credit +]]-Table8[[#This Row],[Debit -]],0)</f>
        <v>0</v>
      </c>
      <c r="AD64" s="34" t="str">
        <f>IFERROR(IF(AND(OR(Table8[[#This Row],[Classification]]="Expense",Table8[[#This Row],[Classification]]="Cost of Goods Sold"),Table8[[#This Row],[Debit\]]&gt;Table8[[#This Row],[Credit.]]),Table8[[#This Row],[Debit\]]-Table8[[#This Row],[Credit.]],""),"")</f>
        <v/>
      </c>
      <c r="AE64" s="34" t="str">
        <f>IFERROR(IF(AND(OR(Table8[[#This Row],[Classification]]="Income",Table8[[#This Row],[Classification]]="Cost of Goods Sold"),Table8[[#This Row],[Credit.]]&gt;Table8[[#This Row],[Debit\]]),Table8[[#This Row],[Credit.]]-Table8[[#This Row],[Debit\]],""),"")</f>
        <v/>
      </c>
      <c r="AF64" s="34"/>
      <c r="AG64" s="34" t="str">
        <f>IFERROR(IF(AND(Table8[[#This Row],[Classification]]="Assets",Table8[[#This Row],[Debit\]]-Table8[[#This Row],[Credit.]]),Table8[[#This Row],[Debit\]]-Table8[[#This Row],[Credit.]],""),"")</f>
        <v/>
      </c>
      <c r="AH64" s="34" t="str">
        <f>IFERROR(IF(AND(OR(Table8[[#This Row],[Classification]]="Liabilities",Table8[[#This Row],[Classification]]="Owner´s Equity"),Table8[[#This Row],[Credit.]]&gt;Table8[[#This Row],[Debit\]]),Table8[[#This Row],[Credit.]]-Table8[[#This Row],[Debit\]],""),"")</f>
        <v/>
      </c>
    </row>
    <row r="65" spans="2:34" x14ac:dyDescent="0.25">
      <c r="B65" s="34"/>
      <c r="C65" s="37" t="s">
        <v>119</v>
      </c>
      <c r="D65" s="34">
        <v>300</v>
      </c>
      <c r="E65" s="34"/>
      <c r="G65" s="39"/>
      <c r="H65" s="43"/>
      <c r="I65" s="41"/>
      <c r="J65" s="41"/>
      <c r="L65" s="34">
        <v>58</v>
      </c>
      <c r="M65" s="35" t="s">
        <v>164</v>
      </c>
      <c r="N65" s="35" t="s">
        <v>120</v>
      </c>
      <c r="O65" s="34">
        <f>IFERROR(SUMIF(Table4[,],Table6[[#This Row],[Accounts Name]],Table4[,3]),"")</f>
        <v>436840.42</v>
      </c>
      <c r="P65" s="34">
        <f>IFERROR(SUMIF(Table4[,],Table6[[#This Row],[Accounts Name]],Table4[,2]),"")</f>
        <v>0</v>
      </c>
      <c r="S65" s="36">
        <f t="shared" si="0"/>
        <v>58</v>
      </c>
      <c r="T65" s="34"/>
      <c r="U65" s="37"/>
      <c r="V65" s="34">
        <f>IFERROR(SUMIF(Table6[Sub-Accounts],Table8[[#This Row],[Update your chart of accounts here]],Table6[Debit]),"")</f>
        <v>0</v>
      </c>
      <c r="W65" s="34">
        <f>IFERROR(SUMIF(Table6[Sub-Accounts],Table8[[#This Row],[Update your chart of accounts here]],Table6[Credit]),"")</f>
        <v>0</v>
      </c>
      <c r="X65" s="34"/>
      <c r="Y65" s="34"/>
      <c r="Z65" s="34"/>
      <c r="AA65" s="34"/>
      <c r="AB65" s="34">
        <f>MAX(Table8[[#This Row],[Debit]]+Table8[[#This Row],[Debit -]]-Table8[[#This Row],[Credit]]-Table8[[#This Row],[Credit +]],0)</f>
        <v>0</v>
      </c>
      <c r="AC65" s="34">
        <f>MAX(Table8[[#This Row],[Credit]]-Table8[[#This Row],[Debit]]+Table8[[#This Row],[Credit +]]-Table8[[#This Row],[Debit -]],0)</f>
        <v>0</v>
      </c>
      <c r="AD65" s="34" t="str">
        <f>IFERROR(IF(AND(OR(Table8[[#This Row],[Classification]]="Expense",Table8[[#This Row],[Classification]]="Cost of Goods Sold"),Table8[[#This Row],[Debit\]]&gt;Table8[[#This Row],[Credit.]]),Table8[[#This Row],[Debit\]]-Table8[[#This Row],[Credit.]],""),"")</f>
        <v/>
      </c>
      <c r="AE65" s="34" t="str">
        <f>IFERROR(IF(AND(OR(Table8[[#This Row],[Classification]]="Income",Table8[[#This Row],[Classification]]="Cost of Goods Sold"),Table8[[#This Row],[Credit.]]&gt;Table8[[#This Row],[Debit\]]),Table8[[#This Row],[Credit.]]-Table8[[#This Row],[Debit\]],""),"")</f>
        <v/>
      </c>
      <c r="AF65" s="34"/>
      <c r="AG65" s="34" t="str">
        <f>IFERROR(IF(AND(Table8[[#This Row],[Classification]]="Assets",Table8[[#This Row],[Debit\]]-Table8[[#This Row],[Credit.]]),Table8[[#This Row],[Debit\]]-Table8[[#This Row],[Credit.]],""),"")</f>
        <v/>
      </c>
      <c r="AH65" s="34" t="str">
        <f>IFERROR(IF(AND(OR(Table8[[#This Row],[Classification]]="Liabilities",Table8[[#This Row],[Classification]]="Owner´s Equity"),Table8[[#This Row],[Credit.]]&gt;Table8[[#This Row],[Debit\]]),Table8[[#This Row],[Credit.]]-Table8[[#This Row],[Debit\]],""),"")</f>
        <v/>
      </c>
    </row>
    <row r="66" spans="2:34" x14ac:dyDescent="0.25">
      <c r="B66" s="34"/>
      <c r="C66" s="37" t="s">
        <v>120</v>
      </c>
      <c r="D66" s="34">
        <v>436840.42</v>
      </c>
      <c r="E66" s="34"/>
      <c r="G66" s="39"/>
      <c r="H66" s="40"/>
      <c r="I66" s="41"/>
      <c r="J66" s="41"/>
      <c r="L66" s="34">
        <v>59</v>
      </c>
      <c r="M66" s="35" t="s">
        <v>151</v>
      </c>
      <c r="N66" s="35" t="s">
        <v>121</v>
      </c>
      <c r="O66" s="34">
        <f>IFERROR(SUMIF(Table4[,],Table6[[#This Row],[Accounts Name]],Table4[,3]),"")</f>
        <v>102350</v>
      </c>
      <c r="P66" s="34">
        <f>IFERROR(SUMIF(Table4[,],Table6[[#This Row],[Accounts Name]],Table4[,2]),"")</f>
        <v>0</v>
      </c>
      <c r="S66" s="36">
        <f t="shared" si="0"/>
        <v>59</v>
      </c>
      <c r="T66" s="34"/>
      <c r="U66" s="37"/>
      <c r="V66" s="34">
        <f>IFERROR(SUMIF(Table6[Sub-Accounts],Table8[[#This Row],[Update your chart of accounts here]],Table6[Debit]),"")</f>
        <v>0</v>
      </c>
      <c r="W66" s="34">
        <f>IFERROR(SUMIF(Table6[Sub-Accounts],Table8[[#This Row],[Update your chart of accounts here]],Table6[Credit]),"")</f>
        <v>0</v>
      </c>
      <c r="X66" s="34"/>
      <c r="Y66" s="34"/>
      <c r="Z66" s="34"/>
      <c r="AA66" s="34"/>
      <c r="AB66" s="34">
        <f>MAX(Table8[[#This Row],[Debit]]+Table8[[#This Row],[Debit -]]-Table8[[#This Row],[Credit]]-Table8[[#This Row],[Credit +]],0)</f>
        <v>0</v>
      </c>
      <c r="AC66" s="34">
        <f>MAX(Table8[[#This Row],[Credit]]-Table8[[#This Row],[Debit]]+Table8[[#This Row],[Credit +]]-Table8[[#This Row],[Debit -]],0)</f>
        <v>0</v>
      </c>
      <c r="AD66" s="34" t="str">
        <f>IFERROR(IF(AND(OR(Table8[[#This Row],[Classification]]="Expense",Table8[[#This Row],[Classification]]="Cost of Goods Sold"),Table8[[#This Row],[Debit\]]&gt;Table8[[#This Row],[Credit.]]),Table8[[#This Row],[Debit\]]-Table8[[#This Row],[Credit.]],""),"")</f>
        <v/>
      </c>
      <c r="AE66" s="34" t="str">
        <f>IFERROR(IF(AND(OR(Table8[[#This Row],[Classification]]="Income",Table8[[#This Row],[Classification]]="Cost of Goods Sold"),Table8[[#This Row],[Credit.]]&gt;Table8[[#This Row],[Debit\]]),Table8[[#This Row],[Credit.]]-Table8[[#This Row],[Debit\]],""),"")</f>
        <v/>
      </c>
      <c r="AF66" s="34"/>
      <c r="AG66" s="34" t="str">
        <f>IFERROR(IF(AND(Table8[[#This Row],[Classification]]="Assets",Table8[[#This Row],[Debit\]]-Table8[[#This Row],[Credit.]]),Table8[[#This Row],[Debit\]]-Table8[[#This Row],[Credit.]],""),"")</f>
        <v/>
      </c>
      <c r="AH66" s="34" t="str">
        <f>IFERROR(IF(AND(OR(Table8[[#This Row],[Classification]]="Liabilities",Table8[[#This Row],[Classification]]="Owner´s Equity"),Table8[[#This Row],[Credit.]]&gt;Table8[[#This Row],[Debit\]]),Table8[[#This Row],[Credit.]]-Table8[[#This Row],[Debit\]],""),"")</f>
        <v/>
      </c>
    </row>
    <row r="67" spans="2:34" x14ac:dyDescent="0.25">
      <c r="B67" s="34"/>
      <c r="C67" s="37" t="s">
        <v>121</v>
      </c>
      <c r="D67" s="34">
        <v>102350</v>
      </c>
      <c r="E67" s="34"/>
      <c r="G67" s="39"/>
      <c r="H67" s="40"/>
      <c r="I67" s="41"/>
      <c r="J67" s="41"/>
      <c r="L67" s="34">
        <v>60</v>
      </c>
      <c r="M67" s="35" t="s">
        <v>151</v>
      </c>
      <c r="N67" s="35" t="s">
        <v>122</v>
      </c>
      <c r="O67" s="34">
        <f>IFERROR(SUMIF(Table4[,],Table6[[#This Row],[Accounts Name]],Table4[,3]),"")</f>
        <v>62000</v>
      </c>
      <c r="P67" s="34">
        <f>IFERROR(SUMIF(Table4[,],Table6[[#This Row],[Accounts Name]],Table4[,2]),"")</f>
        <v>0</v>
      </c>
      <c r="S67" s="36">
        <f t="shared" si="0"/>
        <v>60</v>
      </c>
      <c r="T67" s="34"/>
      <c r="U67" s="37"/>
      <c r="V67" s="34">
        <f>IFERROR(SUMIF(Table6[Sub-Accounts],Table8[[#This Row],[Update your chart of accounts here]],Table6[Debit]),"")</f>
        <v>0</v>
      </c>
      <c r="W67" s="34">
        <f>IFERROR(SUMIF(Table6[Sub-Accounts],Table8[[#This Row],[Update your chart of accounts here]],Table6[Credit]),"")</f>
        <v>0</v>
      </c>
      <c r="X67" s="34"/>
      <c r="Y67" s="34"/>
      <c r="Z67" s="34"/>
      <c r="AA67" s="34"/>
      <c r="AB67" s="34">
        <f>MAX(Table8[[#This Row],[Debit]]+Table8[[#This Row],[Debit -]]-Table8[[#This Row],[Credit]]-Table8[[#This Row],[Credit +]],0)</f>
        <v>0</v>
      </c>
      <c r="AC67" s="34">
        <f>MAX(Table8[[#This Row],[Credit]]-Table8[[#This Row],[Debit]]+Table8[[#This Row],[Credit +]]-Table8[[#This Row],[Debit -]],0)</f>
        <v>0</v>
      </c>
      <c r="AD67" s="34" t="str">
        <f>IFERROR(IF(AND(OR(Table8[[#This Row],[Classification]]="Expense",Table8[[#This Row],[Classification]]="Cost of Goods Sold"),Table8[[#This Row],[Debit\]]&gt;Table8[[#This Row],[Credit.]]),Table8[[#This Row],[Debit\]]-Table8[[#This Row],[Credit.]],""),"")</f>
        <v/>
      </c>
      <c r="AE67" s="34" t="str">
        <f>IFERROR(IF(AND(OR(Table8[[#This Row],[Classification]]="Income",Table8[[#This Row],[Classification]]="Cost of Goods Sold"),Table8[[#This Row],[Credit.]]&gt;Table8[[#This Row],[Debit\]]),Table8[[#This Row],[Credit.]]-Table8[[#This Row],[Debit\]],""),"")</f>
        <v/>
      </c>
      <c r="AF67" s="34"/>
      <c r="AG67" s="34" t="str">
        <f>IFERROR(IF(AND(Table8[[#This Row],[Classification]]="Assets",Table8[[#This Row],[Debit\]]-Table8[[#This Row],[Credit.]]),Table8[[#This Row],[Debit\]]-Table8[[#This Row],[Credit.]],""),"")</f>
        <v/>
      </c>
      <c r="AH67" s="34" t="str">
        <f>IFERROR(IF(AND(OR(Table8[[#This Row],[Classification]]="Liabilities",Table8[[#This Row],[Classification]]="Owner´s Equity"),Table8[[#This Row],[Credit.]]&gt;Table8[[#This Row],[Debit\]]),Table8[[#This Row],[Credit.]]-Table8[[#This Row],[Debit\]],""),"")</f>
        <v/>
      </c>
    </row>
    <row r="68" spans="2:34" x14ac:dyDescent="0.25">
      <c r="B68" s="34"/>
      <c r="C68" s="37" t="s">
        <v>122</v>
      </c>
      <c r="D68" s="34">
        <v>62000</v>
      </c>
      <c r="E68" s="34"/>
      <c r="G68" s="39"/>
      <c r="H68" s="43"/>
      <c r="I68" s="41"/>
      <c r="J68" s="41"/>
      <c r="L68" s="34">
        <v>61</v>
      </c>
      <c r="M68" s="35" t="s">
        <v>151</v>
      </c>
      <c r="N68" s="35" t="s">
        <v>123</v>
      </c>
      <c r="O68" s="34">
        <f>IFERROR(SUMIF(Table4[,],Table6[[#This Row],[Accounts Name]],Table4[,3]),"")</f>
        <v>278343</v>
      </c>
      <c r="P68" s="34">
        <f>IFERROR(SUMIF(Table4[,],Table6[[#This Row],[Accounts Name]],Table4[,2]),"")</f>
        <v>0</v>
      </c>
      <c r="S68" s="36">
        <f t="shared" si="0"/>
        <v>61</v>
      </c>
      <c r="T68" s="34"/>
      <c r="U68" s="37"/>
      <c r="V68" s="34">
        <f>IFERROR(SUMIF(Table6[Sub-Accounts],Table8[[#This Row],[Update your chart of accounts here]],Table6[Debit]),"")</f>
        <v>0</v>
      </c>
      <c r="W68" s="34">
        <f>IFERROR(SUMIF(Table6[Sub-Accounts],Table8[[#This Row],[Update your chart of accounts here]],Table6[Credit]),"")</f>
        <v>0</v>
      </c>
      <c r="X68" s="34"/>
      <c r="Y68" s="34"/>
      <c r="Z68" s="34"/>
      <c r="AA68" s="34"/>
      <c r="AB68" s="34">
        <f>MAX(Table8[[#This Row],[Debit]]+Table8[[#This Row],[Debit -]]-Table8[[#This Row],[Credit]]-Table8[[#This Row],[Credit +]],0)</f>
        <v>0</v>
      </c>
      <c r="AC68" s="34">
        <f>MAX(Table8[[#This Row],[Credit]]-Table8[[#This Row],[Debit]]+Table8[[#This Row],[Credit +]]-Table8[[#This Row],[Debit -]],0)</f>
        <v>0</v>
      </c>
      <c r="AD68" s="34" t="str">
        <f>IFERROR(IF(AND(OR(Table8[[#This Row],[Classification]]="Expense",Table8[[#This Row],[Classification]]="Cost of Goods Sold"),Table8[[#This Row],[Debit\]]&gt;Table8[[#This Row],[Credit.]]),Table8[[#This Row],[Debit\]]-Table8[[#This Row],[Credit.]],""),"")</f>
        <v/>
      </c>
      <c r="AE68" s="34" t="str">
        <f>IFERROR(IF(AND(OR(Table8[[#This Row],[Classification]]="Income",Table8[[#This Row],[Classification]]="Cost of Goods Sold"),Table8[[#This Row],[Credit.]]&gt;Table8[[#This Row],[Debit\]]),Table8[[#This Row],[Credit.]]-Table8[[#This Row],[Debit\]],""),"")</f>
        <v/>
      </c>
      <c r="AF68" s="34"/>
      <c r="AG68" s="34" t="str">
        <f>IFERROR(IF(AND(Table8[[#This Row],[Classification]]="Assets",Table8[[#This Row],[Debit\]]-Table8[[#This Row],[Credit.]]),Table8[[#This Row],[Debit\]]-Table8[[#This Row],[Credit.]],""),"")</f>
        <v/>
      </c>
      <c r="AH68" s="34" t="str">
        <f>IFERROR(IF(AND(OR(Table8[[#This Row],[Classification]]="Liabilities",Table8[[#This Row],[Classification]]="Owner´s Equity"),Table8[[#This Row],[Credit.]]&gt;Table8[[#This Row],[Debit\]]),Table8[[#This Row],[Credit.]]-Table8[[#This Row],[Debit\]],""),"")</f>
        <v/>
      </c>
    </row>
    <row r="69" spans="2:34" x14ac:dyDescent="0.25">
      <c r="B69" s="34"/>
      <c r="C69" s="37" t="s">
        <v>123</v>
      </c>
      <c r="D69" s="34">
        <v>278343</v>
      </c>
      <c r="E69" s="34"/>
      <c r="G69" s="39"/>
      <c r="H69" s="40"/>
      <c r="I69" s="41"/>
      <c r="J69" s="41"/>
      <c r="L69" s="34">
        <v>62</v>
      </c>
      <c r="M69" s="35" t="s">
        <v>159</v>
      </c>
      <c r="N69" s="35" t="s">
        <v>124</v>
      </c>
      <c r="O69" s="34">
        <f>IFERROR(SUMIF(Table4[,],Table6[[#This Row],[Accounts Name]],Table4[,3]),"")</f>
        <v>181078.65</v>
      </c>
      <c r="P69" s="34">
        <f>IFERROR(SUMIF(Table4[,],Table6[[#This Row],[Accounts Name]],Table4[,2]),"")</f>
        <v>0</v>
      </c>
      <c r="S69" s="36">
        <f t="shared" si="0"/>
        <v>62</v>
      </c>
      <c r="T69" s="34"/>
      <c r="U69" s="37"/>
      <c r="V69" s="34">
        <f>IFERROR(SUMIF(Table6[Sub-Accounts],Table8[[#This Row],[Update your chart of accounts here]],Table6[Debit]),"")</f>
        <v>0</v>
      </c>
      <c r="W69" s="34">
        <f>IFERROR(SUMIF(Table6[Sub-Accounts],Table8[[#This Row],[Update your chart of accounts here]],Table6[Credit]),"")</f>
        <v>0</v>
      </c>
      <c r="X69" s="34"/>
      <c r="Y69" s="34"/>
      <c r="Z69" s="34"/>
      <c r="AA69" s="34"/>
      <c r="AB69" s="34">
        <f>MAX(Table8[[#This Row],[Debit]]+Table8[[#This Row],[Debit -]]-Table8[[#This Row],[Credit]]-Table8[[#This Row],[Credit +]],0)</f>
        <v>0</v>
      </c>
      <c r="AC69" s="34">
        <f>MAX(Table8[[#This Row],[Credit]]-Table8[[#This Row],[Debit]]+Table8[[#This Row],[Credit +]]-Table8[[#This Row],[Debit -]],0)</f>
        <v>0</v>
      </c>
      <c r="AD69" s="34" t="str">
        <f>IFERROR(IF(AND(OR(Table8[[#This Row],[Classification]]="Expense",Table8[[#This Row],[Classification]]="Cost of Goods Sold"),Table8[[#This Row],[Debit\]]&gt;Table8[[#This Row],[Credit.]]),Table8[[#This Row],[Debit\]]-Table8[[#This Row],[Credit.]],""),"")</f>
        <v/>
      </c>
      <c r="AE69" s="34" t="str">
        <f>IFERROR(IF(AND(OR(Table8[[#This Row],[Classification]]="Income",Table8[[#This Row],[Classification]]="Cost of Goods Sold"),Table8[[#This Row],[Credit.]]&gt;Table8[[#This Row],[Debit\]]),Table8[[#This Row],[Credit.]]-Table8[[#This Row],[Debit\]],""),"")</f>
        <v/>
      </c>
      <c r="AF69" s="34"/>
      <c r="AG69" s="34" t="str">
        <f>IFERROR(IF(AND(Table8[[#This Row],[Classification]]="Assets",Table8[[#This Row],[Debit\]]-Table8[[#This Row],[Credit.]]),Table8[[#This Row],[Debit\]]-Table8[[#This Row],[Credit.]],""),"")</f>
        <v/>
      </c>
      <c r="AH69" s="34" t="str">
        <f>IFERROR(IF(AND(OR(Table8[[#This Row],[Classification]]="Liabilities",Table8[[#This Row],[Classification]]="Owner´s Equity"),Table8[[#This Row],[Credit.]]&gt;Table8[[#This Row],[Debit\]]),Table8[[#This Row],[Credit.]]-Table8[[#This Row],[Debit\]],""),"")</f>
        <v/>
      </c>
    </row>
    <row r="70" spans="2:34" x14ac:dyDescent="0.25">
      <c r="B70" s="34"/>
      <c r="C70" s="37" t="s">
        <v>124</v>
      </c>
      <c r="D70" s="34">
        <v>181078.65</v>
      </c>
      <c r="E70" s="34"/>
      <c r="G70" s="39"/>
      <c r="H70" s="40"/>
      <c r="I70" s="41"/>
      <c r="J70" s="41"/>
      <c r="L70" s="34">
        <v>63</v>
      </c>
      <c r="M70" s="35" t="s">
        <v>165</v>
      </c>
      <c r="N70" s="35" t="s">
        <v>125</v>
      </c>
      <c r="O70" s="34">
        <f>IFERROR(SUMIF(Table4[,],Table6[[#This Row],[Accounts Name]],Table4[,3]),"")</f>
        <v>653656.38</v>
      </c>
      <c r="P70" s="34">
        <f>IFERROR(SUMIF(Table4[,],Table6[[#This Row],[Accounts Name]],Table4[,2]),"")</f>
        <v>0</v>
      </c>
      <c r="S70" s="36">
        <f t="shared" si="0"/>
        <v>63</v>
      </c>
      <c r="T70" s="34"/>
      <c r="U70" s="37"/>
      <c r="V70" s="34">
        <f>IFERROR(SUMIF(Table6[Sub-Accounts],Table8[[#This Row],[Update your chart of accounts here]],Table6[Debit]),"")</f>
        <v>0</v>
      </c>
      <c r="W70" s="34">
        <f>IFERROR(SUMIF(Table6[Sub-Accounts],Table8[[#This Row],[Update your chart of accounts here]],Table6[Credit]),"")</f>
        <v>0</v>
      </c>
      <c r="X70" s="34"/>
      <c r="Y70" s="34"/>
      <c r="Z70" s="34"/>
      <c r="AA70" s="34"/>
      <c r="AB70" s="34">
        <f>MAX(Table8[[#This Row],[Debit]]+Table8[[#This Row],[Debit -]]-Table8[[#This Row],[Credit]]-Table8[[#This Row],[Credit +]],0)</f>
        <v>0</v>
      </c>
      <c r="AC70" s="34">
        <f>MAX(Table8[[#This Row],[Credit]]-Table8[[#This Row],[Debit]]+Table8[[#This Row],[Credit +]]-Table8[[#This Row],[Debit -]],0)</f>
        <v>0</v>
      </c>
      <c r="AD70" s="34" t="str">
        <f>IFERROR(IF(AND(OR(Table8[[#This Row],[Classification]]="Expense",Table8[[#This Row],[Classification]]="Cost of Goods Sold"),Table8[[#This Row],[Debit\]]&gt;Table8[[#This Row],[Credit.]]),Table8[[#This Row],[Debit\]]-Table8[[#This Row],[Credit.]],""),"")</f>
        <v/>
      </c>
      <c r="AE70" s="34" t="str">
        <f>IFERROR(IF(AND(OR(Table8[[#This Row],[Classification]]="Income",Table8[[#This Row],[Classification]]="Cost of Goods Sold"),Table8[[#This Row],[Credit.]]&gt;Table8[[#This Row],[Debit\]]),Table8[[#This Row],[Credit.]]-Table8[[#This Row],[Debit\]],""),"")</f>
        <v/>
      </c>
      <c r="AF70" s="34"/>
      <c r="AG70" s="34" t="str">
        <f>IFERROR(IF(AND(Table8[[#This Row],[Classification]]="Assets",Table8[[#This Row],[Debit\]]-Table8[[#This Row],[Credit.]]),Table8[[#This Row],[Debit\]]-Table8[[#This Row],[Credit.]],""),"")</f>
        <v/>
      </c>
      <c r="AH70" s="34" t="str">
        <f>IFERROR(IF(AND(OR(Table8[[#This Row],[Classification]]="Liabilities",Table8[[#This Row],[Classification]]="Owner´s Equity"),Table8[[#This Row],[Credit.]]&gt;Table8[[#This Row],[Debit\]]),Table8[[#This Row],[Credit.]]-Table8[[#This Row],[Debit\]],""),"")</f>
        <v/>
      </c>
    </row>
    <row r="71" spans="2:34" x14ac:dyDescent="0.25">
      <c r="B71" s="34"/>
      <c r="C71" s="37" t="s">
        <v>125</v>
      </c>
      <c r="D71" s="34">
        <v>653656.38</v>
      </c>
      <c r="E71" s="34"/>
      <c r="G71" s="39"/>
      <c r="H71" s="43"/>
      <c r="I71" s="41"/>
      <c r="J71" s="41"/>
      <c r="L71" s="34">
        <v>64</v>
      </c>
      <c r="M71" s="35" t="s">
        <v>160</v>
      </c>
      <c r="N71" s="35" t="s">
        <v>126</v>
      </c>
      <c r="O71" s="34">
        <f>IFERROR(SUMIF(Table4[,],Table6[[#This Row],[Accounts Name]],Table4[,3]),"")</f>
        <v>115440</v>
      </c>
      <c r="P71" s="34">
        <f>IFERROR(SUMIF(Table4[,],Table6[[#This Row],[Accounts Name]],Table4[,2]),"")</f>
        <v>0</v>
      </c>
      <c r="S71" s="36">
        <f t="shared" si="0"/>
        <v>64</v>
      </c>
      <c r="T71" s="34"/>
      <c r="U71" s="37"/>
      <c r="V71" s="34">
        <f>IFERROR(SUMIF(Table6[Sub-Accounts],Table8[[#This Row],[Update your chart of accounts here]],Table6[Debit]),"")</f>
        <v>0</v>
      </c>
      <c r="W71" s="34">
        <f>IFERROR(SUMIF(Table6[Sub-Accounts],Table8[[#This Row],[Update your chart of accounts here]],Table6[Credit]),"")</f>
        <v>0</v>
      </c>
      <c r="X71" s="34"/>
      <c r="Y71" s="34"/>
      <c r="Z71" s="34"/>
      <c r="AA71" s="34"/>
      <c r="AB71" s="34">
        <f>MAX(Table8[[#This Row],[Debit]]+Table8[[#This Row],[Debit -]]-Table8[[#This Row],[Credit]]-Table8[[#This Row],[Credit +]],0)</f>
        <v>0</v>
      </c>
      <c r="AC71" s="34">
        <f>MAX(Table8[[#This Row],[Credit]]-Table8[[#This Row],[Debit]]+Table8[[#This Row],[Credit +]]-Table8[[#This Row],[Debit -]],0)</f>
        <v>0</v>
      </c>
      <c r="AD71" s="34" t="str">
        <f>IFERROR(IF(AND(OR(Table8[[#This Row],[Classification]]="Expense",Table8[[#This Row],[Classification]]="Cost of Goods Sold"),Table8[[#This Row],[Debit\]]&gt;Table8[[#This Row],[Credit.]]),Table8[[#This Row],[Debit\]]-Table8[[#This Row],[Credit.]],""),"")</f>
        <v/>
      </c>
      <c r="AE71" s="34" t="str">
        <f>IFERROR(IF(AND(OR(Table8[[#This Row],[Classification]]="Income",Table8[[#This Row],[Classification]]="Cost of Goods Sold"),Table8[[#This Row],[Credit.]]&gt;Table8[[#This Row],[Debit\]]),Table8[[#This Row],[Credit.]]-Table8[[#This Row],[Debit\]],""),"")</f>
        <v/>
      </c>
      <c r="AF71" s="34"/>
      <c r="AG71" s="34" t="str">
        <f>IFERROR(IF(AND(Table8[[#This Row],[Classification]]="Assets",Table8[[#This Row],[Debit\]]-Table8[[#This Row],[Credit.]]),Table8[[#This Row],[Debit\]]-Table8[[#This Row],[Credit.]],""),"")</f>
        <v/>
      </c>
      <c r="AH71" s="34" t="str">
        <f>IFERROR(IF(AND(OR(Table8[[#This Row],[Classification]]="Liabilities",Table8[[#This Row],[Classification]]="Owner´s Equity"),Table8[[#This Row],[Credit.]]&gt;Table8[[#This Row],[Debit\]]),Table8[[#This Row],[Credit.]]-Table8[[#This Row],[Debit\]],""),"")</f>
        <v/>
      </c>
    </row>
    <row r="72" spans="2:34" x14ac:dyDescent="0.25">
      <c r="B72" s="34"/>
      <c r="C72" s="37" t="s">
        <v>126</v>
      </c>
      <c r="D72" s="34">
        <v>115440</v>
      </c>
      <c r="E72" s="34"/>
      <c r="G72" s="39"/>
      <c r="H72" s="40"/>
      <c r="I72" s="41"/>
      <c r="J72" s="41"/>
      <c r="L72" s="34">
        <v>65</v>
      </c>
      <c r="M72" s="35" t="s">
        <v>166</v>
      </c>
      <c r="N72" s="35" t="s">
        <v>127</v>
      </c>
      <c r="O72" s="34">
        <f>IFERROR(SUMIF(Table4[,],Table6[[#This Row],[Accounts Name]],Table4[,3]),"")</f>
        <v>1409746.56</v>
      </c>
      <c r="P72" s="34">
        <f>IFERROR(SUMIF(Table4[,],Table6[[#This Row],[Accounts Name]],Table4[,2]),"")</f>
        <v>0</v>
      </c>
      <c r="S72" s="36">
        <f t="shared" si="0"/>
        <v>65</v>
      </c>
      <c r="T72" s="34"/>
      <c r="U72" s="37"/>
      <c r="V72" s="34">
        <f>IFERROR(SUMIF(Table6[Sub-Accounts],Table8[[#This Row],[Update your chart of accounts here]],Table6[Debit]),"")</f>
        <v>0</v>
      </c>
      <c r="W72" s="34">
        <f>IFERROR(SUMIF(Table6[Sub-Accounts],Table8[[#This Row],[Update your chart of accounts here]],Table6[Credit]),"")</f>
        <v>0</v>
      </c>
      <c r="X72" s="34"/>
      <c r="Y72" s="34"/>
      <c r="Z72" s="34"/>
      <c r="AA72" s="34"/>
      <c r="AB72" s="34">
        <f>MAX(Table8[[#This Row],[Debit]]+Table8[[#This Row],[Debit -]]-Table8[[#This Row],[Credit]]-Table8[[#This Row],[Credit +]],0)</f>
        <v>0</v>
      </c>
      <c r="AC72" s="34">
        <f>MAX(Table8[[#This Row],[Credit]]-Table8[[#This Row],[Debit]]+Table8[[#This Row],[Credit +]]-Table8[[#This Row],[Debit -]],0)</f>
        <v>0</v>
      </c>
      <c r="AD72" s="34" t="str">
        <f>IFERROR(IF(AND(OR(Table8[[#This Row],[Classification]]="Expense",Table8[[#This Row],[Classification]]="Cost of Goods Sold"),Table8[[#This Row],[Debit\]]&gt;Table8[[#This Row],[Credit.]]),Table8[[#This Row],[Debit\]]-Table8[[#This Row],[Credit.]],""),"")</f>
        <v/>
      </c>
      <c r="AE72" s="34" t="str">
        <f>IFERROR(IF(AND(OR(Table8[[#This Row],[Classification]]="Income",Table8[[#This Row],[Classification]]="Cost of Goods Sold"),Table8[[#This Row],[Credit.]]&gt;Table8[[#This Row],[Debit\]]),Table8[[#This Row],[Credit.]]-Table8[[#This Row],[Debit\]],""),"")</f>
        <v/>
      </c>
      <c r="AF72" s="34"/>
      <c r="AG72" s="34" t="str">
        <f>IFERROR(IF(AND(Table8[[#This Row],[Classification]]="Assets",Table8[[#This Row],[Debit\]]-Table8[[#This Row],[Credit.]]),Table8[[#This Row],[Debit\]]-Table8[[#This Row],[Credit.]],""),"")</f>
        <v/>
      </c>
      <c r="AH72" s="34" t="str">
        <f>IFERROR(IF(AND(OR(Table8[[#This Row],[Classification]]="Liabilities",Table8[[#This Row],[Classification]]="Owner´s Equity"),Table8[[#This Row],[Credit.]]&gt;Table8[[#This Row],[Debit\]]),Table8[[#This Row],[Credit.]]-Table8[[#This Row],[Debit\]],""),"")</f>
        <v/>
      </c>
    </row>
    <row r="73" spans="2:34" x14ac:dyDescent="0.25">
      <c r="B73" s="34"/>
      <c r="C73" s="37" t="s">
        <v>127</v>
      </c>
      <c r="D73" s="34">
        <v>1409746.56</v>
      </c>
      <c r="E73" s="34"/>
      <c r="G73" s="39"/>
      <c r="H73" s="40"/>
      <c r="I73" s="41"/>
      <c r="J73" s="41"/>
      <c r="L73" s="34">
        <v>66</v>
      </c>
      <c r="M73" s="35" t="s">
        <v>152</v>
      </c>
      <c r="N73" s="35" t="s">
        <v>128</v>
      </c>
      <c r="O73" s="34">
        <f>IFERROR(SUMIF(Table4[,],Table6[[#This Row],[Accounts Name]],Table4[,3]),"")</f>
        <v>1758</v>
      </c>
      <c r="P73" s="34">
        <f>IFERROR(SUMIF(Table4[,],Table6[[#This Row],[Accounts Name]],Table4[,2]),"")</f>
        <v>0</v>
      </c>
      <c r="S73" s="36">
        <f t="shared" si="0"/>
        <v>66</v>
      </c>
      <c r="T73" s="34"/>
      <c r="U73" s="37"/>
      <c r="V73" s="34">
        <f>IFERROR(SUMIF(Table6[Sub-Accounts],Table8[[#This Row],[Update your chart of accounts here]],Table6[Debit]),"")</f>
        <v>0</v>
      </c>
      <c r="W73" s="34">
        <f>IFERROR(SUMIF(Table6[Sub-Accounts],Table8[[#This Row],[Update your chart of accounts here]],Table6[Credit]),"")</f>
        <v>0</v>
      </c>
      <c r="X73" s="34"/>
      <c r="Y73" s="34"/>
      <c r="Z73" s="34"/>
      <c r="AA73" s="34"/>
      <c r="AB73" s="34">
        <f>MAX(Table8[[#This Row],[Debit]]+Table8[[#This Row],[Debit -]]-Table8[[#This Row],[Credit]]-Table8[[#This Row],[Credit +]],0)</f>
        <v>0</v>
      </c>
      <c r="AC73" s="34">
        <f>MAX(Table8[[#This Row],[Credit]]-Table8[[#This Row],[Debit]]+Table8[[#This Row],[Credit +]]-Table8[[#This Row],[Debit -]],0)</f>
        <v>0</v>
      </c>
      <c r="AD73" s="34" t="str">
        <f>IFERROR(IF(AND(OR(Table8[[#This Row],[Classification]]="Expense",Table8[[#This Row],[Classification]]="Cost of Goods Sold"),Table8[[#This Row],[Debit\]]&gt;Table8[[#This Row],[Credit.]]),Table8[[#This Row],[Debit\]]-Table8[[#This Row],[Credit.]],""),"")</f>
        <v/>
      </c>
      <c r="AE73" s="34" t="str">
        <f>IFERROR(IF(AND(OR(Table8[[#This Row],[Classification]]="Income",Table8[[#This Row],[Classification]]="Cost of Goods Sold"),Table8[[#This Row],[Credit.]]&gt;Table8[[#This Row],[Debit\]]),Table8[[#This Row],[Credit.]]-Table8[[#This Row],[Debit\]],""),"")</f>
        <v/>
      </c>
      <c r="AF73" s="34"/>
      <c r="AG73" s="34" t="str">
        <f>IFERROR(IF(AND(Table8[[#This Row],[Classification]]="Assets",Table8[[#This Row],[Debit\]]-Table8[[#This Row],[Credit.]]),Table8[[#This Row],[Debit\]]-Table8[[#This Row],[Credit.]],""),"")</f>
        <v/>
      </c>
      <c r="AH73" s="34" t="str">
        <f>IFERROR(IF(AND(OR(Table8[[#This Row],[Classification]]="Liabilities",Table8[[#This Row],[Classification]]="Owner´s Equity"),Table8[[#This Row],[Credit.]]&gt;Table8[[#This Row],[Debit\]]),Table8[[#This Row],[Credit.]]-Table8[[#This Row],[Debit\]],""),"")</f>
        <v/>
      </c>
    </row>
    <row r="74" spans="2:34" x14ac:dyDescent="0.25">
      <c r="B74" s="34"/>
      <c r="C74" s="37" t="s">
        <v>128</v>
      </c>
      <c r="D74" s="34">
        <v>1758</v>
      </c>
      <c r="E74" s="34"/>
      <c r="G74" s="39"/>
      <c r="H74" s="43"/>
      <c r="I74" s="41"/>
      <c r="J74" s="41"/>
      <c r="L74" s="34">
        <v>67</v>
      </c>
      <c r="M74" s="35" t="s">
        <v>167</v>
      </c>
      <c r="N74" s="35" t="s">
        <v>129</v>
      </c>
      <c r="O74" s="34">
        <f>IFERROR(SUMIF(Table4[,],Table6[[#This Row],[Accounts Name]],Table4[,3]),"")</f>
        <v>196582.42</v>
      </c>
      <c r="P74" s="34">
        <f>IFERROR(SUMIF(Table4[,],Table6[[#This Row],[Accounts Name]],Table4[,2]),"")</f>
        <v>0</v>
      </c>
      <c r="S74" s="36">
        <f t="shared" ref="S74:S137" si="1">S73+1</f>
        <v>67</v>
      </c>
      <c r="T74" s="34"/>
      <c r="U74" s="37"/>
      <c r="V74" s="34">
        <f>IFERROR(SUMIF(Table6[Sub-Accounts],Table8[[#This Row],[Update your chart of accounts here]],Table6[Debit]),"")</f>
        <v>0</v>
      </c>
      <c r="W74" s="34">
        <f>IFERROR(SUMIF(Table6[Sub-Accounts],Table8[[#This Row],[Update your chart of accounts here]],Table6[Credit]),"")</f>
        <v>0</v>
      </c>
      <c r="X74" s="34"/>
      <c r="Y74" s="34"/>
      <c r="Z74" s="34"/>
      <c r="AA74" s="34"/>
      <c r="AB74" s="34">
        <f>MAX(Table8[[#This Row],[Debit]]+Table8[[#This Row],[Debit -]]-Table8[[#This Row],[Credit]]-Table8[[#This Row],[Credit +]],0)</f>
        <v>0</v>
      </c>
      <c r="AC74" s="34">
        <f>MAX(Table8[[#This Row],[Credit]]-Table8[[#This Row],[Debit]]+Table8[[#This Row],[Credit +]]-Table8[[#This Row],[Debit -]],0)</f>
        <v>0</v>
      </c>
      <c r="AD74" s="34" t="str">
        <f>IFERROR(IF(AND(OR(Table8[[#This Row],[Classification]]="Expense",Table8[[#This Row],[Classification]]="Cost of Goods Sold"),Table8[[#This Row],[Debit\]]&gt;Table8[[#This Row],[Credit.]]),Table8[[#This Row],[Debit\]]-Table8[[#This Row],[Credit.]],""),"")</f>
        <v/>
      </c>
      <c r="AE74" s="34" t="str">
        <f>IFERROR(IF(AND(OR(Table8[[#This Row],[Classification]]="Income",Table8[[#This Row],[Classification]]="Cost of Goods Sold"),Table8[[#This Row],[Credit.]]&gt;Table8[[#This Row],[Debit\]]),Table8[[#This Row],[Credit.]]-Table8[[#This Row],[Debit\]],""),"")</f>
        <v/>
      </c>
      <c r="AF74" s="34"/>
      <c r="AG74" s="34" t="str">
        <f>IFERROR(IF(AND(Table8[[#This Row],[Classification]]="Assets",Table8[[#This Row],[Debit\]]-Table8[[#This Row],[Credit.]]),Table8[[#This Row],[Debit\]]-Table8[[#This Row],[Credit.]],""),"")</f>
        <v/>
      </c>
      <c r="AH74" s="34" t="str">
        <f>IFERROR(IF(AND(OR(Table8[[#This Row],[Classification]]="Liabilities",Table8[[#This Row],[Classification]]="Owner´s Equity"),Table8[[#This Row],[Credit.]]&gt;Table8[[#This Row],[Debit\]]),Table8[[#This Row],[Credit.]]-Table8[[#This Row],[Debit\]],""),"")</f>
        <v/>
      </c>
    </row>
    <row r="75" spans="2:34" x14ac:dyDescent="0.25">
      <c r="B75" s="34"/>
      <c r="C75" s="37" t="s">
        <v>129</v>
      </c>
      <c r="D75" s="34">
        <v>196582.42</v>
      </c>
      <c r="E75" s="34"/>
      <c r="G75" s="39"/>
      <c r="H75" s="40"/>
      <c r="I75" s="41"/>
      <c r="J75" s="41"/>
      <c r="L75" s="34">
        <v>68</v>
      </c>
      <c r="M75" s="35" t="s">
        <v>151</v>
      </c>
      <c r="N75" s="35" t="s">
        <v>130</v>
      </c>
      <c r="O75" s="34">
        <f>IFERROR(SUMIF(Table4[,],Table6[[#This Row],[Accounts Name]],Table4[,3]),"")</f>
        <v>3069792</v>
      </c>
      <c r="P75" s="34">
        <f>IFERROR(SUMIF(Table4[,],Table6[[#This Row],[Accounts Name]],Table4[,2]),"")</f>
        <v>0</v>
      </c>
      <c r="S75" s="36">
        <f t="shared" si="1"/>
        <v>68</v>
      </c>
      <c r="T75" s="34"/>
      <c r="U75" s="37"/>
      <c r="V75" s="34">
        <f>IFERROR(SUMIF(Table6[Sub-Accounts],Table8[[#This Row],[Update your chart of accounts here]],Table6[Debit]),"")</f>
        <v>0</v>
      </c>
      <c r="W75" s="34">
        <f>IFERROR(SUMIF(Table6[Sub-Accounts],Table8[[#This Row],[Update your chart of accounts here]],Table6[Credit]),"")</f>
        <v>0</v>
      </c>
      <c r="X75" s="34"/>
      <c r="Y75" s="34"/>
      <c r="Z75" s="34"/>
      <c r="AA75" s="34"/>
      <c r="AB75" s="34">
        <f>MAX(Table8[[#This Row],[Debit]]+Table8[[#This Row],[Debit -]]-Table8[[#This Row],[Credit]]-Table8[[#This Row],[Credit +]],0)</f>
        <v>0</v>
      </c>
      <c r="AC75" s="34">
        <f>MAX(Table8[[#This Row],[Credit]]-Table8[[#This Row],[Debit]]+Table8[[#This Row],[Credit +]]-Table8[[#This Row],[Debit -]],0)</f>
        <v>0</v>
      </c>
      <c r="AD75" s="34" t="str">
        <f>IFERROR(IF(AND(OR(Table8[[#This Row],[Classification]]="Expense",Table8[[#This Row],[Classification]]="Cost of Goods Sold"),Table8[[#This Row],[Debit\]]&gt;Table8[[#This Row],[Credit.]]),Table8[[#This Row],[Debit\]]-Table8[[#This Row],[Credit.]],""),"")</f>
        <v/>
      </c>
      <c r="AE75" s="34" t="str">
        <f>IFERROR(IF(AND(OR(Table8[[#This Row],[Classification]]="Income",Table8[[#This Row],[Classification]]="Cost of Goods Sold"),Table8[[#This Row],[Credit.]]&gt;Table8[[#This Row],[Debit\]]),Table8[[#This Row],[Credit.]]-Table8[[#This Row],[Debit\]],""),"")</f>
        <v/>
      </c>
      <c r="AF75" s="34"/>
      <c r="AG75" s="34" t="str">
        <f>IFERROR(IF(AND(Table8[[#This Row],[Classification]]="Assets",Table8[[#This Row],[Debit\]]-Table8[[#This Row],[Credit.]]),Table8[[#This Row],[Debit\]]-Table8[[#This Row],[Credit.]],""),"")</f>
        <v/>
      </c>
      <c r="AH75" s="34" t="str">
        <f>IFERROR(IF(AND(OR(Table8[[#This Row],[Classification]]="Liabilities",Table8[[#This Row],[Classification]]="Owner´s Equity"),Table8[[#This Row],[Credit.]]&gt;Table8[[#This Row],[Debit\]]),Table8[[#This Row],[Credit.]]-Table8[[#This Row],[Debit\]],""),"")</f>
        <v/>
      </c>
    </row>
    <row r="76" spans="2:34" x14ac:dyDescent="0.25">
      <c r="B76" s="34"/>
      <c r="C76" s="37" t="s">
        <v>130</v>
      </c>
      <c r="D76" s="34">
        <v>3069792</v>
      </c>
      <c r="E76" s="34"/>
      <c r="G76" s="39"/>
      <c r="H76" s="40"/>
      <c r="I76" s="41"/>
      <c r="J76" s="41"/>
      <c r="L76" s="34">
        <v>69</v>
      </c>
      <c r="M76" s="35" t="s">
        <v>168</v>
      </c>
      <c r="N76" s="35" t="s">
        <v>131</v>
      </c>
      <c r="O76" s="34">
        <f>IFERROR(SUMIF(Table4[,],Table6[[#This Row],[Accounts Name]],Table4[,3]),"")</f>
        <v>302989.64</v>
      </c>
      <c r="P76" s="34">
        <f>IFERROR(SUMIF(Table4[,],Table6[[#This Row],[Accounts Name]],Table4[,2]),"")</f>
        <v>0</v>
      </c>
      <c r="S76" s="36">
        <f t="shared" si="1"/>
        <v>69</v>
      </c>
      <c r="T76" s="34"/>
      <c r="U76" s="37"/>
      <c r="V76" s="34">
        <f>IFERROR(SUMIF(Table6[Sub-Accounts],Table8[[#This Row],[Update your chart of accounts here]],Table6[Debit]),"")</f>
        <v>0</v>
      </c>
      <c r="W76" s="34">
        <f>IFERROR(SUMIF(Table6[Sub-Accounts],Table8[[#This Row],[Update your chart of accounts here]],Table6[Credit]),"")</f>
        <v>0</v>
      </c>
      <c r="X76" s="34"/>
      <c r="Y76" s="34"/>
      <c r="Z76" s="34"/>
      <c r="AA76" s="34"/>
      <c r="AB76" s="34">
        <f>MAX(Table8[[#This Row],[Debit]]+Table8[[#This Row],[Debit -]]-Table8[[#This Row],[Credit]]-Table8[[#This Row],[Credit +]],0)</f>
        <v>0</v>
      </c>
      <c r="AC76" s="34">
        <f>MAX(Table8[[#This Row],[Credit]]-Table8[[#This Row],[Debit]]+Table8[[#This Row],[Credit +]]-Table8[[#This Row],[Debit -]],0)</f>
        <v>0</v>
      </c>
      <c r="AD76" s="34" t="str">
        <f>IFERROR(IF(AND(OR(Table8[[#This Row],[Classification]]="Expense",Table8[[#This Row],[Classification]]="Cost of Goods Sold"),Table8[[#This Row],[Debit\]]&gt;Table8[[#This Row],[Credit.]]),Table8[[#This Row],[Debit\]]-Table8[[#This Row],[Credit.]],""),"")</f>
        <v/>
      </c>
      <c r="AE76" s="34" t="str">
        <f>IFERROR(IF(AND(OR(Table8[[#This Row],[Classification]]="Income",Table8[[#This Row],[Classification]]="Cost of Goods Sold"),Table8[[#This Row],[Credit.]]&gt;Table8[[#This Row],[Debit\]]),Table8[[#This Row],[Credit.]]-Table8[[#This Row],[Debit\]],""),"")</f>
        <v/>
      </c>
      <c r="AF76" s="34"/>
      <c r="AG76" s="34" t="str">
        <f>IFERROR(IF(AND(Table8[[#This Row],[Classification]]="Assets",Table8[[#This Row],[Debit\]]-Table8[[#This Row],[Credit.]]),Table8[[#This Row],[Debit\]]-Table8[[#This Row],[Credit.]],""),"")</f>
        <v/>
      </c>
      <c r="AH76" s="34" t="str">
        <f>IFERROR(IF(AND(OR(Table8[[#This Row],[Classification]]="Liabilities",Table8[[#This Row],[Classification]]="Owner´s Equity"),Table8[[#This Row],[Credit.]]&gt;Table8[[#This Row],[Debit\]]),Table8[[#This Row],[Credit.]]-Table8[[#This Row],[Debit\]],""),"")</f>
        <v/>
      </c>
    </row>
    <row r="77" spans="2:34" x14ac:dyDescent="0.25">
      <c r="B77" s="34"/>
      <c r="C77" s="37" t="s">
        <v>131</v>
      </c>
      <c r="D77" s="34">
        <v>302989.64</v>
      </c>
      <c r="E77" s="34"/>
      <c r="G77" s="39"/>
      <c r="H77" s="43"/>
      <c r="I77" s="41"/>
      <c r="J77" s="41"/>
      <c r="L77" s="34">
        <v>70</v>
      </c>
      <c r="M77" s="35" t="s">
        <v>167</v>
      </c>
      <c r="N77" s="35" t="s">
        <v>132</v>
      </c>
      <c r="O77" s="34">
        <f>IFERROR(SUMIF(Table4[,],Table6[[#This Row],[Accounts Name]],Table4[,3]),"")</f>
        <v>35000</v>
      </c>
      <c r="P77" s="34">
        <f>IFERROR(SUMIF(Table4[,],Table6[[#This Row],[Accounts Name]],Table4[,2]),"")</f>
        <v>0</v>
      </c>
      <c r="S77" s="36">
        <f t="shared" si="1"/>
        <v>70</v>
      </c>
      <c r="T77" s="34"/>
      <c r="U77" s="37"/>
      <c r="V77" s="34">
        <f>IFERROR(SUMIF(Table6[Sub-Accounts],Table8[[#This Row],[Update your chart of accounts here]],Table6[Debit]),"")</f>
        <v>0</v>
      </c>
      <c r="W77" s="34">
        <f>IFERROR(SUMIF(Table6[Sub-Accounts],Table8[[#This Row],[Update your chart of accounts here]],Table6[Credit]),"")</f>
        <v>0</v>
      </c>
      <c r="X77" s="34"/>
      <c r="Y77" s="34"/>
      <c r="Z77" s="34"/>
      <c r="AA77" s="34"/>
      <c r="AB77" s="34">
        <f>MAX(Table8[[#This Row],[Debit]]+Table8[[#This Row],[Debit -]]-Table8[[#This Row],[Credit]]-Table8[[#This Row],[Credit +]],0)</f>
        <v>0</v>
      </c>
      <c r="AC77" s="34">
        <f>MAX(Table8[[#This Row],[Credit]]-Table8[[#This Row],[Debit]]+Table8[[#This Row],[Credit +]]-Table8[[#This Row],[Debit -]],0)</f>
        <v>0</v>
      </c>
      <c r="AD77" s="34" t="str">
        <f>IFERROR(IF(AND(OR(Table8[[#This Row],[Classification]]="Expense",Table8[[#This Row],[Classification]]="Cost of Goods Sold"),Table8[[#This Row],[Debit\]]&gt;Table8[[#This Row],[Credit.]]),Table8[[#This Row],[Debit\]]-Table8[[#This Row],[Credit.]],""),"")</f>
        <v/>
      </c>
      <c r="AE77" s="34" t="str">
        <f>IFERROR(IF(AND(OR(Table8[[#This Row],[Classification]]="Income",Table8[[#This Row],[Classification]]="Cost of Goods Sold"),Table8[[#This Row],[Credit.]]&gt;Table8[[#This Row],[Debit\]]),Table8[[#This Row],[Credit.]]-Table8[[#This Row],[Debit\]],""),"")</f>
        <v/>
      </c>
      <c r="AF77" s="34"/>
      <c r="AG77" s="34" t="str">
        <f>IFERROR(IF(AND(Table8[[#This Row],[Classification]]="Assets",Table8[[#This Row],[Debit\]]-Table8[[#This Row],[Credit.]]),Table8[[#This Row],[Debit\]]-Table8[[#This Row],[Credit.]],""),"")</f>
        <v/>
      </c>
      <c r="AH77" s="34" t="str">
        <f>IFERROR(IF(AND(OR(Table8[[#This Row],[Classification]]="Liabilities",Table8[[#This Row],[Classification]]="Owner´s Equity"),Table8[[#This Row],[Credit.]]&gt;Table8[[#This Row],[Debit\]]),Table8[[#This Row],[Credit.]]-Table8[[#This Row],[Debit\]],""),"")</f>
        <v/>
      </c>
    </row>
    <row r="78" spans="2:34" x14ac:dyDescent="0.25">
      <c r="B78" s="34"/>
      <c r="C78" s="37" t="s">
        <v>132</v>
      </c>
      <c r="D78" s="34">
        <v>35000</v>
      </c>
      <c r="E78" s="34"/>
      <c r="G78" s="39"/>
      <c r="H78" s="40"/>
      <c r="I78" s="41"/>
      <c r="J78" s="41"/>
      <c r="L78" s="34">
        <v>71</v>
      </c>
      <c r="M78" s="35" t="s">
        <v>167</v>
      </c>
      <c r="N78" s="35" t="s">
        <v>133</v>
      </c>
      <c r="O78" s="34">
        <f>IFERROR(SUMIF(Table4[,],Table6[[#This Row],[Accounts Name]],Table4[,3]),"")</f>
        <v>164240.34</v>
      </c>
      <c r="P78" s="34">
        <f>IFERROR(SUMIF(Table4[,],Table6[[#This Row],[Accounts Name]],Table4[,2]),"")</f>
        <v>0</v>
      </c>
      <c r="S78" s="36">
        <f t="shared" si="1"/>
        <v>71</v>
      </c>
      <c r="T78" s="34"/>
      <c r="U78" s="37"/>
      <c r="V78" s="34">
        <f>IFERROR(SUMIF(Table6[Sub-Accounts],Table8[[#This Row],[Update your chart of accounts here]],Table6[Debit]),"")</f>
        <v>0</v>
      </c>
      <c r="W78" s="34">
        <f>IFERROR(SUMIF(Table6[Sub-Accounts],Table8[[#This Row],[Update your chart of accounts here]],Table6[Credit]),"")</f>
        <v>0</v>
      </c>
      <c r="X78" s="34"/>
      <c r="Y78" s="34"/>
      <c r="Z78" s="34"/>
      <c r="AA78" s="34"/>
      <c r="AB78" s="34">
        <f>MAX(Table8[[#This Row],[Debit]]+Table8[[#This Row],[Debit -]]-Table8[[#This Row],[Credit]]-Table8[[#This Row],[Credit +]],0)</f>
        <v>0</v>
      </c>
      <c r="AC78" s="34">
        <f>MAX(Table8[[#This Row],[Credit]]-Table8[[#This Row],[Debit]]+Table8[[#This Row],[Credit +]]-Table8[[#This Row],[Debit -]],0)</f>
        <v>0</v>
      </c>
      <c r="AD78" s="34" t="str">
        <f>IFERROR(IF(AND(OR(Table8[[#This Row],[Classification]]="Expense",Table8[[#This Row],[Classification]]="Cost of Goods Sold"),Table8[[#This Row],[Debit\]]&gt;Table8[[#This Row],[Credit.]]),Table8[[#This Row],[Debit\]]-Table8[[#This Row],[Credit.]],""),"")</f>
        <v/>
      </c>
      <c r="AE78" s="34" t="str">
        <f>IFERROR(IF(AND(OR(Table8[[#This Row],[Classification]]="Income",Table8[[#This Row],[Classification]]="Cost of Goods Sold"),Table8[[#This Row],[Credit.]]&gt;Table8[[#This Row],[Debit\]]),Table8[[#This Row],[Credit.]]-Table8[[#This Row],[Debit\]],""),"")</f>
        <v/>
      </c>
      <c r="AF78" s="34"/>
      <c r="AG78" s="34" t="str">
        <f>IFERROR(IF(AND(Table8[[#This Row],[Classification]]="Assets",Table8[[#This Row],[Debit\]]-Table8[[#This Row],[Credit.]]),Table8[[#This Row],[Debit\]]-Table8[[#This Row],[Credit.]],""),"")</f>
        <v/>
      </c>
      <c r="AH78" s="34" t="str">
        <f>IFERROR(IF(AND(OR(Table8[[#This Row],[Classification]]="Liabilities",Table8[[#This Row],[Classification]]="Owner´s Equity"),Table8[[#This Row],[Credit.]]&gt;Table8[[#This Row],[Debit\]]),Table8[[#This Row],[Credit.]]-Table8[[#This Row],[Debit\]],""),"")</f>
        <v/>
      </c>
    </row>
    <row r="79" spans="2:34" x14ac:dyDescent="0.25">
      <c r="B79" s="34"/>
      <c r="C79" s="37" t="s">
        <v>133</v>
      </c>
      <c r="D79" s="34">
        <v>164240.34</v>
      </c>
      <c r="E79" s="34"/>
      <c r="G79" s="39"/>
      <c r="H79" s="40"/>
      <c r="I79" s="41"/>
      <c r="J79" s="41"/>
      <c r="L79" s="34">
        <v>72</v>
      </c>
      <c r="M79" s="35" t="s">
        <v>169</v>
      </c>
      <c r="N79" s="35" t="s">
        <v>134</v>
      </c>
      <c r="O79" s="34">
        <f>IFERROR(SUMIF(Table4[,],Table6[[#This Row],[Accounts Name]],Table4[,3]),"")</f>
        <v>2000</v>
      </c>
      <c r="P79" s="34">
        <f>IFERROR(SUMIF(Table4[,],Table6[[#This Row],[Accounts Name]],Table4[,2]),"")</f>
        <v>0</v>
      </c>
      <c r="S79" s="36">
        <f t="shared" si="1"/>
        <v>72</v>
      </c>
      <c r="T79" s="34"/>
      <c r="U79" s="37"/>
      <c r="V79" s="34">
        <f>IFERROR(SUMIF(Table6[Sub-Accounts],Table8[[#This Row],[Update your chart of accounts here]],Table6[Debit]),"")</f>
        <v>0</v>
      </c>
      <c r="W79" s="34">
        <f>IFERROR(SUMIF(Table6[Sub-Accounts],Table8[[#This Row],[Update your chart of accounts here]],Table6[Credit]),"")</f>
        <v>0</v>
      </c>
      <c r="X79" s="34"/>
      <c r="Y79" s="34"/>
      <c r="Z79" s="34"/>
      <c r="AA79" s="34"/>
      <c r="AB79" s="34">
        <f>MAX(Table8[[#This Row],[Debit]]+Table8[[#This Row],[Debit -]]-Table8[[#This Row],[Credit]]-Table8[[#This Row],[Credit +]],0)</f>
        <v>0</v>
      </c>
      <c r="AC79" s="34">
        <f>MAX(Table8[[#This Row],[Credit]]-Table8[[#This Row],[Debit]]+Table8[[#This Row],[Credit +]]-Table8[[#This Row],[Debit -]],0)</f>
        <v>0</v>
      </c>
      <c r="AD79" s="34" t="str">
        <f>IFERROR(IF(AND(OR(Table8[[#This Row],[Classification]]="Expense",Table8[[#This Row],[Classification]]="Cost of Goods Sold"),Table8[[#This Row],[Debit\]]&gt;Table8[[#This Row],[Credit.]]),Table8[[#This Row],[Debit\]]-Table8[[#This Row],[Credit.]],""),"")</f>
        <v/>
      </c>
      <c r="AE79" s="34" t="str">
        <f>IFERROR(IF(AND(OR(Table8[[#This Row],[Classification]]="Income",Table8[[#This Row],[Classification]]="Cost of Goods Sold"),Table8[[#This Row],[Credit.]]&gt;Table8[[#This Row],[Debit\]]),Table8[[#This Row],[Credit.]]-Table8[[#This Row],[Debit\]],""),"")</f>
        <v/>
      </c>
      <c r="AF79" s="34"/>
      <c r="AG79" s="34" t="str">
        <f>IFERROR(IF(AND(Table8[[#This Row],[Classification]]="Assets",Table8[[#This Row],[Debit\]]-Table8[[#This Row],[Credit.]]),Table8[[#This Row],[Debit\]]-Table8[[#This Row],[Credit.]],""),"")</f>
        <v/>
      </c>
      <c r="AH79" s="34" t="str">
        <f>IFERROR(IF(AND(OR(Table8[[#This Row],[Classification]]="Liabilities",Table8[[#This Row],[Classification]]="Owner´s Equity"),Table8[[#This Row],[Credit.]]&gt;Table8[[#This Row],[Debit\]]),Table8[[#This Row],[Credit.]]-Table8[[#This Row],[Debit\]],""),"")</f>
        <v/>
      </c>
    </row>
    <row r="80" spans="2:34" x14ac:dyDescent="0.25">
      <c r="B80" s="34"/>
      <c r="C80" s="37" t="s">
        <v>134</v>
      </c>
      <c r="D80" s="34">
        <v>2000</v>
      </c>
      <c r="E80" s="34"/>
      <c r="G80" s="39"/>
      <c r="H80" s="43"/>
      <c r="I80" s="41"/>
      <c r="J80" s="41"/>
      <c r="L80" s="34">
        <v>73</v>
      </c>
      <c r="M80" s="35" t="s">
        <v>170</v>
      </c>
      <c r="N80" s="35" t="s">
        <v>135</v>
      </c>
      <c r="O80" s="34">
        <f>IFERROR(SUMIF(Table4[,],Table6[[#This Row],[Accounts Name]],Table4[,3]),"")</f>
        <v>13250</v>
      </c>
      <c r="P80" s="34">
        <f>IFERROR(SUMIF(Table4[,],Table6[[#This Row],[Accounts Name]],Table4[,2]),"")</f>
        <v>0</v>
      </c>
      <c r="S80" s="36">
        <f t="shared" si="1"/>
        <v>73</v>
      </c>
      <c r="T80" s="34"/>
      <c r="U80" s="37"/>
      <c r="V80" s="34">
        <f>IFERROR(SUMIF(Table6[Sub-Accounts],Table8[[#This Row],[Update your chart of accounts here]],Table6[Debit]),"")</f>
        <v>0</v>
      </c>
      <c r="W80" s="34">
        <f>IFERROR(SUMIF(Table6[Sub-Accounts],Table8[[#This Row],[Update your chart of accounts here]],Table6[Credit]),"")</f>
        <v>0</v>
      </c>
      <c r="X80" s="34"/>
      <c r="Y80" s="34"/>
      <c r="Z80" s="34"/>
      <c r="AA80" s="34"/>
      <c r="AB80" s="34">
        <f>MAX(Table8[[#This Row],[Debit]]+Table8[[#This Row],[Debit -]]-Table8[[#This Row],[Credit]]-Table8[[#This Row],[Credit +]],0)</f>
        <v>0</v>
      </c>
      <c r="AC80" s="34">
        <f>MAX(Table8[[#This Row],[Credit]]-Table8[[#This Row],[Debit]]+Table8[[#This Row],[Credit +]]-Table8[[#This Row],[Debit -]],0)</f>
        <v>0</v>
      </c>
      <c r="AD80" s="34" t="str">
        <f>IFERROR(IF(AND(OR(Table8[[#This Row],[Classification]]="Expense",Table8[[#This Row],[Classification]]="Cost of Goods Sold"),Table8[[#This Row],[Debit\]]&gt;Table8[[#This Row],[Credit.]]),Table8[[#This Row],[Debit\]]-Table8[[#This Row],[Credit.]],""),"")</f>
        <v/>
      </c>
      <c r="AE80" s="34" t="str">
        <f>IFERROR(IF(AND(OR(Table8[[#This Row],[Classification]]="Income",Table8[[#This Row],[Classification]]="Cost of Goods Sold"),Table8[[#This Row],[Credit.]]&gt;Table8[[#This Row],[Debit\]]),Table8[[#This Row],[Credit.]]-Table8[[#This Row],[Debit\]],""),"")</f>
        <v/>
      </c>
      <c r="AF80" s="34"/>
      <c r="AG80" s="34" t="str">
        <f>IFERROR(IF(AND(Table8[[#This Row],[Classification]]="Assets",Table8[[#This Row],[Debit\]]-Table8[[#This Row],[Credit.]]),Table8[[#This Row],[Debit\]]-Table8[[#This Row],[Credit.]],""),"")</f>
        <v/>
      </c>
      <c r="AH80" s="34" t="str">
        <f>IFERROR(IF(AND(OR(Table8[[#This Row],[Classification]]="Liabilities",Table8[[#This Row],[Classification]]="Owner´s Equity"),Table8[[#This Row],[Credit.]]&gt;Table8[[#This Row],[Debit\]]),Table8[[#This Row],[Credit.]]-Table8[[#This Row],[Debit\]],""),"")</f>
        <v/>
      </c>
    </row>
    <row r="81" spans="2:34" x14ac:dyDescent="0.25">
      <c r="B81" s="34"/>
      <c r="C81" s="37" t="s">
        <v>135</v>
      </c>
      <c r="D81" s="34">
        <v>13250</v>
      </c>
      <c r="E81" s="34"/>
      <c r="G81" s="39"/>
      <c r="H81" s="40"/>
      <c r="I81" s="41"/>
      <c r="J81" s="41"/>
      <c r="L81" s="34">
        <v>74</v>
      </c>
      <c r="M81" s="35" t="s">
        <v>156</v>
      </c>
      <c r="N81" s="35" t="s">
        <v>136</v>
      </c>
      <c r="O81" s="34">
        <f>IFERROR(SUMIF(Table4[,],Table6[[#This Row],[Accounts Name]],Table4[,3]),"")</f>
        <v>87416</v>
      </c>
      <c r="P81" s="34">
        <f>IFERROR(SUMIF(Table4[,],Table6[[#This Row],[Accounts Name]],Table4[,2]),"")</f>
        <v>0</v>
      </c>
      <c r="S81" s="36">
        <f t="shared" si="1"/>
        <v>74</v>
      </c>
      <c r="T81" s="34"/>
      <c r="U81" s="37"/>
      <c r="V81" s="34">
        <f>IFERROR(SUMIF(Table6[Sub-Accounts],Table8[[#This Row],[Update your chart of accounts here]],Table6[Debit]),"")</f>
        <v>0</v>
      </c>
      <c r="W81" s="34">
        <f>IFERROR(SUMIF(Table6[Sub-Accounts],Table8[[#This Row],[Update your chart of accounts here]],Table6[Credit]),"")</f>
        <v>0</v>
      </c>
      <c r="X81" s="34"/>
      <c r="Y81" s="34"/>
      <c r="Z81" s="34"/>
      <c r="AA81" s="34"/>
      <c r="AB81" s="34">
        <f>MAX(Table8[[#This Row],[Debit]]+Table8[[#This Row],[Debit -]]-Table8[[#This Row],[Credit]]-Table8[[#This Row],[Credit +]],0)</f>
        <v>0</v>
      </c>
      <c r="AC81" s="34">
        <f>MAX(Table8[[#This Row],[Credit]]-Table8[[#This Row],[Debit]]+Table8[[#This Row],[Credit +]]-Table8[[#This Row],[Debit -]],0)</f>
        <v>0</v>
      </c>
      <c r="AD81" s="34" t="str">
        <f>IFERROR(IF(AND(OR(Table8[[#This Row],[Classification]]="Expense",Table8[[#This Row],[Classification]]="Cost of Goods Sold"),Table8[[#This Row],[Debit\]]&gt;Table8[[#This Row],[Credit.]]),Table8[[#This Row],[Debit\]]-Table8[[#This Row],[Credit.]],""),"")</f>
        <v/>
      </c>
      <c r="AE81" s="34" t="str">
        <f>IFERROR(IF(AND(OR(Table8[[#This Row],[Classification]]="Income",Table8[[#This Row],[Classification]]="Cost of Goods Sold"),Table8[[#This Row],[Credit.]]&gt;Table8[[#This Row],[Debit\]]),Table8[[#This Row],[Credit.]]-Table8[[#This Row],[Debit\]],""),"")</f>
        <v/>
      </c>
      <c r="AF81" s="34"/>
      <c r="AG81" s="34" t="str">
        <f>IFERROR(IF(AND(Table8[[#This Row],[Classification]]="Assets",Table8[[#This Row],[Debit\]]-Table8[[#This Row],[Credit.]]),Table8[[#This Row],[Debit\]]-Table8[[#This Row],[Credit.]],""),"")</f>
        <v/>
      </c>
      <c r="AH81" s="34" t="str">
        <f>IFERROR(IF(AND(OR(Table8[[#This Row],[Classification]]="Liabilities",Table8[[#This Row],[Classification]]="Owner´s Equity"),Table8[[#This Row],[Credit.]]&gt;Table8[[#This Row],[Debit\]]),Table8[[#This Row],[Credit.]]-Table8[[#This Row],[Debit\]],""),"")</f>
        <v/>
      </c>
    </row>
    <row r="82" spans="2:34" x14ac:dyDescent="0.25">
      <c r="B82" s="34"/>
      <c r="C82" s="37" t="s">
        <v>136</v>
      </c>
      <c r="D82" s="34">
        <v>87416</v>
      </c>
      <c r="E82" s="34"/>
      <c r="G82" s="39"/>
      <c r="H82" s="40"/>
      <c r="I82" s="41"/>
      <c r="J82" s="41"/>
      <c r="L82" s="34">
        <v>75</v>
      </c>
      <c r="M82" s="35" t="s">
        <v>162</v>
      </c>
      <c r="N82" s="35" t="s">
        <v>137</v>
      </c>
      <c r="O82" s="34">
        <f>IFERROR(SUMIF(Table4[,],Table6[[#This Row],[Accounts Name]],Table4[,3]),"")</f>
        <v>139074.48000000001</v>
      </c>
      <c r="P82" s="34">
        <f>IFERROR(SUMIF(Table4[,],Table6[[#This Row],[Accounts Name]],Table4[,2]),"")</f>
        <v>0</v>
      </c>
      <c r="S82" s="36">
        <f t="shared" si="1"/>
        <v>75</v>
      </c>
      <c r="T82" s="34"/>
      <c r="U82" s="37"/>
      <c r="V82" s="34">
        <f>IFERROR(SUMIF(Table6[Sub-Accounts],Table8[[#This Row],[Update your chart of accounts here]],Table6[Debit]),"")</f>
        <v>0</v>
      </c>
      <c r="W82" s="34">
        <f>IFERROR(SUMIF(Table6[Sub-Accounts],Table8[[#This Row],[Update your chart of accounts here]],Table6[Credit]),"")</f>
        <v>0</v>
      </c>
      <c r="X82" s="34"/>
      <c r="Y82" s="34"/>
      <c r="Z82" s="34"/>
      <c r="AA82" s="34"/>
      <c r="AB82" s="34">
        <f>MAX(Table8[[#This Row],[Debit]]+Table8[[#This Row],[Debit -]]-Table8[[#This Row],[Credit]]-Table8[[#This Row],[Credit +]],0)</f>
        <v>0</v>
      </c>
      <c r="AC82" s="34">
        <f>MAX(Table8[[#This Row],[Credit]]-Table8[[#This Row],[Debit]]+Table8[[#This Row],[Credit +]]-Table8[[#This Row],[Debit -]],0)</f>
        <v>0</v>
      </c>
      <c r="AD82" s="34" t="str">
        <f>IFERROR(IF(AND(OR(Table8[[#This Row],[Classification]]="Expense",Table8[[#This Row],[Classification]]="Cost of Goods Sold"),Table8[[#This Row],[Debit\]]&gt;Table8[[#This Row],[Credit.]]),Table8[[#This Row],[Debit\]]-Table8[[#This Row],[Credit.]],""),"")</f>
        <v/>
      </c>
      <c r="AE82" s="34" t="str">
        <f>IFERROR(IF(AND(OR(Table8[[#This Row],[Classification]]="Income",Table8[[#This Row],[Classification]]="Cost of Goods Sold"),Table8[[#This Row],[Credit.]]&gt;Table8[[#This Row],[Debit\]]),Table8[[#This Row],[Credit.]]-Table8[[#This Row],[Debit\]],""),"")</f>
        <v/>
      </c>
      <c r="AF82" s="34"/>
      <c r="AG82" s="34" t="str">
        <f>IFERROR(IF(AND(Table8[[#This Row],[Classification]]="Assets",Table8[[#This Row],[Debit\]]-Table8[[#This Row],[Credit.]]),Table8[[#This Row],[Debit\]]-Table8[[#This Row],[Credit.]],""),"")</f>
        <v/>
      </c>
      <c r="AH82" s="34" t="str">
        <f>IFERROR(IF(AND(OR(Table8[[#This Row],[Classification]]="Liabilities",Table8[[#This Row],[Classification]]="Owner´s Equity"),Table8[[#This Row],[Credit.]]&gt;Table8[[#This Row],[Debit\]]),Table8[[#This Row],[Credit.]]-Table8[[#This Row],[Debit\]],""),"")</f>
        <v/>
      </c>
    </row>
    <row r="83" spans="2:34" x14ac:dyDescent="0.25">
      <c r="B83" s="34"/>
      <c r="C83" s="37" t="s">
        <v>137</v>
      </c>
      <c r="D83" s="34">
        <v>139074.48000000001</v>
      </c>
      <c r="E83" s="34"/>
      <c r="G83" s="39"/>
      <c r="H83" s="43"/>
      <c r="I83" s="41"/>
      <c r="J83" s="41"/>
      <c r="L83" s="34">
        <v>76</v>
      </c>
      <c r="M83" s="35"/>
      <c r="N83" s="35"/>
      <c r="O83" s="34">
        <f>IFERROR(SUMIF(Table4[,],Table6[[#This Row],[Accounts Name]],Table4[,3]),"")</f>
        <v>0</v>
      </c>
      <c r="P83" s="34">
        <f>IFERROR(SUMIF(Table4[,],Table6[[#This Row],[Accounts Name]],Table4[,2]),"")</f>
        <v>0</v>
      </c>
      <c r="S83" s="36">
        <f t="shared" si="1"/>
        <v>76</v>
      </c>
      <c r="T83" s="34"/>
      <c r="U83" s="37"/>
      <c r="V83" s="34">
        <f>IFERROR(SUMIF(Table6[Sub-Accounts],Table8[[#This Row],[Update your chart of accounts here]],Table6[Debit]),"")</f>
        <v>0</v>
      </c>
      <c r="W83" s="34">
        <f>IFERROR(SUMIF(Table6[Sub-Accounts],Table8[[#This Row],[Update your chart of accounts here]],Table6[Credit]),"")</f>
        <v>0</v>
      </c>
      <c r="X83" s="34"/>
      <c r="Y83" s="34"/>
      <c r="Z83" s="34"/>
      <c r="AA83" s="34"/>
      <c r="AB83" s="34">
        <f>MAX(Table8[[#This Row],[Debit]]+Table8[[#This Row],[Debit -]]-Table8[[#This Row],[Credit]]-Table8[[#This Row],[Credit +]],0)</f>
        <v>0</v>
      </c>
      <c r="AC83" s="34">
        <f>MAX(Table8[[#This Row],[Credit]]-Table8[[#This Row],[Debit]]+Table8[[#This Row],[Credit +]]-Table8[[#This Row],[Debit -]],0)</f>
        <v>0</v>
      </c>
      <c r="AD83" s="34" t="str">
        <f>IFERROR(IF(AND(OR(Table8[[#This Row],[Classification]]="Expense",Table8[[#This Row],[Classification]]="Cost of Goods Sold"),Table8[[#This Row],[Debit\]]&gt;Table8[[#This Row],[Credit.]]),Table8[[#This Row],[Debit\]]-Table8[[#This Row],[Credit.]],""),"")</f>
        <v/>
      </c>
      <c r="AE83" s="34" t="str">
        <f>IFERROR(IF(AND(OR(Table8[[#This Row],[Classification]]="Income",Table8[[#This Row],[Classification]]="Cost of Goods Sold"),Table8[[#This Row],[Credit.]]&gt;Table8[[#This Row],[Debit\]]),Table8[[#This Row],[Credit.]]-Table8[[#This Row],[Debit\]],""),"")</f>
        <v/>
      </c>
      <c r="AF83" s="34"/>
      <c r="AG83" s="34" t="str">
        <f>IFERROR(IF(AND(Table8[[#This Row],[Classification]]="Assets",Table8[[#This Row],[Debit\]]-Table8[[#This Row],[Credit.]]),Table8[[#This Row],[Debit\]]-Table8[[#This Row],[Credit.]],""),"")</f>
        <v/>
      </c>
      <c r="AH83" s="34" t="str">
        <f>IFERROR(IF(AND(OR(Table8[[#This Row],[Classification]]="Liabilities",Table8[[#This Row],[Classification]]="Owner´s Equity"),Table8[[#This Row],[Credit.]]&gt;Table8[[#This Row],[Debit\]]),Table8[[#This Row],[Credit.]]-Table8[[#This Row],[Debit\]],""),"")</f>
        <v/>
      </c>
    </row>
    <row r="84" spans="2:34" x14ac:dyDescent="0.25">
      <c r="B84" s="34"/>
      <c r="C84" s="37"/>
      <c r="D84" s="34"/>
      <c r="E84" s="34"/>
      <c r="G84" s="39"/>
      <c r="H84" s="40"/>
      <c r="I84" s="41"/>
      <c r="J84" s="41"/>
      <c r="L84" s="34">
        <v>77</v>
      </c>
      <c r="M84" s="35"/>
      <c r="N84" s="35"/>
      <c r="O84" s="34">
        <f>IFERROR(SUMIF(Table4[,],Table6[[#This Row],[Accounts Name]],Table4[,3]),"")</f>
        <v>0</v>
      </c>
      <c r="P84" s="34">
        <f>IFERROR(SUMIF(Table4[,],Table6[[#This Row],[Accounts Name]],Table4[,2]),"")</f>
        <v>0</v>
      </c>
      <c r="S84" s="36">
        <f t="shared" si="1"/>
        <v>77</v>
      </c>
      <c r="T84" s="34"/>
      <c r="U84" s="37"/>
      <c r="V84" s="34">
        <f>IFERROR(SUMIF(Table6[Sub-Accounts],Table8[[#This Row],[Update your chart of accounts here]],Table6[Debit]),"")</f>
        <v>0</v>
      </c>
      <c r="W84" s="34">
        <f>IFERROR(SUMIF(Table6[Sub-Accounts],Table8[[#This Row],[Update your chart of accounts here]],Table6[Credit]),"")</f>
        <v>0</v>
      </c>
      <c r="X84" s="34"/>
      <c r="Y84" s="34"/>
      <c r="Z84" s="34"/>
      <c r="AA84" s="34"/>
      <c r="AB84" s="34">
        <f>MAX(Table8[[#This Row],[Debit]]+Table8[[#This Row],[Debit -]]-Table8[[#This Row],[Credit]]-Table8[[#This Row],[Credit +]],0)</f>
        <v>0</v>
      </c>
      <c r="AC84" s="34">
        <f>MAX(Table8[[#This Row],[Credit]]-Table8[[#This Row],[Debit]]+Table8[[#This Row],[Credit +]]-Table8[[#This Row],[Debit -]],0)</f>
        <v>0</v>
      </c>
      <c r="AD84" s="34" t="str">
        <f>IFERROR(IF(AND(OR(Table8[[#This Row],[Classification]]="Expense",Table8[[#This Row],[Classification]]="Cost of Goods Sold"),Table8[[#This Row],[Debit\]]&gt;Table8[[#This Row],[Credit.]]),Table8[[#This Row],[Debit\]]-Table8[[#This Row],[Credit.]],""),"")</f>
        <v/>
      </c>
      <c r="AE84" s="34" t="str">
        <f>IFERROR(IF(AND(OR(Table8[[#This Row],[Classification]]="Income",Table8[[#This Row],[Classification]]="Cost of Goods Sold"),Table8[[#This Row],[Credit.]]&gt;Table8[[#This Row],[Debit\]]),Table8[[#This Row],[Credit.]]-Table8[[#This Row],[Debit\]],""),"")</f>
        <v/>
      </c>
      <c r="AF84" s="34"/>
      <c r="AG84" s="34" t="str">
        <f>IFERROR(IF(AND(Table8[[#This Row],[Classification]]="Assets",Table8[[#This Row],[Debit\]]-Table8[[#This Row],[Credit.]]),Table8[[#This Row],[Debit\]]-Table8[[#This Row],[Credit.]],""),"")</f>
        <v/>
      </c>
      <c r="AH84" s="34" t="str">
        <f>IFERROR(IF(AND(OR(Table8[[#This Row],[Classification]]="Liabilities",Table8[[#This Row],[Classification]]="Owner´s Equity"),Table8[[#This Row],[Credit.]]&gt;Table8[[#This Row],[Debit\]]),Table8[[#This Row],[Credit.]]-Table8[[#This Row],[Debit\]],""),"")</f>
        <v/>
      </c>
    </row>
    <row r="85" spans="2:34" x14ac:dyDescent="0.25">
      <c r="B85" s="34"/>
      <c r="C85" s="37"/>
      <c r="D85" s="34"/>
      <c r="E85" s="34"/>
      <c r="G85" s="39"/>
      <c r="H85" s="40"/>
      <c r="I85" s="41"/>
      <c r="J85" s="41"/>
      <c r="L85" s="34">
        <v>78</v>
      </c>
      <c r="M85" s="35"/>
      <c r="N85" s="35"/>
      <c r="O85" s="34">
        <f>IFERROR(SUMIF(Table4[,],Table6[[#This Row],[Accounts Name]],Table4[,3]),"")</f>
        <v>0</v>
      </c>
      <c r="P85" s="34">
        <f>IFERROR(SUMIF(Table4[,],Table6[[#This Row],[Accounts Name]],Table4[,2]),"")</f>
        <v>0</v>
      </c>
      <c r="S85" s="36">
        <f t="shared" si="1"/>
        <v>78</v>
      </c>
      <c r="T85" s="34"/>
      <c r="U85" s="37"/>
      <c r="V85" s="34">
        <f>IFERROR(SUMIF(Table6[Sub-Accounts],Table8[[#This Row],[Update your chart of accounts here]],Table6[Debit]),"")</f>
        <v>0</v>
      </c>
      <c r="W85" s="34">
        <f>IFERROR(SUMIF(Table6[Sub-Accounts],Table8[[#This Row],[Update your chart of accounts here]],Table6[Credit]),"")</f>
        <v>0</v>
      </c>
      <c r="X85" s="34"/>
      <c r="Y85" s="34"/>
      <c r="Z85" s="34"/>
      <c r="AA85" s="34"/>
      <c r="AB85" s="34">
        <f>MAX(Table8[[#This Row],[Debit]]+Table8[[#This Row],[Debit -]]-Table8[[#This Row],[Credit]]-Table8[[#This Row],[Credit +]],0)</f>
        <v>0</v>
      </c>
      <c r="AC85" s="34">
        <f>MAX(Table8[[#This Row],[Credit]]-Table8[[#This Row],[Debit]]+Table8[[#This Row],[Credit +]]-Table8[[#This Row],[Debit -]],0)</f>
        <v>0</v>
      </c>
      <c r="AD85" s="34" t="str">
        <f>IFERROR(IF(AND(OR(Table8[[#This Row],[Classification]]="Expense",Table8[[#This Row],[Classification]]="Cost of Goods Sold"),Table8[[#This Row],[Debit\]]&gt;Table8[[#This Row],[Credit.]]),Table8[[#This Row],[Debit\]]-Table8[[#This Row],[Credit.]],""),"")</f>
        <v/>
      </c>
      <c r="AE85" s="34" t="str">
        <f>IFERROR(IF(AND(OR(Table8[[#This Row],[Classification]]="Income",Table8[[#This Row],[Classification]]="Cost of Goods Sold"),Table8[[#This Row],[Credit.]]&gt;Table8[[#This Row],[Debit\]]),Table8[[#This Row],[Credit.]]-Table8[[#This Row],[Debit\]],""),"")</f>
        <v/>
      </c>
      <c r="AF85" s="34"/>
      <c r="AG85" s="34" t="str">
        <f>IFERROR(IF(AND(Table8[[#This Row],[Classification]]="Assets",Table8[[#This Row],[Debit\]]-Table8[[#This Row],[Credit.]]),Table8[[#This Row],[Debit\]]-Table8[[#This Row],[Credit.]],""),"")</f>
        <v/>
      </c>
      <c r="AH85" s="34" t="str">
        <f>IFERROR(IF(AND(OR(Table8[[#This Row],[Classification]]="Liabilities",Table8[[#This Row],[Classification]]="Owner´s Equity"),Table8[[#This Row],[Credit.]]&gt;Table8[[#This Row],[Debit\]]),Table8[[#This Row],[Credit.]]-Table8[[#This Row],[Debit\]],""),"")</f>
        <v/>
      </c>
    </row>
    <row r="86" spans="2:34" x14ac:dyDescent="0.25">
      <c r="B86" s="34"/>
      <c r="C86" s="37"/>
      <c r="D86" s="34"/>
      <c r="E86" s="34"/>
      <c r="G86" s="39"/>
      <c r="H86" s="43"/>
      <c r="I86" s="41"/>
      <c r="J86" s="41"/>
      <c r="L86" s="34">
        <v>79</v>
      </c>
      <c r="M86" s="35"/>
      <c r="N86" s="35"/>
      <c r="O86" s="34">
        <f>IFERROR(SUMIF(Table4[,],Table6[[#This Row],[Accounts Name]],Table4[,3]),"")</f>
        <v>0</v>
      </c>
      <c r="P86" s="34">
        <f>IFERROR(SUMIF(Table4[,],Table6[[#This Row],[Accounts Name]],Table4[,2]),"")</f>
        <v>0</v>
      </c>
      <c r="S86" s="36">
        <f t="shared" si="1"/>
        <v>79</v>
      </c>
      <c r="T86" s="34"/>
      <c r="U86" s="37"/>
      <c r="V86" s="34">
        <f>IFERROR(SUMIF(Table6[Sub-Accounts],Table8[[#This Row],[Update your chart of accounts here]],Table6[Debit]),"")</f>
        <v>0</v>
      </c>
      <c r="W86" s="34">
        <f>IFERROR(SUMIF(Table6[Sub-Accounts],Table8[[#This Row],[Update your chart of accounts here]],Table6[Credit]),"")</f>
        <v>0</v>
      </c>
      <c r="X86" s="34"/>
      <c r="Y86" s="34"/>
      <c r="Z86" s="34"/>
      <c r="AA86" s="34"/>
      <c r="AB86" s="34">
        <f>MAX(Table8[[#This Row],[Debit]]+Table8[[#This Row],[Debit -]]-Table8[[#This Row],[Credit]]-Table8[[#This Row],[Credit +]],0)</f>
        <v>0</v>
      </c>
      <c r="AC86" s="34">
        <f>MAX(Table8[[#This Row],[Credit]]-Table8[[#This Row],[Debit]]+Table8[[#This Row],[Credit +]]-Table8[[#This Row],[Debit -]],0)</f>
        <v>0</v>
      </c>
      <c r="AD86" s="34" t="str">
        <f>IFERROR(IF(AND(OR(Table8[[#This Row],[Classification]]="Expense",Table8[[#This Row],[Classification]]="Cost of Goods Sold"),Table8[[#This Row],[Debit\]]&gt;Table8[[#This Row],[Credit.]]),Table8[[#This Row],[Debit\]]-Table8[[#This Row],[Credit.]],""),"")</f>
        <v/>
      </c>
      <c r="AE86" s="34" t="str">
        <f>IFERROR(IF(AND(OR(Table8[[#This Row],[Classification]]="Income",Table8[[#This Row],[Classification]]="Cost of Goods Sold"),Table8[[#This Row],[Credit.]]&gt;Table8[[#This Row],[Debit\]]),Table8[[#This Row],[Credit.]]-Table8[[#This Row],[Debit\]],""),"")</f>
        <v/>
      </c>
      <c r="AF86" s="34"/>
      <c r="AG86" s="34" t="str">
        <f>IFERROR(IF(AND(Table8[[#This Row],[Classification]]="Assets",Table8[[#This Row],[Debit\]]-Table8[[#This Row],[Credit.]]),Table8[[#This Row],[Debit\]]-Table8[[#This Row],[Credit.]],""),"")</f>
        <v/>
      </c>
      <c r="AH86" s="34" t="str">
        <f>IFERROR(IF(AND(OR(Table8[[#This Row],[Classification]]="Liabilities",Table8[[#This Row],[Classification]]="Owner´s Equity"),Table8[[#This Row],[Credit.]]&gt;Table8[[#This Row],[Debit\]]),Table8[[#This Row],[Credit.]]-Table8[[#This Row],[Debit\]],""),"")</f>
        <v/>
      </c>
    </row>
    <row r="87" spans="2:34" x14ac:dyDescent="0.25">
      <c r="B87" s="34"/>
      <c r="C87" s="37"/>
      <c r="D87" s="34"/>
      <c r="E87" s="34"/>
      <c r="G87" s="39"/>
      <c r="H87" s="40"/>
      <c r="I87" s="41"/>
      <c r="J87" s="41"/>
      <c r="L87" s="34">
        <v>80</v>
      </c>
      <c r="M87" s="35"/>
      <c r="N87" s="35"/>
      <c r="O87" s="34">
        <f>IFERROR(SUMIF(Table4[,],Table6[[#This Row],[Accounts Name]],Table4[,3]),"")</f>
        <v>0</v>
      </c>
      <c r="P87" s="34">
        <f>IFERROR(SUMIF(Table4[,],Table6[[#This Row],[Accounts Name]],Table4[,2]),"")</f>
        <v>0</v>
      </c>
      <c r="S87" s="36">
        <f t="shared" si="1"/>
        <v>80</v>
      </c>
      <c r="T87" s="34"/>
      <c r="U87" s="37"/>
      <c r="V87" s="34">
        <f>IFERROR(SUMIF(Table6[Sub-Accounts],Table8[[#This Row],[Update your chart of accounts here]],Table6[Debit]),"")</f>
        <v>0</v>
      </c>
      <c r="W87" s="34">
        <f>IFERROR(SUMIF(Table6[Sub-Accounts],Table8[[#This Row],[Update your chart of accounts here]],Table6[Credit]),"")</f>
        <v>0</v>
      </c>
      <c r="X87" s="34"/>
      <c r="Y87" s="34"/>
      <c r="Z87" s="34"/>
      <c r="AA87" s="34"/>
      <c r="AB87" s="34">
        <f>MAX(Table8[[#This Row],[Debit]]+Table8[[#This Row],[Debit -]]-Table8[[#This Row],[Credit]]-Table8[[#This Row],[Credit +]],0)</f>
        <v>0</v>
      </c>
      <c r="AC87" s="34">
        <f>MAX(Table8[[#This Row],[Credit]]-Table8[[#This Row],[Debit]]+Table8[[#This Row],[Credit +]]-Table8[[#This Row],[Debit -]],0)</f>
        <v>0</v>
      </c>
      <c r="AD87" s="34" t="str">
        <f>IFERROR(IF(AND(OR(Table8[[#This Row],[Classification]]="Expense",Table8[[#This Row],[Classification]]="Cost of Goods Sold"),Table8[[#This Row],[Debit\]]&gt;Table8[[#This Row],[Credit.]]),Table8[[#This Row],[Debit\]]-Table8[[#This Row],[Credit.]],""),"")</f>
        <v/>
      </c>
      <c r="AE87" s="34" t="str">
        <f>IFERROR(IF(AND(OR(Table8[[#This Row],[Classification]]="Income",Table8[[#This Row],[Classification]]="Cost of Goods Sold"),Table8[[#This Row],[Credit.]]&gt;Table8[[#This Row],[Debit\]]),Table8[[#This Row],[Credit.]]-Table8[[#This Row],[Debit\]],""),"")</f>
        <v/>
      </c>
      <c r="AF87" s="34"/>
      <c r="AG87" s="34" t="str">
        <f>IFERROR(IF(AND(Table8[[#This Row],[Classification]]="Assets",Table8[[#This Row],[Debit\]]-Table8[[#This Row],[Credit.]]),Table8[[#This Row],[Debit\]]-Table8[[#This Row],[Credit.]],""),"")</f>
        <v/>
      </c>
      <c r="AH87" s="34" t="str">
        <f>IFERROR(IF(AND(OR(Table8[[#This Row],[Classification]]="Liabilities",Table8[[#This Row],[Classification]]="Owner´s Equity"),Table8[[#This Row],[Credit.]]&gt;Table8[[#This Row],[Debit\]]),Table8[[#This Row],[Credit.]]-Table8[[#This Row],[Debit\]],""),"")</f>
        <v/>
      </c>
    </row>
    <row r="88" spans="2:34" x14ac:dyDescent="0.25">
      <c r="B88" s="34"/>
      <c r="C88" s="37"/>
      <c r="D88" s="34"/>
      <c r="E88" s="34"/>
      <c r="G88" s="39"/>
      <c r="H88" s="40"/>
      <c r="I88" s="41"/>
      <c r="J88" s="41"/>
      <c r="L88" s="34">
        <v>81</v>
      </c>
      <c r="M88" s="35"/>
      <c r="N88" s="35"/>
      <c r="O88" s="34">
        <f>IFERROR(SUMIF(Table4[,],Table6[[#This Row],[Accounts Name]],Table4[,3]),"")</f>
        <v>0</v>
      </c>
      <c r="P88" s="34">
        <f>IFERROR(SUMIF(Table4[,],Table6[[#This Row],[Accounts Name]],Table4[,2]),"")</f>
        <v>0</v>
      </c>
      <c r="S88" s="36">
        <f t="shared" si="1"/>
        <v>81</v>
      </c>
      <c r="T88" s="34"/>
      <c r="U88" s="37"/>
      <c r="V88" s="34">
        <f>IFERROR(SUMIF(Table6[Sub-Accounts],Table8[[#This Row],[Update your chart of accounts here]],Table6[Debit]),"")</f>
        <v>0</v>
      </c>
      <c r="W88" s="34">
        <f>IFERROR(SUMIF(Table6[Sub-Accounts],Table8[[#This Row],[Update your chart of accounts here]],Table6[Credit]),"")</f>
        <v>0</v>
      </c>
      <c r="X88" s="34"/>
      <c r="Y88" s="34"/>
      <c r="Z88" s="34"/>
      <c r="AA88" s="34"/>
      <c r="AB88" s="34">
        <f>MAX(Table8[[#This Row],[Debit]]+Table8[[#This Row],[Debit -]]-Table8[[#This Row],[Credit]]-Table8[[#This Row],[Credit +]],0)</f>
        <v>0</v>
      </c>
      <c r="AC88" s="34">
        <f>MAX(Table8[[#This Row],[Credit]]-Table8[[#This Row],[Debit]]+Table8[[#This Row],[Credit +]]-Table8[[#This Row],[Debit -]],0)</f>
        <v>0</v>
      </c>
      <c r="AD88" s="34" t="str">
        <f>IFERROR(IF(AND(OR(Table8[[#This Row],[Classification]]="Expense",Table8[[#This Row],[Classification]]="Cost of Goods Sold"),Table8[[#This Row],[Debit\]]&gt;Table8[[#This Row],[Credit.]]),Table8[[#This Row],[Debit\]]-Table8[[#This Row],[Credit.]],""),"")</f>
        <v/>
      </c>
      <c r="AE88" s="34" t="str">
        <f>IFERROR(IF(AND(OR(Table8[[#This Row],[Classification]]="Income",Table8[[#This Row],[Classification]]="Cost of Goods Sold"),Table8[[#This Row],[Credit.]]&gt;Table8[[#This Row],[Debit\]]),Table8[[#This Row],[Credit.]]-Table8[[#This Row],[Debit\]],""),"")</f>
        <v/>
      </c>
      <c r="AF88" s="34"/>
      <c r="AG88" s="34" t="str">
        <f>IFERROR(IF(AND(Table8[[#This Row],[Classification]]="Assets",Table8[[#This Row],[Debit\]]-Table8[[#This Row],[Credit.]]),Table8[[#This Row],[Debit\]]-Table8[[#This Row],[Credit.]],""),"")</f>
        <v/>
      </c>
      <c r="AH88" s="34" t="str">
        <f>IFERROR(IF(AND(OR(Table8[[#This Row],[Classification]]="Liabilities",Table8[[#This Row],[Classification]]="Owner´s Equity"),Table8[[#This Row],[Credit.]]&gt;Table8[[#This Row],[Debit\]]),Table8[[#This Row],[Credit.]]-Table8[[#This Row],[Debit\]],""),"")</f>
        <v/>
      </c>
    </row>
    <row r="89" spans="2:34" x14ac:dyDescent="0.25">
      <c r="B89" s="34"/>
      <c r="C89" s="37"/>
      <c r="D89" s="34"/>
      <c r="E89" s="34"/>
      <c r="G89" s="39"/>
      <c r="H89" s="43"/>
      <c r="I89" s="41"/>
      <c r="J89" s="41"/>
      <c r="L89" s="34">
        <v>82</v>
      </c>
      <c r="M89" s="35"/>
      <c r="N89" s="35"/>
      <c r="O89" s="34">
        <f>IFERROR(SUMIF(Table4[,],Table6[[#This Row],[Accounts Name]],Table4[,3]),"")</f>
        <v>0</v>
      </c>
      <c r="P89" s="34">
        <f>IFERROR(SUMIF(Table4[,],Table6[[#This Row],[Accounts Name]],Table4[,2]),"")</f>
        <v>0</v>
      </c>
      <c r="S89" s="36">
        <f t="shared" si="1"/>
        <v>82</v>
      </c>
      <c r="T89" s="34"/>
      <c r="U89" s="37"/>
      <c r="V89" s="34">
        <f>IFERROR(SUMIF(Table6[Sub-Accounts],Table8[[#This Row],[Update your chart of accounts here]],Table6[Debit]),"")</f>
        <v>0</v>
      </c>
      <c r="W89" s="34">
        <f>IFERROR(SUMIF(Table6[Sub-Accounts],Table8[[#This Row],[Update your chart of accounts here]],Table6[Credit]),"")</f>
        <v>0</v>
      </c>
      <c r="X89" s="34"/>
      <c r="Y89" s="34"/>
      <c r="Z89" s="34"/>
      <c r="AA89" s="34"/>
      <c r="AB89" s="34">
        <f>MAX(Table8[[#This Row],[Debit]]+Table8[[#This Row],[Debit -]]-Table8[[#This Row],[Credit]]-Table8[[#This Row],[Credit +]],0)</f>
        <v>0</v>
      </c>
      <c r="AC89" s="34">
        <f>MAX(Table8[[#This Row],[Credit]]-Table8[[#This Row],[Debit]]+Table8[[#This Row],[Credit +]]-Table8[[#This Row],[Debit -]],0)</f>
        <v>0</v>
      </c>
      <c r="AD89" s="34" t="str">
        <f>IFERROR(IF(AND(OR(Table8[[#This Row],[Classification]]="Expense",Table8[[#This Row],[Classification]]="Cost of Goods Sold"),Table8[[#This Row],[Debit\]]&gt;Table8[[#This Row],[Credit.]]),Table8[[#This Row],[Debit\]]-Table8[[#This Row],[Credit.]],""),"")</f>
        <v/>
      </c>
      <c r="AE89" s="34" t="str">
        <f>IFERROR(IF(AND(OR(Table8[[#This Row],[Classification]]="Income",Table8[[#This Row],[Classification]]="Cost of Goods Sold"),Table8[[#This Row],[Credit.]]&gt;Table8[[#This Row],[Debit\]]),Table8[[#This Row],[Credit.]]-Table8[[#This Row],[Debit\]],""),"")</f>
        <v/>
      </c>
      <c r="AF89" s="34"/>
      <c r="AG89" s="34" t="str">
        <f>IFERROR(IF(AND(Table8[[#This Row],[Classification]]="Assets",Table8[[#This Row],[Debit\]]-Table8[[#This Row],[Credit.]]),Table8[[#This Row],[Debit\]]-Table8[[#This Row],[Credit.]],""),"")</f>
        <v/>
      </c>
      <c r="AH89" s="34" t="str">
        <f>IFERROR(IF(AND(OR(Table8[[#This Row],[Classification]]="Liabilities",Table8[[#This Row],[Classification]]="Owner´s Equity"),Table8[[#This Row],[Credit.]]&gt;Table8[[#This Row],[Debit\]]),Table8[[#This Row],[Credit.]]-Table8[[#This Row],[Debit\]],""),"")</f>
        <v/>
      </c>
    </row>
    <row r="90" spans="2:34" x14ac:dyDescent="0.25">
      <c r="B90" s="34"/>
      <c r="C90" s="45"/>
      <c r="D90" s="34"/>
      <c r="E90" s="34"/>
      <c r="G90" s="39"/>
      <c r="H90" s="40"/>
      <c r="I90" s="41"/>
      <c r="J90" s="41"/>
      <c r="L90" s="34">
        <v>83</v>
      </c>
      <c r="M90" s="35"/>
      <c r="N90" s="35"/>
      <c r="O90" s="34">
        <f>IFERROR(SUMIF(Table4[,],Table6[[#This Row],[Accounts Name]],Table4[,3]),"")</f>
        <v>0</v>
      </c>
      <c r="P90" s="34">
        <f>IFERROR(SUMIF(Table4[,],Table6[[#This Row],[Accounts Name]],Table4[,2]),"")</f>
        <v>0</v>
      </c>
      <c r="S90" s="36">
        <f t="shared" si="1"/>
        <v>83</v>
      </c>
      <c r="T90" s="34"/>
      <c r="U90" s="37"/>
      <c r="V90" s="34">
        <f>IFERROR(SUMIF(Table6[Sub-Accounts],Table8[[#This Row],[Update your chart of accounts here]],Table6[Debit]),"")</f>
        <v>0</v>
      </c>
      <c r="W90" s="34">
        <f>IFERROR(SUMIF(Table6[Sub-Accounts],Table8[[#This Row],[Update your chart of accounts here]],Table6[Credit]),"")</f>
        <v>0</v>
      </c>
      <c r="X90" s="34"/>
      <c r="Y90" s="34"/>
      <c r="Z90" s="34"/>
      <c r="AA90" s="34"/>
      <c r="AB90" s="34">
        <f>MAX(Table8[[#This Row],[Debit]]+Table8[[#This Row],[Debit -]]-Table8[[#This Row],[Credit]]-Table8[[#This Row],[Credit +]],0)</f>
        <v>0</v>
      </c>
      <c r="AC90" s="34">
        <f>MAX(Table8[[#This Row],[Credit]]-Table8[[#This Row],[Debit]]+Table8[[#This Row],[Credit +]]-Table8[[#This Row],[Debit -]],0)</f>
        <v>0</v>
      </c>
      <c r="AD90" s="34" t="str">
        <f>IFERROR(IF(AND(OR(Table8[[#This Row],[Classification]]="Expense",Table8[[#This Row],[Classification]]="Cost of Goods Sold"),Table8[[#This Row],[Debit\]]&gt;Table8[[#This Row],[Credit.]]),Table8[[#This Row],[Debit\]]-Table8[[#This Row],[Credit.]],""),"")</f>
        <v/>
      </c>
      <c r="AE90" s="34" t="str">
        <f>IFERROR(IF(AND(OR(Table8[[#This Row],[Classification]]="Income",Table8[[#This Row],[Classification]]="Cost of Goods Sold"),Table8[[#This Row],[Credit.]]&gt;Table8[[#This Row],[Debit\]]),Table8[[#This Row],[Credit.]]-Table8[[#This Row],[Debit\]],""),"")</f>
        <v/>
      </c>
      <c r="AF90" s="34"/>
      <c r="AG90" s="34" t="str">
        <f>IFERROR(IF(AND(Table8[[#This Row],[Classification]]="Assets",Table8[[#This Row],[Debit\]]-Table8[[#This Row],[Credit.]]),Table8[[#This Row],[Debit\]]-Table8[[#This Row],[Credit.]],""),"")</f>
        <v/>
      </c>
      <c r="AH90" s="34" t="str">
        <f>IFERROR(IF(AND(OR(Table8[[#This Row],[Classification]]="Liabilities",Table8[[#This Row],[Classification]]="Owner´s Equity"),Table8[[#This Row],[Credit.]]&gt;Table8[[#This Row],[Debit\]]),Table8[[#This Row],[Credit.]]-Table8[[#This Row],[Debit\]],""),"")</f>
        <v/>
      </c>
    </row>
    <row r="91" spans="2:34" x14ac:dyDescent="0.25">
      <c r="B91" s="34"/>
      <c r="C91" s="45"/>
      <c r="D91" s="34"/>
      <c r="E91" s="34"/>
      <c r="G91" s="39"/>
      <c r="H91" s="40"/>
      <c r="I91" s="41"/>
      <c r="J91" s="41"/>
      <c r="L91" s="34">
        <v>84</v>
      </c>
      <c r="M91" s="35"/>
      <c r="N91" s="35"/>
      <c r="O91" s="34">
        <f>IFERROR(SUMIF(Table4[,],Table6[[#This Row],[Accounts Name]],Table4[,3]),"")</f>
        <v>0</v>
      </c>
      <c r="P91" s="34">
        <f>IFERROR(SUMIF(Table4[,],Table6[[#This Row],[Accounts Name]],Table4[,2]),"")</f>
        <v>0</v>
      </c>
      <c r="S91" s="36">
        <f t="shared" si="1"/>
        <v>84</v>
      </c>
      <c r="T91" s="34"/>
      <c r="U91" s="37"/>
      <c r="V91" s="34">
        <f>IFERROR(SUMIF(Table6[Sub-Accounts],Table8[[#This Row],[Update your chart of accounts here]],Table6[Debit]),"")</f>
        <v>0</v>
      </c>
      <c r="W91" s="34">
        <f>IFERROR(SUMIF(Table6[Sub-Accounts],Table8[[#This Row],[Update your chart of accounts here]],Table6[Credit]),"")</f>
        <v>0</v>
      </c>
      <c r="X91" s="34"/>
      <c r="Y91" s="34"/>
      <c r="Z91" s="34"/>
      <c r="AA91" s="34"/>
      <c r="AB91" s="34">
        <f>MAX(Table8[[#This Row],[Debit]]+Table8[[#This Row],[Debit -]]-Table8[[#This Row],[Credit]]-Table8[[#This Row],[Credit +]],0)</f>
        <v>0</v>
      </c>
      <c r="AC91" s="34">
        <f>MAX(Table8[[#This Row],[Credit]]-Table8[[#This Row],[Debit]]+Table8[[#This Row],[Credit +]]-Table8[[#This Row],[Debit -]],0)</f>
        <v>0</v>
      </c>
      <c r="AD91" s="34" t="str">
        <f>IFERROR(IF(AND(OR(Table8[[#This Row],[Classification]]="Expense",Table8[[#This Row],[Classification]]="Cost of Goods Sold"),Table8[[#This Row],[Debit\]]&gt;Table8[[#This Row],[Credit.]]),Table8[[#This Row],[Debit\]]-Table8[[#This Row],[Credit.]],""),"")</f>
        <v/>
      </c>
      <c r="AE91" s="34" t="str">
        <f>IFERROR(IF(AND(OR(Table8[[#This Row],[Classification]]="Income",Table8[[#This Row],[Classification]]="Cost of Goods Sold"),Table8[[#This Row],[Credit.]]&gt;Table8[[#This Row],[Debit\]]),Table8[[#This Row],[Credit.]]-Table8[[#This Row],[Debit\]],""),"")</f>
        <v/>
      </c>
      <c r="AF91" s="34"/>
      <c r="AG91" s="34" t="str">
        <f>IFERROR(IF(AND(Table8[[#This Row],[Classification]]="Assets",Table8[[#This Row],[Debit\]]-Table8[[#This Row],[Credit.]]),Table8[[#This Row],[Debit\]]-Table8[[#This Row],[Credit.]],""),"")</f>
        <v/>
      </c>
      <c r="AH91" s="34" t="str">
        <f>IFERROR(IF(AND(OR(Table8[[#This Row],[Classification]]="Liabilities",Table8[[#This Row],[Classification]]="Owner´s Equity"),Table8[[#This Row],[Credit.]]&gt;Table8[[#This Row],[Debit\]]),Table8[[#This Row],[Credit.]]-Table8[[#This Row],[Debit\]],""),"")</f>
        <v/>
      </c>
    </row>
    <row r="92" spans="2:34" x14ac:dyDescent="0.25">
      <c r="B92" s="34"/>
      <c r="C92" s="45"/>
      <c r="D92" s="34"/>
      <c r="E92" s="34"/>
      <c r="G92" s="39"/>
      <c r="H92" s="43"/>
      <c r="I92" s="41"/>
      <c r="J92" s="41"/>
      <c r="L92" s="34">
        <v>85</v>
      </c>
      <c r="M92" s="35"/>
      <c r="N92" s="35"/>
      <c r="O92" s="34">
        <f>IFERROR(SUMIF(Table4[,],Table6[[#This Row],[Accounts Name]],Table4[,3]),"")</f>
        <v>0</v>
      </c>
      <c r="P92" s="34">
        <f>IFERROR(SUMIF(Table4[,],Table6[[#This Row],[Accounts Name]],Table4[,2]),"")</f>
        <v>0</v>
      </c>
      <c r="S92" s="36">
        <f t="shared" si="1"/>
        <v>85</v>
      </c>
      <c r="T92" s="34"/>
      <c r="U92" s="37"/>
      <c r="V92" s="34">
        <f>IFERROR(SUMIF(Table6[Sub-Accounts],Table8[[#This Row],[Update your chart of accounts here]],Table6[Debit]),"")</f>
        <v>0</v>
      </c>
      <c r="W92" s="34">
        <f>IFERROR(SUMIF(Table6[Sub-Accounts],Table8[[#This Row],[Update your chart of accounts here]],Table6[Credit]),"")</f>
        <v>0</v>
      </c>
      <c r="X92" s="34"/>
      <c r="Y92" s="34"/>
      <c r="Z92" s="34"/>
      <c r="AA92" s="34"/>
      <c r="AB92" s="34">
        <f>MAX(Table8[[#This Row],[Debit]]+Table8[[#This Row],[Debit -]]-Table8[[#This Row],[Credit]]-Table8[[#This Row],[Credit +]],0)</f>
        <v>0</v>
      </c>
      <c r="AC92" s="34">
        <f>MAX(Table8[[#This Row],[Credit]]-Table8[[#This Row],[Debit]]+Table8[[#This Row],[Credit +]]-Table8[[#This Row],[Debit -]],0)</f>
        <v>0</v>
      </c>
      <c r="AD92" s="34" t="str">
        <f>IFERROR(IF(AND(OR(Table8[[#This Row],[Classification]]="Expense",Table8[[#This Row],[Classification]]="Cost of Goods Sold"),Table8[[#This Row],[Debit\]]&gt;Table8[[#This Row],[Credit.]]),Table8[[#This Row],[Debit\]]-Table8[[#This Row],[Credit.]],""),"")</f>
        <v/>
      </c>
      <c r="AE92" s="34" t="str">
        <f>IFERROR(IF(AND(OR(Table8[[#This Row],[Classification]]="Income",Table8[[#This Row],[Classification]]="Cost of Goods Sold"),Table8[[#This Row],[Credit.]]&gt;Table8[[#This Row],[Debit\]]),Table8[[#This Row],[Credit.]]-Table8[[#This Row],[Debit\]],""),"")</f>
        <v/>
      </c>
      <c r="AF92" s="34"/>
      <c r="AG92" s="34" t="str">
        <f>IFERROR(IF(AND(Table8[[#This Row],[Classification]]="Assets",Table8[[#This Row],[Debit\]]-Table8[[#This Row],[Credit.]]),Table8[[#This Row],[Debit\]]-Table8[[#This Row],[Credit.]],""),"")</f>
        <v/>
      </c>
      <c r="AH92" s="34" t="str">
        <f>IFERROR(IF(AND(OR(Table8[[#This Row],[Classification]]="Liabilities",Table8[[#This Row],[Classification]]="Owner´s Equity"),Table8[[#This Row],[Credit.]]&gt;Table8[[#This Row],[Debit\]]),Table8[[#This Row],[Credit.]]-Table8[[#This Row],[Debit\]],""),"")</f>
        <v/>
      </c>
    </row>
    <row r="93" spans="2:34" x14ac:dyDescent="0.25">
      <c r="B93" s="34"/>
      <c r="C93" s="45"/>
      <c r="D93" s="34"/>
      <c r="E93" s="34"/>
      <c r="G93" s="39"/>
      <c r="H93" s="40"/>
      <c r="I93" s="41"/>
      <c r="J93" s="41"/>
      <c r="L93" s="34">
        <v>86</v>
      </c>
      <c r="M93" s="35"/>
      <c r="N93" s="35"/>
      <c r="O93" s="34">
        <f>IFERROR(SUMIF(Table4[,],Table6[[#This Row],[Accounts Name]],Table4[,3]),"")</f>
        <v>0</v>
      </c>
      <c r="P93" s="34">
        <f>IFERROR(SUMIF(Table4[,],Table6[[#This Row],[Accounts Name]],Table4[,2]),"")</f>
        <v>0</v>
      </c>
      <c r="S93" s="36">
        <f t="shared" si="1"/>
        <v>86</v>
      </c>
      <c r="T93" s="34"/>
      <c r="U93" s="37"/>
      <c r="V93" s="34">
        <f>IFERROR(SUMIF(Table6[Sub-Accounts],Table8[[#This Row],[Update your chart of accounts here]],Table6[Debit]),"")</f>
        <v>0</v>
      </c>
      <c r="W93" s="34">
        <f>IFERROR(SUMIF(Table6[Sub-Accounts],Table8[[#This Row],[Update your chart of accounts here]],Table6[Credit]),"")</f>
        <v>0</v>
      </c>
      <c r="X93" s="34"/>
      <c r="Y93" s="34"/>
      <c r="Z93" s="34"/>
      <c r="AA93" s="34"/>
      <c r="AB93" s="34">
        <f>MAX(Table8[[#This Row],[Debit]]+Table8[[#This Row],[Debit -]]-Table8[[#This Row],[Credit]]-Table8[[#This Row],[Credit +]],0)</f>
        <v>0</v>
      </c>
      <c r="AC93" s="34">
        <f>MAX(Table8[[#This Row],[Credit]]-Table8[[#This Row],[Debit]]+Table8[[#This Row],[Credit +]]-Table8[[#This Row],[Debit -]],0)</f>
        <v>0</v>
      </c>
      <c r="AD93" s="34" t="str">
        <f>IFERROR(IF(AND(OR(Table8[[#This Row],[Classification]]="Expense",Table8[[#This Row],[Classification]]="Cost of Goods Sold"),Table8[[#This Row],[Debit\]]&gt;Table8[[#This Row],[Credit.]]),Table8[[#This Row],[Debit\]]-Table8[[#This Row],[Credit.]],""),"")</f>
        <v/>
      </c>
      <c r="AE93" s="34" t="str">
        <f>IFERROR(IF(AND(OR(Table8[[#This Row],[Classification]]="Income",Table8[[#This Row],[Classification]]="Cost of Goods Sold"),Table8[[#This Row],[Credit.]]&gt;Table8[[#This Row],[Debit\]]),Table8[[#This Row],[Credit.]]-Table8[[#This Row],[Debit\]],""),"")</f>
        <v/>
      </c>
      <c r="AF93" s="34"/>
      <c r="AG93" s="34" t="str">
        <f>IFERROR(IF(AND(Table8[[#This Row],[Classification]]="Assets",Table8[[#This Row],[Debit\]]-Table8[[#This Row],[Credit.]]),Table8[[#This Row],[Debit\]]-Table8[[#This Row],[Credit.]],""),"")</f>
        <v/>
      </c>
      <c r="AH93" s="34" t="str">
        <f>IFERROR(IF(AND(OR(Table8[[#This Row],[Classification]]="Liabilities",Table8[[#This Row],[Classification]]="Owner´s Equity"),Table8[[#This Row],[Credit.]]&gt;Table8[[#This Row],[Debit\]]),Table8[[#This Row],[Credit.]]-Table8[[#This Row],[Debit\]],""),"")</f>
        <v/>
      </c>
    </row>
    <row r="94" spans="2:34" x14ac:dyDescent="0.25">
      <c r="B94" s="34"/>
      <c r="C94" s="45"/>
      <c r="D94" s="34"/>
      <c r="E94" s="34"/>
      <c r="G94" s="39"/>
      <c r="H94" s="40"/>
      <c r="I94" s="41"/>
      <c r="J94" s="41"/>
      <c r="L94" s="34">
        <v>87</v>
      </c>
      <c r="M94" s="35"/>
      <c r="N94" s="35"/>
      <c r="O94" s="34">
        <f>IFERROR(SUMIF(Table4[,],Table6[[#This Row],[Accounts Name]],Table4[,3]),"")</f>
        <v>0</v>
      </c>
      <c r="P94" s="34">
        <f>IFERROR(SUMIF(Table4[,],Table6[[#This Row],[Accounts Name]],Table4[,2]),"")</f>
        <v>0</v>
      </c>
      <c r="S94" s="36">
        <f t="shared" si="1"/>
        <v>87</v>
      </c>
      <c r="T94" s="34"/>
      <c r="U94" s="37"/>
      <c r="V94" s="34">
        <f>IFERROR(SUMIF(Table6[Sub-Accounts],Table8[[#This Row],[Update your chart of accounts here]],Table6[Debit]),"")</f>
        <v>0</v>
      </c>
      <c r="W94" s="34">
        <f>IFERROR(SUMIF(Table6[Sub-Accounts],Table8[[#This Row],[Update your chart of accounts here]],Table6[Credit]),"")</f>
        <v>0</v>
      </c>
      <c r="X94" s="34"/>
      <c r="Y94" s="34"/>
      <c r="Z94" s="34"/>
      <c r="AA94" s="34"/>
      <c r="AB94" s="34">
        <f>MAX(Table8[[#This Row],[Debit]]+Table8[[#This Row],[Debit -]]-Table8[[#This Row],[Credit]]-Table8[[#This Row],[Credit +]],0)</f>
        <v>0</v>
      </c>
      <c r="AC94" s="34">
        <f>MAX(Table8[[#This Row],[Credit]]-Table8[[#This Row],[Debit]]+Table8[[#This Row],[Credit +]]-Table8[[#This Row],[Debit -]],0)</f>
        <v>0</v>
      </c>
      <c r="AD94" s="34" t="str">
        <f>IFERROR(IF(AND(OR(Table8[[#This Row],[Classification]]="Expense",Table8[[#This Row],[Classification]]="Cost of Goods Sold"),Table8[[#This Row],[Debit\]]&gt;Table8[[#This Row],[Credit.]]),Table8[[#This Row],[Debit\]]-Table8[[#This Row],[Credit.]],""),"")</f>
        <v/>
      </c>
      <c r="AE94" s="34" t="str">
        <f>IFERROR(IF(AND(OR(Table8[[#This Row],[Classification]]="Income",Table8[[#This Row],[Classification]]="Cost of Goods Sold"),Table8[[#This Row],[Credit.]]&gt;Table8[[#This Row],[Debit\]]),Table8[[#This Row],[Credit.]]-Table8[[#This Row],[Debit\]],""),"")</f>
        <v/>
      </c>
      <c r="AF94" s="34"/>
      <c r="AG94" s="34" t="str">
        <f>IFERROR(IF(AND(Table8[[#This Row],[Classification]]="Assets",Table8[[#This Row],[Debit\]]-Table8[[#This Row],[Credit.]]),Table8[[#This Row],[Debit\]]-Table8[[#This Row],[Credit.]],""),"")</f>
        <v/>
      </c>
      <c r="AH94" s="34" t="str">
        <f>IFERROR(IF(AND(OR(Table8[[#This Row],[Classification]]="Liabilities",Table8[[#This Row],[Classification]]="Owner´s Equity"),Table8[[#This Row],[Credit.]]&gt;Table8[[#This Row],[Debit\]]),Table8[[#This Row],[Credit.]]-Table8[[#This Row],[Debit\]],""),"")</f>
        <v/>
      </c>
    </row>
    <row r="95" spans="2:34" x14ac:dyDescent="0.25">
      <c r="B95" s="34"/>
      <c r="C95" s="45"/>
      <c r="D95" s="34"/>
      <c r="E95" s="34"/>
      <c r="G95" s="39"/>
      <c r="H95" s="43"/>
      <c r="I95" s="41"/>
      <c r="J95" s="41"/>
      <c r="L95" s="34">
        <v>88</v>
      </c>
      <c r="M95" s="35"/>
      <c r="N95" s="35"/>
      <c r="O95" s="34">
        <f>IFERROR(SUMIF(Table4[,],Table6[[#This Row],[Accounts Name]],Table4[,3]),"")</f>
        <v>0</v>
      </c>
      <c r="P95" s="34">
        <f>IFERROR(SUMIF(Table4[,],Table6[[#This Row],[Accounts Name]],Table4[,2]),"")</f>
        <v>0</v>
      </c>
      <c r="S95" s="36">
        <f t="shared" si="1"/>
        <v>88</v>
      </c>
      <c r="T95" s="34"/>
      <c r="U95" s="37"/>
      <c r="V95" s="34">
        <f>IFERROR(SUMIF(Table6[Sub-Accounts],Table8[[#This Row],[Update your chart of accounts here]],Table6[Debit]),"")</f>
        <v>0</v>
      </c>
      <c r="W95" s="34">
        <f>IFERROR(SUMIF(Table6[Sub-Accounts],Table8[[#This Row],[Update your chart of accounts here]],Table6[Credit]),"")</f>
        <v>0</v>
      </c>
      <c r="X95" s="34"/>
      <c r="Y95" s="34"/>
      <c r="Z95" s="34"/>
      <c r="AA95" s="34"/>
      <c r="AB95" s="34">
        <f>MAX(Table8[[#This Row],[Debit]]+Table8[[#This Row],[Debit -]]-Table8[[#This Row],[Credit]]-Table8[[#This Row],[Credit +]],0)</f>
        <v>0</v>
      </c>
      <c r="AC95" s="34">
        <f>MAX(Table8[[#This Row],[Credit]]-Table8[[#This Row],[Debit]]+Table8[[#This Row],[Credit +]]-Table8[[#This Row],[Debit -]],0)</f>
        <v>0</v>
      </c>
      <c r="AD95" s="34" t="str">
        <f>IFERROR(IF(AND(OR(Table8[[#This Row],[Classification]]="Expense",Table8[[#This Row],[Classification]]="Cost of Goods Sold"),Table8[[#This Row],[Debit\]]&gt;Table8[[#This Row],[Credit.]]),Table8[[#This Row],[Debit\]]-Table8[[#This Row],[Credit.]],""),"")</f>
        <v/>
      </c>
      <c r="AE95" s="34" t="str">
        <f>IFERROR(IF(AND(OR(Table8[[#This Row],[Classification]]="Income",Table8[[#This Row],[Classification]]="Cost of Goods Sold"),Table8[[#This Row],[Credit.]]&gt;Table8[[#This Row],[Debit\]]),Table8[[#This Row],[Credit.]]-Table8[[#This Row],[Debit\]],""),"")</f>
        <v/>
      </c>
      <c r="AF95" s="34"/>
      <c r="AG95" s="34" t="str">
        <f>IFERROR(IF(AND(Table8[[#This Row],[Classification]]="Assets",Table8[[#This Row],[Debit\]]-Table8[[#This Row],[Credit.]]),Table8[[#This Row],[Debit\]]-Table8[[#This Row],[Credit.]],""),"")</f>
        <v/>
      </c>
      <c r="AH95" s="34" t="str">
        <f>IFERROR(IF(AND(OR(Table8[[#This Row],[Classification]]="Liabilities",Table8[[#This Row],[Classification]]="Owner´s Equity"),Table8[[#This Row],[Credit.]]&gt;Table8[[#This Row],[Debit\]]),Table8[[#This Row],[Credit.]]-Table8[[#This Row],[Debit\]],""),"")</f>
        <v/>
      </c>
    </row>
    <row r="96" spans="2:34" x14ac:dyDescent="0.25">
      <c r="B96" s="34"/>
      <c r="C96" s="45"/>
      <c r="D96" s="34"/>
      <c r="E96" s="34"/>
      <c r="G96" s="39"/>
      <c r="H96" s="40"/>
      <c r="I96" s="41"/>
      <c r="J96" s="41"/>
      <c r="L96" s="34">
        <v>89</v>
      </c>
      <c r="M96" s="35"/>
      <c r="N96" s="35"/>
      <c r="O96" s="34">
        <f>IFERROR(SUMIF(Table4[,],Table6[[#This Row],[Accounts Name]],Table4[,3]),"")</f>
        <v>0</v>
      </c>
      <c r="P96" s="34">
        <f>IFERROR(SUMIF(Table4[,],Table6[[#This Row],[Accounts Name]],Table4[,2]),"")</f>
        <v>0</v>
      </c>
      <c r="S96" s="36">
        <f t="shared" si="1"/>
        <v>89</v>
      </c>
      <c r="T96" s="34"/>
      <c r="U96" s="37"/>
      <c r="V96" s="34">
        <f>IFERROR(SUMIF(Table6[Sub-Accounts],Table8[[#This Row],[Update your chart of accounts here]],Table6[Debit]),"")</f>
        <v>0</v>
      </c>
      <c r="W96" s="34">
        <f>IFERROR(SUMIF(Table6[Sub-Accounts],Table8[[#This Row],[Update your chart of accounts here]],Table6[Credit]),"")</f>
        <v>0</v>
      </c>
      <c r="X96" s="34"/>
      <c r="Y96" s="34"/>
      <c r="Z96" s="34"/>
      <c r="AA96" s="34"/>
      <c r="AB96" s="34">
        <f>MAX(Table8[[#This Row],[Debit]]+Table8[[#This Row],[Debit -]]-Table8[[#This Row],[Credit]]-Table8[[#This Row],[Credit +]],0)</f>
        <v>0</v>
      </c>
      <c r="AC96" s="34">
        <f>MAX(Table8[[#This Row],[Credit]]-Table8[[#This Row],[Debit]]+Table8[[#This Row],[Credit +]]-Table8[[#This Row],[Debit -]],0)</f>
        <v>0</v>
      </c>
      <c r="AD96" s="34" t="str">
        <f>IFERROR(IF(AND(OR(Table8[[#This Row],[Classification]]="Expense",Table8[[#This Row],[Classification]]="Cost of Goods Sold"),Table8[[#This Row],[Debit\]]&gt;Table8[[#This Row],[Credit.]]),Table8[[#This Row],[Debit\]]-Table8[[#This Row],[Credit.]],""),"")</f>
        <v/>
      </c>
      <c r="AE96" s="34" t="str">
        <f>IFERROR(IF(AND(OR(Table8[[#This Row],[Classification]]="Income",Table8[[#This Row],[Classification]]="Cost of Goods Sold"),Table8[[#This Row],[Credit.]]&gt;Table8[[#This Row],[Debit\]]),Table8[[#This Row],[Credit.]]-Table8[[#This Row],[Debit\]],""),"")</f>
        <v/>
      </c>
      <c r="AF96" s="34"/>
      <c r="AG96" s="34" t="str">
        <f>IFERROR(IF(AND(Table8[[#This Row],[Classification]]="Assets",Table8[[#This Row],[Debit\]]-Table8[[#This Row],[Credit.]]),Table8[[#This Row],[Debit\]]-Table8[[#This Row],[Credit.]],""),"")</f>
        <v/>
      </c>
      <c r="AH96" s="34" t="str">
        <f>IFERROR(IF(AND(OR(Table8[[#This Row],[Classification]]="Liabilities",Table8[[#This Row],[Classification]]="Owner´s Equity"),Table8[[#This Row],[Credit.]]&gt;Table8[[#This Row],[Debit\]]),Table8[[#This Row],[Credit.]]-Table8[[#This Row],[Debit\]],""),"")</f>
        <v/>
      </c>
    </row>
    <row r="97" spans="2:34" x14ac:dyDescent="0.25">
      <c r="B97" s="34"/>
      <c r="C97" s="45"/>
      <c r="D97" s="34"/>
      <c r="E97" s="34"/>
      <c r="G97" s="39"/>
      <c r="H97" s="40"/>
      <c r="I97" s="41"/>
      <c r="J97" s="41"/>
      <c r="L97" s="34">
        <v>90</v>
      </c>
      <c r="M97" s="35"/>
      <c r="N97" s="35"/>
      <c r="O97" s="34">
        <f>IFERROR(SUMIF(Table4[,],Table6[[#This Row],[Accounts Name]],Table4[,3]),"")</f>
        <v>0</v>
      </c>
      <c r="P97" s="34">
        <f>IFERROR(SUMIF(Table4[,],Table6[[#This Row],[Accounts Name]],Table4[,2]),"")</f>
        <v>0</v>
      </c>
      <c r="S97" s="36">
        <f t="shared" si="1"/>
        <v>90</v>
      </c>
      <c r="T97" s="34"/>
      <c r="U97" s="37"/>
      <c r="V97" s="34">
        <f>IFERROR(SUMIF(Table6[Sub-Accounts],Table8[[#This Row],[Update your chart of accounts here]],Table6[Debit]),"")</f>
        <v>0</v>
      </c>
      <c r="W97" s="34">
        <f>IFERROR(SUMIF(Table6[Sub-Accounts],Table8[[#This Row],[Update your chart of accounts here]],Table6[Credit]),"")</f>
        <v>0</v>
      </c>
      <c r="X97" s="34"/>
      <c r="Y97" s="34"/>
      <c r="Z97" s="34"/>
      <c r="AA97" s="34"/>
      <c r="AB97" s="34">
        <f>MAX(Table8[[#This Row],[Debit]]+Table8[[#This Row],[Debit -]]-Table8[[#This Row],[Credit]]-Table8[[#This Row],[Credit +]],0)</f>
        <v>0</v>
      </c>
      <c r="AC97" s="34">
        <f>MAX(Table8[[#This Row],[Credit]]-Table8[[#This Row],[Debit]]+Table8[[#This Row],[Credit +]]-Table8[[#This Row],[Debit -]],0)</f>
        <v>0</v>
      </c>
      <c r="AD97" s="34" t="str">
        <f>IFERROR(IF(AND(OR(Table8[[#This Row],[Classification]]="Expense",Table8[[#This Row],[Classification]]="Cost of Goods Sold"),Table8[[#This Row],[Debit\]]&gt;Table8[[#This Row],[Credit.]]),Table8[[#This Row],[Debit\]]-Table8[[#This Row],[Credit.]],""),"")</f>
        <v/>
      </c>
      <c r="AE97" s="34" t="str">
        <f>IFERROR(IF(AND(OR(Table8[[#This Row],[Classification]]="Income",Table8[[#This Row],[Classification]]="Cost of Goods Sold"),Table8[[#This Row],[Credit.]]&gt;Table8[[#This Row],[Debit\]]),Table8[[#This Row],[Credit.]]-Table8[[#This Row],[Debit\]],""),"")</f>
        <v/>
      </c>
      <c r="AF97" s="34"/>
      <c r="AG97" s="34" t="str">
        <f>IFERROR(IF(AND(Table8[[#This Row],[Classification]]="Assets",Table8[[#This Row],[Debit\]]-Table8[[#This Row],[Credit.]]),Table8[[#This Row],[Debit\]]-Table8[[#This Row],[Credit.]],""),"")</f>
        <v/>
      </c>
      <c r="AH97" s="34" t="str">
        <f>IFERROR(IF(AND(OR(Table8[[#This Row],[Classification]]="Liabilities",Table8[[#This Row],[Classification]]="Owner´s Equity"),Table8[[#This Row],[Credit.]]&gt;Table8[[#This Row],[Debit\]]),Table8[[#This Row],[Credit.]]-Table8[[#This Row],[Debit\]],""),"")</f>
        <v/>
      </c>
    </row>
    <row r="98" spans="2:34" x14ac:dyDescent="0.25">
      <c r="B98" s="34"/>
      <c r="C98" s="45"/>
      <c r="D98" s="34"/>
      <c r="E98" s="34"/>
      <c r="G98" s="39"/>
      <c r="H98" s="43"/>
      <c r="I98" s="41"/>
      <c r="J98" s="41"/>
      <c r="L98" s="34">
        <v>91</v>
      </c>
      <c r="M98" s="35"/>
      <c r="N98" s="35"/>
      <c r="O98" s="34">
        <f>IFERROR(SUMIF(Table4[,],Table6[[#This Row],[Accounts Name]],Table4[,3]),"")</f>
        <v>0</v>
      </c>
      <c r="P98" s="34">
        <f>IFERROR(SUMIF(Table4[,],Table6[[#This Row],[Accounts Name]],Table4[,2]),"")</f>
        <v>0</v>
      </c>
      <c r="S98" s="36">
        <f t="shared" si="1"/>
        <v>91</v>
      </c>
      <c r="T98" s="34"/>
      <c r="U98" s="37"/>
      <c r="V98" s="34">
        <f>IFERROR(SUMIF(Table6[Sub-Accounts],Table8[[#This Row],[Update your chart of accounts here]],Table6[Debit]),"")</f>
        <v>0</v>
      </c>
      <c r="W98" s="34">
        <f>IFERROR(SUMIF(Table6[Sub-Accounts],Table8[[#This Row],[Update your chart of accounts here]],Table6[Credit]),"")</f>
        <v>0</v>
      </c>
      <c r="X98" s="34"/>
      <c r="Y98" s="34"/>
      <c r="Z98" s="34"/>
      <c r="AA98" s="34"/>
      <c r="AB98" s="34">
        <f>MAX(Table8[[#This Row],[Debit]]+Table8[[#This Row],[Debit -]]-Table8[[#This Row],[Credit]]-Table8[[#This Row],[Credit +]],0)</f>
        <v>0</v>
      </c>
      <c r="AC98" s="34">
        <f>MAX(Table8[[#This Row],[Credit]]-Table8[[#This Row],[Debit]]+Table8[[#This Row],[Credit +]]-Table8[[#This Row],[Debit -]],0)</f>
        <v>0</v>
      </c>
      <c r="AD98" s="34" t="str">
        <f>IFERROR(IF(AND(OR(Table8[[#This Row],[Classification]]="Expense",Table8[[#This Row],[Classification]]="Cost of Goods Sold"),Table8[[#This Row],[Debit\]]&gt;Table8[[#This Row],[Credit.]]),Table8[[#This Row],[Debit\]]-Table8[[#This Row],[Credit.]],""),"")</f>
        <v/>
      </c>
      <c r="AE98" s="34" t="str">
        <f>IFERROR(IF(AND(OR(Table8[[#This Row],[Classification]]="Income",Table8[[#This Row],[Classification]]="Cost of Goods Sold"),Table8[[#This Row],[Credit.]]&gt;Table8[[#This Row],[Debit\]]),Table8[[#This Row],[Credit.]]-Table8[[#This Row],[Debit\]],""),"")</f>
        <v/>
      </c>
      <c r="AF98" s="34"/>
      <c r="AG98" s="34" t="str">
        <f>IFERROR(IF(AND(Table8[[#This Row],[Classification]]="Assets",Table8[[#This Row],[Debit\]]-Table8[[#This Row],[Credit.]]),Table8[[#This Row],[Debit\]]-Table8[[#This Row],[Credit.]],""),"")</f>
        <v/>
      </c>
      <c r="AH98" s="34" t="str">
        <f>IFERROR(IF(AND(OR(Table8[[#This Row],[Classification]]="Liabilities",Table8[[#This Row],[Classification]]="Owner´s Equity"),Table8[[#This Row],[Credit.]]&gt;Table8[[#This Row],[Debit\]]),Table8[[#This Row],[Credit.]]-Table8[[#This Row],[Debit\]],""),"")</f>
        <v/>
      </c>
    </row>
    <row r="99" spans="2:34" x14ac:dyDescent="0.25">
      <c r="B99" s="34"/>
      <c r="C99" s="45"/>
      <c r="D99" s="34"/>
      <c r="E99" s="34"/>
      <c r="G99" s="39"/>
      <c r="H99" s="40"/>
      <c r="I99" s="41"/>
      <c r="J99" s="41"/>
      <c r="L99" s="34">
        <v>92</v>
      </c>
      <c r="M99" s="35"/>
      <c r="N99" s="35"/>
      <c r="O99" s="34">
        <f>IFERROR(SUMIF(Table4[,],Table6[[#This Row],[Accounts Name]],Table4[,3]),"")</f>
        <v>0</v>
      </c>
      <c r="P99" s="34">
        <f>IFERROR(SUMIF(Table4[,],Table6[[#This Row],[Accounts Name]],Table4[,2]),"")</f>
        <v>0</v>
      </c>
      <c r="S99" s="36">
        <f t="shared" si="1"/>
        <v>92</v>
      </c>
      <c r="T99" s="34"/>
      <c r="U99" s="37"/>
      <c r="V99" s="34">
        <f>IFERROR(SUMIF(Table6[Sub-Accounts],Table8[[#This Row],[Update your chart of accounts here]],Table6[Debit]),"")</f>
        <v>0</v>
      </c>
      <c r="W99" s="34">
        <f>IFERROR(SUMIF(Table6[Sub-Accounts],Table8[[#This Row],[Update your chart of accounts here]],Table6[Credit]),"")</f>
        <v>0</v>
      </c>
      <c r="X99" s="34"/>
      <c r="Y99" s="34"/>
      <c r="Z99" s="34"/>
      <c r="AA99" s="34"/>
      <c r="AB99" s="34">
        <f>MAX(Table8[[#This Row],[Debit]]+Table8[[#This Row],[Debit -]]-Table8[[#This Row],[Credit]]-Table8[[#This Row],[Credit +]],0)</f>
        <v>0</v>
      </c>
      <c r="AC99" s="34">
        <f>MAX(Table8[[#This Row],[Credit]]-Table8[[#This Row],[Debit]]+Table8[[#This Row],[Credit +]]-Table8[[#This Row],[Debit -]],0)</f>
        <v>0</v>
      </c>
      <c r="AD99" s="34" t="str">
        <f>IFERROR(IF(AND(OR(Table8[[#This Row],[Classification]]="Expense",Table8[[#This Row],[Classification]]="Cost of Goods Sold"),Table8[[#This Row],[Debit\]]&gt;Table8[[#This Row],[Credit.]]),Table8[[#This Row],[Debit\]]-Table8[[#This Row],[Credit.]],""),"")</f>
        <v/>
      </c>
      <c r="AE99" s="34" t="str">
        <f>IFERROR(IF(AND(OR(Table8[[#This Row],[Classification]]="Income",Table8[[#This Row],[Classification]]="Cost of Goods Sold"),Table8[[#This Row],[Credit.]]&gt;Table8[[#This Row],[Debit\]]),Table8[[#This Row],[Credit.]]-Table8[[#This Row],[Debit\]],""),"")</f>
        <v/>
      </c>
      <c r="AF99" s="34"/>
      <c r="AG99" s="34" t="str">
        <f>IFERROR(IF(AND(Table8[[#This Row],[Classification]]="Assets",Table8[[#This Row],[Debit\]]-Table8[[#This Row],[Credit.]]),Table8[[#This Row],[Debit\]]-Table8[[#This Row],[Credit.]],""),"")</f>
        <v/>
      </c>
      <c r="AH99" s="34" t="str">
        <f>IFERROR(IF(AND(OR(Table8[[#This Row],[Classification]]="Liabilities",Table8[[#This Row],[Classification]]="Owner´s Equity"),Table8[[#This Row],[Credit.]]&gt;Table8[[#This Row],[Debit\]]),Table8[[#This Row],[Credit.]]-Table8[[#This Row],[Debit\]],""),"")</f>
        <v/>
      </c>
    </row>
    <row r="100" spans="2:34" x14ac:dyDescent="0.25">
      <c r="B100" s="34"/>
      <c r="C100" s="45"/>
      <c r="D100" s="34"/>
      <c r="E100" s="34"/>
      <c r="G100" s="39"/>
      <c r="H100" s="40"/>
      <c r="I100" s="41"/>
      <c r="J100" s="41"/>
      <c r="L100" s="34">
        <v>93</v>
      </c>
      <c r="M100" s="35"/>
      <c r="N100" s="35"/>
      <c r="O100" s="34">
        <f>IFERROR(SUMIF(Table4[,],Table6[[#This Row],[Accounts Name]],Table4[,3]),"")</f>
        <v>0</v>
      </c>
      <c r="P100" s="34">
        <f>IFERROR(SUMIF(Table4[,],Table6[[#This Row],[Accounts Name]],Table4[,2]),"")</f>
        <v>0</v>
      </c>
      <c r="S100" s="36">
        <f t="shared" si="1"/>
        <v>93</v>
      </c>
      <c r="T100" s="34"/>
      <c r="U100" s="37"/>
      <c r="V100" s="34">
        <f>IFERROR(SUMIF(Table6[Sub-Accounts],Table8[[#This Row],[Update your chart of accounts here]],Table6[Debit]),"")</f>
        <v>0</v>
      </c>
      <c r="W100" s="34">
        <f>IFERROR(SUMIF(Table6[Sub-Accounts],Table8[[#This Row],[Update your chart of accounts here]],Table6[Credit]),"")</f>
        <v>0</v>
      </c>
      <c r="X100" s="34"/>
      <c r="Y100" s="34"/>
      <c r="Z100" s="34"/>
      <c r="AA100" s="34"/>
      <c r="AB100" s="34">
        <f>MAX(Table8[[#This Row],[Debit]]+Table8[[#This Row],[Debit -]]-Table8[[#This Row],[Credit]]-Table8[[#This Row],[Credit +]],0)</f>
        <v>0</v>
      </c>
      <c r="AC100" s="34">
        <f>MAX(Table8[[#This Row],[Credit]]-Table8[[#This Row],[Debit]]+Table8[[#This Row],[Credit +]]-Table8[[#This Row],[Debit -]],0)</f>
        <v>0</v>
      </c>
      <c r="AD100" s="34" t="str">
        <f>IFERROR(IF(AND(OR(Table8[[#This Row],[Classification]]="Expense",Table8[[#This Row],[Classification]]="Cost of Goods Sold"),Table8[[#This Row],[Debit\]]&gt;Table8[[#This Row],[Credit.]]),Table8[[#This Row],[Debit\]]-Table8[[#This Row],[Credit.]],""),"")</f>
        <v/>
      </c>
      <c r="AE100" s="34" t="str">
        <f>IFERROR(IF(AND(OR(Table8[[#This Row],[Classification]]="Income",Table8[[#This Row],[Classification]]="Cost of Goods Sold"),Table8[[#This Row],[Credit.]]&gt;Table8[[#This Row],[Debit\]]),Table8[[#This Row],[Credit.]]-Table8[[#This Row],[Debit\]],""),"")</f>
        <v/>
      </c>
      <c r="AF100" s="34"/>
      <c r="AG100" s="34" t="str">
        <f>IFERROR(IF(AND(Table8[[#This Row],[Classification]]="Assets",Table8[[#This Row],[Debit\]]-Table8[[#This Row],[Credit.]]),Table8[[#This Row],[Debit\]]-Table8[[#This Row],[Credit.]],""),"")</f>
        <v/>
      </c>
      <c r="AH100" s="34" t="str">
        <f>IFERROR(IF(AND(OR(Table8[[#This Row],[Classification]]="Liabilities",Table8[[#This Row],[Classification]]="Owner´s Equity"),Table8[[#This Row],[Credit.]]&gt;Table8[[#This Row],[Debit\]]),Table8[[#This Row],[Credit.]]-Table8[[#This Row],[Debit\]],""),"")</f>
        <v/>
      </c>
    </row>
    <row r="101" spans="2:34" x14ac:dyDescent="0.25">
      <c r="B101" s="34"/>
      <c r="C101" s="45"/>
      <c r="D101" s="34"/>
      <c r="E101" s="34"/>
      <c r="G101" s="39"/>
      <c r="H101" s="43"/>
      <c r="I101" s="41"/>
      <c r="J101" s="41"/>
      <c r="L101" s="34">
        <v>94</v>
      </c>
      <c r="M101" s="35"/>
      <c r="N101" s="35"/>
      <c r="O101" s="34">
        <f>IFERROR(SUMIF(Table4[,],Table6[[#This Row],[Accounts Name]],Table4[,3]),"")</f>
        <v>0</v>
      </c>
      <c r="P101" s="34">
        <f>IFERROR(SUMIF(Table4[,],Table6[[#This Row],[Accounts Name]],Table4[,2]),"")</f>
        <v>0</v>
      </c>
      <c r="S101" s="36">
        <f t="shared" si="1"/>
        <v>94</v>
      </c>
      <c r="T101" s="34"/>
      <c r="U101" s="37"/>
      <c r="V101" s="34">
        <f>IFERROR(SUMIF(Table6[Sub-Accounts],Table8[[#This Row],[Update your chart of accounts here]],Table6[Debit]),"")</f>
        <v>0</v>
      </c>
      <c r="W101" s="34">
        <f>IFERROR(SUMIF(Table6[Sub-Accounts],Table8[[#This Row],[Update your chart of accounts here]],Table6[Credit]),"")</f>
        <v>0</v>
      </c>
      <c r="X101" s="34"/>
      <c r="Y101" s="34"/>
      <c r="Z101" s="34"/>
      <c r="AA101" s="34"/>
      <c r="AB101" s="34">
        <f>MAX(Table8[[#This Row],[Debit]]+Table8[[#This Row],[Debit -]]-Table8[[#This Row],[Credit]]-Table8[[#This Row],[Credit +]],0)</f>
        <v>0</v>
      </c>
      <c r="AC101" s="34">
        <f>MAX(Table8[[#This Row],[Credit]]-Table8[[#This Row],[Debit]]+Table8[[#This Row],[Credit +]]-Table8[[#This Row],[Debit -]],0)</f>
        <v>0</v>
      </c>
      <c r="AD101" s="34" t="str">
        <f>IFERROR(IF(AND(OR(Table8[[#This Row],[Classification]]="Expense",Table8[[#This Row],[Classification]]="Cost of Goods Sold"),Table8[[#This Row],[Debit\]]&gt;Table8[[#This Row],[Credit.]]),Table8[[#This Row],[Debit\]]-Table8[[#This Row],[Credit.]],""),"")</f>
        <v/>
      </c>
      <c r="AE101" s="34" t="str">
        <f>IFERROR(IF(AND(OR(Table8[[#This Row],[Classification]]="Income",Table8[[#This Row],[Classification]]="Cost of Goods Sold"),Table8[[#This Row],[Credit.]]&gt;Table8[[#This Row],[Debit\]]),Table8[[#This Row],[Credit.]]-Table8[[#This Row],[Debit\]],""),"")</f>
        <v/>
      </c>
      <c r="AF101" s="34"/>
      <c r="AG101" s="34" t="str">
        <f>IFERROR(IF(AND(Table8[[#This Row],[Classification]]="Assets",Table8[[#This Row],[Debit\]]-Table8[[#This Row],[Credit.]]),Table8[[#This Row],[Debit\]]-Table8[[#This Row],[Credit.]],""),"")</f>
        <v/>
      </c>
      <c r="AH101" s="34" t="str">
        <f>IFERROR(IF(AND(OR(Table8[[#This Row],[Classification]]="Liabilities",Table8[[#This Row],[Classification]]="Owner´s Equity"),Table8[[#This Row],[Credit.]]&gt;Table8[[#This Row],[Debit\]]),Table8[[#This Row],[Credit.]]-Table8[[#This Row],[Debit\]],""),"")</f>
        <v/>
      </c>
    </row>
    <row r="102" spans="2:34" x14ac:dyDescent="0.25">
      <c r="B102" s="34"/>
      <c r="C102" s="45"/>
      <c r="D102" s="34"/>
      <c r="E102" s="34"/>
      <c r="G102" s="39"/>
      <c r="H102" s="40"/>
      <c r="I102" s="41"/>
      <c r="J102" s="41"/>
      <c r="L102" s="34">
        <v>95</v>
      </c>
      <c r="M102" s="35"/>
      <c r="N102" s="35"/>
      <c r="O102" s="34">
        <f>IFERROR(SUMIF(Table4[,],Table6[[#This Row],[Accounts Name]],Table4[,3]),"")</f>
        <v>0</v>
      </c>
      <c r="P102" s="34">
        <f>IFERROR(SUMIF(Table4[,],Table6[[#This Row],[Accounts Name]],Table4[,2]),"")</f>
        <v>0</v>
      </c>
      <c r="S102" s="36">
        <f t="shared" si="1"/>
        <v>95</v>
      </c>
      <c r="T102" s="34"/>
      <c r="U102" s="37"/>
      <c r="V102" s="34">
        <f>IFERROR(SUMIF(Table6[Sub-Accounts],Table8[[#This Row],[Update your chart of accounts here]],Table6[Debit]),"")</f>
        <v>0</v>
      </c>
      <c r="W102" s="34">
        <f>IFERROR(SUMIF(Table6[Sub-Accounts],Table8[[#This Row],[Update your chart of accounts here]],Table6[Credit]),"")</f>
        <v>0</v>
      </c>
      <c r="X102" s="34"/>
      <c r="Y102" s="34"/>
      <c r="Z102" s="34"/>
      <c r="AA102" s="34"/>
      <c r="AB102" s="34">
        <f>MAX(Table8[[#This Row],[Debit]]+Table8[[#This Row],[Debit -]]-Table8[[#This Row],[Credit]]-Table8[[#This Row],[Credit +]],0)</f>
        <v>0</v>
      </c>
      <c r="AC102" s="34">
        <f>MAX(Table8[[#This Row],[Credit]]-Table8[[#This Row],[Debit]]+Table8[[#This Row],[Credit +]]-Table8[[#This Row],[Debit -]],0)</f>
        <v>0</v>
      </c>
      <c r="AD102" s="34" t="str">
        <f>IFERROR(IF(AND(OR(Table8[[#This Row],[Classification]]="Expense",Table8[[#This Row],[Classification]]="Cost of Goods Sold"),Table8[[#This Row],[Debit\]]&gt;Table8[[#This Row],[Credit.]]),Table8[[#This Row],[Debit\]]-Table8[[#This Row],[Credit.]],""),"")</f>
        <v/>
      </c>
      <c r="AE102" s="34" t="str">
        <f>IFERROR(IF(AND(OR(Table8[[#This Row],[Classification]]="Income",Table8[[#This Row],[Classification]]="Cost of Goods Sold"),Table8[[#This Row],[Credit.]]&gt;Table8[[#This Row],[Debit\]]),Table8[[#This Row],[Credit.]]-Table8[[#This Row],[Debit\]],""),"")</f>
        <v/>
      </c>
      <c r="AF102" s="34"/>
      <c r="AG102" s="34" t="str">
        <f>IFERROR(IF(AND(Table8[[#This Row],[Classification]]="Assets",Table8[[#This Row],[Debit\]]-Table8[[#This Row],[Credit.]]),Table8[[#This Row],[Debit\]]-Table8[[#This Row],[Credit.]],""),"")</f>
        <v/>
      </c>
      <c r="AH102" s="34" t="str">
        <f>IFERROR(IF(AND(OR(Table8[[#This Row],[Classification]]="Liabilities",Table8[[#This Row],[Classification]]="Owner´s Equity"),Table8[[#This Row],[Credit.]]&gt;Table8[[#This Row],[Debit\]]),Table8[[#This Row],[Credit.]]-Table8[[#This Row],[Debit\]],""),"")</f>
        <v/>
      </c>
    </row>
    <row r="103" spans="2:34" x14ac:dyDescent="0.25">
      <c r="B103" s="34"/>
      <c r="C103" s="45"/>
      <c r="D103" s="34"/>
      <c r="E103" s="34"/>
      <c r="G103" s="39"/>
      <c r="H103" s="40"/>
      <c r="I103" s="41"/>
      <c r="J103" s="41"/>
      <c r="L103" s="34">
        <v>96</v>
      </c>
      <c r="M103" s="35"/>
      <c r="N103" s="35"/>
      <c r="O103" s="34">
        <f>IFERROR(SUMIF(Table4[,],Table6[[#This Row],[Accounts Name]],Table4[,3]),"")</f>
        <v>0</v>
      </c>
      <c r="P103" s="34">
        <f>IFERROR(SUMIF(Table4[,],Table6[[#This Row],[Accounts Name]],Table4[,2]),"")</f>
        <v>0</v>
      </c>
      <c r="S103" s="36">
        <f t="shared" si="1"/>
        <v>96</v>
      </c>
      <c r="T103" s="34"/>
      <c r="U103" s="37"/>
      <c r="V103" s="34">
        <f>IFERROR(SUMIF(Table6[Sub-Accounts],Table8[[#This Row],[Update your chart of accounts here]],Table6[Debit]),"")</f>
        <v>0</v>
      </c>
      <c r="W103" s="34">
        <f>IFERROR(SUMIF(Table6[Sub-Accounts],Table8[[#This Row],[Update your chart of accounts here]],Table6[Credit]),"")</f>
        <v>0</v>
      </c>
      <c r="X103" s="34"/>
      <c r="Y103" s="34"/>
      <c r="Z103" s="34"/>
      <c r="AA103" s="34"/>
      <c r="AB103" s="34">
        <f>MAX(Table8[[#This Row],[Debit]]+Table8[[#This Row],[Debit -]]-Table8[[#This Row],[Credit]]-Table8[[#This Row],[Credit +]],0)</f>
        <v>0</v>
      </c>
      <c r="AC103" s="34">
        <f>MAX(Table8[[#This Row],[Credit]]-Table8[[#This Row],[Debit]]+Table8[[#This Row],[Credit +]]-Table8[[#This Row],[Debit -]],0)</f>
        <v>0</v>
      </c>
      <c r="AD103" s="34" t="str">
        <f>IFERROR(IF(AND(OR(Table8[[#This Row],[Classification]]="Expense",Table8[[#This Row],[Classification]]="Cost of Goods Sold"),Table8[[#This Row],[Debit\]]&gt;Table8[[#This Row],[Credit.]]),Table8[[#This Row],[Debit\]]-Table8[[#This Row],[Credit.]],""),"")</f>
        <v/>
      </c>
      <c r="AE103" s="34" t="str">
        <f>IFERROR(IF(AND(OR(Table8[[#This Row],[Classification]]="Income",Table8[[#This Row],[Classification]]="Cost of Goods Sold"),Table8[[#This Row],[Credit.]]&gt;Table8[[#This Row],[Debit\]]),Table8[[#This Row],[Credit.]]-Table8[[#This Row],[Debit\]],""),"")</f>
        <v/>
      </c>
      <c r="AF103" s="34"/>
      <c r="AG103" s="34" t="str">
        <f>IFERROR(IF(AND(Table8[[#This Row],[Classification]]="Assets",Table8[[#This Row],[Debit\]]-Table8[[#This Row],[Credit.]]),Table8[[#This Row],[Debit\]]-Table8[[#This Row],[Credit.]],""),"")</f>
        <v/>
      </c>
      <c r="AH103" s="34" t="str">
        <f>IFERROR(IF(AND(OR(Table8[[#This Row],[Classification]]="Liabilities",Table8[[#This Row],[Classification]]="Owner´s Equity"),Table8[[#This Row],[Credit.]]&gt;Table8[[#This Row],[Debit\]]),Table8[[#This Row],[Credit.]]-Table8[[#This Row],[Debit\]],""),"")</f>
        <v/>
      </c>
    </row>
    <row r="104" spans="2:34" x14ac:dyDescent="0.25">
      <c r="B104" s="34"/>
      <c r="C104" s="45"/>
      <c r="D104" s="34"/>
      <c r="E104" s="34"/>
      <c r="G104" s="39"/>
      <c r="H104" s="43"/>
      <c r="I104" s="41"/>
      <c r="J104" s="41"/>
      <c r="L104" s="34">
        <v>97</v>
      </c>
      <c r="M104" s="35"/>
      <c r="N104" s="35"/>
      <c r="O104" s="34">
        <f>IFERROR(SUMIF(Table4[,],Table6[[#This Row],[Accounts Name]],Table4[,3]),"")</f>
        <v>0</v>
      </c>
      <c r="P104" s="34">
        <f>IFERROR(SUMIF(Table4[,],Table6[[#This Row],[Accounts Name]],Table4[,2]),"")</f>
        <v>0</v>
      </c>
      <c r="S104" s="36">
        <f t="shared" si="1"/>
        <v>97</v>
      </c>
      <c r="T104" s="34"/>
      <c r="U104" s="37"/>
      <c r="V104" s="34">
        <f>IFERROR(SUMIF(Table6[Sub-Accounts],Table8[[#This Row],[Update your chart of accounts here]],Table6[Debit]),"")</f>
        <v>0</v>
      </c>
      <c r="W104" s="34">
        <f>IFERROR(SUMIF(Table6[Sub-Accounts],Table8[[#This Row],[Update your chart of accounts here]],Table6[Credit]),"")</f>
        <v>0</v>
      </c>
      <c r="X104" s="34"/>
      <c r="Y104" s="34"/>
      <c r="Z104" s="34"/>
      <c r="AA104" s="34"/>
      <c r="AB104" s="34">
        <f>MAX(Table8[[#This Row],[Debit]]+Table8[[#This Row],[Debit -]]-Table8[[#This Row],[Credit]]-Table8[[#This Row],[Credit +]],0)</f>
        <v>0</v>
      </c>
      <c r="AC104" s="34">
        <f>MAX(Table8[[#This Row],[Credit]]-Table8[[#This Row],[Debit]]+Table8[[#This Row],[Credit +]]-Table8[[#This Row],[Debit -]],0)</f>
        <v>0</v>
      </c>
      <c r="AD104" s="34" t="str">
        <f>IFERROR(IF(AND(OR(Table8[[#This Row],[Classification]]="Expense",Table8[[#This Row],[Classification]]="Cost of Goods Sold"),Table8[[#This Row],[Debit\]]&gt;Table8[[#This Row],[Credit.]]),Table8[[#This Row],[Debit\]]-Table8[[#This Row],[Credit.]],""),"")</f>
        <v/>
      </c>
      <c r="AE104" s="34" t="str">
        <f>IFERROR(IF(AND(OR(Table8[[#This Row],[Classification]]="Income",Table8[[#This Row],[Classification]]="Cost of Goods Sold"),Table8[[#This Row],[Credit.]]&gt;Table8[[#This Row],[Debit\]]),Table8[[#This Row],[Credit.]]-Table8[[#This Row],[Debit\]],""),"")</f>
        <v/>
      </c>
      <c r="AF104" s="34"/>
      <c r="AG104" s="34" t="str">
        <f>IFERROR(IF(AND(Table8[[#This Row],[Classification]]="Assets",Table8[[#This Row],[Debit\]]-Table8[[#This Row],[Credit.]]),Table8[[#This Row],[Debit\]]-Table8[[#This Row],[Credit.]],""),"")</f>
        <v/>
      </c>
      <c r="AH104" s="34" t="str">
        <f>IFERROR(IF(AND(OR(Table8[[#This Row],[Classification]]="Liabilities",Table8[[#This Row],[Classification]]="Owner´s Equity"),Table8[[#This Row],[Credit.]]&gt;Table8[[#This Row],[Debit\]]),Table8[[#This Row],[Credit.]]-Table8[[#This Row],[Debit\]],""),"")</f>
        <v/>
      </c>
    </row>
    <row r="105" spans="2:34" x14ac:dyDescent="0.25">
      <c r="B105" s="34"/>
      <c r="C105" s="45"/>
      <c r="D105" s="34"/>
      <c r="E105" s="34"/>
      <c r="G105" s="39"/>
      <c r="H105" s="40"/>
      <c r="I105" s="41"/>
      <c r="J105" s="41"/>
      <c r="L105" s="34">
        <v>98</v>
      </c>
      <c r="M105" s="35"/>
      <c r="N105" s="35"/>
      <c r="O105" s="34">
        <f>IFERROR(SUMIF(Table4[,],Table6[[#This Row],[Accounts Name]],Table4[,3]),"")</f>
        <v>0</v>
      </c>
      <c r="P105" s="34">
        <f>IFERROR(SUMIF(Table4[,],Table6[[#This Row],[Accounts Name]],Table4[,2]),"")</f>
        <v>0</v>
      </c>
      <c r="S105" s="36">
        <f t="shared" si="1"/>
        <v>98</v>
      </c>
      <c r="T105" s="34"/>
      <c r="U105" s="37"/>
      <c r="V105" s="34">
        <f>IFERROR(SUMIF(Table6[Sub-Accounts],Table8[[#This Row],[Update your chart of accounts here]],Table6[Debit]),"")</f>
        <v>0</v>
      </c>
      <c r="W105" s="34">
        <f>IFERROR(SUMIF(Table6[Sub-Accounts],Table8[[#This Row],[Update your chart of accounts here]],Table6[Credit]),"")</f>
        <v>0</v>
      </c>
      <c r="X105" s="34"/>
      <c r="Y105" s="34"/>
      <c r="Z105" s="34"/>
      <c r="AA105" s="34"/>
      <c r="AB105" s="34">
        <f>MAX(Table8[[#This Row],[Debit]]+Table8[[#This Row],[Debit -]]-Table8[[#This Row],[Credit]]-Table8[[#This Row],[Credit +]],0)</f>
        <v>0</v>
      </c>
      <c r="AC105" s="34">
        <f>MAX(Table8[[#This Row],[Credit]]-Table8[[#This Row],[Debit]]+Table8[[#This Row],[Credit +]]-Table8[[#This Row],[Debit -]],0)</f>
        <v>0</v>
      </c>
      <c r="AD105" s="34" t="str">
        <f>IFERROR(IF(AND(OR(Table8[[#This Row],[Classification]]="Expense",Table8[[#This Row],[Classification]]="Cost of Goods Sold"),Table8[[#This Row],[Debit\]]&gt;Table8[[#This Row],[Credit.]]),Table8[[#This Row],[Debit\]]-Table8[[#This Row],[Credit.]],""),"")</f>
        <v/>
      </c>
      <c r="AE105" s="34" t="str">
        <f>IFERROR(IF(AND(OR(Table8[[#This Row],[Classification]]="Income",Table8[[#This Row],[Classification]]="Cost of Goods Sold"),Table8[[#This Row],[Credit.]]&gt;Table8[[#This Row],[Debit\]]),Table8[[#This Row],[Credit.]]-Table8[[#This Row],[Debit\]],""),"")</f>
        <v/>
      </c>
      <c r="AF105" s="34"/>
      <c r="AG105" s="34" t="str">
        <f>IFERROR(IF(AND(Table8[[#This Row],[Classification]]="Assets",Table8[[#This Row],[Debit\]]-Table8[[#This Row],[Credit.]]),Table8[[#This Row],[Debit\]]-Table8[[#This Row],[Credit.]],""),"")</f>
        <v/>
      </c>
      <c r="AH105" s="34" t="str">
        <f>IFERROR(IF(AND(OR(Table8[[#This Row],[Classification]]="Liabilities",Table8[[#This Row],[Classification]]="Owner´s Equity"),Table8[[#This Row],[Credit.]]&gt;Table8[[#This Row],[Debit\]]),Table8[[#This Row],[Credit.]]-Table8[[#This Row],[Debit\]],""),"")</f>
        <v/>
      </c>
    </row>
    <row r="106" spans="2:34" x14ac:dyDescent="0.25">
      <c r="B106" s="34"/>
      <c r="C106" s="45"/>
      <c r="D106" s="34"/>
      <c r="E106" s="34"/>
      <c r="G106" s="39"/>
      <c r="H106" s="40"/>
      <c r="I106" s="41"/>
      <c r="J106" s="41"/>
      <c r="L106" s="34">
        <v>99</v>
      </c>
      <c r="M106" s="35"/>
      <c r="N106" s="35"/>
      <c r="O106" s="34">
        <f>IFERROR(SUMIF(Table4[,],Table6[[#This Row],[Accounts Name]],Table4[,3]),"")</f>
        <v>0</v>
      </c>
      <c r="P106" s="34">
        <f>IFERROR(SUMIF(Table4[,],Table6[[#This Row],[Accounts Name]],Table4[,2]),"")</f>
        <v>0</v>
      </c>
      <c r="S106" s="36">
        <f t="shared" si="1"/>
        <v>99</v>
      </c>
      <c r="T106" s="34"/>
      <c r="U106" s="37"/>
      <c r="V106" s="34">
        <f>IFERROR(SUMIF(Table6[Sub-Accounts],Table8[[#This Row],[Update your chart of accounts here]],Table6[Debit]),"")</f>
        <v>0</v>
      </c>
      <c r="W106" s="34">
        <f>IFERROR(SUMIF(Table6[Sub-Accounts],Table8[[#This Row],[Update your chart of accounts here]],Table6[Credit]),"")</f>
        <v>0</v>
      </c>
      <c r="X106" s="34"/>
      <c r="Y106" s="34"/>
      <c r="Z106" s="34"/>
      <c r="AA106" s="34"/>
      <c r="AB106" s="34">
        <f>MAX(Table8[[#This Row],[Debit]]+Table8[[#This Row],[Debit -]]-Table8[[#This Row],[Credit]]-Table8[[#This Row],[Credit +]],0)</f>
        <v>0</v>
      </c>
      <c r="AC106" s="34">
        <f>MAX(Table8[[#This Row],[Credit]]-Table8[[#This Row],[Debit]]+Table8[[#This Row],[Credit +]]-Table8[[#This Row],[Debit -]],0)</f>
        <v>0</v>
      </c>
      <c r="AD106" s="34" t="str">
        <f>IFERROR(IF(AND(OR(Table8[[#This Row],[Classification]]="Expense",Table8[[#This Row],[Classification]]="Cost of Goods Sold"),Table8[[#This Row],[Debit\]]&gt;Table8[[#This Row],[Credit.]]),Table8[[#This Row],[Debit\]]-Table8[[#This Row],[Credit.]],""),"")</f>
        <v/>
      </c>
      <c r="AE106" s="34" t="str">
        <f>IFERROR(IF(AND(OR(Table8[[#This Row],[Classification]]="Income",Table8[[#This Row],[Classification]]="Cost of Goods Sold"),Table8[[#This Row],[Credit.]]&gt;Table8[[#This Row],[Debit\]]),Table8[[#This Row],[Credit.]]-Table8[[#This Row],[Debit\]],""),"")</f>
        <v/>
      </c>
      <c r="AF106" s="34"/>
      <c r="AG106" s="34" t="str">
        <f>IFERROR(IF(AND(Table8[[#This Row],[Classification]]="Assets",Table8[[#This Row],[Debit\]]-Table8[[#This Row],[Credit.]]),Table8[[#This Row],[Debit\]]-Table8[[#This Row],[Credit.]],""),"")</f>
        <v/>
      </c>
      <c r="AH106" s="34" t="str">
        <f>IFERROR(IF(AND(OR(Table8[[#This Row],[Classification]]="Liabilities",Table8[[#This Row],[Classification]]="Owner´s Equity"),Table8[[#This Row],[Credit.]]&gt;Table8[[#This Row],[Debit\]]),Table8[[#This Row],[Credit.]]-Table8[[#This Row],[Debit\]],""),"")</f>
        <v/>
      </c>
    </row>
    <row r="107" spans="2:34" x14ac:dyDescent="0.25">
      <c r="B107" s="34"/>
      <c r="C107" s="45"/>
      <c r="D107" s="34"/>
      <c r="E107" s="34"/>
      <c r="G107" s="39"/>
      <c r="H107" s="43"/>
      <c r="I107" s="41"/>
      <c r="J107" s="41"/>
      <c r="L107" s="34">
        <v>100</v>
      </c>
      <c r="M107" s="35"/>
      <c r="N107" s="35"/>
      <c r="O107" s="34">
        <f>IFERROR(SUMIF(Table4[,],Table6[[#This Row],[Accounts Name]],Table4[,3]),"")</f>
        <v>0</v>
      </c>
      <c r="P107" s="34">
        <f>IFERROR(SUMIF(Table4[,],Table6[[#This Row],[Accounts Name]],Table4[,2]),"")</f>
        <v>0</v>
      </c>
      <c r="S107" s="36">
        <f t="shared" si="1"/>
        <v>100</v>
      </c>
      <c r="T107" s="34"/>
      <c r="U107" s="37"/>
      <c r="V107" s="34">
        <f>IFERROR(SUMIF(Table6[Sub-Accounts],Table8[[#This Row],[Update your chart of accounts here]],Table6[Debit]),"")</f>
        <v>0</v>
      </c>
      <c r="W107" s="34">
        <f>IFERROR(SUMIF(Table6[Sub-Accounts],Table8[[#This Row],[Update your chart of accounts here]],Table6[Credit]),"")</f>
        <v>0</v>
      </c>
      <c r="X107" s="34"/>
      <c r="Y107" s="34"/>
      <c r="Z107" s="34"/>
      <c r="AA107" s="34"/>
      <c r="AB107" s="34">
        <f>MAX(Table8[[#This Row],[Debit]]+Table8[[#This Row],[Debit -]]-Table8[[#This Row],[Credit]]-Table8[[#This Row],[Credit +]],0)</f>
        <v>0</v>
      </c>
      <c r="AC107" s="34">
        <f>MAX(Table8[[#This Row],[Credit]]-Table8[[#This Row],[Debit]]+Table8[[#This Row],[Credit +]]-Table8[[#This Row],[Debit -]],0)</f>
        <v>0</v>
      </c>
      <c r="AD107" s="34" t="str">
        <f>IFERROR(IF(AND(OR(Table8[[#This Row],[Classification]]="Expense",Table8[[#This Row],[Classification]]="Cost of Goods Sold"),Table8[[#This Row],[Debit\]]&gt;Table8[[#This Row],[Credit.]]),Table8[[#This Row],[Debit\]]-Table8[[#This Row],[Credit.]],""),"")</f>
        <v/>
      </c>
      <c r="AE107" s="34" t="str">
        <f>IFERROR(IF(AND(OR(Table8[[#This Row],[Classification]]="Income",Table8[[#This Row],[Classification]]="Cost of Goods Sold"),Table8[[#This Row],[Credit.]]&gt;Table8[[#This Row],[Debit\]]),Table8[[#This Row],[Credit.]]-Table8[[#This Row],[Debit\]],""),"")</f>
        <v/>
      </c>
      <c r="AF107" s="34"/>
      <c r="AG107" s="34" t="str">
        <f>IFERROR(IF(AND(Table8[[#This Row],[Classification]]="Assets",Table8[[#This Row],[Debit\]]-Table8[[#This Row],[Credit.]]),Table8[[#This Row],[Debit\]]-Table8[[#This Row],[Credit.]],""),"")</f>
        <v/>
      </c>
      <c r="AH107" s="34" t="str">
        <f>IFERROR(IF(AND(OR(Table8[[#This Row],[Classification]]="Liabilities",Table8[[#This Row],[Classification]]="Owner´s Equity"),Table8[[#This Row],[Credit.]]&gt;Table8[[#This Row],[Debit\]]),Table8[[#This Row],[Credit.]]-Table8[[#This Row],[Debit\]],""),"")</f>
        <v/>
      </c>
    </row>
    <row r="108" spans="2:34" x14ac:dyDescent="0.25">
      <c r="B108" s="34"/>
      <c r="C108" s="45"/>
      <c r="D108" s="34"/>
      <c r="E108" s="34"/>
      <c r="G108" s="39"/>
      <c r="H108" s="40"/>
      <c r="I108" s="41"/>
      <c r="J108" s="41"/>
      <c r="L108" s="34">
        <v>101</v>
      </c>
      <c r="M108" s="35"/>
      <c r="N108" s="35"/>
      <c r="O108" s="34">
        <f>IFERROR(SUMIF(Table4[,],Table6[[#This Row],[Accounts Name]],Table4[,3]),"")</f>
        <v>0</v>
      </c>
      <c r="P108" s="34">
        <f>IFERROR(SUMIF(Table4[,],Table6[[#This Row],[Accounts Name]],Table4[,2]),"")</f>
        <v>0</v>
      </c>
      <c r="S108" s="36">
        <f t="shared" si="1"/>
        <v>101</v>
      </c>
      <c r="T108" s="34"/>
      <c r="U108" s="37"/>
      <c r="V108" s="34">
        <f>IFERROR(SUMIF(Table6[Sub-Accounts],Table8[[#This Row],[Update your chart of accounts here]],Table6[Debit]),"")</f>
        <v>0</v>
      </c>
      <c r="W108" s="34">
        <f>IFERROR(SUMIF(Table6[Sub-Accounts],Table8[[#This Row],[Update your chart of accounts here]],Table6[Credit]),"")</f>
        <v>0</v>
      </c>
      <c r="X108" s="34"/>
      <c r="Y108" s="34"/>
      <c r="Z108" s="34"/>
      <c r="AA108" s="34"/>
      <c r="AB108" s="34">
        <f>MAX(Table8[[#This Row],[Debit]]+Table8[[#This Row],[Debit -]]-Table8[[#This Row],[Credit]]-Table8[[#This Row],[Credit +]],0)</f>
        <v>0</v>
      </c>
      <c r="AC108" s="34">
        <f>MAX(Table8[[#This Row],[Credit]]-Table8[[#This Row],[Debit]]+Table8[[#This Row],[Credit +]]-Table8[[#This Row],[Debit -]],0)</f>
        <v>0</v>
      </c>
      <c r="AD108" s="34" t="str">
        <f>IFERROR(IF(AND(OR(Table8[[#This Row],[Classification]]="Expense",Table8[[#This Row],[Classification]]="Cost of Goods Sold"),Table8[[#This Row],[Debit\]]&gt;Table8[[#This Row],[Credit.]]),Table8[[#This Row],[Debit\]]-Table8[[#This Row],[Credit.]],""),"")</f>
        <v/>
      </c>
      <c r="AE108" s="34" t="str">
        <f>IFERROR(IF(AND(OR(Table8[[#This Row],[Classification]]="Income",Table8[[#This Row],[Classification]]="Cost of Goods Sold"),Table8[[#This Row],[Credit.]]&gt;Table8[[#This Row],[Debit\]]),Table8[[#This Row],[Credit.]]-Table8[[#This Row],[Debit\]],""),"")</f>
        <v/>
      </c>
      <c r="AF108" s="34"/>
      <c r="AG108" s="34" t="str">
        <f>IFERROR(IF(AND(Table8[[#This Row],[Classification]]="Assets",Table8[[#This Row],[Debit\]]-Table8[[#This Row],[Credit.]]),Table8[[#This Row],[Debit\]]-Table8[[#This Row],[Credit.]],""),"")</f>
        <v/>
      </c>
      <c r="AH108" s="34" t="str">
        <f>IFERROR(IF(AND(OR(Table8[[#This Row],[Classification]]="Liabilities",Table8[[#This Row],[Classification]]="Owner´s Equity"),Table8[[#This Row],[Credit.]]&gt;Table8[[#This Row],[Debit\]]),Table8[[#This Row],[Credit.]]-Table8[[#This Row],[Debit\]],""),"")</f>
        <v/>
      </c>
    </row>
    <row r="109" spans="2:34" x14ac:dyDescent="0.25">
      <c r="B109" s="34"/>
      <c r="C109" s="45"/>
      <c r="D109" s="34"/>
      <c r="E109" s="34"/>
      <c r="G109" s="39"/>
      <c r="H109" s="40"/>
      <c r="I109" s="41"/>
      <c r="J109" s="41"/>
      <c r="L109" s="34">
        <v>102</v>
      </c>
      <c r="M109" s="35"/>
      <c r="N109" s="35"/>
      <c r="O109" s="34">
        <f>IFERROR(SUMIF(Table4[,],Table6[[#This Row],[Accounts Name]],Table4[,3]),"")</f>
        <v>0</v>
      </c>
      <c r="P109" s="34">
        <f>IFERROR(SUMIF(Table4[,],Table6[[#This Row],[Accounts Name]],Table4[,2]),"")</f>
        <v>0</v>
      </c>
      <c r="S109" s="36">
        <f t="shared" si="1"/>
        <v>102</v>
      </c>
      <c r="T109" s="34"/>
      <c r="U109" s="37"/>
      <c r="V109" s="34">
        <f>IFERROR(SUMIF(Table6[Sub-Accounts],Table8[[#This Row],[Update your chart of accounts here]],Table6[Debit]),"")</f>
        <v>0</v>
      </c>
      <c r="W109" s="34">
        <f>IFERROR(SUMIF(Table6[Sub-Accounts],Table8[[#This Row],[Update your chart of accounts here]],Table6[Credit]),"")</f>
        <v>0</v>
      </c>
      <c r="X109" s="34"/>
      <c r="Y109" s="34"/>
      <c r="Z109" s="34"/>
      <c r="AA109" s="34"/>
      <c r="AB109" s="34">
        <f>MAX(Table8[[#This Row],[Debit]]+Table8[[#This Row],[Debit -]]-Table8[[#This Row],[Credit]]-Table8[[#This Row],[Credit +]],0)</f>
        <v>0</v>
      </c>
      <c r="AC109" s="34">
        <f>MAX(Table8[[#This Row],[Credit]]-Table8[[#This Row],[Debit]]+Table8[[#This Row],[Credit +]]-Table8[[#This Row],[Debit -]],0)</f>
        <v>0</v>
      </c>
      <c r="AD109" s="34" t="str">
        <f>IFERROR(IF(AND(OR(Table8[[#This Row],[Classification]]="Expense",Table8[[#This Row],[Classification]]="Cost of Goods Sold"),Table8[[#This Row],[Debit\]]&gt;Table8[[#This Row],[Credit.]]),Table8[[#This Row],[Debit\]]-Table8[[#This Row],[Credit.]],""),"")</f>
        <v/>
      </c>
      <c r="AE109" s="34" t="str">
        <f>IFERROR(IF(AND(OR(Table8[[#This Row],[Classification]]="Income",Table8[[#This Row],[Classification]]="Cost of Goods Sold"),Table8[[#This Row],[Credit.]]&gt;Table8[[#This Row],[Debit\]]),Table8[[#This Row],[Credit.]]-Table8[[#This Row],[Debit\]],""),"")</f>
        <v/>
      </c>
      <c r="AF109" s="34"/>
      <c r="AG109" s="34" t="str">
        <f>IFERROR(IF(AND(Table8[[#This Row],[Classification]]="Assets",Table8[[#This Row],[Debit\]]-Table8[[#This Row],[Credit.]]),Table8[[#This Row],[Debit\]]-Table8[[#This Row],[Credit.]],""),"")</f>
        <v/>
      </c>
      <c r="AH109" s="34" t="str">
        <f>IFERROR(IF(AND(OR(Table8[[#This Row],[Classification]]="Liabilities",Table8[[#This Row],[Classification]]="Owner´s Equity"),Table8[[#This Row],[Credit.]]&gt;Table8[[#This Row],[Debit\]]),Table8[[#This Row],[Credit.]]-Table8[[#This Row],[Debit\]],""),"")</f>
        <v/>
      </c>
    </row>
    <row r="110" spans="2:34" x14ac:dyDescent="0.25">
      <c r="B110" s="34"/>
      <c r="C110" s="45"/>
      <c r="D110" s="34"/>
      <c r="E110" s="34"/>
      <c r="G110" s="39"/>
      <c r="H110" s="43"/>
      <c r="I110" s="41"/>
      <c r="J110" s="41"/>
      <c r="L110" s="34">
        <v>103</v>
      </c>
      <c r="M110" s="35"/>
      <c r="N110" s="35"/>
      <c r="O110" s="34">
        <f>IFERROR(SUMIF(Table4[,],Table6[[#This Row],[Accounts Name]],Table4[,3]),"")</f>
        <v>0</v>
      </c>
      <c r="P110" s="34">
        <f>IFERROR(SUMIF(Table4[,],Table6[[#This Row],[Accounts Name]],Table4[,2]),"")</f>
        <v>0</v>
      </c>
      <c r="S110" s="36">
        <f t="shared" si="1"/>
        <v>103</v>
      </c>
      <c r="T110" s="34"/>
      <c r="U110" s="37"/>
      <c r="V110" s="34">
        <f>IFERROR(SUMIF(Table6[Sub-Accounts],Table8[[#This Row],[Update your chart of accounts here]],Table6[Debit]),"")</f>
        <v>0</v>
      </c>
      <c r="W110" s="34">
        <f>IFERROR(SUMIF(Table6[Sub-Accounts],Table8[[#This Row],[Update your chart of accounts here]],Table6[Credit]),"")</f>
        <v>0</v>
      </c>
      <c r="X110" s="34"/>
      <c r="Y110" s="34"/>
      <c r="Z110" s="34"/>
      <c r="AA110" s="34"/>
      <c r="AB110" s="34">
        <f>MAX(Table8[[#This Row],[Debit]]+Table8[[#This Row],[Debit -]]-Table8[[#This Row],[Credit]]-Table8[[#This Row],[Credit +]],0)</f>
        <v>0</v>
      </c>
      <c r="AC110" s="34">
        <f>MAX(Table8[[#This Row],[Credit]]-Table8[[#This Row],[Debit]]+Table8[[#This Row],[Credit +]]-Table8[[#This Row],[Debit -]],0)</f>
        <v>0</v>
      </c>
      <c r="AD110" s="34" t="str">
        <f>IFERROR(IF(AND(OR(Table8[[#This Row],[Classification]]="Expense",Table8[[#This Row],[Classification]]="Cost of Goods Sold"),Table8[[#This Row],[Debit\]]&gt;Table8[[#This Row],[Credit.]]),Table8[[#This Row],[Debit\]]-Table8[[#This Row],[Credit.]],""),"")</f>
        <v/>
      </c>
      <c r="AE110" s="34" t="str">
        <f>IFERROR(IF(AND(OR(Table8[[#This Row],[Classification]]="Income",Table8[[#This Row],[Classification]]="Cost of Goods Sold"),Table8[[#This Row],[Credit.]]&gt;Table8[[#This Row],[Debit\]]),Table8[[#This Row],[Credit.]]-Table8[[#This Row],[Debit\]],""),"")</f>
        <v/>
      </c>
      <c r="AF110" s="34"/>
      <c r="AG110" s="34" t="str">
        <f>IFERROR(IF(AND(Table8[[#This Row],[Classification]]="Assets",Table8[[#This Row],[Debit\]]-Table8[[#This Row],[Credit.]]),Table8[[#This Row],[Debit\]]-Table8[[#This Row],[Credit.]],""),"")</f>
        <v/>
      </c>
      <c r="AH110" s="34" t="str">
        <f>IFERROR(IF(AND(OR(Table8[[#This Row],[Classification]]="Liabilities",Table8[[#This Row],[Classification]]="Owner´s Equity"),Table8[[#This Row],[Credit.]]&gt;Table8[[#This Row],[Debit\]]),Table8[[#This Row],[Credit.]]-Table8[[#This Row],[Debit\]],""),"")</f>
        <v/>
      </c>
    </row>
    <row r="111" spans="2:34" x14ac:dyDescent="0.25">
      <c r="B111" s="34"/>
      <c r="C111" s="45"/>
      <c r="D111" s="34"/>
      <c r="E111" s="34"/>
      <c r="G111" s="39"/>
      <c r="H111" s="40"/>
      <c r="I111" s="41"/>
      <c r="J111" s="41"/>
      <c r="L111" s="34">
        <v>104</v>
      </c>
      <c r="M111" s="35"/>
      <c r="N111" s="35"/>
      <c r="O111" s="34">
        <f>IFERROR(SUMIF(Table4[,],Table6[[#This Row],[Accounts Name]],Table4[,3]),"")</f>
        <v>0</v>
      </c>
      <c r="P111" s="34">
        <f>IFERROR(SUMIF(Table4[,],Table6[[#This Row],[Accounts Name]],Table4[,2]),"")</f>
        <v>0</v>
      </c>
      <c r="S111" s="36">
        <f t="shared" si="1"/>
        <v>104</v>
      </c>
      <c r="T111" s="34"/>
      <c r="U111" s="37"/>
      <c r="V111" s="34">
        <f>IFERROR(SUMIF(Table6[Sub-Accounts],Table8[[#This Row],[Update your chart of accounts here]],Table6[Debit]),"")</f>
        <v>0</v>
      </c>
      <c r="W111" s="34">
        <f>IFERROR(SUMIF(Table6[Sub-Accounts],Table8[[#This Row],[Update your chart of accounts here]],Table6[Credit]),"")</f>
        <v>0</v>
      </c>
      <c r="X111" s="34"/>
      <c r="Y111" s="34"/>
      <c r="Z111" s="34"/>
      <c r="AA111" s="34"/>
      <c r="AB111" s="34">
        <f>MAX(Table8[[#This Row],[Debit]]+Table8[[#This Row],[Debit -]]-Table8[[#This Row],[Credit]]-Table8[[#This Row],[Credit +]],0)</f>
        <v>0</v>
      </c>
      <c r="AC111" s="34">
        <f>MAX(Table8[[#This Row],[Credit]]-Table8[[#This Row],[Debit]]+Table8[[#This Row],[Credit +]]-Table8[[#This Row],[Debit -]],0)</f>
        <v>0</v>
      </c>
      <c r="AD111" s="34" t="str">
        <f>IFERROR(IF(AND(OR(Table8[[#This Row],[Classification]]="Expense",Table8[[#This Row],[Classification]]="Cost of Goods Sold"),Table8[[#This Row],[Debit\]]&gt;Table8[[#This Row],[Credit.]]),Table8[[#This Row],[Debit\]]-Table8[[#This Row],[Credit.]],""),"")</f>
        <v/>
      </c>
      <c r="AE111" s="34" t="str">
        <f>IFERROR(IF(AND(OR(Table8[[#This Row],[Classification]]="Income",Table8[[#This Row],[Classification]]="Cost of Goods Sold"),Table8[[#This Row],[Credit.]]&gt;Table8[[#This Row],[Debit\]]),Table8[[#This Row],[Credit.]]-Table8[[#This Row],[Debit\]],""),"")</f>
        <v/>
      </c>
      <c r="AF111" s="34"/>
      <c r="AG111" s="34" t="str">
        <f>IFERROR(IF(AND(Table8[[#This Row],[Classification]]="Assets",Table8[[#This Row],[Debit\]]-Table8[[#This Row],[Credit.]]),Table8[[#This Row],[Debit\]]-Table8[[#This Row],[Credit.]],""),"")</f>
        <v/>
      </c>
      <c r="AH111" s="34" t="str">
        <f>IFERROR(IF(AND(OR(Table8[[#This Row],[Classification]]="Liabilities",Table8[[#This Row],[Classification]]="Owner´s Equity"),Table8[[#This Row],[Credit.]]&gt;Table8[[#This Row],[Debit\]]),Table8[[#This Row],[Credit.]]-Table8[[#This Row],[Debit\]],""),"")</f>
        <v/>
      </c>
    </row>
    <row r="112" spans="2:34" x14ac:dyDescent="0.25">
      <c r="B112" s="34"/>
      <c r="C112" s="45"/>
      <c r="D112" s="34"/>
      <c r="E112" s="34"/>
      <c r="G112" s="39"/>
      <c r="H112" s="40"/>
      <c r="I112" s="41"/>
      <c r="J112" s="41"/>
      <c r="L112" s="34">
        <v>105</v>
      </c>
      <c r="M112" s="35"/>
      <c r="N112" s="35"/>
      <c r="O112" s="34">
        <f>IFERROR(SUMIF(Table4[,],Table6[[#This Row],[Accounts Name]],Table4[,3]),"")</f>
        <v>0</v>
      </c>
      <c r="P112" s="34">
        <f>IFERROR(SUMIF(Table4[,],Table6[[#This Row],[Accounts Name]],Table4[,2]),"")</f>
        <v>0</v>
      </c>
      <c r="S112" s="36">
        <f t="shared" si="1"/>
        <v>105</v>
      </c>
      <c r="T112" s="34"/>
      <c r="U112" s="37"/>
      <c r="V112" s="34">
        <f>IFERROR(SUMIF(Table6[Sub-Accounts],Table8[[#This Row],[Update your chart of accounts here]],Table6[Debit]),"")</f>
        <v>0</v>
      </c>
      <c r="W112" s="34">
        <f>IFERROR(SUMIF(Table6[Sub-Accounts],Table8[[#This Row],[Update your chart of accounts here]],Table6[Credit]),"")</f>
        <v>0</v>
      </c>
      <c r="X112" s="34"/>
      <c r="Y112" s="34"/>
      <c r="Z112" s="34"/>
      <c r="AA112" s="34"/>
      <c r="AB112" s="34">
        <f>MAX(Table8[[#This Row],[Debit]]+Table8[[#This Row],[Debit -]]-Table8[[#This Row],[Credit]]-Table8[[#This Row],[Credit +]],0)</f>
        <v>0</v>
      </c>
      <c r="AC112" s="34">
        <f>MAX(Table8[[#This Row],[Credit]]-Table8[[#This Row],[Debit]]+Table8[[#This Row],[Credit +]]-Table8[[#This Row],[Debit -]],0)</f>
        <v>0</v>
      </c>
      <c r="AD112" s="34" t="str">
        <f>IFERROR(IF(AND(OR(Table8[[#This Row],[Classification]]="Expense",Table8[[#This Row],[Classification]]="Cost of Goods Sold"),Table8[[#This Row],[Debit\]]&gt;Table8[[#This Row],[Credit.]]),Table8[[#This Row],[Debit\]]-Table8[[#This Row],[Credit.]],""),"")</f>
        <v/>
      </c>
      <c r="AE112" s="34" t="str">
        <f>IFERROR(IF(AND(OR(Table8[[#This Row],[Classification]]="Income",Table8[[#This Row],[Classification]]="Cost of Goods Sold"),Table8[[#This Row],[Credit.]]&gt;Table8[[#This Row],[Debit\]]),Table8[[#This Row],[Credit.]]-Table8[[#This Row],[Debit\]],""),"")</f>
        <v/>
      </c>
      <c r="AF112" s="34"/>
      <c r="AG112" s="34" t="str">
        <f>IFERROR(IF(AND(Table8[[#This Row],[Classification]]="Assets",Table8[[#This Row],[Debit\]]-Table8[[#This Row],[Credit.]]),Table8[[#This Row],[Debit\]]-Table8[[#This Row],[Credit.]],""),"")</f>
        <v/>
      </c>
      <c r="AH112" s="34" t="str">
        <f>IFERROR(IF(AND(OR(Table8[[#This Row],[Classification]]="Liabilities",Table8[[#This Row],[Classification]]="Owner´s Equity"),Table8[[#This Row],[Credit.]]&gt;Table8[[#This Row],[Debit\]]),Table8[[#This Row],[Credit.]]-Table8[[#This Row],[Debit\]],""),"")</f>
        <v/>
      </c>
    </row>
    <row r="113" spans="2:34" x14ac:dyDescent="0.25">
      <c r="B113" s="34"/>
      <c r="C113" s="45"/>
      <c r="D113" s="34"/>
      <c r="E113" s="34"/>
      <c r="G113" s="39"/>
      <c r="H113" s="43"/>
      <c r="I113" s="41"/>
      <c r="J113" s="41"/>
      <c r="L113" s="34">
        <v>106</v>
      </c>
      <c r="M113" s="35"/>
      <c r="N113" s="35"/>
      <c r="O113" s="34">
        <f>IFERROR(SUMIF(Table4[,],Table6[[#This Row],[Accounts Name]],Table4[,3]),"")</f>
        <v>0</v>
      </c>
      <c r="P113" s="34">
        <f>IFERROR(SUMIF(Table4[,],Table6[[#This Row],[Accounts Name]],Table4[,2]),"")</f>
        <v>0</v>
      </c>
      <c r="S113" s="36">
        <f t="shared" si="1"/>
        <v>106</v>
      </c>
      <c r="T113" s="34"/>
      <c r="U113" s="37"/>
      <c r="V113" s="34">
        <f>IFERROR(SUMIF(Table6[Sub-Accounts],Table8[[#This Row],[Update your chart of accounts here]],Table6[Debit]),"")</f>
        <v>0</v>
      </c>
      <c r="W113" s="34">
        <f>IFERROR(SUMIF(Table6[Sub-Accounts],Table8[[#This Row],[Update your chart of accounts here]],Table6[Credit]),"")</f>
        <v>0</v>
      </c>
      <c r="X113" s="34"/>
      <c r="Y113" s="34"/>
      <c r="Z113" s="34"/>
      <c r="AA113" s="34"/>
      <c r="AB113" s="34">
        <f>MAX(Table8[[#This Row],[Debit]]+Table8[[#This Row],[Debit -]]-Table8[[#This Row],[Credit]]-Table8[[#This Row],[Credit +]],0)</f>
        <v>0</v>
      </c>
      <c r="AC113" s="34">
        <f>MAX(Table8[[#This Row],[Credit]]-Table8[[#This Row],[Debit]]+Table8[[#This Row],[Credit +]]-Table8[[#This Row],[Debit -]],0)</f>
        <v>0</v>
      </c>
      <c r="AD113" s="34" t="str">
        <f>IFERROR(IF(AND(OR(Table8[[#This Row],[Classification]]="Expense",Table8[[#This Row],[Classification]]="Cost of Goods Sold"),Table8[[#This Row],[Debit\]]&gt;Table8[[#This Row],[Credit.]]),Table8[[#This Row],[Debit\]]-Table8[[#This Row],[Credit.]],""),"")</f>
        <v/>
      </c>
      <c r="AE113" s="34" t="str">
        <f>IFERROR(IF(AND(OR(Table8[[#This Row],[Classification]]="Income",Table8[[#This Row],[Classification]]="Cost of Goods Sold"),Table8[[#This Row],[Credit.]]&gt;Table8[[#This Row],[Debit\]]),Table8[[#This Row],[Credit.]]-Table8[[#This Row],[Debit\]],""),"")</f>
        <v/>
      </c>
      <c r="AF113" s="34"/>
      <c r="AG113" s="34" t="str">
        <f>IFERROR(IF(AND(Table8[[#This Row],[Classification]]="Assets",Table8[[#This Row],[Debit\]]-Table8[[#This Row],[Credit.]]),Table8[[#This Row],[Debit\]]-Table8[[#This Row],[Credit.]],""),"")</f>
        <v/>
      </c>
      <c r="AH113" s="34" t="str">
        <f>IFERROR(IF(AND(OR(Table8[[#This Row],[Classification]]="Liabilities",Table8[[#This Row],[Classification]]="Owner´s Equity"),Table8[[#This Row],[Credit.]]&gt;Table8[[#This Row],[Debit\]]),Table8[[#This Row],[Credit.]]-Table8[[#This Row],[Debit\]],""),"")</f>
        <v/>
      </c>
    </row>
    <row r="114" spans="2:34" x14ac:dyDescent="0.25">
      <c r="B114" s="34"/>
      <c r="C114" s="45"/>
      <c r="D114" s="34"/>
      <c r="E114" s="34"/>
      <c r="G114" s="39"/>
      <c r="H114" s="40"/>
      <c r="I114" s="41"/>
      <c r="J114" s="41"/>
      <c r="L114" s="34">
        <v>107</v>
      </c>
      <c r="M114" s="35"/>
      <c r="N114" s="35"/>
      <c r="O114" s="34">
        <f>IFERROR(SUMIF(Table4[,],Table6[[#This Row],[Accounts Name]],Table4[,3]),"")</f>
        <v>0</v>
      </c>
      <c r="P114" s="34">
        <f>IFERROR(SUMIF(Table4[,],Table6[[#This Row],[Accounts Name]],Table4[,2]),"")</f>
        <v>0</v>
      </c>
      <c r="S114" s="36">
        <f t="shared" si="1"/>
        <v>107</v>
      </c>
      <c r="T114" s="34"/>
      <c r="U114" s="37"/>
      <c r="V114" s="34">
        <f>IFERROR(SUMIF(Table6[Sub-Accounts],Table8[[#This Row],[Update your chart of accounts here]],Table6[Debit]),"")</f>
        <v>0</v>
      </c>
      <c r="W114" s="34">
        <f>IFERROR(SUMIF(Table6[Sub-Accounts],Table8[[#This Row],[Update your chart of accounts here]],Table6[Credit]),"")</f>
        <v>0</v>
      </c>
      <c r="X114" s="34"/>
      <c r="Y114" s="34"/>
      <c r="Z114" s="34"/>
      <c r="AA114" s="34"/>
      <c r="AB114" s="34">
        <f>MAX(Table8[[#This Row],[Debit]]+Table8[[#This Row],[Debit -]]-Table8[[#This Row],[Credit]]-Table8[[#This Row],[Credit +]],0)</f>
        <v>0</v>
      </c>
      <c r="AC114" s="34">
        <f>MAX(Table8[[#This Row],[Credit]]-Table8[[#This Row],[Debit]]+Table8[[#This Row],[Credit +]]-Table8[[#This Row],[Debit -]],0)</f>
        <v>0</v>
      </c>
      <c r="AD114" s="34" t="str">
        <f>IFERROR(IF(AND(OR(Table8[[#This Row],[Classification]]="Expense",Table8[[#This Row],[Classification]]="Cost of Goods Sold"),Table8[[#This Row],[Debit\]]&gt;Table8[[#This Row],[Credit.]]),Table8[[#This Row],[Debit\]]-Table8[[#This Row],[Credit.]],""),"")</f>
        <v/>
      </c>
      <c r="AE114" s="34" t="str">
        <f>IFERROR(IF(AND(OR(Table8[[#This Row],[Classification]]="Income",Table8[[#This Row],[Classification]]="Cost of Goods Sold"),Table8[[#This Row],[Credit.]]&gt;Table8[[#This Row],[Debit\]]),Table8[[#This Row],[Credit.]]-Table8[[#This Row],[Debit\]],""),"")</f>
        <v/>
      </c>
      <c r="AF114" s="34"/>
      <c r="AG114" s="34" t="str">
        <f>IFERROR(IF(AND(Table8[[#This Row],[Classification]]="Assets",Table8[[#This Row],[Debit\]]-Table8[[#This Row],[Credit.]]),Table8[[#This Row],[Debit\]]-Table8[[#This Row],[Credit.]],""),"")</f>
        <v/>
      </c>
      <c r="AH114" s="34" t="str">
        <f>IFERROR(IF(AND(OR(Table8[[#This Row],[Classification]]="Liabilities",Table8[[#This Row],[Classification]]="Owner´s Equity"),Table8[[#This Row],[Credit.]]&gt;Table8[[#This Row],[Debit\]]),Table8[[#This Row],[Credit.]]-Table8[[#This Row],[Debit\]],""),"")</f>
        <v/>
      </c>
    </row>
    <row r="115" spans="2:34" x14ac:dyDescent="0.25">
      <c r="B115" s="34"/>
      <c r="C115" s="45"/>
      <c r="D115" s="34"/>
      <c r="E115" s="34"/>
      <c r="G115" s="39"/>
      <c r="H115" s="40"/>
      <c r="I115" s="41"/>
      <c r="J115" s="41"/>
      <c r="L115" s="34">
        <v>108</v>
      </c>
      <c r="M115" s="35"/>
      <c r="N115" s="35"/>
      <c r="O115" s="34">
        <f>IFERROR(SUMIF(Table4[,],Table6[[#This Row],[Accounts Name]],Table4[,3]),"")</f>
        <v>0</v>
      </c>
      <c r="P115" s="34">
        <f>IFERROR(SUMIF(Table4[,],Table6[[#This Row],[Accounts Name]],Table4[,2]),"")</f>
        <v>0</v>
      </c>
      <c r="S115" s="36">
        <f t="shared" si="1"/>
        <v>108</v>
      </c>
      <c r="T115" s="34"/>
      <c r="U115" s="37"/>
      <c r="V115" s="34">
        <f>IFERROR(SUMIF(Table6[Sub-Accounts],Table8[[#This Row],[Update your chart of accounts here]],Table6[Debit]),"")</f>
        <v>0</v>
      </c>
      <c r="W115" s="34">
        <f>IFERROR(SUMIF(Table6[Sub-Accounts],Table8[[#This Row],[Update your chart of accounts here]],Table6[Credit]),"")</f>
        <v>0</v>
      </c>
      <c r="X115" s="34"/>
      <c r="Y115" s="34"/>
      <c r="Z115" s="34"/>
      <c r="AA115" s="34"/>
      <c r="AB115" s="34">
        <f>MAX(Table8[[#This Row],[Debit]]+Table8[[#This Row],[Debit -]]-Table8[[#This Row],[Credit]]-Table8[[#This Row],[Credit +]],0)</f>
        <v>0</v>
      </c>
      <c r="AC115" s="34">
        <f>MAX(Table8[[#This Row],[Credit]]-Table8[[#This Row],[Debit]]+Table8[[#This Row],[Credit +]]-Table8[[#This Row],[Debit -]],0)</f>
        <v>0</v>
      </c>
      <c r="AD115" s="34" t="str">
        <f>IFERROR(IF(AND(OR(Table8[[#This Row],[Classification]]="Expense",Table8[[#This Row],[Classification]]="Cost of Goods Sold"),Table8[[#This Row],[Debit\]]&gt;Table8[[#This Row],[Credit.]]),Table8[[#This Row],[Debit\]]-Table8[[#This Row],[Credit.]],""),"")</f>
        <v/>
      </c>
      <c r="AE115" s="34" t="str">
        <f>IFERROR(IF(AND(OR(Table8[[#This Row],[Classification]]="Income",Table8[[#This Row],[Classification]]="Cost of Goods Sold"),Table8[[#This Row],[Credit.]]&gt;Table8[[#This Row],[Debit\]]),Table8[[#This Row],[Credit.]]-Table8[[#This Row],[Debit\]],""),"")</f>
        <v/>
      </c>
      <c r="AF115" s="34"/>
      <c r="AG115" s="34" t="str">
        <f>IFERROR(IF(AND(Table8[[#This Row],[Classification]]="Assets",Table8[[#This Row],[Debit\]]-Table8[[#This Row],[Credit.]]),Table8[[#This Row],[Debit\]]-Table8[[#This Row],[Credit.]],""),"")</f>
        <v/>
      </c>
      <c r="AH115" s="34" t="str">
        <f>IFERROR(IF(AND(OR(Table8[[#This Row],[Classification]]="Liabilities",Table8[[#This Row],[Classification]]="Owner´s Equity"),Table8[[#This Row],[Credit.]]&gt;Table8[[#This Row],[Debit\]]),Table8[[#This Row],[Credit.]]-Table8[[#This Row],[Debit\]],""),"")</f>
        <v/>
      </c>
    </row>
    <row r="116" spans="2:34" x14ac:dyDescent="0.25">
      <c r="B116" s="34"/>
      <c r="C116" s="45"/>
      <c r="D116" s="34"/>
      <c r="E116" s="34"/>
      <c r="G116" s="39"/>
      <c r="H116" s="43"/>
      <c r="I116" s="41"/>
      <c r="J116" s="41"/>
      <c r="L116" s="34">
        <v>109</v>
      </c>
      <c r="M116" s="35"/>
      <c r="N116" s="35"/>
      <c r="O116" s="34">
        <f>IFERROR(SUMIF(Table4[,],Table6[[#This Row],[Accounts Name]],Table4[,3]),"")</f>
        <v>0</v>
      </c>
      <c r="P116" s="34">
        <f>IFERROR(SUMIF(Table4[,],Table6[[#This Row],[Accounts Name]],Table4[,2]),"")</f>
        <v>0</v>
      </c>
      <c r="S116" s="36">
        <f t="shared" si="1"/>
        <v>109</v>
      </c>
      <c r="T116" s="34"/>
      <c r="U116" s="37"/>
      <c r="V116" s="34">
        <f>IFERROR(SUMIF(Table6[Sub-Accounts],Table8[[#This Row],[Update your chart of accounts here]],Table6[Debit]),"")</f>
        <v>0</v>
      </c>
      <c r="W116" s="34">
        <f>IFERROR(SUMIF(Table6[Sub-Accounts],Table8[[#This Row],[Update your chart of accounts here]],Table6[Credit]),"")</f>
        <v>0</v>
      </c>
      <c r="X116" s="34"/>
      <c r="Y116" s="34"/>
      <c r="Z116" s="34"/>
      <c r="AA116" s="34"/>
      <c r="AB116" s="34">
        <f>MAX(Table8[[#This Row],[Debit]]+Table8[[#This Row],[Debit -]]-Table8[[#This Row],[Credit]]-Table8[[#This Row],[Credit +]],0)</f>
        <v>0</v>
      </c>
      <c r="AC116" s="34">
        <f>MAX(Table8[[#This Row],[Credit]]-Table8[[#This Row],[Debit]]+Table8[[#This Row],[Credit +]]-Table8[[#This Row],[Debit -]],0)</f>
        <v>0</v>
      </c>
      <c r="AD116" s="34" t="str">
        <f>IFERROR(IF(AND(OR(Table8[[#This Row],[Classification]]="Expense",Table8[[#This Row],[Classification]]="Cost of Goods Sold"),Table8[[#This Row],[Debit\]]&gt;Table8[[#This Row],[Credit.]]),Table8[[#This Row],[Debit\]]-Table8[[#This Row],[Credit.]],""),"")</f>
        <v/>
      </c>
      <c r="AE116" s="34" t="str">
        <f>IFERROR(IF(AND(OR(Table8[[#This Row],[Classification]]="Income",Table8[[#This Row],[Classification]]="Cost of Goods Sold"),Table8[[#This Row],[Credit.]]&gt;Table8[[#This Row],[Debit\]]),Table8[[#This Row],[Credit.]]-Table8[[#This Row],[Debit\]],""),"")</f>
        <v/>
      </c>
      <c r="AF116" s="34"/>
      <c r="AG116" s="34" t="str">
        <f>IFERROR(IF(AND(Table8[[#This Row],[Classification]]="Assets",Table8[[#This Row],[Debit\]]-Table8[[#This Row],[Credit.]]),Table8[[#This Row],[Debit\]]-Table8[[#This Row],[Credit.]],""),"")</f>
        <v/>
      </c>
      <c r="AH116" s="34" t="str">
        <f>IFERROR(IF(AND(OR(Table8[[#This Row],[Classification]]="Liabilities",Table8[[#This Row],[Classification]]="Owner´s Equity"),Table8[[#This Row],[Credit.]]&gt;Table8[[#This Row],[Debit\]]),Table8[[#This Row],[Credit.]]-Table8[[#This Row],[Debit\]],""),"")</f>
        <v/>
      </c>
    </row>
    <row r="117" spans="2:34" x14ac:dyDescent="0.25">
      <c r="B117" s="34"/>
      <c r="C117" s="45"/>
      <c r="D117" s="34"/>
      <c r="E117" s="34"/>
      <c r="G117" s="39"/>
      <c r="H117" s="40"/>
      <c r="I117" s="41"/>
      <c r="J117" s="41"/>
      <c r="L117" s="34">
        <v>110</v>
      </c>
      <c r="M117" s="35"/>
      <c r="N117" s="35"/>
      <c r="O117" s="34">
        <f>IFERROR(SUMIF(Table4[,],Table6[[#This Row],[Accounts Name]],Table4[,3]),"")</f>
        <v>0</v>
      </c>
      <c r="P117" s="34">
        <f>IFERROR(SUMIF(Table4[,],Table6[[#This Row],[Accounts Name]],Table4[,2]),"")</f>
        <v>0</v>
      </c>
      <c r="S117" s="36">
        <f t="shared" si="1"/>
        <v>110</v>
      </c>
      <c r="T117" s="34"/>
      <c r="U117" s="37"/>
      <c r="V117" s="34">
        <f>IFERROR(SUMIF(Table6[Sub-Accounts],Table8[[#This Row],[Update your chart of accounts here]],Table6[Debit]),"")</f>
        <v>0</v>
      </c>
      <c r="W117" s="34">
        <f>IFERROR(SUMIF(Table6[Sub-Accounts],Table8[[#This Row],[Update your chart of accounts here]],Table6[Credit]),"")</f>
        <v>0</v>
      </c>
      <c r="X117" s="34"/>
      <c r="Y117" s="34"/>
      <c r="Z117" s="34"/>
      <c r="AA117" s="34"/>
      <c r="AB117" s="34">
        <f>MAX(Table8[[#This Row],[Debit]]+Table8[[#This Row],[Debit -]]-Table8[[#This Row],[Credit]]-Table8[[#This Row],[Credit +]],0)</f>
        <v>0</v>
      </c>
      <c r="AC117" s="34">
        <f>MAX(Table8[[#This Row],[Credit]]-Table8[[#This Row],[Debit]]+Table8[[#This Row],[Credit +]]-Table8[[#This Row],[Debit -]],0)</f>
        <v>0</v>
      </c>
      <c r="AD117" s="34" t="str">
        <f>IFERROR(IF(AND(OR(Table8[[#This Row],[Classification]]="Expense",Table8[[#This Row],[Classification]]="Cost of Goods Sold"),Table8[[#This Row],[Debit\]]&gt;Table8[[#This Row],[Credit.]]),Table8[[#This Row],[Debit\]]-Table8[[#This Row],[Credit.]],""),"")</f>
        <v/>
      </c>
      <c r="AE117" s="34" t="str">
        <f>IFERROR(IF(AND(OR(Table8[[#This Row],[Classification]]="Income",Table8[[#This Row],[Classification]]="Cost of Goods Sold"),Table8[[#This Row],[Credit.]]&gt;Table8[[#This Row],[Debit\]]),Table8[[#This Row],[Credit.]]-Table8[[#This Row],[Debit\]],""),"")</f>
        <v/>
      </c>
      <c r="AF117" s="34"/>
      <c r="AG117" s="34" t="str">
        <f>IFERROR(IF(AND(Table8[[#This Row],[Classification]]="Assets",Table8[[#This Row],[Debit\]]-Table8[[#This Row],[Credit.]]),Table8[[#This Row],[Debit\]]-Table8[[#This Row],[Credit.]],""),"")</f>
        <v/>
      </c>
      <c r="AH117" s="34" t="str">
        <f>IFERROR(IF(AND(OR(Table8[[#This Row],[Classification]]="Liabilities",Table8[[#This Row],[Classification]]="Owner´s Equity"),Table8[[#This Row],[Credit.]]&gt;Table8[[#This Row],[Debit\]]),Table8[[#This Row],[Credit.]]-Table8[[#This Row],[Debit\]],""),"")</f>
        <v/>
      </c>
    </row>
    <row r="118" spans="2:34" x14ac:dyDescent="0.25">
      <c r="B118" s="34"/>
      <c r="C118" s="45"/>
      <c r="D118" s="34"/>
      <c r="E118" s="34"/>
      <c r="G118" s="39"/>
      <c r="H118" s="40"/>
      <c r="I118" s="41"/>
      <c r="J118" s="41"/>
      <c r="L118" s="34">
        <v>111</v>
      </c>
      <c r="M118" s="35"/>
      <c r="N118" s="35"/>
      <c r="O118" s="34">
        <f>IFERROR(SUMIF(Table4[,],Table6[[#This Row],[Accounts Name]],Table4[,3]),"")</f>
        <v>0</v>
      </c>
      <c r="P118" s="34">
        <f>IFERROR(SUMIF(Table4[,],Table6[[#This Row],[Accounts Name]],Table4[,2]),"")</f>
        <v>0</v>
      </c>
      <c r="S118" s="36">
        <f t="shared" si="1"/>
        <v>111</v>
      </c>
      <c r="T118" s="34"/>
      <c r="U118" s="37"/>
      <c r="V118" s="34">
        <f>IFERROR(SUMIF(Table6[Sub-Accounts],Table8[[#This Row],[Update your chart of accounts here]],Table6[Debit]),"")</f>
        <v>0</v>
      </c>
      <c r="W118" s="34">
        <f>IFERROR(SUMIF(Table6[Sub-Accounts],Table8[[#This Row],[Update your chart of accounts here]],Table6[Credit]),"")</f>
        <v>0</v>
      </c>
      <c r="X118" s="34"/>
      <c r="Y118" s="34"/>
      <c r="Z118" s="34"/>
      <c r="AA118" s="34"/>
      <c r="AB118" s="34">
        <f>MAX(Table8[[#This Row],[Debit]]+Table8[[#This Row],[Debit -]]-Table8[[#This Row],[Credit]]-Table8[[#This Row],[Credit +]],0)</f>
        <v>0</v>
      </c>
      <c r="AC118" s="34">
        <f>MAX(Table8[[#This Row],[Credit]]-Table8[[#This Row],[Debit]]+Table8[[#This Row],[Credit +]]-Table8[[#This Row],[Debit -]],0)</f>
        <v>0</v>
      </c>
      <c r="AD118" s="34" t="str">
        <f>IFERROR(IF(AND(OR(Table8[[#This Row],[Classification]]="Expense",Table8[[#This Row],[Classification]]="Cost of Goods Sold"),Table8[[#This Row],[Debit\]]&gt;Table8[[#This Row],[Credit.]]),Table8[[#This Row],[Debit\]]-Table8[[#This Row],[Credit.]],""),"")</f>
        <v/>
      </c>
      <c r="AE118" s="34" t="str">
        <f>IFERROR(IF(AND(OR(Table8[[#This Row],[Classification]]="Income",Table8[[#This Row],[Classification]]="Cost of Goods Sold"),Table8[[#This Row],[Credit.]]&gt;Table8[[#This Row],[Debit\]]),Table8[[#This Row],[Credit.]]-Table8[[#This Row],[Debit\]],""),"")</f>
        <v/>
      </c>
      <c r="AF118" s="34"/>
      <c r="AG118" s="34" t="str">
        <f>IFERROR(IF(AND(Table8[[#This Row],[Classification]]="Assets",Table8[[#This Row],[Debit\]]-Table8[[#This Row],[Credit.]]),Table8[[#This Row],[Debit\]]-Table8[[#This Row],[Credit.]],""),"")</f>
        <v/>
      </c>
      <c r="AH118" s="34" t="str">
        <f>IFERROR(IF(AND(OR(Table8[[#This Row],[Classification]]="Liabilities",Table8[[#This Row],[Classification]]="Owner´s Equity"),Table8[[#This Row],[Credit.]]&gt;Table8[[#This Row],[Debit\]]),Table8[[#This Row],[Credit.]]-Table8[[#This Row],[Debit\]],""),"")</f>
        <v/>
      </c>
    </row>
    <row r="119" spans="2:34" x14ac:dyDescent="0.25">
      <c r="B119" s="34"/>
      <c r="C119" s="45"/>
      <c r="D119" s="34"/>
      <c r="E119" s="34"/>
      <c r="G119" s="39"/>
      <c r="H119" s="43"/>
      <c r="I119" s="41"/>
      <c r="J119" s="41"/>
      <c r="L119" s="34">
        <v>112</v>
      </c>
      <c r="M119" s="35"/>
      <c r="N119" s="35"/>
      <c r="O119" s="34">
        <f>IFERROR(SUMIF(Table4[,],Table6[[#This Row],[Accounts Name]],Table4[,3]),"")</f>
        <v>0</v>
      </c>
      <c r="P119" s="34">
        <f>IFERROR(SUMIF(Table4[,],Table6[[#This Row],[Accounts Name]],Table4[,2]),"")</f>
        <v>0</v>
      </c>
      <c r="S119" s="36">
        <f t="shared" si="1"/>
        <v>112</v>
      </c>
      <c r="T119" s="34"/>
      <c r="U119" s="37"/>
      <c r="V119" s="34">
        <f>IFERROR(SUMIF(Table6[Sub-Accounts],Table8[[#This Row],[Update your chart of accounts here]],Table6[Debit]),"")</f>
        <v>0</v>
      </c>
      <c r="W119" s="34">
        <f>IFERROR(SUMIF(Table6[Sub-Accounts],Table8[[#This Row],[Update your chart of accounts here]],Table6[Credit]),"")</f>
        <v>0</v>
      </c>
      <c r="X119" s="34"/>
      <c r="Y119" s="34"/>
      <c r="Z119" s="34"/>
      <c r="AA119" s="34"/>
      <c r="AB119" s="34">
        <f>MAX(Table8[[#This Row],[Debit]]+Table8[[#This Row],[Debit -]]-Table8[[#This Row],[Credit]]-Table8[[#This Row],[Credit +]],0)</f>
        <v>0</v>
      </c>
      <c r="AC119" s="34">
        <f>MAX(Table8[[#This Row],[Credit]]-Table8[[#This Row],[Debit]]+Table8[[#This Row],[Credit +]]-Table8[[#This Row],[Debit -]],0)</f>
        <v>0</v>
      </c>
      <c r="AD119" s="34" t="str">
        <f>IFERROR(IF(AND(OR(Table8[[#This Row],[Classification]]="Expense",Table8[[#This Row],[Classification]]="Cost of Goods Sold"),Table8[[#This Row],[Debit\]]&gt;Table8[[#This Row],[Credit.]]),Table8[[#This Row],[Debit\]]-Table8[[#This Row],[Credit.]],""),"")</f>
        <v/>
      </c>
      <c r="AE119" s="34" t="str">
        <f>IFERROR(IF(AND(OR(Table8[[#This Row],[Classification]]="Income",Table8[[#This Row],[Classification]]="Cost of Goods Sold"),Table8[[#This Row],[Credit.]]&gt;Table8[[#This Row],[Debit\]]),Table8[[#This Row],[Credit.]]-Table8[[#This Row],[Debit\]],""),"")</f>
        <v/>
      </c>
      <c r="AF119" s="34"/>
      <c r="AG119" s="34" t="str">
        <f>IFERROR(IF(AND(Table8[[#This Row],[Classification]]="Assets",Table8[[#This Row],[Debit\]]-Table8[[#This Row],[Credit.]]),Table8[[#This Row],[Debit\]]-Table8[[#This Row],[Credit.]],""),"")</f>
        <v/>
      </c>
      <c r="AH119" s="34" t="str">
        <f>IFERROR(IF(AND(OR(Table8[[#This Row],[Classification]]="Liabilities",Table8[[#This Row],[Classification]]="Owner´s Equity"),Table8[[#This Row],[Credit.]]&gt;Table8[[#This Row],[Debit\]]),Table8[[#This Row],[Credit.]]-Table8[[#This Row],[Debit\]],""),"")</f>
        <v/>
      </c>
    </row>
    <row r="120" spans="2:34" x14ac:dyDescent="0.25">
      <c r="B120" s="34"/>
      <c r="C120" s="45"/>
      <c r="D120" s="34"/>
      <c r="E120" s="34"/>
      <c r="G120" s="39"/>
      <c r="H120" s="40"/>
      <c r="I120" s="41"/>
      <c r="J120" s="41"/>
      <c r="L120" s="34">
        <v>113</v>
      </c>
      <c r="M120" s="35"/>
      <c r="N120" s="35"/>
      <c r="O120" s="34">
        <f>IFERROR(SUMIF(Table4[,],Table6[[#This Row],[Accounts Name]],Table4[,3]),"")</f>
        <v>0</v>
      </c>
      <c r="P120" s="34">
        <f>IFERROR(SUMIF(Table4[,],Table6[[#This Row],[Accounts Name]],Table4[,2]),"")</f>
        <v>0</v>
      </c>
      <c r="S120" s="36">
        <f t="shared" si="1"/>
        <v>113</v>
      </c>
      <c r="T120" s="34"/>
      <c r="U120" s="37"/>
      <c r="V120" s="34">
        <f>IFERROR(SUMIF(Table6[Sub-Accounts],Table8[[#This Row],[Update your chart of accounts here]],Table6[Debit]),"")</f>
        <v>0</v>
      </c>
      <c r="W120" s="34">
        <f>IFERROR(SUMIF(Table6[Sub-Accounts],Table8[[#This Row],[Update your chart of accounts here]],Table6[Credit]),"")</f>
        <v>0</v>
      </c>
      <c r="X120" s="34"/>
      <c r="Y120" s="34"/>
      <c r="Z120" s="34"/>
      <c r="AA120" s="34"/>
      <c r="AB120" s="34">
        <f>MAX(Table8[[#This Row],[Debit]]+Table8[[#This Row],[Debit -]]-Table8[[#This Row],[Credit]]-Table8[[#This Row],[Credit +]],0)</f>
        <v>0</v>
      </c>
      <c r="AC120" s="34">
        <f>MAX(Table8[[#This Row],[Credit]]-Table8[[#This Row],[Debit]]+Table8[[#This Row],[Credit +]]-Table8[[#This Row],[Debit -]],0)</f>
        <v>0</v>
      </c>
      <c r="AD120" s="34" t="str">
        <f>IFERROR(IF(AND(OR(Table8[[#This Row],[Classification]]="Expense",Table8[[#This Row],[Classification]]="Cost of Goods Sold"),Table8[[#This Row],[Debit\]]&gt;Table8[[#This Row],[Credit.]]),Table8[[#This Row],[Debit\]]-Table8[[#This Row],[Credit.]],""),"")</f>
        <v/>
      </c>
      <c r="AE120" s="34" t="str">
        <f>IFERROR(IF(AND(OR(Table8[[#This Row],[Classification]]="Income",Table8[[#This Row],[Classification]]="Cost of Goods Sold"),Table8[[#This Row],[Credit.]]&gt;Table8[[#This Row],[Debit\]]),Table8[[#This Row],[Credit.]]-Table8[[#This Row],[Debit\]],""),"")</f>
        <v/>
      </c>
      <c r="AF120" s="34"/>
      <c r="AG120" s="34" t="str">
        <f>IFERROR(IF(AND(Table8[[#This Row],[Classification]]="Assets",Table8[[#This Row],[Debit\]]-Table8[[#This Row],[Credit.]]),Table8[[#This Row],[Debit\]]-Table8[[#This Row],[Credit.]],""),"")</f>
        <v/>
      </c>
      <c r="AH120" s="34" t="str">
        <f>IFERROR(IF(AND(OR(Table8[[#This Row],[Classification]]="Liabilities",Table8[[#This Row],[Classification]]="Owner´s Equity"),Table8[[#This Row],[Credit.]]&gt;Table8[[#This Row],[Debit\]]),Table8[[#This Row],[Credit.]]-Table8[[#This Row],[Debit\]],""),"")</f>
        <v/>
      </c>
    </row>
    <row r="121" spans="2:34" x14ac:dyDescent="0.25">
      <c r="B121" s="34"/>
      <c r="C121" s="45"/>
      <c r="D121" s="34"/>
      <c r="E121" s="34"/>
      <c r="G121" s="39"/>
      <c r="H121" s="40"/>
      <c r="I121" s="41"/>
      <c r="J121" s="41"/>
      <c r="L121" s="34">
        <v>114</v>
      </c>
      <c r="M121" s="35"/>
      <c r="N121" s="35"/>
      <c r="O121" s="34">
        <f>IFERROR(SUMIF(Table4[,],Table6[[#This Row],[Accounts Name]],Table4[,3]),"")</f>
        <v>0</v>
      </c>
      <c r="P121" s="34">
        <f>IFERROR(SUMIF(Table4[,],Table6[[#This Row],[Accounts Name]],Table4[,2]),"")</f>
        <v>0</v>
      </c>
      <c r="S121" s="36">
        <f t="shared" si="1"/>
        <v>114</v>
      </c>
      <c r="T121" s="34"/>
      <c r="U121" s="37"/>
      <c r="V121" s="34">
        <f>IFERROR(SUMIF(Table6[Sub-Accounts],Table8[[#This Row],[Update your chart of accounts here]],Table6[Debit]),"")</f>
        <v>0</v>
      </c>
      <c r="W121" s="34">
        <f>IFERROR(SUMIF(Table6[Sub-Accounts],Table8[[#This Row],[Update your chart of accounts here]],Table6[Credit]),"")</f>
        <v>0</v>
      </c>
      <c r="X121" s="34"/>
      <c r="Y121" s="34"/>
      <c r="Z121" s="34"/>
      <c r="AA121" s="34"/>
      <c r="AB121" s="34">
        <f>MAX(Table8[[#This Row],[Debit]]+Table8[[#This Row],[Debit -]]-Table8[[#This Row],[Credit]]-Table8[[#This Row],[Credit +]],0)</f>
        <v>0</v>
      </c>
      <c r="AC121" s="34">
        <f>MAX(Table8[[#This Row],[Credit]]-Table8[[#This Row],[Debit]]+Table8[[#This Row],[Credit +]]-Table8[[#This Row],[Debit -]],0)</f>
        <v>0</v>
      </c>
      <c r="AD121" s="34" t="str">
        <f>IFERROR(IF(AND(OR(Table8[[#This Row],[Classification]]="Expense",Table8[[#This Row],[Classification]]="Cost of Goods Sold"),Table8[[#This Row],[Debit\]]&gt;Table8[[#This Row],[Credit.]]),Table8[[#This Row],[Debit\]]-Table8[[#This Row],[Credit.]],""),"")</f>
        <v/>
      </c>
      <c r="AE121" s="34" t="str">
        <f>IFERROR(IF(AND(OR(Table8[[#This Row],[Classification]]="Income",Table8[[#This Row],[Classification]]="Cost of Goods Sold"),Table8[[#This Row],[Credit.]]&gt;Table8[[#This Row],[Debit\]]),Table8[[#This Row],[Credit.]]-Table8[[#This Row],[Debit\]],""),"")</f>
        <v/>
      </c>
      <c r="AF121" s="34"/>
      <c r="AG121" s="34" t="str">
        <f>IFERROR(IF(AND(Table8[[#This Row],[Classification]]="Assets",Table8[[#This Row],[Debit\]]-Table8[[#This Row],[Credit.]]),Table8[[#This Row],[Debit\]]-Table8[[#This Row],[Credit.]],""),"")</f>
        <v/>
      </c>
      <c r="AH121" s="34" t="str">
        <f>IFERROR(IF(AND(OR(Table8[[#This Row],[Classification]]="Liabilities",Table8[[#This Row],[Classification]]="Owner´s Equity"),Table8[[#This Row],[Credit.]]&gt;Table8[[#This Row],[Debit\]]),Table8[[#This Row],[Credit.]]-Table8[[#This Row],[Debit\]],""),"")</f>
        <v/>
      </c>
    </row>
    <row r="122" spans="2:34" x14ac:dyDescent="0.25">
      <c r="B122" s="34"/>
      <c r="C122" s="45"/>
      <c r="D122" s="34"/>
      <c r="E122" s="34"/>
      <c r="G122" s="39"/>
      <c r="H122" s="43"/>
      <c r="I122" s="41"/>
      <c r="J122" s="41"/>
      <c r="L122" s="34">
        <v>115</v>
      </c>
      <c r="M122" s="35"/>
      <c r="N122" s="35"/>
      <c r="O122" s="34">
        <f>IFERROR(SUMIF(Table4[,],Table6[[#This Row],[Accounts Name]],Table4[,3]),"")</f>
        <v>0</v>
      </c>
      <c r="P122" s="34">
        <f>IFERROR(SUMIF(Table4[,],Table6[[#This Row],[Accounts Name]],Table4[,2]),"")</f>
        <v>0</v>
      </c>
      <c r="S122" s="36">
        <f t="shared" si="1"/>
        <v>115</v>
      </c>
      <c r="T122" s="34"/>
      <c r="U122" s="37"/>
      <c r="V122" s="34">
        <f>IFERROR(SUMIF(Table6[Sub-Accounts],Table8[[#This Row],[Update your chart of accounts here]],Table6[Debit]),"")</f>
        <v>0</v>
      </c>
      <c r="W122" s="34">
        <f>IFERROR(SUMIF(Table6[Sub-Accounts],Table8[[#This Row],[Update your chart of accounts here]],Table6[Credit]),"")</f>
        <v>0</v>
      </c>
      <c r="X122" s="34"/>
      <c r="Y122" s="34"/>
      <c r="Z122" s="34"/>
      <c r="AA122" s="34"/>
      <c r="AB122" s="34">
        <f>MAX(Table8[[#This Row],[Debit]]+Table8[[#This Row],[Debit -]]-Table8[[#This Row],[Credit]]-Table8[[#This Row],[Credit +]],0)</f>
        <v>0</v>
      </c>
      <c r="AC122" s="34">
        <f>MAX(Table8[[#This Row],[Credit]]-Table8[[#This Row],[Debit]]+Table8[[#This Row],[Credit +]]-Table8[[#This Row],[Debit -]],0)</f>
        <v>0</v>
      </c>
      <c r="AD122" s="34" t="str">
        <f>IFERROR(IF(AND(OR(Table8[[#This Row],[Classification]]="Expense",Table8[[#This Row],[Classification]]="Cost of Goods Sold"),Table8[[#This Row],[Debit\]]&gt;Table8[[#This Row],[Credit.]]),Table8[[#This Row],[Debit\]]-Table8[[#This Row],[Credit.]],""),"")</f>
        <v/>
      </c>
      <c r="AE122" s="34" t="str">
        <f>IFERROR(IF(AND(OR(Table8[[#This Row],[Classification]]="Income",Table8[[#This Row],[Classification]]="Cost of Goods Sold"),Table8[[#This Row],[Credit.]]&gt;Table8[[#This Row],[Debit\]]),Table8[[#This Row],[Credit.]]-Table8[[#This Row],[Debit\]],""),"")</f>
        <v/>
      </c>
      <c r="AF122" s="34"/>
      <c r="AG122" s="34" t="str">
        <f>IFERROR(IF(AND(Table8[[#This Row],[Classification]]="Assets",Table8[[#This Row],[Debit\]]-Table8[[#This Row],[Credit.]]),Table8[[#This Row],[Debit\]]-Table8[[#This Row],[Credit.]],""),"")</f>
        <v/>
      </c>
      <c r="AH122" s="34" t="str">
        <f>IFERROR(IF(AND(OR(Table8[[#This Row],[Classification]]="Liabilities",Table8[[#This Row],[Classification]]="Owner´s Equity"),Table8[[#This Row],[Credit.]]&gt;Table8[[#This Row],[Debit\]]),Table8[[#This Row],[Credit.]]-Table8[[#This Row],[Debit\]],""),"")</f>
        <v/>
      </c>
    </row>
    <row r="123" spans="2:34" x14ac:dyDescent="0.25">
      <c r="B123" s="34"/>
      <c r="C123" s="45"/>
      <c r="D123" s="34"/>
      <c r="E123" s="34"/>
      <c r="G123" s="39"/>
      <c r="H123" s="40"/>
      <c r="I123" s="41"/>
      <c r="J123" s="41"/>
      <c r="L123" s="34">
        <v>116</v>
      </c>
      <c r="M123" s="35"/>
      <c r="N123" s="35"/>
      <c r="O123" s="34">
        <f>IFERROR(SUMIF(Table4[,],Table6[[#This Row],[Accounts Name]],Table4[,3]),"")</f>
        <v>0</v>
      </c>
      <c r="P123" s="34">
        <f>IFERROR(SUMIF(Table4[,],Table6[[#This Row],[Accounts Name]],Table4[,2]),"")</f>
        <v>0</v>
      </c>
      <c r="S123" s="36">
        <f t="shared" si="1"/>
        <v>116</v>
      </c>
      <c r="T123" s="34"/>
      <c r="U123" s="37"/>
      <c r="V123" s="34">
        <f>IFERROR(SUMIF(Table6[Sub-Accounts],Table8[[#This Row],[Update your chart of accounts here]],Table6[Debit]),"")</f>
        <v>0</v>
      </c>
      <c r="W123" s="34">
        <f>IFERROR(SUMIF(Table6[Sub-Accounts],Table8[[#This Row],[Update your chart of accounts here]],Table6[Credit]),"")</f>
        <v>0</v>
      </c>
      <c r="X123" s="34"/>
      <c r="Y123" s="34"/>
      <c r="Z123" s="34"/>
      <c r="AA123" s="34"/>
      <c r="AB123" s="34">
        <f>MAX(Table8[[#This Row],[Debit]]+Table8[[#This Row],[Debit -]]-Table8[[#This Row],[Credit]]-Table8[[#This Row],[Credit +]],0)</f>
        <v>0</v>
      </c>
      <c r="AC123" s="34">
        <f>MAX(Table8[[#This Row],[Credit]]-Table8[[#This Row],[Debit]]+Table8[[#This Row],[Credit +]]-Table8[[#This Row],[Debit -]],0)</f>
        <v>0</v>
      </c>
      <c r="AD123" s="34" t="str">
        <f>IFERROR(IF(AND(OR(Table8[[#This Row],[Classification]]="Expense",Table8[[#This Row],[Classification]]="Cost of Goods Sold"),Table8[[#This Row],[Debit\]]&gt;Table8[[#This Row],[Credit.]]),Table8[[#This Row],[Debit\]]-Table8[[#This Row],[Credit.]],""),"")</f>
        <v/>
      </c>
      <c r="AE123" s="34" t="str">
        <f>IFERROR(IF(AND(OR(Table8[[#This Row],[Classification]]="Income",Table8[[#This Row],[Classification]]="Cost of Goods Sold"),Table8[[#This Row],[Credit.]]&gt;Table8[[#This Row],[Debit\]]),Table8[[#This Row],[Credit.]]-Table8[[#This Row],[Debit\]],""),"")</f>
        <v/>
      </c>
      <c r="AF123" s="34"/>
      <c r="AG123" s="34" t="str">
        <f>IFERROR(IF(AND(Table8[[#This Row],[Classification]]="Assets",Table8[[#This Row],[Debit\]]-Table8[[#This Row],[Credit.]]),Table8[[#This Row],[Debit\]]-Table8[[#This Row],[Credit.]],""),"")</f>
        <v/>
      </c>
      <c r="AH123" s="34" t="str">
        <f>IFERROR(IF(AND(OR(Table8[[#This Row],[Classification]]="Liabilities",Table8[[#This Row],[Classification]]="Owner´s Equity"),Table8[[#This Row],[Credit.]]&gt;Table8[[#This Row],[Debit\]]),Table8[[#This Row],[Credit.]]-Table8[[#This Row],[Debit\]],""),"")</f>
        <v/>
      </c>
    </row>
    <row r="124" spans="2:34" x14ac:dyDescent="0.25">
      <c r="B124" s="34"/>
      <c r="C124" s="45"/>
      <c r="D124" s="34"/>
      <c r="E124" s="34"/>
      <c r="G124" s="39"/>
      <c r="H124" s="40"/>
      <c r="I124" s="41"/>
      <c r="J124" s="41"/>
      <c r="L124" s="34">
        <v>117</v>
      </c>
      <c r="M124" s="35"/>
      <c r="N124" s="35"/>
      <c r="O124" s="34">
        <f>IFERROR(SUMIF(Table4[,],Table6[[#This Row],[Accounts Name]],Table4[,3]),"")</f>
        <v>0</v>
      </c>
      <c r="P124" s="34">
        <f>IFERROR(SUMIF(Table4[,],Table6[[#This Row],[Accounts Name]],Table4[,2]),"")</f>
        <v>0</v>
      </c>
      <c r="S124" s="36">
        <f t="shared" si="1"/>
        <v>117</v>
      </c>
      <c r="T124" s="34"/>
      <c r="U124" s="37"/>
      <c r="V124" s="34">
        <f>IFERROR(SUMIF(Table6[Sub-Accounts],Table8[[#This Row],[Update your chart of accounts here]],Table6[Debit]),"")</f>
        <v>0</v>
      </c>
      <c r="W124" s="34">
        <f>IFERROR(SUMIF(Table6[Sub-Accounts],Table8[[#This Row],[Update your chart of accounts here]],Table6[Credit]),"")</f>
        <v>0</v>
      </c>
      <c r="X124" s="34"/>
      <c r="Y124" s="34"/>
      <c r="Z124" s="34"/>
      <c r="AA124" s="34"/>
      <c r="AB124" s="34">
        <f>MAX(Table8[[#This Row],[Debit]]+Table8[[#This Row],[Debit -]]-Table8[[#This Row],[Credit]]-Table8[[#This Row],[Credit +]],0)</f>
        <v>0</v>
      </c>
      <c r="AC124" s="34">
        <f>MAX(Table8[[#This Row],[Credit]]-Table8[[#This Row],[Debit]]+Table8[[#This Row],[Credit +]]-Table8[[#This Row],[Debit -]],0)</f>
        <v>0</v>
      </c>
      <c r="AD124" s="34" t="str">
        <f>IFERROR(IF(AND(OR(Table8[[#This Row],[Classification]]="Expense",Table8[[#This Row],[Classification]]="Cost of Goods Sold"),Table8[[#This Row],[Debit\]]&gt;Table8[[#This Row],[Credit.]]),Table8[[#This Row],[Debit\]]-Table8[[#This Row],[Credit.]],""),"")</f>
        <v/>
      </c>
      <c r="AE124" s="34" t="str">
        <f>IFERROR(IF(AND(OR(Table8[[#This Row],[Classification]]="Income",Table8[[#This Row],[Classification]]="Cost of Goods Sold"),Table8[[#This Row],[Credit.]]&gt;Table8[[#This Row],[Debit\]]),Table8[[#This Row],[Credit.]]-Table8[[#This Row],[Debit\]],""),"")</f>
        <v/>
      </c>
      <c r="AF124" s="34"/>
      <c r="AG124" s="34" t="str">
        <f>IFERROR(IF(AND(Table8[[#This Row],[Classification]]="Assets",Table8[[#This Row],[Debit\]]-Table8[[#This Row],[Credit.]]),Table8[[#This Row],[Debit\]]-Table8[[#This Row],[Credit.]],""),"")</f>
        <v/>
      </c>
      <c r="AH124" s="34" t="str">
        <f>IFERROR(IF(AND(OR(Table8[[#This Row],[Classification]]="Liabilities",Table8[[#This Row],[Classification]]="Owner´s Equity"),Table8[[#This Row],[Credit.]]&gt;Table8[[#This Row],[Debit\]]),Table8[[#This Row],[Credit.]]-Table8[[#This Row],[Debit\]],""),"")</f>
        <v/>
      </c>
    </row>
    <row r="125" spans="2:34" x14ac:dyDescent="0.25">
      <c r="B125" s="34"/>
      <c r="C125" s="45"/>
      <c r="D125" s="34"/>
      <c r="E125" s="34"/>
      <c r="G125" s="39"/>
      <c r="H125" s="43"/>
      <c r="I125" s="41"/>
      <c r="J125" s="41"/>
      <c r="L125" s="34">
        <v>118</v>
      </c>
      <c r="M125" s="35"/>
      <c r="N125" s="35"/>
      <c r="O125" s="34">
        <f>IFERROR(SUMIF(Table4[,],Table6[[#This Row],[Accounts Name]],Table4[,3]),"")</f>
        <v>0</v>
      </c>
      <c r="P125" s="34">
        <f>IFERROR(SUMIF(Table4[,],Table6[[#This Row],[Accounts Name]],Table4[,2]),"")</f>
        <v>0</v>
      </c>
      <c r="S125" s="36">
        <f t="shared" si="1"/>
        <v>118</v>
      </c>
      <c r="T125" s="34"/>
      <c r="U125" s="37"/>
      <c r="V125" s="34">
        <f>IFERROR(SUMIF(Table6[Sub-Accounts],Table8[[#This Row],[Update your chart of accounts here]],Table6[Debit]),"")</f>
        <v>0</v>
      </c>
      <c r="W125" s="34">
        <f>IFERROR(SUMIF(Table6[Sub-Accounts],Table8[[#This Row],[Update your chart of accounts here]],Table6[Credit]),"")</f>
        <v>0</v>
      </c>
      <c r="X125" s="34"/>
      <c r="Y125" s="34"/>
      <c r="Z125" s="34"/>
      <c r="AA125" s="34"/>
      <c r="AB125" s="34">
        <f>MAX(Table8[[#This Row],[Debit]]+Table8[[#This Row],[Debit -]]-Table8[[#This Row],[Credit]]-Table8[[#This Row],[Credit +]],0)</f>
        <v>0</v>
      </c>
      <c r="AC125" s="34">
        <f>MAX(Table8[[#This Row],[Credit]]-Table8[[#This Row],[Debit]]+Table8[[#This Row],[Credit +]]-Table8[[#This Row],[Debit -]],0)</f>
        <v>0</v>
      </c>
      <c r="AD125" s="34" t="str">
        <f>IFERROR(IF(AND(OR(Table8[[#This Row],[Classification]]="Expense",Table8[[#This Row],[Classification]]="Cost of Goods Sold"),Table8[[#This Row],[Debit\]]&gt;Table8[[#This Row],[Credit.]]),Table8[[#This Row],[Debit\]]-Table8[[#This Row],[Credit.]],""),"")</f>
        <v/>
      </c>
      <c r="AE125" s="34" t="str">
        <f>IFERROR(IF(AND(OR(Table8[[#This Row],[Classification]]="Income",Table8[[#This Row],[Classification]]="Cost of Goods Sold"),Table8[[#This Row],[Credit.]]&gt;Table8[[#This Row],[Debit\]]),Table8[[#This Row],[Credit.]]-Table8[[#This Row],[Debit\]],""),"")</f>
        <v/>
      </c>
      <c r="AF125" s="34"/>
      <c r="AG125" s="34" t="str">
        <f>IFERROR(IF(AND(Table8[[#This Row],[Classification]]="Assets",Table8[[#This Row],[Debit\]]-Table8[[#This Row],[Credit.]]),Table8[[#This Row],[Debit\]]-Table8[[#This Row],[Credit.]],""),"")</f>
        <v/>
      </c>
      <c r="AH125" s="34" t="str">
        <f>IFERROR(IF(AND(OR(Table8[[#This Row],[Classification]]="Liabilities",Table8[[#This Row],[Classification]]="Owner´s Equity"),Table8[[#This Row],[Credit.]]&gt;Table8[[#This Row],[Debit\]]),Table8[[#This Row],[Credit.]]-Table8[[#This Row],[Debit\]],""),"")</f>
        <v/>
      </c>
    </row>
    <row r="126" spans="2:34" x14ac:dyDescent="0.25">
      <c r="B126" s="34"/>
      <c r="C126" s="45"/>
      <c r="D126" s="34"/>
      <c r="E126" s="34"/>
      <c r="G126" s="39"/>
      <c r="H126" s="40"/>
      <c r="I126" s="41"/>
      <c r="J126" s="41"/>
      <c r="L126" s="34">
        <v>119</v>
      </c>
      <c r="M126" s="35"/>
      <c r="N126" s="35"/>
      <c r="O126" s="34">
        <f>IFERROR(SUMIF(Table4[,],Table6[[#This Row],[Accounts Name]],Table4[,3]),"")</f>
        <v>0</v>
      </c>
      <c r="P126" s="34">
        <f>IFERROR(SUMIF(Table4[,],Table6[[#This Row],[Accounts Name]],Table4[,2]),"")</f>
        <v>0</v>
      </c>
      <c r="S126" s="36">
        <f t="shared" si="1"/>
        <v>119</v>
      </c>
      <c r="T126" s="34"/>
      <c r="U126" s="37"/>
      <c r="V126" s="34">
        <f>IFERROR(SUMIF(Table6[Sub-Accounts],Table8[[#This Row],[Update your chart of accounts here]],Table6[Debit]),"")</f>
        <v>0</v>
      </c>
      <c r="W126" s="34">
        <f>IFERROR(SUMIF(Table6[Sub-Accounts],Table8[[#This Row],[Update your chart of accounts here]],Table6[Credit]),"")</f>
        <v>0</v>
      </c>
      <c r="X126" s="34"/>
      <c r="Y126" s="34"/>
      <c r="Z126" s="34"/>
      <c r="AA126" s="34"/>
      <c r="AB126" s="34">
        <f>MAX(Table8[[#This Row],[Debit]]+Table8[[#This Row],[Debit -]]-Table8[[#This Row],[Credit]]-Table8[[#This Row],[Credit +]],0)</f>
        <v>0</v>
      </c>
      <c r="AC126" s="34">
        <f>MAX(Table8[[#This Row],[Credit]]-Table8[[#This Row],[Debit]]+Table8[[#This Row],[Credit +]]-Table8[[#This Row],[Debit -]],0)</f>
        <v>0</v>
      </c>
      <c r="AD126" s="34" t="str">
        <f>IFERROR(IF(AND(OR(Table8[[#This Row],[Classification]]="Expense",Table8[[#This Row],[Classification]]="Cost of Goods Sold"),Table8[[#This Row],[Debit\]]&gt;Table8[[#This Row],[Credit.]]),Table8[[#This Row],[Debit\]]-Table8[[#This Row],[Credit.]],""),"")</f>
        <v/>
      </c>
      <c r="AE126" s="34" t="str">
        <f>IFERROR(IF(AND(OR(Table8[[#This Row],[Classification]]="Income",Table8[[#This Row],[Classification]]="Cost of Goods Sold"),Table8[[#This Row],[Credit.]]&gt;Table8[[#This Row],[Debit\]]),Table8[[#This Row],[Credit.]]-Table8[[#This Row],[Debit\]],""),"")</f>
        <v/>
      </c>
      <c r="AF126" s="34"/>
      <c r="AG126" s="34" t="str">
        <f>IFERROR(IF(AND(Table8[[#This Row],[Classification]]="Assets",Table8[[#This Row],[Debit\]]-Table8[[#This Row],[Credit.]]),Table8[[#This Row],[Debit\]]-Table8[[#This Row],[Credit.]],""),"")</f>
        <v/>
      </c>
      <c r="AH126" s="34" t="str">
        <f>IFERROR(IF(AND(OR(Table8[[#This Row],[Classification]]="Liabilities",Table8[[#This Row],[Classification]]="Owner´s Equity"),Table8[[#This Row],[Credit.]]&gt;Table8[[#This Row],[Debit\]]),Table8[[#This Row],[Credit.]]-Table8[[#This Row],[Debit\]],""),"")</f>
        <v/>
      </c>
    </row>
    <row r="127" spans="2:34" x14ac:dyDescent="0.25">
      <c r="B127" s="34"/>
      <c r="C127" s="45"/>
      <c r="D127" s="34"/>
      <c r="E127" s="34"/>
      <c r="G127" s="39"/>
      <c r="H127" s="40"/>
      <c r="I127" s="41"/>
      <c r="J127" s="41"/>
      <c r="L127" s="34">
        <v>120</v>
      </c>
      <c r="M127" s="35"/>
      <c r="N127" s="35"/>
      <c r="O127" s="34">
        <f>IFERROR(SUMIF(Table4[,],Table6[[#This Row],[Accounts Name]],Table4[,3]),"")</f>
        <v>0</v>
      </c>
      <c r="P127" s="34">
        <f>IFERROR(SUMIF(Table4[,],Table6[[#This Row],[Accounts Name]],Table4[,2]),"")</f>
        <v>0</v>
      </c>
      <c r="S127" s="36">
        <f t="shared" si="1"/>
        <v>120</v>
      </c>
      <c r="T127" s="34"/>
      <c r="U127" s="37"/>
      <c r="V127" s="34">
        <f>IFERROR(SUMIF(Table6[Sub-Accounts],Table8[[#This Row],[Update your chart of accounts here]],Table6[Debit]),"")</f>
        <v>0</v>
      </c>
      <c r="W127" s="34">
        <f>IFERROR(SUMIF(Table6[Sub-Accounts],Table8[[#This Row],[Update your chart of accounts here]],Table6[Credit]),"")</f>
        <v>0</v>
      </c>
      <c r="X127" s="34"/>
      <c r="Y127" s="34"/>
      <c r="Z127" s="34"/>
      <c r="AA127" s="34"/>
      <c r="AB127" s="34">
        <f>MAX(Table8[[#This Row],[Debit]]+Table8[[#This Row],[Debit -]]-Table8[[#This Row],[Credit]]-Table8[[#This Row],[Credit +]],0)</f>
        <v>0</v>
      </c>
      <c r="AC127" s="34">
        <f>MAX(Table8[[#This Row],[Credit]]-Table8[[#This Row],[Debit]]+Table8[[#This Row],[Credit +]]-Table8[[#This Row],[Debit -]],0)</f>
        <v>0</v>
      </c>
      <c r="AD127" s="34" t="str">
        <f>IFERROR(IF(AND(OR(Table8[[#This Row],[Classification]]="Expense",Table8[[#This Row],[Classification]]="Cost of Goods Sold"),Table8[[#This Row],[Debit\]]&gt;Table8[[#This Row],[Credit.]]),Table8[[#This Row],[Debit\]]-Table8[[#This Row],[Credit.]],""),"")</f>
        <v/>
      </c>
      <c r="AE127" s="34" t="str">
        <f>IFERROR(IF(AND(OR(Table8[[#This Row],[Classification]]="Income",Table8[[#This Row],[Classification]]="Cost of Goods Sold"),Table8[[#This Row],[Credit.]]&gt;Table8[[#This Row],[Debit\]]),Table8[[#This Row],[Credit.]]-Table8[[#This Row],[Debit\]],""),"")</f>
        <v/>
      </c>
      <c r="AF127" s="34"/>
      <c r="AG127" s="34" t="str">
        <f>IFERROR(IF(AND(Table8[[#This Row],[Classification]]="Assets",Table8[[#This Row],[Debit\]]-Table8[[#This Row],[Credit.]]),Table8[[#This Row],[Debit\]]-Table8[[#This Row],[Credit.]],""),"")</f>
        <v/>
      </c>
      <c r="AH127" s="34" t="str">
        <f>IFERROR(IF(AND(OR(Table8[[#This Row],[Classification]]="Liabilities",Table8[[#This Row],[Classification]]="Owner´s Equity"),Table8[[#This Row],[Credit.]]&gt;Table8[[#This Row],[Debit\]]),Table8[[#This Row],[Credit.]]-Table8[[#This Row],[Debit\]],""),"")</f>
        <v/>
      </c>
    </row>
    <row r="128" spans="2:34" x14ac:dyDescent="0.25">
      <c r="B128" s="34"/>
      <c r="C128" s="45"/>
      <c r="D128" s="34"/>
      <c r="E128" s="34"/>
      <c r="G128" s="39"/>
      <c r="H128" s="43"/>
      <c r="I128" s="41"/>
      <c r="J128" s="41"/>
      <c r="L128" s="34">
        <v>121</v>
      </c>
      <c r="M128" s="35"/>
      <c r="N128" s="35"/>
      <c r="O128" s="34">
        <f>IFERROR(SUMIF(Table4[,],Table6[[#This Row],[Accounts Name]],Table4[,3]),"")</f>
        <v>0</v>
      </c>
      <c r="P128" s="34">
        <f>IFERROR(SUMIF(Table4[,],Table6[[#This Row],[Accounts Name]],Table4[,2]),"")</f>
        <v>0</v>
      </c>
      <c r="S128" s="36">
        <f t="shared" si="1"/>
        <v>121</v>
      </c>
      <c r="T128" s="34"/>
      <c r="U128" s="37"/>
      <c r="V128" s="34">
        <f>IFERROR(SUMIF(Table6[Sub-Accounts],Table8[[#This Row],[Update your chart of accounts here]],Table6[Debit]),"")</f>
        <v>0</v>
      </c>
      <c r="W128" s="34">
        <f>IFERROR(SUMIF(Table6[Sub-Accounts],Table8[[#This Row],[Update your chart of accounts here]],Table6[Credit]),"")</f>
        <v>0</v>
      </c>
      <c r="X128" s="34"/>
      <c r="Y128" s="34"/>
      <c r="Z128" s="34"/>
      <c r="AA128" s="34"/>
      <c r="AB128" s="34">
        <f>MAX(Table8[[#This Row],[Debit]]+Table8[[#This Row],[Debit -]]-Table8[[#This Row],[Credit]]-Table8[[#This Row],[Credit +]],0)</f>
        <v>0</v>
      </c>
      <c r="AC128" s="34">
        <f>MAX(Table8[[#This Row],[Credit]]-Table8[[#This Row],[Debit]]+Table8[[#This Row],[Credit +]]-Table8[[#This Row],[Debit -]],0)</f>
        <v>0</v>
      </c>
      <c r="AD128" s="34" t="str">
        <f>IFERROR(IF(AND(OR(Table8[[#This Row],[Classification]]="Expense",Table8[[#This Row],[Classification]]="Cost of Goods Sold"),Table8[[#This Row],[Debit\]]&gt;Table8[[#This Row],[Credit.]]),Table8[[#This Row],[Debit\]]-Table8[[#This Row],[Credit.]],""),"")</f>
        <v/>
      </c>
      <c r="AE128" s="34" t="str">
        <f>IFERROR(IF(AND(OR(Table8[[#This Row],[Classification]]="Income",Table8[[#This Row],[Classification]]="Cost of Goods Sold"),Table8[[#This Row],[Credit.]]&gt;Table8[[#This Row],[Debit\]]),Table8[[#This Row],[Credit.]]-Table8[[#This Row],[Debit\]],""),"")</f>
        <v/>
      </c>
      <c r="AF128" s="34"/>
      <c r="AG128" s="34" t="str">
        <f>IFERROR(IF(AND(Table8[[#This Row],[Classification]]="Assets",Table8[[#This Row],[Debit\]]-Table8[[#This Row],[Credit.]]),Table8[[#This Row],[Debit\]]-Table8[[#This Row],[Credit.]],""),"")</f>
        <v/>
      </c>
      <c r="AH128" s="34" t="str">
        <f>IFERROR(IF(AND(OR(Table8[[#This Row],[Classification]]="Liabilities",Table8[[#This Row],[Classification]]="Owner´s Equity"),Table8[[#This Row],[Credit.]]&gt;Table8[[#This Row],[Debit\]]),Table8[[#This Row],[Credit.]]-Table8[[#This Row],[Debit\]],""),"")</f>
        <v/>
      </c>
    </row>
    <row r="129" spans="2:34" x14ac:dyDescent="0.25">
      <c r="B129" s="34"/>
      <c r="C129" s="45"/>
      <c r="D129" s="34"/>
      <c r="E129" s="34"/>
      <c r="G129" s="39"/>
      <c r="H129" s="40"/>
      <c r="I129" s="41"/>
      <c r="J129" s="41"/>
      <c r="L129" s="34">
        <v>122</v>
      </c>
      <c r="M129" s="35"/>
      <c r="N129" s="35"/>
      <c r="O129" s="34">
        <f>IFERROR(SUMIF(Table4[,],Table6[[#This Row],[Accounts Name]],Table4[,3]),"")</f>
        <v>0</v>
      </c>
      <c r="P129" s="34">
        <f>IFERROR(SUMIF(Table4[,],Table6[[#This Row],[Accounts Name]],Table4[,2]),"")</f>
        <v>0</v>
      </c>
      <c r="S129" s="36">
        <f t="shared" si="1"/>
        <v>122</v>
      </c>
      <c r="T129" s="34"/>
      <c r="U129" s="37"/>
      <c r="V129" s="34">
        <f>IFERROR(SUMIF(Table6[Sub-Accounts],Table8[[#This Row],[Update your chart of accounts here]],Table6[Debit]),"")</f>
        <v>0</v>
      </c>
      <c r="W129" s="34">
        <f>IFERROR(SUMIF(Table6[Sub-Accounts],Table8[[#This Row],[Update your chart of accounts here]],Table6[Credit]),"")</f>
        <v>0</v>
      </c>
      <c r="X129" s="34"/>
      <c r="Y129" s="34"/>
      <c r="Z129" s="34"/>
      <c r="AA129" s="34"/>
      <c r="AB129" s="34">
        <f>MAX(Table8[[#This Row],[Debit]]+Table8[[#This Row],[Debit -]]-Table8[[#This Row],[Credit]]-Table8[[#This Row],[Credit +]],0)</f>
        <v>0</v>
      </c>
      <c r="AC129" s="34">
        <f>MAX(Table8[[#This Row],[Credit]]-Table8[[#This Row],[Debit]]+Table8[[#This Row],[Credit +]]-Table8[[#This Row],[Debit -]],0)</f>
        <v>0</v>
      </c>
      <c r="AD129" s="34" t="str">
        <f>IFERROR(IF(AND(OR(Table8[[#This Row],[Classification]]="Expense",Table8[[#This Row],[Classification]]="Cost of Goods Sold"),Table8[[#This Row],[Debit\]]&gt;Table8[[#This Row],[Credit.]]),Table8[[#This Row],[Debit\]]-Table8[[#This Row],[Credit.]],""),"")</f>
        <v/>
      </c>
      <c r="AE129" s="34" t="str">
        <f>IFERROR(IF(AND(OR(Table8[[#This Row],[Classification]]="Income",Table8[[#This Row],[Classification]]="Cost of Goods Sold"),Table8[[#This Row],[Credit.]]&gt;Table8[[#This Row],[Debit\]]),Table8[[#This Row],[Credit.]]-Table8[[#This Row],[Debit\]],""),"")</f>
        <v/>
      </c>
      <c r="AF129" s="34"/>
      <c r="AG129" s="34" t="str">
        <f>IFERROR(IF(AND(Table8[[#This Row],[Classification]]="Assets",Table8[[#This Row],[Debit\]]-Table8[[#This Row],[Credit.]]),Table8[[#This Row],[Debit\]]-Table8[[#This Row],[Credit.]],""),"")</f>
        <v/>
      </c>
      <c r="AH129" s="34" t="str">
        <f>IFERROR(IF(AND(OR(Table8[[#This Row],[Classification]]="Liabilities",Table8[[#This Row],[Classification]]="Owner´s Equity"),Table8[[#This Row],[Credit.]]&gt;Table8[[#This Row],[Debit\]]),Table8[[#This Row],[Credit.]]-Table8[[#This Row],[Debit\]],""),"")</f>
        <v/>
      </c>
    </row>
    <row r="130" spans="2:34" x14ac:dyDescent="0.25">
      <c r="B130" s="34"/>
      <c r="C130" s="45"/>
      <c r="D130" s="34"/>
      <c r="E130" s="34"/>
      <c r="G130" s="39"/>
      <c r="H130" s="40"/>
      <c r="I130" s="41"/>
      <c r="J130" s="41"/>
      <c r="L130" s="34">
        <v>123</v>
      </c>
      <c r="M130" s="35"/>
      <c r="N130" s="35"/>
      <c r="O130" s="34">
        <f>IFERROR(SUMIF(Table4[,],Table6[[#This Row],[Accounts Name]],Table4[,3]),"")</f>
        <v>0</v>
      </c>
      <c r="P130" s="34">
        <f>IFERROR(SUMIF(Table4[,],Table6[[#This Row],[Accounts Name]],Table4[,2]),"")</f>
        <v>0</v>
      </c>
      <c r="S130" s="36">
        <f t="shared" si="1"/>
        <v>123</v>
      </c>
      <c r="T130" s="34"/>
      <c r="U130" s="37"/>
      <c r="V130" s="34">
        <f>IFERROR(SUMIF(Table6[Sub-Accounts],Table8[[#This Row],[Update your chart of accounts here]],Table6[Debit]),"")</f>
        <v>0</v>
      </c>
      <c r="W130" s="34">
        <f>IFERROR(SUMIF(Table6[Sub-Accounts],Table8[[#This Row],[Update your chart of accounts here]],Table6[Credit]),"")</f>
        <v>0</v>
      </c>
      <c r="X130" s="34"/>
      <c r="Y130" s="34"/>
      <c r="Z130" s="34"/>
      <c r="AA130" s="34"/>
      <c r="AB130" s="34">
        <f>MAX(Table8[[#This Row],[Debit]]+Table8[[#This Row],[Debit -]]-Table8[[#This Row],[Credit]]-Table8[[#This Row],[Credit +]],0)</f>
        <v>0</v>
      </c>
      <c r="AC130" s="34">
        <f>MAX(Table8[[#This Row],[Credit]]-Table8[[#This Row],[Debit]]+Table8[[#This Row],[Credit +]]-Table8[[#This Row],[Debit -]],0)</f>
        <v>0</v>
      </c>
      <c r="AD130" s="34" t="str">
        <f>IFERROR(IF(AND(OR(Table8[[#This Row],[Classification]]="Expense",Table8[[#This Row],[Classification]]="Cost of Goods Sold"),Table8[[#This Row],[Debit\]]&gt;Table8[[#This Row],[Credit.]]),Table8[[#This Row],[Debit\]]-Table8[[#This Row],[Credit.]],""),"")</f>
        <v/>
      </c>
      <c r="AE130" s="34" t="str">
        <f>IFERROR(IF(AND(OR(Table8[[#This Row],[Classification]]="Income",Table8[[#This Row],[Classification]]="Cost of Goods Sold"),Table8[[#This Row],[Credit.]]&gt;Table8[[#This Row],[Debit\]]),Table8[[#This Row],[Credit.]]-Table8[[#This Row],[Debit\]],""),"")</f>
        <v/>
      </c>
      <c r="AF130" s="34"/>
      <c r="AG130" s="34" t="str">
        <f>IFERROR(IF(AND(Table8[[#This Row],[Classification]]="Assets",Table8[[#This Row],[Debit\]]-Table8[[#This Row],[Credit.]]),Table8[[#This Row],[Debit\]]-Table8[[#This Row],[Credit.]],""),"")</f>
        <v/>
      </c>
      <c r="AH130" s="34" t="str">
        <f>IFERROR(IF(AND(OR(Table8[[#This Row],[Classification]]="Liabilities",Table8[[#This Row],[Classification]]="Owner´s Equity"),Table8[[#This Row],[Credit.]]&gt;Table8[[#This Row],[Debit\]]),Table8[[#This Row],[Credit.]]-Table8[[#This Row],[Debit\]],""),"")</f>
        <v/>
      </c>
    </row>
    <row r="131" spans="2:34" x14ac:dyDescent="0.25">
      <c r="B131" s="34"/>
      <c r="C131" s="45"/>
      <c r="D131" s="34"/>
      <c r="E131" s="34"/>
      <c r="G131" s="39"/>
      <c r="H131" s="43"/>
      <c r="I131" s="41"/>
      <c r="J131" s="41"/>
      <c r="L131" s="34">
        <v>124</v>
      </c>
      <c r="M131" s="35"/>
      <c r="N131" s="35"/>
      <c r="O131" s="34">
        <f>IFERROR(SUMIF(Table4[,],Table6[[#This Row],[Accounts Name]],Table4[,3]),"")</f>
        <v>0</v>
      </c>
      <c r="P131" s="34">
        <f>IFERROR(SUMIF(Table4[,],Table6[[#This Row],[Accounts Name]],Table4[,2]),"")</f>
        <v>0</v>
      </c>
      <c r="S131" s="36">
        <f t="shared" si="1"/>
        <v>124</v>
      </c>
      <c r="T131" s="34"/>
      <c r="U131" s="37"/>
      <c r="V131" s="34">
        <f>IFERROR(SUMIF(Table6[Sub-Accounts],Table8[[#This Row],[Update your chart of accounts here]],Table6[Debit]),"")</f>
        <v>0</v>
      </c>
      <c r="W131" s="34">
        <f>IFERROR(SUMIF(Table6[Sub-Accounts],Table8[[#This Row],[Update your chart of accounts here]],Table6[Credit]),"")</f>
        <v>0</v>
      </c>
      <c r="X131" s="34"/>
      <c r="Y131" s="34"/>
      <c r="Z131" s="34"/>
      <c r="AA131" s="34"/>
      <c r="AB131" s="34">
        <f>MAX(Table8[[#This Row],[Debit]]+Table8[[#This Row],[Debit -]]-Table8[[#This Row],[Credit]]-Table8[[#This Row],[Credit +]],0)</f>
        <v>0</v>
      </c>
      <c r="AC131" s="34">
        <f>MAX(Table8[[#This Row],[Credit]]-Table8[[#This Row],[Debit]]+Table8[[#This Row],[Credit +]]-Table8[[#This Row],[Debit -]],0)</f>
        <v>0</v>
      </c>
      <c r="AD131" s="34" t="str">
        <f>IFERROR(IF(AND(OR(Table8[[#This Row],[Classification]]="Expense",Table8[[#This Row],[Classification]]="Cost of Goods Sold"),Table8[[#This Row],[Debit\]]&gt;Table8[[#This Row],[Credit.]]),Table8[[#This Row],[Debit\]]-Table8[[#This Row],[Credit.]],""),"")</f>
        <v/>
      </c>
      <c r="AE131" s="34" t="str">
        <f>IFERROR(IF(AND(OR(Table8[[#This Row],[Classification]]="Income",Table8[[#This Row],[Classification]]="Cost of Goods Sold"),Table8[[#This Row],[Credit.]]&gt;Table8[[#This Row],[Debit\]]),Table8[[#This Row],[Credit.]]-Table8[[#This Row],[Debit\]],""),"")</f>
        <v/>
      </c>
      <c r="AF131" s="34"/>
      <c r="AG131" s="34" t="str">
        <f>IFERROR(IF(AND(Table8[[#This Row],[Classification]]="Assets",Table8[[#This Row],[Debit\]]-Table8[[#This Row],[Credit.]]),Table8[[#This Row],[Debit\]]-Table8[[#This Row],[Credit.]],""),"")</f>
        <v/>
      </c>
      <c r="AH131" s="34" t="str">
        <f>IFERROR(IF(AND(OR(Table8[[#This Row],[Classification]]="Liabilities",Table8[[#This Row],[Classification]]="Owner´s Equity"),Table8[[#This Row],[Credit.]]&gt;Table8[[#This Row],[Debit\]]),Table8[[#This Row],[Credit.]]-Table8[[#This Row],[Debit\]],""),"")</f>
        <v/>
      </c>
    </row>
    <row r="132" spans="2:34" x14ac:dyDescent="0.25">
      <c r="B132" s="34"/>
      <c r="C132" s="45"/>
      <c r="D132" s="34"/>
      <c r="E132" s="34"/>
      <c r="G132" s="39"/>
      <c r="H132" s="40"/>
      <c r="I132" s="41"/>
      <c r="J132" s="41"/>
      <c r="L132" s="34">
        <v>125</v>
      </c>
      <c r="M132" s="35"/>
      <c r="N132" s="35"/>
      <c r="O132" s="34">
        <f>IFERROR(SUMIF(Table4[,],Table6[[#This Row],[Accounts Name]],Table4[,3]),"")</f>
        <v>0</v>
      </c>
      <c r="P132" s="34">
        <f>IFERROR(SUMIF(Table4[,],Table6[[#This Row],[Accounts Name]],Table4[,2]),"")</f>
        <v>0</v>
      </c>
      <c r="S132" s="36">
        <f t="shared" si="1"/>
        <v>125</v>
      </c>
      <c r="T132" s="34"/>
      <c r="U132" s="37"/>
      <c r="V132" s="34">
        <f>IFERROR(SUMIF(Table6[Sub-Accounts],Table8[[#This Row],[Update your chart of accounts here]],Table6[Debit]),"")</f>
        <v>0</v>
      </c>
      <c r="W132" s="34">
        <f>IFERROR(SUMIF(Table6[Sub-Accounts],Table8[[#This Row],[Update your chart of accounts here]],Table6[Credit]),"")</f>
        <v>0</v>
      </c>
      <c r="X132" s="34"/>
      <c r="Y132" s="34"/>
      <c r="Z132" s="34"/>
      <c r="AA132" s="34"/>
      <c r="AB132" s="34">
        <f>MAX(Table8[[#This Row],[Debit]]+Table8[[#This Row],[Debit -]]-Table8[[#This Row],[Credit]]-Table8[[#This Row],[Credit +]],0)</f>
        <v>0</v>
      </c>
      <c r="AC132" s="34">
        <f>MAX(Table8[[#This Row],[Credit]]-Table8[[#This Row],[Debit]]+Table8[[#This Row],[Credit +]]-Table8[[#This Row],[Debit -]],0)</f>
        <v>0</v>
      </c>
      <c r="AD132" s="34" t="str">
        <f>IFERROR(IF(AND(OR(Table8[[#This Row],[Classification]]="Expense",Table8[[#This Row],[Classification]]="Cost of Goods Sold"),Table8[[#This Row],[Debit\]]&gt;Table8[[#This Row],[Credit.]]),Table8[[#This Row],[Debit\]]-Table8[[#This Row],[Credit.]],""),"")</f>
        <v/>
      </c>
      <c r="AE132" s="34" t="str">
        <f>IFERROR(IF(AND(OR(Table8[[#This Row],[Classification]]="Income",Table8[[#This Row],[Classification]]="Cost of Goods Sold"),Table8[[#This Row],[Credit.]]&gt;Table8[[#This Row],[Debit\]]),Table8[[#This Row],[Credit.]]-Table8[[#This Row],[Debit\]],""),"")</f>
        <v/>
      </c>
      <c r="AF132" s="34"/>
      <c r="AG132" s="34" t="str">
        <f>IFERROR(IF(AND(Table8[[#This Row],[Classification]]="Assets",Table8[[#This Row],[Debit\]]-Table8[[#This Row],[Credit.]]),Table8[[#This Row],[Debit\]]-Table8[[#This Row],[Credit.]],""),"")</f>
        <v/>
      </c>
      <c r="AH132" s="34" t="str">
        <f>IFERROR(IF(AND(OR(Table8[[#This Row],[Classification]]="Liabilities",Table8[[#This Row],[Classification]]="Owner´s Equity"),Table8[[#This Row],[Credit.]]&gt;Table8[[#This Row],[Debit\]]),Table8[[#This Row],[Credit.]]-Table8[[#This Row],[Debit\]],""),"")</f>
        <v/>
      </c>
    </row>
    <row r="133" spans="2:34" x14ac:dyDescent="0.25">
      <c r="B133" s="34"/>
      <c r="C133" s="45"/>
      <c r="D133" s="34"/>
      <c r="E133" s="34"/>
      <c r="G133" s="39"/>
      <c r="H133" s="40"/>
      <c r="I133" s="41"/>
      <c r="J133" s="41"/>
      <c r="L133" s="34">
        <v>126</v>
      </c>
      <c r="M133" s="35"/>
      <c r="N133" s="35"/>
      <c r="O133" s="34">
        <f>IFERROR(SUMIF(Table4[,],Table6[[#This Row],[Accounts Name]],Table4[,3]),"")</f>
        <v>0</v>
      </c>
      <c r="P133" s="34">
        <f>IFERROR(SUMIF(Table4[,],Table6[[#This Row],[Accounts Name]],Table4[,2]),"")</f>
        <v>0</v>
      </c>
      <c r="S133" s="36">
        <f t="shared" si="1"/>
        <v>126</v>
      </c>
      <c r="T133" s="34"/>
      <c r="U133" s="37"/>
      <c r="V133" s="34">
        <f>IFERROR(SUMIF(Table6[Sub-Accounts],Table8[[#This Row],[Update your chart of accounts here]],Table6[Debit]),"")</f>
        <v>0</v>
      </c>
      <c r="W133" s="34">
        <f>IFERROR(SUMIF(Table6[Sub-Accounts],Table8[[#This Row],[Update your chart of accounts here]],Table6[Credit]),"")</f>
        <v>0</v>
      </c>
      <c r="X133" s="34"/>
      <c r="Y133" s="34"/>
      <c r="Z133" s="34"/>
      <c r="AA133" s="34"/>
      <c r="AB133" s="34">
        <f>MAX(Table8[[#This Row],[Debit]]+Table8[[#This Row],[Debit -]]-Table8[[#This Row],[Credit]]-Table8[[#This Row],[Credit +]],0)</f>
        <v>0</v>
      </c>
      <c r="AC133" s="34">
        <f>MAX(Table8[[#This Row],[Credit]]-Table8[[#This Row],[Debit]]+Table8[[#This Row],[Credit +]]-Table8[[#This Row],[Debit -]],0)</f>
        <v>0</v>
      </c>
      <c r="AD133" s="34" t="str">
        <f>IFERROR(IF(AND(OR(Table8[[#This Row],[Classification]]="Expense",Table8[[#This Row],[Classification]]="Cost of Goods Sold"),Table8[[#This Row],[Debit\]]&gt;Table8[[#This Row],[Credit.]]),Table8[[#This Row],[Debit\]]-Table8[[#This Row],[Credit.]],""),"")</f>
        <v/>
      </c>
      <c r="AE133" s="34" t="str">
        <f>IFERROR(IF(AND(OR(Table8[[#This Row],[Classification]]="Income",Table8[[#This Row],[Classification]]="Cost of Goods Sold"),Table8[[#This Row],[Credit.]]&gt;Table8[[#This Row],[Debit\]]),Table8[[#This Row],[Credit.]]-Table8[[#This Row],[Debit\]],""),"")</f>
        <v/>
      </c>
      <c r="AF133" s="34"/>
      <c r="AG133" s="34" t="str">
        <f>IFERROR(IF(AND(Table8[[#This Row],[Classification]]="Assets",Table8[[#This Row],[Debit\]]-Table8[[#This Row],[Credit.]]),Table8[[#This Row],[Debit\]]-Table8[[#This Row],[Credit.]],""),"")</f>
        <v/>
      </c>
      <c r="AH133" s="34" t="str">
        <f>IFERROR(IF(AND(OR(Table8[[#This Row],[Classification]]="Liabilities",Table8[[#This Row],[Classification]]="Owner´s Equity"),Table8[[#This Row],[Credit.]]&gt;Table8[[#This Row],[Debit\]]),Table8[[#This Row],[Credit.]]-Table8[[#This Row],[Debit\]],""),"")</f>
        <v/>
      </c>
    </row>
    <row r="134" spans="2:34" x14ac:dyDescent="0.25">
      <c r="B134" s="34"/>
      <c r="C134" s="45"/>
      <c r="D134" s="34"/>
      <c r="E134" s="34"/>
      <c r="G134" s="39"/>
      <c r="H134" s="43"/>
      <c r="I134" s="41"/>
      <c r="J134" s="41"/>
      <c r="L134" s="34">
        <v>127</v>
      </c>
      <c r="M134" s="35"/>
      <c r="N134" s="35"/>
      <c r="O134" s="34">
        <f>IFERROR(SUMIF(Table4[,],Table6[[#This Row],[Accounts Name]],Table4[,3]),"")</f>
        <v>0</v>
      </c>
      <c r="P134" s="34">
        <f>IFERROR(SUMIF(Table4[,],Table6[[#This Row],[Accounts Name]],Table4[,2]),"")</f>
        <v>0</v>
      </c>
      <c r="S134" s="36">
        <f t="shared" si="1"/>
        <v>127</v>
      </c>
      <c r="T134" s="34"/>
      <c r="U134" s="37"/>
      <c r="V134" s="34">
        <f>IFERROR(SUMIF(Table6[Sub-Accounts],Table8[[#This Row],[Update your chart of accounts here]],Table6[Debit]),"")</f>
        <v>0</v>
      </c>
      <c r="W134" s="34">
        <f>IFERROR(SUMIF(Table6[Sub-Accounts],Table8[[#This Row],[Update your chart of accounts here]],Table6[Credit]),"")</f>
        <v>0</v>
      </c>
      <c r="X134" s="34"/>
      <c r="Y134" s="34"/>
      <c r="Z134" s="34"/>
      <c r="AA134" s="34"/>
      <c r="AB134" s="34">
        <f>MAX(Table8[[#This Row],[Debit]]+Table8[[#This Row],[Debit -]]-Table8[[#This Row],[Credit]]-Table8[[#This Row],[Credit +]],0)</f>
        <v>0</v>
      </c>
      <c r="AC134" s="34">
        <f>MAX(Table8[[#This Row],[Credit]]-Table8[[#This Row],[Debit]]+Table8[[#This Row],[Credit +]]-Table8[[#This Row],[Debit -]],0)</f>
        <v>0</v>
      </c>
      <c r="AD134" s="34" t="str">
        <f>IFERROR(IF(AND(OR(Table8[[#This Row],[Classification]]="Expense",Table8[[#This Row],[Classification]]="Cost of Goods Sold"),Table8[[#This Row],[Debit\]]&gt;Table8[[#This Row],[Credit.]]),Table8[[#This Row],[Debit\]]-Table8[[#This Row],[Credit.]],""),"")</f>
        <v/>
      </c>
      <c r="AE134" s="34" t="str">
        <f>IFERROR(IF(AND(OR(Table8[[#This Row],[Classification]]="Income",Table8[[#This Row],[Classification]]="Cost of Goods Sold"),Table8[[#This Row],[Credit.]]&gt;Table8[[#This Row],[Debit\]]),Table8[[#This Row],[Credit.]]-Table8[[#This Row],[Debit\]],""),"")</f>
        <v/>
      </c>
      <c r="AF134" s="34"/>
      <c r="AG134" s="34" t="str">
        <f>IFERROR(IF(AND(Table8[[#This Row],[Classification]]="Assets",Table8[[#This Row],[Debit\]]-Table8[[#This Row],[Credit.]]),Table8[[#This Row],[Debit\]]-Table8[[#This Row],[Credit.]],""),"")</f>
        <v/>
      </c>
      <c r="AH134" s="34" t="str">
        <f>IFERROR(IF(AND(OR(Table8[[#This Row],[Classification]]="Liabilities",Table8[[#This Row],[Classification]]="Owner´s Equity"),Table8[[#This Row],[Credit.]]&gt;Table8[[#This Row],[Debit\]]),Table8[[#This Row],[Credit.]]-Table8[[#This Row],[Debit\]],""),"")</f>
        <v/>
      </c>
    </row>
    <row r="135" spans="2:34" x14ac:dyDescent="0.25">
      <c r="B135" s="34"/>
      <c r="C135" s="45"/>
      <c r="D135" s="34"/>
      <c r="E135" s="34"/>
      <c r="G135" s="39"/>
      <c r="H135" s="40"/>
      <c r="I135" s="41"/>
      <c r="J135" s="41"/>
      <c r="L135" s="34">
        <v>128</v>
      </c>
      <c r="M135" s="35"/>
      <c r="N135" s="35"/>
      <c r="O135" s="34">
        <f>IFERROR(SUMIF(Table4[,],Table6[[#This Row],[Accounts Name]],Table4[,3]),"")</f>
        <v>0</v>
      </c>
      <c r="P135" s="34">
        <f>IFERROR(SUMIF(Table4[,],Table6[[#This Row],[Accounts Name]],Table4[,2]),"")</f>
        <v>0</v>
      </c>
      <c r="S135" s="36">
        <f t="shared" si="1"/>
        <v>128</v>
      </c>
      <c r="T135" s="34"/>
      <c r="U135" s="37"/>
      <c r="V135" s="34">
        <f>IFERROR(SUMIF(Table6[Sub-Accounts],Table8[[#This Row],[Update your chart of accounts here]],Table6[Debit]),"")</f>
        <v>0</v>
      </c>
      <c r="W135" s="34">
        <f>IFERROR(SUMIF(Table6[Sub-Accounts],Table8[[#This Row],[Update your chart of accounts here]],Table6[Credit]),"")</f>
        <v>0</v>
      </c>
      <c r="X135" s="34"/>
      <c r="Y135" s="34"/>
      <c r="Z135" s="34"/>
      <c r="AA135" s="34"/>
      <c r="AB135" s="34">
        <f>MAX(Table8[[#This Row],[Debit]]+Table8[[#This Row],[Debit -]]-Table8[[#This Row],[Credit]]-Table8[[#This Row],[Credit +]],0)</f>
        <v>0</v>
      </c>
      <c r="AC135" s="34">
        <f>MAX(Table8[[#This Row],[Credit]]-Table8[[#This Row],[Debit]]+Table8[[#This Row],[Credit +]]-Table8[[#This Row],[Debit -]],0)</f>
        <v>0</v>
      </c>
      <c r="AD135" s="34" t="str">
        <f>IFERROR(IF(AND(OR(Table8[[#This Row],[Classification]]="Expense",Table8[[#This Row],[Classification]]="Cost of Goods Sold"),Table8[[#This Row],[Debit\]]&gt;Table8[[#This Row],[Credit.]]),Table8[[#This Row],[Debit\]]-Table8[[#This Row],[Credit.]],""),"")</f>
        <v/>
      </c>
      <c r="AE135" s="34" t="str">
        <f>IFERROR(IF(AND(OR(Table8[[#This Row],[Classification]]="Income",Table8[[#This Row],[Classification]]="Cost of Goods Sold"),Table8[[#This Row],[Credit.]]&gt;Table8[[#This Row],[Debit\]]),Table8[[#This Row],[Credit.]]-Table8[[#This Row],[Debit\]],""),"")</f>
        <v/>
      </c>
      <c r="AF135" s="34"/>
      <c r="AG135" s="34" t="str">
        <f>IFERROR(IF(AND(Table8[[#This Row],[Classification]]="Assets",Table8[[#This Row],[Debit\]]-Table8[[#This Row],[Credit.]]),Table8[[#This Row],[Debit\]]-Table8[[#This Row],[Credit.]],""),"")</f>
        <v/>
      </c>
      <c r="AH135" s="34" t="str">
        <f>IFERROR(IF(AND(OR(Table8[[#This Row],[Classification]]="Liabilities",Table8[[#This Row],[Classification]]="Owner´s Equity"),Table8[[#This Row],[Credit.]]&gt;Table8[[#This Row],[Debit\]]),Table8[[#This Row],[Credit.]]-Table8[[#This Row],[Debit\]],""),"")</f>
        <v/>
      </c>
    </row>
    <row r="136" spans="2:34" x14ac:dyDescent="0.25">
      <c r="B136" s="34"/>
      <c r="C136" s="45"/>
      <c r="D136" s="34"/>
      <c r="E136" s="34"/>
      <c r="G136" s="39"/>
      <c r="H136" s="40"/>
      <c r="I136" s="41"/>
      <c r="J136" s="41"/>
      <c r="L136" s="34">
        <v>129</v>
      </c>
      <c r="M136" s="35"/>
      <c r="N136" s="35"/>
      <c r="O136" s="34">
        <f>IFERROR(SUMIF(Table4[,],Table6[[#This Row],[Accounts Name]],Table4[,3]),"")</f>
        <v>0</v>
      </c>
      <c r="P136" s="34">
        <f>IFERROR(SUMIF(Table4[,],Table6[[#This Row],[Accounts Name]],Table4[,2]),"")</f>
        <v>0</v>
      </c>
      <c r="S136" s="36">
        <f t="shared" si="1"/>
        <v>129</v>
      </c>
      <c r="T136" s="34"/>
      <c r="U136" s="37"/>
      <c r="V136" s="34">
        <f>IFERROR(SUMIF(Table6[Sub-Accounts],Table8[[#This Row],[Update your chart of accounts here]],Table6[Debit]),"")</f>
        <v>0</v>
      </c>
      <c r="W136" s="34">
        <f>IFERROR(SUMIF(Table6[Sub-Accounts],Table8[[#This Row],[Update your chart of accounts here]],Table6[Credit]),"")</f>
        <v>0</v>
      </c>
      <c r="X136" s="34"/>
      <c r="Y136" s="34"/>
      <c r="Z136" s="34"/>
      <c r="AA136" s="34"/>
      <c r="AB136" s="34">
        <f>MAX(Table8[[#This Row],[Debit]]+Table8[[#This Row],[Debit -]]-Table8[[#This Row],[Credit]]-Table8[[#This Row],[Credit +]],0)</f>
        <v>0</v>
      </c>
      <c r="AC136" s="34">
        <f>MAX(Table8[[#This Row],[Credit]]-Table8[[#This Row],[Debit]]+Table8[[#This Row],[Credit +]]-Table8[[#This Row],[Debit -]],0)</f>
        <v>0</v>
      </c>
      <c r="AD136" s="34" t="str">
        <f>IFERROR(IF(AND(OR(Table8[[#This Row],[Classification]]="Expense",Table8[[#This Row],[Classification]]="Cost of Goods Sold"),Table8[[#This Row],[Debit\]]&gt;Table8[[#This Row],[Credit.]]),Table8[[#This Row],[Debit\]]-Table8[[#This Row],[Credit.]],""),"")</f>
        <v/>
      </c>
      <c r="AE136" s="34" t="str">
        <f>IFERROR(IF(AND(OR(Table8[[#This Row],[Classification]]="Income",Table8[[#This Row],[Classification]]="Cost of Goods Sold"),Table8[[#This Row],[Credit.]]&gt;Table8[[#This Row],[Debit\]]),Table8[[#This Row],[Credit.]]-Table8[[#This Row],[Debit\]],""),"")</f>
        <v/>
      </c>
      <c r="AF136" s="34"/>
      <c r="AG136" s="34" t="str">
        <f>IFERROR(IF(AND(Table8[[#This Row],[Classification]]="Assets",Table8[[#This Row],[Debit\]]-Table8[[#This Row],[Credit.]]),Table8[[#This Row],[Debit\]]-Table8[[#This Row],[Credit.]],""),"")</f>
        <v/>
      </c>
      <c r="AH136" s="34" t="str">
        <f>IFERROR(IF(AND(OR(Table8[[#This Row],[Classification]]="Liabilities",Table8[[#This Row],[Classification]]="Owner´s Equity"),Table8[[#This Row],[Credit.]]&gt;Table8[[#This Row],[Debit\]]),Table8[[#This Row],[Credit.]]-Table8[[#This Row],[Debit\]],""),"")</f>
        <v/>
      </c>
    </row>
    <row r="137" spans="2:34" x14ac:dyDescent="0.25">
      <c r="B137" s="34"/>
      <c r="C137" s="45"/>
      <c r="D137" s="34"/>
      <c r="E137" s="34"/>
      <c r="G137" s="39"/>
      <c r="H137" s="43"/>
      <c r="I137" s="41"/>
      <c r="J137" s="41"/>
      <c r="L137" s="34">
        <v>130</v>
      </c>
      <c r="M137" s="35"/>
      <c r="N137" s="35"/>
      <c r="O137" s="34">
        <f>IFERROR(SUMIF(Table4[,],Table6[[#This Row],[Accounts Name]],Table4[,3]),"")</f>
        <v>0</v>
      </c>
      <c r="P137" s="34">
        <f>IFERROR(SUMIF(Table4[,],Table6[[#This Row],[Accounts Name]],Table4[,2]),"")</f>
        <v>0</v>
      </c>
      <c r="S137" s="36">
        <f t="shared" si="1"/>
        <v>130</v>
      </c>
      <c r="T137" s="34"/>
      <c r="U137" s="37"/>
      <c r="V137" s="34">
        <f>IFERROR(SUMIF(Table6[Sub-Accounts],Table8[[#This Row],[Update your chart of accounts here]],Table6[Debit]),"")</f>
        <v>0</v>
      </c>
      <c r="W137" s="34">
        <f>IFERROR(SUMIF(Table6[Sub-Accounts],Table8[[#This Row],[Update your chart of accounts here]],Table6[Credit]),"")</f>
        <v>0</v>
      </c>
      <c r="X137" s="34"/>
      <c r="Y137" s="34"/>
      <c r="Z137" s="34"/>
      <c r="AA137" s="34"/>
      <c r="AB137" s="34">
        <f>MAX(Table8[[#This Row],[Debit]]+Table8[[#This Row],[Debit -]]-Table8[[#This Row],[Credit]]-Table8[[#This Row],[Credit +]],0)</f>
        <v>0</v>
      </c>
      <c r="AC137" s="34">
        <f>MAX(Table8[[#This Row],[Credit]]-Table8[[#This Row],[Debit]]+Table8[[#This Row],[Credit +]]-Table8[[#This Row],[Debit -]],0)</f>
        <v>0</v>
      </c>
      <c r="AD137" s="34" t="str">
        <f>IFERROR(IF(AND(OR(Table8[[#This Row],[Classification]]="Expense",Table8[[#This Row],[Classification]]="Cost of Goods Sold"),Table8[[#This Row],[Debit\]]&gt;Table8[[#This Row],[Credit.]]),Table8[[#This Row],[Debit\]]-Table8[[#This Row],[Credit.]],""),"")</f>
        <v/>
      </c>
      <c r="AE137" s="34" t="str">
        <f>IFERROR(IF(AND(OR(Table8[[#This Row],[Classification]]="Income",Table8[[#This Row],[Classification]]="Cost of Goods Sold"),Table8[[#This Row],[Credit.]]&gt;Table8[[#This Row],[Debit\]]),Table8[[#This Row],[Credit.]]-Table8[[#This Row],[Debit\]],""),"")</f>
        <v/>
      </c>
      <c r="AF137" s="34"/>
      <c r="AG137" s="34" t="str">
        <f>IFERROR(IF(AND(Table8[[#This Row],[Classification]]="Assets",Table8[[#This Row],[Debit\]]-Table8[[#This Row],[Credit.]]),Table8[[#This Row],[Debit\]]-Table8[[#This Row],[Credit.]],""),"")</f>
        <v/>
      </c>
      <c r="AH137" s="34" t="str">
        <f>IFERROR(IF(AND(OR(Table8[[#This Row],[Classification]]="Liabilities",Table8[[#This Row],[Classification]]="Owner´s Equity"),Table8[[#This Row],[Credit.]]&gt;Table8[[#This Row],[Debit\]]),Table8[[#This Row],[Credit.]]-Table8[[#This Row],[Debit\]],""),"")</f>
        <v/>
      </c>
    </row>
    <row r="138" spans="2:34" x14ac:dyDescent="0.25">
      <c r="B138" s="34"/>
      <c r="C138" s="45"/>
      <c r="D138" s="34"/>
      <c r="E138" s="34"/>
      <c r="G138" s="39"/>
      <c r="H138" s="40"/>
      <c r="I138" s="41"/>
      <c r="J138" s="41"/>
      <c r="L138" s="34">
        <v>131</v>
      </c>
      <c r="M138" s="35"/>
      <c r="N138" s="35"/>
      <c r="O138" s="34">
        <f>IFERROR(SUMIF(Table4[,],Table6[[#This Row],[Accounts Name]],Table4[,3]),"")</f>
        <v>0</v>
      </c>
      <c r="P138" s="34">
        <f>IFERROR(SUMIF(Table4[,],Table6[[#This Row],[Accounts Name]],Table4[,2]),"")</f>
        <v>0</v>
      </c>
      <c r="S138" s="36">
        <f t="shared" ref="S138:S200" si="2">S137+1</f>
        <v>131</v>
      </c>
      <c r="T138" s="34"/>
      <c r="U138" s="37"/>
      <c r="V138" s="34">
        <f>IFERROR(SUMIF(Table6[Sub-Accounts],Table8[[#This Row],[Update your chart of accounts here]],Table6[Debit]),"")</f>
        <v>0</v>
      </c>
      <c r="W138" s="34">
        <f>IFERROR(SUMIF(Table6[Sub-Accounts],Table8[[#This Row],[Update your chart of accounts here]],Table6[Credit]),"")</f>
        <v>0</v>
      </c>
      <c r="X138" s="34"/>
      <c r="Y138" s="34"/>
      <c r="Z138" s="34"/>
      <c r="AA138" s="34"/>
      <c r="AB138" s="34">
        <f>MAX(Table8[[#This Row],[Debit]]+Table8[[#This Row],[Debit -]]-Table8[[#This Row],[Credit]]-Table8[[#This Row],[Credit +]],0)</f>
        <v>0</v>
      </c>
      <c r="AC138" s="34">
        <f>MAX(Table8[[#This Row],[Credit]]-Table8[[#This Row],[Debit]]+Table8[[#This Row],[Credit +]]-Table8[[#This Row],[Debit -]],0)</f>
        <v>0</v>
      </c>
      <c r="AD138" s="34" t="str">
        <f>IFERROR(IF(AND(OR(Table8[[#This Row],[Classification]]="Expense",Table8[[#This Row],[Classification]]="Cost of Goods Sold"),Table8[[#This Row],[Debit\]]&gt;Table8[[#This Row],[Credit.]]),Table8[[#This Row],[Debit\]]-Table8[[#This Row],[Credit.]],""),"")</f>
        <v/>
      </c>
      <c r="AE138" s="34" t="str">
        <f>IFERROR(IF(AND(OR(Table8[[#This Row],[Classification]]="Income",Table8[[#This Row],[Classification]]="Cost of Goods Sold"),Table8[[#This Row],[Credit.]]&gt;Table8[[#This Row],[Debit\]]),Table8[[#This Row],[Credit.]]-Table8[[#This Row],[Debit\]],""),"")</f>
        <v/>
      </c>
      <c r="AF138" s="34"/>
      <c r="AG138" s="34" t="str">
        <f>IFERROR(IF(AND(Table8[[#This Row],[Classification]]="Assets",Table8[[#This Row],[Debit\]]-Table8[[#This Row],[Credit.]]),Table8[[#This Row],[Debit\]]-Table8[[#This Row],[Credit.]],""),"")</f>
        <v/>
      </c>
      <c r="AH138" s="34" t="str">
        <f>IFERROR(IF(AND(OR(Table8[[#This Row],[Classification]]="Liabilities",Table8[[#This Row],[Classification]]="Owner´s Equity"),Table8[[#This Row],[Credit.]]&gt;Table8[[#This Row],[Debit\]]),Table8[[#This Row],[Credit.]]-Table8[[#This Row],[Debit\]],""),"")</f>
        <v/>
      </c>
    </row>
    <row r="139" spans="2:34" x14ac:dyDescent="0.25">
      <c r="B139" s="34"/>
      <c r="C139" s="45"/>
      <c r="D139" s="34"/>
      <c r="E139" s="34"/>
      <c r="G139" s="39"/>
      <c r="H139" s="40"/>
      <c r="I139" s="41"/>
      <c r="J139" s="41"/>
      <c r="L139" s="34">
        <v>132</v>
      </c>
      <c r="M139" s="35"/>
      <c r="N139" s="35"/>
      <c r="O139" s="34">
        <f>IFERROR(SUMIF(Table4[,],Table6[[#This Row],[Accounts Name]],Table4[,3]),"")</f>
        <v>0</v>
      </c>
      <c r="P139" s="34">
        <f>IFERROR(SUMIF(Table4[,],Table6[[#This Row],[Accounts Name]],Table4[,2]),"")</f>
        <v>0</v>
      </c>
      <c r="S139" s="36">
        <f t="shared" si="2"/>
        <v>132</v>
      </c>
      <c r="T139" s="34"/>
      <c r="U139" s="37"/>
      <c r="V139" s="34">
        <f>IFERROR(SUMIF(Table6[Sub-Accounts],Table8[[#This Row],[Update your chart of accounts here]],Table6[Debit]),"")</f>
        <v>0</v>
      </c>
      <c r="W139" s="34">
        <f>IFERROR(SUMIF(Table6[Sub-Accounts],Table8[[#This Row],[Update your chart of accounts here]],Table6[Credit]),"")</f>
        <v>0</v>
      </c>
      <c r="X139" s="34"/>
      <c r="Y139" s="34"/>
      <c r="Z139" s="34"/>
      <c r="AA139" s="34"/>
      <c r="AB139" s="34">
        <f>MAX(Table8[[#This Row],[Debit]]+Table8[[#This Row],[Debit -]]-Table8[[#This Row],[Credit]]-Table8[[#This Row],[Credit +]],0)</f>
        <v>0</v>
      </c>
      <c r="AC139" s="34">
        <f>MAX(Table8[[#This Row],[Credit]]-Table8[[#This Row],[Debit]]+Table8[[#This Row],[Credit +]]-Table8[[#This Row],[Debit -]],0)</f>
        <v>0</v>
      </c>
      <c r="AD139" s="34" t="str">
        <f>IFERROR(IF(AND(OR(Table8[[#This Row],[Classification]]="Expense",Table8[[#This Row],[Classification]]="Cost of Goods Sold"),Table8[[#This Row],[Debit\]]&gt;Table8[[#This Row],[Credit.]]),Table8[[#This Row],[Debit\]]-Table8[[#This Row],[Credit.]],""),"")</f>
        <v/>
      </c>
      <c r="AE139" s="34" t="str">
        <f>IFERROR(IF(AND(OR(Table8[[#This Row],[Classification]]="Income",Table8[[#This Row],[Classification]]="Cost of Goods Sold"),Table8[[#This Row],[Credit.]]&gt;Table8[[#This Row],[Debit\]]),Table8[[#This Row],[Credit.]]-Table8[[#This Row],[Debit\]],""),"")</f>
        <v/>
      </c>
      <c r="AF139" s="34"/>
      <c r="AG139" s="34" t="str">
        <f>IFERROR(IF(AND(Table8[[#This Row],[Classification]]="Assets",Table8[[#This Row],[Debit\]]-Table8[[#This Row],[Credit.]]),Table8[[#This Row],[Debit\]]-Table8[[#This Row],[Credit.]],""),"")</f>
        <v/>
      </c>
      <c r="AH139" s="34" t="str">
        <f>IFERROR(IF(AND(OR(Table8[[#This Row],[Classification]]="Liabilities",Table8[[#This Row],[Classification]]="Owner´s Equity"),Table8[[#This Row],[Credit.]]&gt;Table8[[#This Row],[Debit\]]),Table8[[#This Row],[Credit.]]-Table8[[#This Row],[Debit\]],""),"")</f>
        <v/>
      </c>
    </row>
    <row r="140" spans="2:34" x14ac:dyDescent="0.25">
      <c r="B140" s="34"/>
      <c r="C140" s="45"/>
      <c r="D140" s="34"/>
      <c r="E140" s="34"/>
      <c r="G140" s="39"/>
      <c r="H140" s="43"/>
      <c r="I140" s="41"/>
      <c r="J140" s="41"/>
      <c r="L140" s="34">
        <v>133</v>
      </c>
      <c r="M140" s="35"/>
      <c r="N140" s="35"/>
      <c r="O140" s="34">
        <f>IFERROR(SUMIF(Table4[,],Table6[[#This Row],[Accounts Name]],Table4[,3]),"")</f>
        <v>0</v>
      </c>
      <c r="P140" s="34">
        <f>IFERROR(SUMIF(Table4[,],Table6[[#This Row],[Accounts Name]],Table4[,2]),"")</f>
        <v>0</v>
      </c>
      <c r="S140" s="36">
        <f t="shared" si="2"/>
        <v>133</v>
      </c>
      <c r="T140" s="34"/>
      <c r="U140" s="37"/>
      <c r="V140" s="34">
        <f>IFERROR(SUMIF(Table6[Sub-Accounts],Table8[[#This Row],[Update your chart of accounts here]],Table6[Debit]),"")</f>
        <v>0</v>
      </c>
      <c r="W140" s="34">
        <f>IFERROR(SUMIF(Table6[Sub-Accounts],Table8[[#This Row],[Update your chart of accounts here]],Table6[Credit]),"")</f>
        <v>0</v>
      </c>
      <c r="X140" s="34"/>
      <c r="Y140" s="34"/>
      <c r="Z140" s="34"/>
      <c r="AA140" s="34"/>
      <c r="AB140" s="34">
        <f>MAX(Table8[[#This Row],[Debit]]+Table8[[#This Row],[Debit -]]-Table8[[#This Row],[Credit]]-Table8[[#This Row],[Credit +]],0)</f>
        <v>0</v>
      </c>
      <c r="AC140" s="34">
        <f>MAX(Table8[[#This Row],[Credit]]-Table8[[#This Row],[Debit]]+Table8[[#This Row],[Credit +]]-Table8[[#This Row],[Debit -]],0)</f>
        <v>0</v>
      </c>
      <c r="AD140" s="34" t="str">
        <f>IFERROR(IF(AND(OR(Table8[[#This Row],[Classification]]="Expense",Table8[[#This Row],[Classification]]="Cost of Goods Sold"),Table8[[#This Row],[Debit\]]&gt;Table8[[#This Row],[Credit.]]),Table8[[#This Row],[Debit\]]-Table8[[#This Row],[Credit.]],""),"")</f>
        <v/>
      </c>
      <c r="AE140" s="34" t="str">
        <f>IFERROR(IF(AND(OR(Table8[[#This Row],[Classification]]="Income",Table8[[#This Row],[Classification]]="Cost of Goods Sold"),Table8[[#This Row],[Credit.]]&gt;Table8[[#This Row],[Debit\]]),Table8[[#This Row],[Credit.]]-Table8[[#This Row],[Debit\]],""),"")</f>
        <v/>
      </c>
      <c r="AF140" s="34"/>
      <c r="AG140" s="34" t="str">
        <f>IFERROR(IF(AND(Table8[[#This Row],[Classification]]="Assets",Table8[[#This Row],[Debit\]]-Table8[[#This Row],[Credit.]]),Table8[[#This Row],[Debit\]]-Table8[[#This Row],[Credit.]],""),"")</f>
        <v/>
      </c>
      <c r="AH140" s="34" t="str">
        <f>IFERROR(IF(AND(OR(Table8[[#This Row],[Classification]]="Liabilities",Table8[[#This Row],[Classification]]="Owner´s Equity"),Table8[[#This Row],[Credit.]]&gt;Table8[[#This Row],[Debit\]]),Table8[[#This Row],[Credit.]]-Table8[[#This Row],[Debit\]],""),"")</f>
        <v/>
      </c>
    </row>
    <row r="141" spans="2:34" x14ac:dyDescent="0.25">
      <c r="B141" s="34"/>
      <c r="C141" s="45"/>
      <c r="D141" s="34"/>
      <c r="E141" s="34"/>
      <c r="G141" s="39"/>
      <c r="H141" s="40"/>
      <c r="I141" s="41"/>
      <c r="J141" s="41"/>
      <c r="L141" s="34">
        <v>134</v>
      </c>
      <c r="M141" s="35"/>
      <c r="N141" s="35"/>
      <c r="O141" s="34">
        <f>IFERROR(SUMIF(Table4[,],Table6[[#This Row],[Accounts Name]],Table4[,3]),"")</f>
        <v>0</v>
      </c>
      <c r="P141" s="34">
        <f>IFERROR(SUMIF(Table4[,],Table6[[#This Row],[Accounts Name]],Table4[,2]),"")</f>
        <v>0</v>
      </c>
      <c r="S141" s="36">
        <f t="shared" si="2"/>
        <v>134</v>
      </c>
      <c r="T141" s="34"/>
      <c r="U141" s="37"/>
      <c r="V141" s="34">
        <f>IFERROR(SUMIF(Table6[Sub-Accounts],Table8[[#This Row],[Update your chart of accounts here]],Table6[Debit]),"")</f>
        <v>0</v>
      </c>
      <c r="W141" s="34">
        <f>IFERROR(SUMIF(Table6[Sub-Accounts],Table8[[#This Row],[Update your chart of accounts here]],Table6[Credit]),"")</f>
        <v>0</v>
      </c>
      <c r="X141" s="34"/>
      <c r="Y141" s="34"/>
      <c r="Z141" s="34"/>
      <c r="AA141" s="34"/>
      <c r="AB141" s="34">
        <f>MAX(Table8[[#This Row],[Debit]]+Table8[[#This Row],[Debit -]]-Table8[[#This Row],[Credit]]-Table8[[#This Row],[Credit +]],0)</f>
        <v>0</v>
      </c>
      <c r="AC141" s="34">
        <f>MAX(Table8[[#This Row],[Credit]]-Table8[[#This Row],[Debit]]+Table8[[#This Row],[Credit +]]-Table8[[#This Row],[Debit -]],0)</f>
        <v>0</v>
      </c>
      <c r="AD141" s="34" t="str">
        <f>IFERROR(IF(AND(OR(Table8[[#This Row],[Classification]]="Expense",Table8[[#This Row],[Classification]]="Cost of Goods Sold"),Table8[[#This Row],[Debit\]]&gt;Table8[[#This Row],[Credit.]]),Table8[[#This Row],[Debit\]]-Table8[[#This Row],[Credit.]],""),"")</f>
        <v/>
      </c>
      <c r="AE141" s="34" t="str">
        <f>IFERROR(IF(AND(OR(Table8[[#This Row],[Classification]]="Income",Table8[[#This Row],[Classification]]="Cost of Goods Sold"),Table8[[#This Row],[Credit.]]&gt;Table8[[#This Row],[Debit\]]),Table8[[#This Row],[Credit.]]-Table8[[#This Row],[Debit\]],""),"")</f>
        <v/>
      </c>
      <c r="AF141" s="34"/>
      <c r="AG141" s="34" t="str">
        <f>IFERROR(IF(AND(Table8[[#This Row],[Classification]]="Assets",Table8[[#This Row],[Debit\]]-Table8[[#This Row],[Credit.]]),Table8[[#This Row],[Debit\]]-Table8[[#This Row],[Credit.]],""),"")</f>
        <v/>
      </c>
      <c r="AH141" s="34" t="str">
        <f>IFERROR(IF(AND(OR(Table8[[#This Row],[Classification]]="Liabilities",Table8[[#This Row],[Classification]]="Owner´s Equity"),Table8[[#This Row],[Credit.]]&gt;Table8[[#This Row],[Debit\]]),Table8[[#This Row],[Credit.]]-Table8[[#This Row],[Debit\]],""),"")</f>
        <v/>
      </c>
    </row>
    <row r="142" spans="2:34" x14ac:dyDescent="0.25">
      <c r="B142" s="34"/>
      <c r="C142" s="45"/>
      <c r="D142" s="34"/>
      <c r="E142" s="34"/>
      <c r="G142" s="39"/>
      <c r="H142" s="40"/>
      <c r="I142" s="41"/>
      <c r="J142" s="41"/>
      <c r="L142" s="34">
        <v>135</v>
      </c>
      <c r="M142" s="35"/>
      <c r="N142" s="35"/>
      <c r="O142" s="34">
        <f>IFERROR(SUMIF(Table4[,],Table6[[#This Row],[Accounts Name]],Table4[,3]),"")</f>
        <v>0</v>
      </c>
      <c r="P142" s="34">
        <f>IFERROR(SUMIF(Table4[,],Table6[[#This Row],[Accounts Name]],Table4[,2]),"")</f>
        <v>0</v>
      </c>
      <c r="S142" s="36">
        <f t="shared" si="2"/>
        <v>135</v>
      </c>
      <c r="T142" s="34"/>
      <c r="U142" s="37"/>
      <c r="V142" s="34">
        <f>IFERROR(SUMIF(Table6[Sub-Accounts],Table8[[#This Row],[Update your chart of accounts here]],Table6[Debit]),"")</f>
        <v>0</v>
      </c>
      <c r="W142" s="34">
        <f>IFERROR(SUMIF(Table6[Sub-Accounts],Table8[[#This Row],[Update your chart of accounts here]],Table6[Credit]),"")</f>
        <v>0</v>
      </c>
      <c r="X142" s="34"/>
      <c r="Y142" s="34"/>
      <c r="Z142" s="34"/>
      <c r="AA142" s="34"/>
      <c r="AB142" s="34">
        <f>MAX(Table8[[#This Row],[Debit]]+Table8[[#This Row],[Debit -]]-Table8[[#This Row],[Credit]]-Table8[[#This Row],[Credit +]],0)</f>
        <v>0</v>
      </c>
      <c r="AC142" s="34">
        <f>MAX(Table8[[#This Row],[Credit]]-Table8[[#This Row],[Debit]]+Table8[[#This Row],[Credit +]]-Table8[[#This Row],[Debit -]],0)</f>
        <v>0</v>
      </c>
      <c r="AD142" s="34" t="str">
        <f>IFERROR(IF(AND(OR(Table8[[#This Row],[Classification]]="Expense",Table8[[#This Row],[Classification]]="Cost of Goods Sold"),Table8[[#This Row],[Debit\]]&gt;Table8[[#This Row],[Credit.]]),Table8[[#This Row],[Debit\]]-Table8[[#This Row],[Credit.]],""),"")</f>
        <v/>
      </c>
      <c r="AE142" s="34" t="str">
        <f>IFERROR(IF(AND(OR(Table8[[#This Row],[Classification]]="Income",Table8[[#This Row],[Classification]]="Cost of Goods Sold"),Table8[[#This Row],[Credit.]]&gt;Table8[[#This Row],[Debit\]]),Table8[[#This Row],[Credit.]]-Table8[[#This Row],[Debit\]],""),"")</f>
        <v/>
      </c>
      <c r="AF142" s="34"/>
      <c r="AG142" s="34" t="str">
        <f>IFERROR(IF(AND(Table8[[#This Row],[Classification]]="Assets",Table8[[#This Row],[Debit\]]-Table8[[#This Row],[Credit.]]),Table8[[#This Row],[Debit\]]-Table8[[#This Row],[Credit.]],""),"")</f>
        <v/>
      </c>
      <c r="AH142" s="34" t="str">
        <f>IFERROR(IF(AND(OR(Table8[[#This Row],[Classification]]="Liabilities",Table8[[#This Row],[Classification]]="Owner´s Equity"),Table8[[#This Row],[Credit.]]&gt;Table8[[#This Row],[Debit\]]),Table8[[#This Row],[Credit.]]-Table8[[#This Row],[Debit\]],""),"")</f>
        <v/>
      </c>
    </row>
    <row r="143" spans="2:34" x14ac:dyDescent="0.25">
      <c r="B143" s="34"/>
      <c r="C143" s="45"/>
      <c r="D143" s="34"/>
      <c r="E143" s="34"/>
      <c r="G143" s="39"/>
      <c r="H143" s="43"/>
      <c r="I143" s="41"/>
      <c r="J143" s="41"/>
      <c r="L143" s="34">
        <v>136</v>
      </c>
      <c r="M143" s="35"/>
      <c r="N143" s="35"/>
      <c r="O143" s="34">
        <f>IFERROR(SUMIF(Table4[,],Table6[[#This Row],[Accounts Name]],Table4[,3]),"")</f>
        <v>0</v>
      </c>
      <c r="P143" s="34">
        <f>IFERROR(SUMIF(Table4[,],Table6[[#This Row],[Accounts Name]],Table4[,2]),"")</f>
        <v>0</v>
      </c>
      <c r="S143" s="36">
        <f t="shared" si="2"/>
        <v>136</v>
      </c>
      <c r="T143" s="34"/>
      <c r="U143" s="37"/>
      <c r="V143" s="34">
        <f>IFERROR(SUMIF(Table6[Sub-Accounts],Table8[[#This Row],[Update your chart of accounts here]],Table6[Debit]),"")</f>
        <v>0</v>
      </c>
      <c r="W143" s="34">
        <f>IFERROR(SUMIF(Table6[Sub-Accounts],Table8[[#This Row],[Update your chart of accounts here]],Table6[Credit]),"")</f>
        <v>0</v>
      </c>
      <c r="X143" s="34"/>
      <c r="Y143" s="34"/>
      <c r="Z143" s="34"/>
      <c r="AA143" s="34"/>
      <c r="AB143" s="34">
        <f>MAX(Table8[[#This Row],[Debit]]+Table8[[#This Row],[Debit -]]-Table8[[#This Row],[Credit]]-Table8[[#This Row],[Credit +]],0)</f>
        <v>0</v>
      </c>
      <c r="AC143" s="34">
        <f>MAX(Table8[[#This Row],[Credit]]-Table8[[#This Row],[Debit]]+Table8[[#This Row],[Credit +]]-Table8[[#This Row],[Debit -]],0)</f>
        <v>0</v>
      </c>
      <c r="AD143" s="34" t="str">
        <f>IFERROR(IF(AND(OR(Table8[[#This Row],[Classification]]="Expense",Table8[[#This Row],[Classification]]="Cost of Goods Sold"),Table8[[#This Row],[Debit\]]&gt;Table8[[#This Row],[Credit.]]),Table8[[#This Row],[Debit\]]-Table8[[#This Row],[Credit.]],""),"")</f>
        <v/>
      </c>
      <c r="AE143" s="34" t="str">
        <f>IFERROR(IF(AND(OR(Table8[[#This Row],[Classification]]="Income",Table8[[#This Row],[Classification]]="Cost of Goods Sold"),Table8[[#This Row],[Credit.]]&gt;Table8[[#This Row],[Debit\]]),Table8[[#This Row],[Credit.]]-Table8[[#This Row],[Debit\]],""),"")</f>
        <v/>
      </c>
      <c r="AF143" s="34"/>
      <c r="AG143" s="34" t="str">
        <f>IFERROR(IF(AND(Table8[[#This Row],[Classification]]="Assets",Table8[[#This Row],[Debit\]]-Table8[[#This Row],[Credit.]]),Table8[[#This Row],[Debit\]]-Table8[[#This Row],[Credit.]],""),"")</f>
        <v/>
      </c>
      <c r="AH143" s="34" t="str">
        <f>IFERROR(IF(AND(OR(Table8[[#This Row],[Classification]]="Liabilities",Table8[[#This Row],[Classification]]="Owner´s Equity"),Table8[[#This Row],[Credit.]]&gt;Table8[[#This Row],[Debit\]]),Table8[[#This Row],[Credit.]]-Table8[[#This Row],[Debit\]],""),"")</f>
        <v/>
      </c>
    </row>
    <row r="144" spans="2:34" x14ac:dyDescent="0.25">
      <c r="B144" s="34"/>
      <c r="C144" s="45"/>
      <c r="D144" s="34"/>
      <c r="E144" s="34"/>
      <c r="G144" s="39"/>
      <c r="H144" s="40"/>
      <c r="I144" s="41"/>
      <c r="J144" s="41"/>
      <c r="L144" s="34">
        <v>137</v>
      </c>
      <c r="M144" s="35"/>
      <c r="N144" s="35"/>
      <c r="O144" s="34">
        <f>IFERROR(SUMIF(Table4[,],Table6[[#This Row],[Accounts Name]],Table4[,3]),"")</f>
        <v>0</v>
      </c>
      <c r="P144" s="34">
        <f>IFERROR(SUMIF(Table4[,],Table6[[#This Row],[Accounts Name]],Table4[,2]),"")</f>
        <v>0</v>
      </c>
      <c r="S144" s="36">
        <f t="shared" si="2"/>
        <v>137</v>
      </c>
      <c r="T144" s="34"/>
      <c r="U144" s="37"/>
      <c r="V144" s="34">
        <f>IFERROR(SUMIF(Table6[Sub-Accounts],Table8[[#This Row],[Update your chart of accounts here]],Table6[Debit]),"")</f>
        <v>0</v>
      </c>
      <c r="W144" s="34">
        <f>IFERROR(SUMIF(Table6[Sub-Accounts],Table8[[#This Row],[Update your chart of accounts here]],Table6[Credit]),"")</f>
        <v>0</v>
      </c>
      <c r="X144" s="34"/>
      <c r="Y144" s="34"/>
      <c r="Z144" s="34"/>
      <c r="AA144" s="34"/>
      <c r="AB144" s="34">
        <f>MAX(Table8[[#This Row],[Debit]]+Table8[[#This Row],[Debit -]]-Table8[[#This Row],[Credit]]-Table8[[#This Row],[Credit +]],0)</f>
        <v>0</v>
      </c>
      <c r="AC144" s="34">
        <f>MAX(Table8[[#This Row],[Credit]]-Table8[[#This Row],[Debit]]+Table8[[#This Row],[Credit +]]-Table8[[#This Row],[Debit -]],0)</f>
        <v>0</v>
      </c>
      <c r="AD144" s="34" t="str">
        <f>IFERROR(IF(AND(OR(Table8[[#This Row],[Classification]]="Expense",Table8[[#This Row],[Classification]]="Cost of Goods Sold"),Table8[[#This Row],[Debit\]]&gt;Table8[[#This Row],[Credit.]]),Table8[[#This Row],[Debit\]]-Table8[[#This Row],[Credit.]],""),"")</f>
        <v/>
      </c>
      <c r="AE144" s="34" t="str">
        <f>IFERROR(IF(AND(OR(Table8[[#This Row],[Classification]]="Income",Table8[[#This Row],[Classification]]="Cost of Goods Sold"),Table8[[#This Row],[Credit.]]&gt;Table8[[#This Row],[Debit\]]),Table8[[#This Row],[Credit.]]-Table8[[#This Row],[Debit\]],""),"")</f>
        <v/>
      </c>
      <c r="AF144" s="34"/>
      <c r="AG144" s="34" t="str">
        <f>IFERROR(IF(AND(Table8[[#This Row],[Classification]]="Assets",Table8[[#This Row],[Debit\]]-Table8[[#This Row],[Credit.]]),Table8[[#This Row],[Debit\]]-Table8[[#This Row],[Credit.]],""),"")</f>
        <v/>
      </c>
      <c r="AH144" s="34" t="str">
        <f>IFERROR(IF(AND(OR(Table8[[#This Row],[Classification]]="Liabilities",Table8[[#This Row],[Classification]]="Owner´s Equity"),Table8[[#This Row],[Credit.]]&gt;Table8[[#This Row],[Debit\]]),Table8[[#This Row],[Credit.]]-Table8[[#This Row],[Debit\]],""),"")</f>
        <v/>
      </c>
    </row>
    <row r="145" spans="2:34" x14ac:dyDescent="0.25">
      <c r="B145" s="34"/>
      <c r="C145" s="45"/>
      <c r="D145" s="34"/>
      <c r="E145" s="34"/>
      <c r="G145" s="39"/>
      <c r="H145" s="40"/>
      <c r="I145" s="41"/>
      <c r="J145" s="41"/>
      <c r="L145" s="34">
        <v>138</v>
      </c>
      <c r="M145" s="35"/>
      <c r="N145" s="35"/>
      <c r="O145" s="34">
        <f>IFERROR(SUMIF(Table4[,],Table6[[#This Row],[Accounts Name]],Table4[,3]),"")</f>
        <v>0</v>
      </c>
      <c r="P145" s="34">
        <f>IFERROR(SUMIF(Table4[,],Table6[[#This Row],[Accounts Name]],Table4[,2]),"")</f>
        <v>0</v>
      </c>
      <c r="S145" s="36">
        <f t="shared" si="2"/>
        <v>138</v>
      </c>
      <c r="T145" s="34"/>
      <c r="U145" s="37"/>
      <c r="V145" s="34">
        <f>IFERROR(SUMIF(Table6[Sub-Accounts],Table8[[#This Row],[Update your chart of accounts here]],Table6[Debit]),"")</f>
        <v>0</v>
      </c>
      <c r="W145" s="34">
        <f>IFERROR(SUMIF(Table6[Sub-Accounts],Table8[[#This Row],[Update your chart of accounts here]],Table6[Credit]),"")</f>
        <v>0</v>
      </c>
      <c r="X145" s="34"/>
      <c r="Y145" s="34"/>
      <c r="Z145" s="34"/>
      <c r="AA145" s="34"/>
      <c r="AB145" s="34">
        <f>MAX(Table8[[#This Row],[Debit]]+Table8[[#This Row],[Debit -]]-Table8[[#This Row],[Credit]]-Table8[[#This Row],[Credit +]],0)</f>
        <v>0</v>
      </c>
      <c r="AC145" s="34">
        <f>MAX(Table8[[#This Row],[Credit]]-Table8[[#This Row],[Debit]]+Table8[[#This Row],[Credit +]]-Table8[[#This Row],[Debit -]],0)</f>
        <v>0</v>
      </c>
      <c r="AD145" s="34" t="str">
        <f>IFERROR(IF(AND(OR(Table8[[#This Row],[Classification]]="Expense",Table8[[#This Row],[Classification]]="Cost of Goods Sold"),Table8[[#This Row],[Debit\]]&gt;Table8[[#This Row],[Credit.]]),Table8[[#This Row],[Debit\]]-Table8[[#This Row],[Credit.]],""),"")</f>
        <v/>
      </c>
      <c r="AE145" s="34" t="str">
        <f>IFERROR(IF(AND(OR(Table8[[#This Row],[Classification]]="Income",Table8[[#This Row],[Classification]]="Cost of Goods Sold"),Table8[[#This Row],[Credit.]]&gt;Table8[[#This Row],[Debit\]]),Table8[[#This Row],[Credit.]]-Table8[[#This Row],[Debit\]],""),"")</f>
        <v/>
      </c>
      <c r="AF145" s="34"/>
      <c r="AG145" s="34" t="str">
        <f>IFERROR(IF(AND(Table8[[#This Row],[Classification]]="Assets",Table8[[#This Row],[Debit\]]-Table8[[#This Row],[Credit.]]),Table8[[#This Row],[Debit\]]-Table8[[#This Row],[Credit.]],""),"")</f>
        <v/>
      </c>
      <c r="AH145" s="34" t="str">
        <f>IFERROR(IF(AND(OR(Table8[[#This Row],[Classification]]="Liabilities",Table8[[#This Row],[Classification]]="Owner´s Equity"),Table8[[#This Row],[Credit.]]&gt;Table8[[#This Row],[Debit\]]),Table8[[#This Row],[Credit.]]-Table8[[#This Row],[Debit\]],""),"")</f>
        <v/>
      </c>
    </row>
    <row r="146" spans="2:34" x14ac:dyDescent="0.25">
      <c r="B146" s="34"/>
      <c r="C146" s="45"/>
      <c r="D146" s="34"/>
      <c r="E146" s="34"/>
      <c r="G146" s="39"/>
      <c r="H146" s="43"/>
      <c r="I146" s="41"/>
      <c r="J146" s="41"/>
      <c r="L146" s="34">
        <v>139</v>
      </c>
      <c r="M146" s="35"/>
      <c r="N146" s="35"/>
      <c r="O146" s="34">
        <f>IFERROR(SUMIF(Table4[,],Table6[[#This Row],[Accounts Name]],Table4[,3]),"")</f>
        <v>0</v>
      </c>
      <c r="P146" s="34">
        <f>IFERROR(SUMIF(Table4[,],Table6[[#This Row],[Accounts Name]],Table4[,2]),"")</f>
        <v>0</v>
      </c>
      <c r="S146" s="36">
        <f t="shared" si="2"/>
        <v>139</v>
      </c>
      <c r="T146" s="34"/>
      <c r="U146" s="37"/>
      <c r="V146" s="34">
        <f>IFERROR(SUMIF(Table6[Sub-Accounts],Table8[[#This Row],[Update your chart of accounts here]],Table6[Debit]),"")</f>
        <v>0</v>
      </c>
      <c r="W146" s="34">
        <f>IFERROR(SUMIF(Table6[Sub-Accounts],Table8[[#This Row],[Update your chart of accounts here]],Table6[Credit]),"")</f>
        <v>0</v>
      </c>
      <c r="X146" s="34"/>
      <c r="Y146" s="34"/>
      <c r="Z146" s="34"/>
      <c r="AA146" s="34"/>
      <c r="AB146" s="34">
        <f>MAX(Table8[[#This Row],[Debit]]+Table8[[#This Row],[Debit -]]-Table8[[#This Row],[Credit]]-Table8[[#This Row],[Credit +]],0)</f>
        <v>0</v>
      </c>
      <c r="AC146" s="34">
        <f>MAX(Table8[[#This Row],[Credit]]-Table8[[#This Row],[Debit]]+Table8[[#This Row],[Credit +]]-Table8[[#This Row],[Debit -]],0)</f>
        <v>0</v>
      </c>
      <c r="AD146" s="34" t="str">
        <f>IFERROR(IF(AND(OR(Table8[[#This Row],[Classification]]="Expense",Table8[[#This Row],[Classification]]="Cost of Goods Sold"),Table8[[#This Row],[Debit\]]&gt;Table8[[#This Row],[Credit.]]),Table8[[#This Row],[Debit\]]-Table8[[#This Row],[Credit.]],""),"")</f>
        <v/>
      </c>
      <c r="AE146" s="34" t="str">
        <f>IFERROR(IF(AND(OR(Table8[[#This Row],[Classification]]="Income",Table8[[#This Row],[Classification]]="Cost of Goods Sold"),Table8[[#This Row],[Credit.]]&gt;Table8[[#This Row],[Debit\]]),Table8[[#This Row],[Credit.]]-Table8[[#This Row],[Debit\]],""),"")</f>
        <v/>
      </c>
      <c r="AF146" s="34"/>
      <c r="AG146" s="34" t="str">
        <f>IFERROR(IF(AND(Table8[[#This Row],[Classification]]="Assets",Table8[[#This Row],[Debit\]]-Table8[[#This Row],[Credit.]]),Table8[[#This Row],[Debit\]]-Table8[[#This Row],[Credit.]],""),"")</f>
        <v/>
      </c>
      <c r="AH146" s="34" t="str">
        <f>IFERROR(IF(AND(OR(Table8[[#This Row],[Classification]]="Liabilities",Table8[[#This Row],[Classification]]="Owner´s Equity"),Table8[[#This Row],[Credit.]]&gt;Table8[[#This Row],[Debit\]]),Table8[[#This Row],[Credit.]]-Table8[[#This Row],[Debit\]],""),"")</f>
        <v/>
      </c>
    </row>
    <row r="147" spans="2:34" x14ac:dyDescent="0.25">
      <c r="B147" s="34"/>
      <c r="C147" s="45"/>
      <c r="D147" s="34"/>
      <c r="E147" s="34"/>
      <c r="G147" s="39"/>
      <c r="H147" s="40"/>
      <c r="I147" s="41"/>
      <c r="J147" s="41"/>
      <c r="L147" s="34">
        <v>140</v>
      </c>
      <c r="M147" s="35"/>
      <c r="N147" s="35"/>
      <c r="O147" s="34">
        <f>IFERROR(SUMIF(Table4[,],Table6[[#This Row],[Accounts Name]],Table4[,3]),"")</f>
        <v>0</v>
      </c>
      <c r="P147" s="34">
        <f>IFERROR(SUMIF(Table4[,],Table6[[#This Row],[Accounts Name]],Table4[,2]),"")</f>
        <v>0</v>
      </c>
      <c r="S147" s="36">
        <f t="shared" si="2"/>
        <v>140</v>
      </c>
      <c r="T147" s="34"/>
      <c r="U147" s="37"/>
      <c r="V147" s="34">
        <f>IFERROR(SUMIF(Table6[Sub-Accounts],Table8[[#This Row],[Update your chart of accounts here]],Table6[Debit]),"")</f>
        <v>0</v>
      </c>
      <c r="W147" s="34">
        <f>IFERROR(SUMIF(Table6[Sub-Accounts],Table8[[#This Row],[Update your chart of accounts here]],Table6[Credit]),"")</f>
        <v>0</v>
      </c>
      <c r="X147" s="34"/>
      <c r="Y147" s="34"/>
      <c r="Z147" s="34"/>
      <c r="AA147" s="34"/>
      <c r="AB147" s="34">
        <f>MAX(Table8[[#This Row],[Debit]]+Table8[[#This Row],[Debit -]]-Table8[[#This Row],[Credit]]-Table8[[#This Row],[Credit +]],0)</f>
        <v>0</v>
      </c>
      <c r="AC147" s="34">
        <f>MAX(Table8[[#This Row],[Credit]]-Table8[[#This Row],[Debit]]+Table8[[#This Row],[Credit +]]-Table8[[#This Row],[Debit -]],0)</f>
        <v>0</v>
      </c>
      <c r="AD147" s="34" t="str">
        <f>IFERROR(IF(AND(OR(Table8[[#This Row],[Classification]]="Expense",Table8[[#This Row],[Classification]]="Cost of Goods Sold"),Table8[[#This Row],[Debit\]]&gt;Table8[[#This Row],[Credit.]]),Table8[[#This Row],[Debit\]]-Table8[[#This Row],[Credit.]],""),"")</f>
        <v/>
      </c>
      <c r="AE147" s="34" t="str">
        <f>IFERROR(IF(AND(OR(Table8[[#This Row],[Classification]]="Income",Table8[[#This Row],[Classification]]="Cost of Goods Sold"),Table8[[#This Row],[Credit.]]&gt;Table8[[#This Row],[Debit\]]),Table8[[#This Row],[Credit.]]-Table8[[#This Row],[Debit\]],""),"")</f>
        <v/>
      </c>
      <c r="AF147" s="34"/>
      <c r="AG147" s="34" t="str">
        <f>IFERROR(IF(AND(Table8[[#This Row],[Classification]]="Assets",Table8[[#This Row],[Debit\]]-Table8[[#This Row],[Credit.]]),Table8[[#This Row],[Debit\]]-Table8[[#This Row],[Credit.]],""),"")</f>
        <v/>
      </c>
      <c r="AH147" s="34" t="str">
        <f>IFERROR(IF(AND(OR(Table8[[#This Row],[Classification]]="Liabilities",Table8[[#This Row],[Classification]]="Owner´s Equity"),Table8[[#This Row],[Credit.]]&gt;Table8[[#This Row],[Debit\]]),Table8[[#This Row],[Credit.]]-Table8[[#This Row],[Debit\]],""),"")</f>
        <v/>
      </c>
    </row>
    <row r="148" spans="2:34" x14ac:dyDescent="0.25">
      <c r="B148" s="34"/>
      <c r="C148" s="45"/>
      <c r="D148" s="34"/>
      <c r="E148" s="34"/>
      <c r="G148" s="39"/>
      <c r="H148" s="40"/>
      <c r="I148" s="41"/>
      <c r="J148" s="41"/>
      <c r="L148" s="34">
        <v>141</v>
      </c>
      <c r="M148" s="35"/>
      <c r="N148" s="35"/>
      <c r="O148" s="34">
        <f>IFERROR(SUMIF(Table4[,],Table6[[#This Row],[Accounts Name]],Table4[,3]),"")</f>
        <v>0</v>
      </c>
      <c r="P148" s="34">
        <f>IFERROR(SUMIF(Table4[,],Table6[[#This Row],[Accounts Name]],Table4[,2]),"")</f>
        <v>0</v>
      </c>
      <c r="S148" s="36">
        <f t="shared" si="2"/>
        <v>141</v>
      </c>
      <c r="T148" s="34"/>
      <c r="U148" s="37"/>
      <c r="V148" s="34">
        <f>IFERROR(SUMIF(Table6[Sub-Accounts],Table8[[#This Row],[Update your chart of accounts here]],Table6[Debit]),"")</f>
        <v>0</v>
      </c>
      <c r="W148" s="34">
        <f>IFERROR(SUMIF(Table6[Sub-Accounts],Table8[[#This Row],[Update your chart of accounts here]],Table6[Credit]),"")</f>
        <v>0</v>
      </c>
      <c r="X148" s="34"/>
      <c r="Y148" s="34"/>
      <c r="Z148" s="34"/>
      <c r="AA148" s="34"/>
      <c r="AB148" s="34">
        <f>MAX(Table8[[#This Row],[Debit]]+Table8[[#This Row],[Debit -]]-Table8[[#This Row],[Credit]]-Table8[[#This Row],[Credit +]],0)</f>
        <v>0</v>
      </c>
      <c r="AC148" s="34">
        <f>MAX(Table8[[#This Row],[Credit]]-Table8[[#This Row],[Debit]]+Table8[[#This Row],[Credit +]]-Table8[[#This Row],[Debit -]],0)</f>
        <v>0</v>
      </c>
      <c r="AD148" s="34" t="str">
        <f>IFERROR(IF(AND(OR(Table8[[#This Row],[Classification]]="Expense",Table8[[#This Row],[Classification]]="Cost of Goods Sold"),Table8[[#This Row],[Debit\]]&gt;Table8[[#This Row],[Credit.]]),Table8[[#This Row],[Debit\]]-Table8[[#This Row],[Credit.]],""),"")</f>
        <v/>
      </c>
      <c r="AE148" s="34" t="str">
        <f>IFERROR(IF(AND(OR(Table8[[#This Row],[Classification]]="Income",Table8[[#This Row],[Classification]]="Cost of Goods Sold"),Table8[[#This Row],[Credit.]]&gt;Table8[[#This Row],[Debit\]]),Table8[[#This Row],[Credit.]]-Table8[[#This Row],[Debit\]],""),"")</f>
        <v/>
      </c>
      <c r="AF148" s="34"/>
      <c r="AG148" s="34" t="str">
        <f>IFERROR(IF(AND(Table8[[#This Row],[Classification]]="Assets",Table8[[#This Row],[Debit\]]-Table8[[#This Row],[Credit.]]),Table8[[#This Row],[Debit\]]-Table8[[#This Row],[Credit.]],""),"")</f>
        <v/>
      </c>
      <c r="AH148" s="34" t="str">
        <f>IFERROR(IF(AND(OR(Table8[[#This Row],[Classification]]="Liabilities",Table8[[#This Row],[Classification]]="Owner´s Equity"),Table8[[#This Row],[Credit.]]&gt;Table8[[#This Row],[Debit\]]),Table8[[#This Row],[Credit.]]-Table8[[#This Row],[Debit\]],""),"")</f>
        <v/>
      </c>
    </row>
    <row r="149" spans="2:34" x14ac:dyDescent="0.25">
      <c r="B149" s="34"/>
      <c r="C149" s="45"/>
      <c r="D149" s="34"/>
      <c r="E149" s="34"/>
      <c r="G149" s="39"/>
      <c r="H149" s="43"/>
      <c r="I149" s="41"/>
      <c r="J149" s="41"/>
      <c r="L149" s="34">
        <v>142</v>
      </c>
      <c r="M149" s="35"/>
      <c r="N149" s="35"/>
      <c r="O149" s="34">
        <f>IFERROR(SUMIF(Table4[,],Table6[[#This Row],[Accounts Name]],Table4[,3]),"")</f>
        <v>0</v>
      </c>
      <c r="P149" s="34">
        <f>IFERROR(SUMIF(Table4[,],Table6[[#This Row],[Accounts Name]],Table4[,2]),"")</f>
        <v>0</v>
      </c>
      <c r="S149" s="36">
        <f t="shared" si="2"/>
        <v>142</v>
      </c>
      <c r="T149" s="34"/>
      <c r="U149" s="37"/>
      <c r="V149" s="34">
        <f>IFERROR(SUMIF(Table6[Sub-Accounts],Table8[[#This Row],[Update your chart of accounts here]],Table6[Debit]),"")</f>
        <v>0</v>
      </c>
      <c r="W149" s="34">
        <f>IFERROR(SUMIF(Table6[Sub-Accounts],Table8[[#This Row],[Update your chart of accounts here]],Table6[Credit]),"")</f>
        <v>0</v>
      </c>
      <c r="X149" s="34"/>
      <c r="Y149" s="34"/>
      <c r="Z149" s="34"/>
      <c r="AA149" s="34"/>
      <c r="AB149" s="34">
        <f>MAX(Table8[[#This Row],[Debit]]+Table8[[#This Row],[Debit -]]-Table8[[#This Row],[Credit]]-Table8[[#This Row],[Credit +]],0)</f>
        <v>0</v>
      </c>
      <c r="AC149" s="34">
        <f>MAX(Table8[[#This Row],[Credit]]-Table8[[#This Row],[Debit]]+Table8[[#This Row],[Credit +]]-Table8[[#This Row],[Debit -]],0)</f>
        <v>0</v>
      </c>
      <c r="AD149" s="34" t="str">
        <f>IFERROR(IF(AND(OR(Table8[[#This Row],[Classification]]="Expense",Table8[[#This Row],[Classification]]="Cost of Goods Sold"),Table8[[#This Row],[Debit\]]&gt;Table8[[#This Row],[Credit.]]),Table8[[#This Row],[Debit\]]-Table8[[#This Row],[Credit.]],""),"")</f>
        <v/>
      </c>
      <c r="AE149" s="34" t="str">
        <f>IFERROR(IF(AND(OR(Table8[[#This Row],[Classification]]="Income",Table8[[#This Row],[Classification]]="Cost of Goods Sold"),Table8[[#This Row],[Credit.]]&gt;Table8[[#This Row],[Debit\]]),Table8[[#This Row],[Credit.]]-Table8[[#This Row],[Debit\]],""),"")</f>
        <v/>
      </c>
      <c r="AF149" s="34"/>
      <c r="AG149" s="34" t="str">
        <f>IFERROR(IF(AND(Table8[[#This Row],[Classification]]="Assets",Table8[[#This Row],[Debit\]]-Table8[[#This Row],[Credit.]]),Table8[[#This Row],[Debit\]]-Table8[[#This Row],[Credit.]],""),"")</f>
        <v/>
      </c>
      <c r="AH149" s="34" t="str">
        <f>IFERROR(IF(AND(OR(Table8[[#This Row],[Classification]]="Liabilities",Table8[[#This Row],[Classification]]="Owner´s Equity"),Table8[[#This Row],[Credit.]]&gt;Table8[[#This Row],[Debit\]]),Table8[[#This Row],[Credit.]]-Table8[[#This Row],[Debit\]],""),"")</f>
        <v/>
      </c>
    </row>
    <row r="150" spans="2:34" x14ac:dyDescent="0.25">
      <c r="B150" s="34"/>
      <c r="C150" s="45"/>
      <c r="D150" s="34"/>
      <c r="E150" s="34"/>
      <c r="G150" s="39"/>
      <c r="H150" s="40"/>
      <c r="I150" s="41"/>
      <c r="J150" s="41"/>
      <c r="L150" s="34">
        <v>143</v>
      </c>
      <c r="M150" s="35"/>
      <c r="N150" s="35"/>
      <c r="O150" s="34">
        <f>IFERROR(SUMIF(Table4[,],Table6[[#This Row],[Accounts Name]],Table4[,3]),"")</f>
        <v>0</v>
      </c>
      <c r="P150" s="34">
        <f>IFERROR(SUMIF(Table4[,],Table6[[#This Row],[Accounts Name]],Table4[,2]),"")</f>
        <v>0</v>
      </c>
      <c r="S150" s="36">
        <f t="shared" si="2"/>
        <v>143</v>
      </c>
      <c r="T150" s="34"/>
      <c r="U150" s="37"/>
      <c r="V150" s="34">
        <f>IFERROR(SUMIF(Table6[Sub-Accounts],Table8[[#This Row],[Update your chart of accounts here]],Table6[Debit]),"")</f>
        <v>0</v>
      </c>
      <c r="W150" s="34">
        <f>IFERROR(SUMIF(Table6[Sub-Accounts],Table8[[#This Row],[Update your chart of accounts here]],Table6[Credit]),"")</f>
        <v>0</v>
      </c>
      <c r="X150" s="34"/>
      <c r="Y150" s="34"/>
      <c r="Z150" s="34"/>
      <c r="AA150" s="34"/>
      <c r="AB150" s="34">
        <f>MAX(Table8[[#This Row],[Debit]]+Table8[[#This Row],[Debit -]]-Table8[[#This Row],[Credit]]-Table8[[#This Row],[Credit +]],0)</f>
        <v>0</v>
      </c>
      <c r="AC150" s="34">
        <f>MAX(Table8[[#This Row],[Credit]]-Table8[[#This Row],[Debit]]+Table8[[#This Row],[Credit +]]-Table8[[#This Row],[Debit -]],0)</f>
        <v>0</v>
      </c>
      <c r="AD150" s="34" t="str">
        <f>IFERROR(IF(AND(OR(Table8[[#This Row],[Classification]]="Expense",Table8[[#This Row],[Classification]]="Cost of Goods Sold"),Table8[[#This Row],[Debit\]]&gt;Table8[[#This Row],[Credit.]]),Table8[[#This Row],[Debit\]]-Table8[[#This Row],[Credit.]],""),"")</f>
        <v/>
      </c>
      <c r="AE150" s="34" t="str">
        <f>IFERROR(IF(AND(OR(Table8[[#This Row],[Classification]]="Income",Table8[[#This Row],[Classification]]="Cost of Goods Sold"),Table8[[#This Row],[Credit.]]&gt;Table8[[#This Row],[Debit\]]),Table8[[#This Row],[Credit.]]-Table8[[#This Row],[Debit\]],""),"")</f>
        <v/>
      </c>
      <c r="AF150" s="34"/>
      <c r="AG150" s="34" t="str">
        <f>IFERROR(IF(AND(Table8[[#This Row],[Classification]]="Assets",Table8[[#This Row],[Debit\]]-Table8[[#This Row],[Credit.]]),Table8[[#This Row],[Debit\]]-Table8[[#This Row],[Credit.]],""),"")</f>
        <v/>
      </c>
      <c r="AH150" s="34" t="str">
        <f>IFERROR(IF(AND(OR(Table8[[#This Row],[Classification]]="Liabilities",Table8[[#This Row],[Classification]]="Owner´s Equity"),Table8[[#This Row],[Credit.]]&gt;Table8[[#This Row],[Debit\]]),Table8[[#This Row],[Credit.]]-Table8[[#This Row],[Debit\]],""),"")</f>
        <v/>
      </c>
    </row>
    <row r="151" spans="2:34" x14ac:dyDescent="0.25">
      <c r="B151" s="34"/>
      <c r="C151" s="45"/>
      <c r="D151" s="34"/>
      <c r="E151" s="34"/>
      <c r="G151" s="39"/>
      <c r="H151" s="40"/>
      <c r="I151" s="41"/>
      <c r="J151" s="41"/>
      <c r="L151" s="34">
        <v>144</v>
      </c>
      <c r="M151" s="35"/>
      <c r="N151" s="35"/>
      <c r="O151" s="34">
        <f>IFERROR(SUMIF(Table4[,],Table6[[#This Row],[Accounts Name]],Table4[,3]),"")</f>
        <v>0</v>
      </c>
      <c r="P151" s="34">
        <f>IFERROR(SUMIF(Table4[,],Table6[[#This Row],[Accounts Name]],Table4[,2]),"")</f>
        <v>0</v>
      </c>
      <c r="S151" s="36">
        <f t="shared" si="2"/>
        <v>144</v>
      </c>
      <c r="T151" s="34"/>
      <c r="U151" s="37"/>
      <c r="V151" s="34">
        <f>IFERROR(SUMIF(Table6[Sub-Accounts],Table8[[#This Row],[Update your chart of accounts here]],Table6[Debit]),"")</f>
        <v>0</v>
      </c>
      <c r="W151" s="34">
        <f>IFERROR(SUMIF(Table6[Sub-Accounts],Table8[[#This Row],[Update your chart of accounts here]],Table6[Credit]),"")</f>
        <v>0</v>
      </c>
      <c r="X151" s="34"/>
      <c r="Y151" s="34"/>
      <c r="Z151" s="34"/>
      <c r="AA151" s="34"/>
      <c r="AB151" s="34">
        <f>MAX(Table8[[#This Row],[Debit]]+Table8[[#This Row],[Debit -]]-Table8[[#This Row],[Credit]]-Table8[[#This Row],[Credit +]],0)</f>
        <v>0</v>
      </c>
      <c r="AC151" s="34">
        <f>MAX(Table8[[#This Row],[Credit]]-Table8[[#This Row],[Debit]]+Table8[[#This Row],[Credit +]]-Table8[[#This Row],[Debit -]],0)</f>
        <v>0</v>
      </c>
      <c r="AD151" s="34" t="str">
        <f>IFERROR(IF(AND(OR(Table8[[#This Row],[Classification]]="Expense",Table8[[#This Row],[Classification]]="Cost of Goods Sold"),Table8[[#This Row],[Debit\]]&gt;Table8[[#This Row],[Credit.]]),Table8[[#This Row],[Debit\]]-Table8[[#This Row],[Credit.]],""),"")</f>
        <v/>
      </c>
      <c r="AE151" s="34" t="str">
        <f>IFERROR(IF(AND(OR(Table8[[#This Row],[Classification]]="Income",Table8[[#This Row],[Classification]]="Cost of Goods Sold"),Table8[[#This Row],[Credit.]]&gt;Table8[[#This Row],[Debit\]]),Table8[[#This Row],[Credit.]]-Table8[[#This Row],[Debit\]],""),"")</f>
        <v/>
      </c>
      <c r="AF151" s="34"/>
      <c r="AG151" s="34" t="str">
        <f>IFERROR(IF(AND(Table8[[#This Row],[Classification]]="Assets",Table8[[#This Row],[Debit\]]-Table8[[#This Row],[Credit.]]),Table8[[#This Row],[Debit\]]-Table8[[#This Row],[Credit.]],""),"")</f>
        <v/>
      </c>
      <c r="AH151" s="34" t="str">
        <f>IFERROR(IF(AND(OR(Table8[[#This Row],[Classification]]="Liabilities",Table8[[#This Row],[Classification]]="Owner´s Equity"),Table8[[#This Row],[Credit.]]&gt;Table8[[#This Row],[Debit\]]),Table8[[#This Row],[Credit.]]-Table8[[#This Row],[Debit\]],""),"")</f>
        <v/>
      </c>
    </row>
    <row r="152" spans="2:34" x14ac:dyDescent="0.25">
      <c r="B152" s="34"/>
      <c r="C152" s="45"/>
      <c r="D152" s="34"/>
      <c r="E152" s="34"/>
      <c r="G152" s="39"/>
      <c r="H152" s="43"/>
      <c r="I152" s="41"/>
      <c r="J152" s="41"/>
      <c r="L152" s="34">
        <v>145</v>
      </c>
      <c r="M152" s="35"/>
      <c r="N152" s="35"/>
      <c r="O152" s="34">
        <f>IFERROR(SUMIF(Table4[,],Table6[[#This Row],[Accounts Name]],Table4[,3]),"")</f>
        <v>0</v>
      </c>
      <c r="P152" s="34">
        <f>IFERROR(SUMIF(Table4[,],Table6[[#This Row],[Accounts Name]],Table4[,2]),"")</f>
        <v>0</v>
      </c>
      <c r="S152" s="36">
        <f t="shared" si="2"/>
        <v>145</v>
      </c>
      <c r="T152" s="34"/>
      <c r="U152" s="37"/>
      <c r="V152" s="34">
        <f>IFERROR(SUMIF(Table6[Sub-Accounts],Table8[[#This Row],[Update your chart of accounts here]],Table6[Debit]),"")</f>
        <v>0</v>
      </c>
      <c r="W152" s="34">
        <f>IFERROR(SUMIF(Table6[Sub-Accounts],Table8[[#This Row],[Update your chart of accounts here]],Table6[Credit]),"")</f>
        <v>0</v>
      </c>
      <c r="X152" s="34"/>
      <c r="Y152" s="34"/>
      <c r="Z152" s="34"/>
      <c r="AA152" s="34"/>
      <c r="AB152" s="34">
        <f>MAX(Table8[[#This Row],[Debit]]+Table8[[#This Row],[Debit -]]-Table8[[#This Row],[Credit]]-Table8[[#This Row],[Credit +]],0)</f>
        <v>0</v>
      </c>
      <c r="AC152" s="34">
        <f>MAX(Table8[[#This Row],[Credit]]-Table8[[#This Row],[Debit]]+Table8[[#This Row],[Credit +]]-Table8[[#This Row],[Debit -]],0)</f>
        <v>0</v>
      </c>
      <c r="AD152" s="34" t="str">
        <f>IFERROR(IF(AND(OR(Table8[[#This Row],[Classification]]="Expense",Table8[[#This Row],[Classification]]="Cost of Goods Sold"),Table8[[#This Row],[Debit\]]&gt;Table8[[#This Row],[Credit.]]),Table8[[#This Row],[Debit\]]-Table8[[#This Row],[Credit.]],""),"")</f>
        <v/>
      </c>
      <c r="AE152" s="34" t="str">
        <f>IFERROR(IF(AND(OR(Table8[[#This Row],[Classification]]="Income",Table8[[#This Row],[Classification]]="Cost of Goods Sold"),Table8[[#This Row],[Credit.]]&gt;Table8[[#This Row],[Debit\]]),Table8[[#This Row],[Credit.]]-Table8[[#This Row],[Debit\]],""),"")</f>
        <v/>
      </c>
      <c r="AF152" s="34"/>
      <c r="AG152" s="34" t="str">
        <f>IFERROR(IF(AND(Table8[[#This Row],[Classification]]="Assets",Table8[[#This Row],[Debit\]]-Table8[[#This Row],[Credit.]]),Table8[[#This Row],[Debit\]]-Table8[[#This Row],[Credit.]],""),"")</f>
        <v/>
      </c>
      <c r="AH152" s="34" t="str">
        <f>IFERROR(IF(AND(OR(Table8[[#This Row],[Classification]]="Liabilities",Table8[[#This Row],[Classification]]="Owner´s Equity"),Table8[[#This Row],[Credit.]]&gt;Table8[[#This Row],[Debit\]]),Table8[[#This Row],[Credit.]]-Table8[[#This Row],[Debit\]],""),"")</f>
        <v/>
      </c>
    </row>
    <row r="153" spans="2:34" x14ac:dyDescent="0.25">
      <c r="B153" s="34"/>
      <c r="C153" s="45"/>
      <c r="D153" s="34"/>
      <c r="E153" s="34"/>
      <c r="G153" s="39"/>
      <c r="H153" s="40"/>
      <c r="I153" s="41"/>
      <c r="J153" s="41"/>
      <c r="L153" s="34">
        <v>146</v>
      </c>
      <c r="M153" s="35"/>
      <c r="N153" s="35"/>
      <c r="O153" s="34">
        <f>IFERROR(SUMIF(Table4[,],Table6[[#This Row],[Accounts Name]],Table4[,3]),"")</f>
        <v>0</v>
      </c>
      <c r="P153" s="34">
        <f>IFERROR(SUMIF(Table4[,],Table6[[#This Row],[Accounts Name]],Table4[,2]),"")</f>
        <v>0</v>
      </c>
      <c r="S153" s="36">
        <f t="shared" si="2"/>
        <v>146</v>
      </c>
      <c r="T153" s="34"/>
      <c r="U153" s="37"/>
      <c r="V153" s="34">
        <f>IFERROR(SUMIF(Table6[Sub-Accounts],Table8[[#This Row],[Update your chart of accounts here]],Table6[Debit]),"")</f>
        <v>0</v>
      </c>
      <c r="W153" s="34">
        <f>IFERROR(SUMIF(Table6[Sub-Accounts],Table8[[#This Row],[Update your chart of accounts here]],Table6[Credit]),"")</f>
        <v>0</v>
      </c>
      <c r="X153" s="34"/>
      <c r="Y153" s="34"/>
      <c r="Z153" s="34"/>
      <c r="AA153" s="34"/>
      <c r="AB153" s="34">
        <f>MAX(Table8[[#This Row],[Debit]]+Table8[[#This Row],[Debit -]]-Table8[[#This Row],[Credit]]-Table8[[#This Row],[Credit +]],0)</f>
        <v>0</v>
      </c>
      <c r="AC153" s="34">
        <f>MAX(Table8[[#This Row],[Credit]]-Table8[[#This Row],[Debit]]+Table8[[#This Row],[Credit +]]-Table8[[#This Row],[Debit -]],0)</f>
        <v>0</v>
      </c>
      <c r="AD153" s="34" t="str">
        <f>IFERROR(IF(AND(OR(Table8[[#This Row],[Classification]]="Expense",Table8[[#This Row],[Classification]]="Cost of Goods Sold"),Table8[[#This Row],[Debit\]]&gt;Table8[[#This Row],[Credit.]]),Table8[[#This Row],[Debit\]]-Table8[[#This Row],[Credit.]],""),"")</f>
        <v/>
      </c>
      <c r="AE153" s="34" t="str">
        <f>IFERROR(IF(AND(OR(Table8[[#This Row],[Classification]]="Income",Table8[[#This Row],[Classification]]="Cost of Goods Sold"),Table8[[#This Row],[Credit.]]&gt;Table8[[#This Row],[Debit\]]),Table8[[#This Row],[Credit.]]-Table8[[#This Row],[Debit\]],""),"")</f>
        <v/>
      </c>
      <c r="AF153" s="34"/>
      <c r="AG153" s="34" t="str">
        <f>IFERROR(IF(AND(Table8[[#This Row],[Classification]]="Assets",Table8[[#This Row],[Debit\]]-Table8[[#This Row],[Credit.]]),Table8[[#This Row],[Debit\]]-Table8[[#This Row],[Credit.]],""),"")</f>
        <v/>
      </c>
      <c r="AH153" s="34" t="str">
        <f>IFERROR(IF(AND(OR(Table8[[#This Row],[Classification]]="Liabilities",Table8[[#This Row],[Classification]]="Owner´s Equity"),Table8[[#This Row],[Credit.]]&gt;Table8[[#This Row],[Debit\]]),Table8[[#This Row],[Credit.]]-Table8[[#This Row],[Debit\]],""),"")</f>
        <v/>
      </c>
    </row>
    <row r="154" spans="2:34" x14ac:dyDescent="0.25">
      <c r="B154" s="34"/>
      <c r="C154" s="45"/>
      <c r="D154" s="34"/>
      <c r="E154" s="34"/>
      <c r="G154" s="39"/>
      <c r="H154" s="40"/>
      <c r="I154" s="41"/>
      <c r="J154" s="41"/>
      <c r="L154" s="34">
        <v>147</v>
      </c>
      <c r="M154" s="35"/>
      <c r="N154" s="35"/>
      <c r="O154" s="34">
        <f>IFERROR(SUMIF(Table4[,],Table6[[#This Row],[Accounts Name]],Table4[,3]),"")</f>
        <v>0</v>
      </c>
      <c r="P154" s="34">
        <f>IFERROR(SUMIF(Table4[,],Table6[[#This Row],[Accounts Name]],Table4[,2]),"")</f>
        <v>0</v>
      </c>
      <c r="S154" s="36">
        <f t="shared" si="2"/>
        <v>147</v>
      </c>
      <c r="T154" s="34"/>
      <c r="U154" s="37"/>
      <c r="V154" s="34">
        <f>IFERROR(SUMIF(Table6[Sub-Accounts],Table8[[#This Row],[Update your chart of accounts here]],Table6[Debit]),"")</f>
        <v>0</v>
      </c>
      <c r="W154" s="34">
        <f>IFERROR(SUMIF(Table6[Sub-Accounts],Table8[[#This Row],[Update your chart of accounts here]],Table6[Credit]),"")</f>
        <v>0</v>
      </c>
      <c r="X154" s="34"/>
      <c r="Y154" s="34"/>
      <c r="Z154" s="34"/>
      <c r="AA154" s="34"/>
      <c r="AB154" s="34">
        <f>MAX(Table8[[#This Row],[Debit]]+Table8[[#This Row],[Debit -]]-Table8[[#This Row],[Credit]]-Table8[[#This Row],[Credit +]],0)</f>
        <v>0</v>
      </c>
      <c r="AC154" s="34">
        <f>MAX(Table8[[#This Row],[Credit]]-Table8[[#This Row],[Debit]]+Table8[[#This Row],[Credit +]]-Table8[[#This Row],[Debit -]],0)</f>
        <v>0</v>
      </c>
      <c r="AD154" s="34" t="str">
        <f>IFERROR(IF(AND(OR(Table8[[#This Row],[Classification]]="Expense",Table8[[#This Row],[Classification]]="Cost of Goods Sold"),Table8[[#This Row],[Debit\]]&gt;Table8[[#This Row],[Credit.]]),Table8[[#This Row],[Debit\]]-Table8[[#This Row],[Credit.]],""),"")</f>
        <v/>
      </c>
      <c r="AE154" s="34" t="str">
        <f>IFERROR(IF(AND(OR(Table8[[#This Row],[Classification]]="Income",Table8[[#This Row],[Classification]]="Cost of Goods Sold"),Table8[[#This Row],[Credit.]]&gt;Table8[[#This Row],[Debit\]]),Table8[[#This Row],[Credit.]]-Table8[[#This Row],[Debit\]],""),"")</f>
        <v/>
      </c>
      <c r="AF154" s="34"/>
      <c r="AG154" s="34" t="str">
        <f>IFERROR(IF(AND(Table8[[#This Row],[Classification]]="Assets",Table8[[#This Row],[Debit\]]-Table8[[#This Row],[Credit.]]),Table8[[#This Row],[Debit\]]-Table8[[#This Row],[Credit.]],""),"")</f>
        <v/>
      </c>
      <c r="AH154" s="34" t="str">
        <f>IFERROR(IF(AND(OR(Table8[[#This Row],[Classification]]="Liabilities",Table8[[#This Row],[Classification]]="Owner´s Equity"),Table8[[#This Row],[Credit.]]&gt;Table8[[#This Row],[Debit\]]),Table8[[#This Row],[Credit.]]-Table8[[#This Row],[Debit\]],""),"")</f>
        <v/>
      </c>
    </row>
    <row r="155" spans="2:34" x14ac:dyDescent="0.25">
      <c r="B155" s="34"/>
      <c r="C155" s="45"/>
      <c r="D155" s="34"/>
      <c r="E155" s="34"/>
      <c r="G155" s="39"/>
      <c r="H155" s="43"/>
      <c r="I155" s="41"/>
      <c r="J155" s="41"/>
      <c r="L155" s="34">
        <v>148</v>
      </c>
      <c r="M155" s="35"/>
      <c r="N155" s="35"/>
      <c r="O155" s="34">
        <f>IFERROR(SUMIF(Table4[,],Table6[[#This Row],[Accounts Name]],Table4[,3]),"")</f>
        <v>0</v>
      </c>
      <c r="P155" s="34">
        <f>IFERROR(SUMIF(Table4[,],Table6[[#This Row],[Accounts Name]],Table4[,2]),"")</f>
        <v>0</v>
      </c>
      <c r="S155" s="36">
        <f t="shared" si="2"/>
        <v>148</v>
      </c>
      <c r="T155" s="34"/>
      <c r="U155" s="37"/>
      <c r="V155" s="34">
        <f>IFERROR(SUMIF(Table6[Sub-Accounts],Table8[[#This Row],[Update your chart of accounts here]],Table6[Debit]),"")</f>
        <v>0</v>
      </c>
      <c r="W155" s="34">
        <f>IFERROR(SUMIF(Table6[Sub-Accounts],Table8[[#This Row],[Update your chart of accounts here]],Table6[Credit]),"")</f>
        <v>0</v>
      </c>
      <c r="X155" s="34"/>
      <c r="Y155" s="34"/>
      <c r="Z155" s="34"/>
      <c r="AA155" s="34"/>
      <c r="AB155" s="34">
        <f>MAX(Table8[[#This Row],[Debit]]+Table8[[#This Row],[Debit -]]-Table8[[#This Row],[Credit]]-Table8[[#This Row],[Credit +]],0)</f>
        <v>0</v>
      </c>
      <c r="AC155" s="34">
        <f>MAX(Table8[[#This Row],[Credit]]-Table8[[#This Row],[Debit]]+Table8[[#This Row],[Credit +]]-Table8[[#This Row],[Debit -]],0)</f>
        <v>0</v>
      </c>
      <c r="AD155" s="34" t="str">
        <f>IFERROR(IF(AND(OR(Table8[[#This Row],[Classification]]="Expense",Table8[[#This Row],[Classification]]="Cost of Goods Sold"),Table8[[#This Row],[Debit\]]&gt;Table8[[#This Row],[Credit.]]),Table8[[#This Row],[Debit\]]-Table8[[#This Row],[Credit.]],""),"")</f>
        <v/>
      </c>
      <c r="AE155" s="34" t="str">
        <f>IFERROR(IF(AND(OR(Table8[[#This Row],[Classification]]="Income",Table8[[#This Row],[Classification]]="Cost of Goods Sold"),Table8[[#This Row],[Credit.]]&gt;Table8[[#This Row],[Debit\]]),Table8[[#This Row],[Credit.]]-Table8[[#This Row],[Debit\]],""),"")</f>
        <v/>
      </c>
      <c r="AF155" s="34"/>
      <c r="AG155" s="34" t="str">
        <f>IFERROR(IF(AND(Table8[[#This Row],[Classification]]="Assets",Table8[[#This Row],[Debit\]]-Table8[[#This Row],[Credit.]]),Table8[[#This Row],[Debit\]]-Table8[[#This Row],[Credit.]],""),"")</f>
        <v/>
      </c>
      <c r="AH155" s="34" t="str">
        <f>IFERROR(IF(AND(OR(Table8[[#This Row],[Classification]]="Liabilities",Table8[[#This Row],[Classification]]="Owner´s Equity"),Table8[[#This Row],[Credit.]]&gt;Table8[[#This Row],[Debit\]]),Table8[[#This Row],[Credit.]]-Table8[[#This Row],[Debit\]],""),"")</f>
        <v/>
      </c>
    </row>
    <row r="156" spans="2:34" x14ac:dyDescent="0.25">
      <c r="B156" s="34"/>
      <c r="C156" s="45"/>
      <c r="D156" s="34"/>
      <c r="E156" s="34"/>
      <c r="G156" s="39"/>
      <c r="H156" s="40"/>
      <c r="I156" s="41"/>
      <c r="J156" s="41"/>
      <c r="L156" s="34">
        <v>149</v>
      </c>
      <c r="M156" s="35"/>
      <c r="N156" s="35"/>
      <c r="O156" s="34">
        <f>IFERROR(SUMIF(Table4[,],Table6[[#This Row],[Accounts Name]],Table4[,3]),"")</f>
        <v>0</v>
      </c>
      <c r="P156" s="34">
        <f>IFERROR(SUMIF(Table4[,],Table6[[#This Row],[Accounts Name]],Table4[,2]),"")</f>
        <v>0</v>
      </c>
      <c r="S156" s="36">
        <f t="shared" si="2"/>
        <v>149</v>
      </c>
      <c r="T156" s="34"/>
      <c r="U156" s="37"/>
      <c r="V156" s="34">
        <f>IFERROR(SUMIF(Table6[Sub-Accounts],Table8[[#This Row],[Update your chart of accounts here]],Table6[Debit]),"")</f>
        <v>0</v>
      </c>
      <c r="W156" s="34">
        <f>IFERROR(SUMIF(Table6[Sub-Accounts],Table8[[#This Row],[Update your chart of accounts here]],Table6[Credit]),"")</f>
        <v>0</v>
      </c>
      <c r="X156" s="34"/>
      <c r="Y156" s="34"/>
      <c r="Z156" s="34"/>
      <c r="AA156" s="34"/>
      <c r="AB156" s="34">
        <f>MAX(Table8[[#This Row],[Debit]]+Table8[[#This Row],[Debit -]]-Table8[[#This Row],[Credit]]-Table8[[#This Row],[Credit +]],0)</f>
        <v>0</v>
      </c>
      <c r="AC156" s="34">
        <f>MAX(Table8[[#This Row],[Credit]]-Table8[[#This Row],[Debit]]+Table8[[#This Row],[Credit +]]-Table8[[#This Row],[Debit -]],0)</f>
        <v>0</v>
      </c>
      <c r="AD156" s="34" t="str">
        <f>IFERROR(IF(AND(OR(Table8[[#This Row],[Classification]]="Expense",Table8[[#This Row],[Classification]]="Cost of Goods Sold"),Table8[[#This Row],[Debit\]]&gt;Table8[[#This Row],[Credit.]]),Table8[[#This Row],[Debit\]]-Table8[[#This Row],[Credit.]],""),"")</f>
        <v/>
      </c>
      <c r="AE156" s="34" t="str">
        <f>IFERROR(IF(AND(OR(Table8[[#This Row],[Classification]]="Income",Table8[[#This Row],[Classification]]="Cost of Goods Sold"),Table8[[#This Row],[Credit.]]&gt;Table8[[#This Row],[Debit\]]),Table8[[#This Row],[Credit.]]-Table8[[#This Row],[Debit\]],""),"")</f>
        <v/>
      </c>
      <c r="AF156" s="34"/>
      <c r="AG156" s="34" t="str">
        <f>IFERROR(IF(AND(Table8[[#This Row],[Classification]]="Assets",Table8[[#This Row],[Debit\]]-Table8[[#This Row],[Credit.]]),Table8[[#This Row],[Debit\]]-Table8[[#This Row],[Credit.]],""),"")</f>
        <v/>
      </c>
      <c r="AH156" s="34" t="str">
        <f>IFERROR(IF(AND(OR(Table8[[#This Row],[Classification]]="Liabilities",Table8[[#This Row],[Classification]]="Owner´s Equity"),Table8[[#This Row],[Credit.]]&gt;Table8[[#This Row],[Debit\]]),Table8[[#This Row],[Credit.]]-Table8[[#This Row],[Debit\]],""),"")</f>
        <v/>
      </c>
    </row>
    <row r="157" spans="2:34" x14ac:dyDescent="0.25">
      <c r="B157" s="34"/>
      <c r="C157" s="45"/>
      <c r="D157" s="34"/>
      <c r="E157" s="34"/>
      <c r="G157" s="39"/>
      <c r="H157" s="40"/>
      <c r="I157" s="41"/>
      <c r="J157" s="41"/>
      <c r="L157" s="34">
        <v>150</v>
      </c>
      <c r="M157" s="35"/>
      <c r="N157" s="35"/>
      <c r="O157" s="34">
        <f>IFERROR(SUMIF(Table4[,],Table6[[#This Row],[Accounts Name]],Table4[,3]),"")</f>
        <v>0</v>
      </c>
      <c r="P157" s="34">
        <f>IFERROR(SUMIF(Table4[,],Table6[[#This Row],[Accounts Name]],Table4[,2]),"")</f>
        <v>0</v>
      </c>
      <c r="S157" s="36">
        <f t="shared" si="2"/>
        <v>150</v>
      </c>
      <c r="T157" s="34"/>
      <c r="U157" s="37"/>
      <c r="V157" s="34">
        <f>IFERROR(SUMIF(Table6[Sub-Accounts],Table8[[#This Row],[Update your chart of accounts here]],Table6[Debit]),"")</f>
        <v>0</v>
      </c>
      <c r="W157" s="34">
        <f>IFERROR(SUMIF(Table6[Sub-Accounts],Table8[[#This Row],[Update your chart of accounts here]],Table6[Credit]),"")</f>
        <v>0</v>
      </c>
      <c r="X157" s="34"/>
      <c r="Y157" s="34"/>
      <c r="Z157" s="34"/>
      <c r="AA157" s="34"/>
      <c r="AB157" s="34">
        <f>MAX(Table8[[#This Row],[Debit]]+Table8[[#This Row],[Debit -]]-Table8[[#This Row],[Credit]]-Table8[[#This Row],[Credit +]],0)</f>
        <v>0</v>
      </c>
      <c r="AC157" s="34">
        <f>MAX(Table8[[#This Row],[Credit]]-Table8[[#This Row],[Debit]]+Table8[[#This Row],[Credit +]]-Table8[[#This Row],[Debit -]],0)</f>
        <v>0</v>
      </c>
      <c r="AD157" s="34" t="str">
        <f>IFERROR(IF(AND(OR(Table8[[#This Row],[Classification]]="Expense",Table8[[#This Row],[Classification]]="Cost of Goods Sold"),Table8[[#This Row],[Debit\]]&gt;Table8[[#This Row],[Credit.]]),Table8[[#This Row],[Debit\]]-Table8[[#This Row],[Credit.]],""),"")</f>
        <v/>
      </c>
      <c r="AE157" s="34" t="str">
        <f>IFERROR(IF(AND(OR(Table8[[#This Row],[Classification]]="Income",Table8[[#This Row],[Classification]]="Cost of Goods Sold"),Table8[[#This Row],[Credit.]]&gt;Table8[[#This Row],[Debit\]]),Table8[[#This Row],[Credit.]]-Table8[[#This Row],[Debit\]],""),"")</f>
        <v/>
      </c>
      <c r="AF157" s="34"/>
      <c r="AG157" s="34" t="str">
        <f>IFERROR(IF(AND(Table8[[#This Row],[Classification]]="Assets",Table8[[#This Row],[Debit\]]-Table8[[#This Row],[Credit.]]),Table8[[#This Row],[Debit\]]-Table8[[#This Row],[Credit.]],""),"")</f>
        <v/>
      </c>
      <c r="AH157" s="34" t="str">
        <f>IFERROR(IF(AND(OR(Table8[[#This Row],[Classification]]="Liabilities",Table8[[#This Row],[Classification]]="Owner´s Equity"),Table8[[#This Row],[Credit.]]&gt;Table8[[#This Row],[Debit\]]),Table8[[#This Row],[Credit.]]-Table8[[#This Row],[Debit\]],""),"")</f>
        <v/>
      </c>
    </row>
    <row r="158" spans="2:34" x14ac:dyDescent="0.25">
      <c r="B158" s="34"/>
      <c r="C158" s="45"/>
      <c r="D158" s="34"/>
      <c r="E158" s="34"/>
      <c r="G158" s="39"/>
      <c r="H158" s="43"/>
      <c r="I158" s="41"/>
      <c r="J158" s="41"/>
      <c r="L158" s="34">
        <v>151</v>
      </c>
      <c r="M158" s="35"/>
      <c r="N158" s="35"/>
      <c r="O158" s="34">
        <f>IFERROR(SUMIF(Table4[,],Table6[[#This Row],[Accounts Name]],Table4[,3]),"")</f>
        <v>0</v>
      </c>
      <c r="P158" s="34">
        <f>IFERROR(SUMIF(Table4[,],Table6[[#This Row],[Accounts Name]],Table4[,2]),"")</f>
        <v>0</v>
      </c>
      <c r="S158" s="36">
        <f t="shared" si="2"/>
        <v>151</v>
      </c>
      <c r="T158" s="34"/>
      <c r="U158" s="37"/>
      <c r="V158" s="34">
        <f>IFERROR(SUMIF(Table6[Sub-Accounts],Table8[[#This Row],[Update your chart of accounts here]],Table6[Debit]),"")</f>
        <v>0</v>
      </c>
      <c r="W158" s="34">
        <f>IFERROR(SUMIF(Table6[Sub-Accounts],Table8[[#This Row],[Update your chart of accounts here]],Table6[Credit]),"")</f>
        <v>0</v>
      </c>
      <c r="X158" s="34"/>
      <c r="Y158" s="34"/>
      <c r="Z158" s="34"/>
      <c r="AA158" s="34"/>
      <c r="AB158" s="34">
        <f>MAX(Table8[[#This Row],[Debit]]+Table8[[#This Row],[Debit -]]-Table8[[#This Row],[Credit]]-Table8[[#This Row],[Credit +]],0)</f>
        <v>0</v>
      </c>
      <c r="AC158" s="34">
        <f>MAX(Table8[[#This Row],[Credit]]-Table8[[#This Row],[Debit]]+Table8[[#This Row],[Credit +]]-Table8[[#This Row],[Debit -]],0)</f>
        <v>0</v>
      </c>
      <c r="AD158" s="34" t="str">
        <f>IFERROR(IF(AND(OR(Table8[[#This Row],[Classification]]="Expense",Table8[[#This Row],[Classification]]="Cost of Goods Sold"),Table8[[#This Row],[Debit\]]&gt;Table8[[#This Row],[Credit.]]),Table8[[#This Row],[Debit\]]-Table8[[#This Row],[Credit.]],""),"")</f>
        <v/>
      </c>
      <c r="AE158" s="34" t="str">
        <f>IFERROR(IF(AND(OR(Table8[[#This Row],[Classification]]="Income",Table8[[#This Row],[Classification]]="Cost of Goods Sold"),Table8[[#This Row],[Credit.]]&gt;Table8[[#This Row],[Debit\]]),Table8[[#This Row],[Credit.]]-Table8[[#This Row],[Debit\]],""),"")</f>
        <v/>
      </c>
      <c r="AF158" s="34"/>
      <c r="AG158" s="34" t="str">
        <f>IFERROR(IF(AND(Table8[[#This Row],[Classification]]="Assets",Table8[[#This Row],[Debit\]]-Table8[[#This Row],[Credit.]]),Table8[[#This Row],[Debit\]]-Table8[[#This Row],[Credit.]],""),"")</f>
        <v/>
      </c>
      <c r="AH158" s="34" t="str">
        <f>IFERROR(IF(AND(OR(Table8[[#This Row],[Classification]]="Liabilities",Table8[[#This Row],[Classification]]="Owner´s Equity"),Table8[[#This Row],[Credit.]]&gt;Table8[[#This Row],[Debit\]]),Table8[[#This Row],[Credit.]]-Table8[[#This Row],[Debit\]],""),"")</f>
        <v/>
      </c>
    </row>
    <row r="159" spans="2:34" x14ac:dyDescent="0.25">
      <c r="B159" s="34"/>
      <c r="C159" s="45"/>
      <c r="D159" s="34"/>
      <c r="E159" s="34"/>
      <c r="G159" s="39"/>
      <c r="H159" s="40"/>
      <c r="I159" s="41"/>
      <c r="J159" s="41"/>
      <c r="L159" s="34">
        <v>152</v>
      </c>
      <c r="M159" s="35"/>
      <c r="N159" s="35"/>
      <c r="O159" s="34">
        <f>IFERROR(SUMIF(Table4[,],Table6[[#This Row],[Accounts Name]],Table4[,3]),"")</f>
        <v>0</v>
      </c>
      <c r="P159" s="34">
        <f>IFERROR(SUMIF(Table4[,],Table6[[#This Row],[Accounts Name]],Table4[,2]),"")</f>
        <v>0</v>
      </c>
      <c r="S159" s="36">
        <f t="shared" si="2"/>
        <v>152</v>
      </c>
      <c r="T159" s="34"/>
      <c r="U159" s="37"/>
      <c r="V159" s="34">
        <f>IFERROR(SUMIF(Table6[Sub-Accounts],Table8[[#This Row],[Update your chart of accounts here]],Table6[Debit]),"")</f>
        <v>0</v>
      </c>
      <c r="W159" s="34">
        <f>IFERROR(SUMIF(Table6[Sub-Accounts],Table8[[#This Row],[Update your chart of accounts here]],Table6[Credit]),"")</f>
        <v>0</v>
      </c>
      <c r="X159" s="34"/>
      <c r="Y159" s="34"/>
      <c r="Z159" s="34"/>
      <c r="AA159" s="34"/>
      <c r="AB159" s="34">
        <f>MAX(Table8[[#This Row],[Debit]]+Table8[[#This Row],[Debit -]]-Table8[[#This Row],[Credit]]-Table8[[#This Row],[Credit +]],0)</f>
        <v>0</v>
      </c>
      <c r="AC159" s="34">
        <f>MAX(Table8[[#This Row],[Credit]]-Table8[[#This Row],[Debit]]+Table8[[#This Row],[Credit +]]-Table8[[#This Row],[Debit -]],0)</f>
        <v>0</v>
      </c>
      <c r="AD159" s="34" t="str">
        <f>IFERROR(IF(AND(OR(Table8[[#This Row],[Classification]]="Expense",Table8[[#This Row],[Classification]]="Cost of Goods Sold"),Table8[[#This Row],[Debit\]]&gt;Table8[[#This Row],[Credit.]]),Table8[[#This Row],[Debit\]]-Table8[[#This Row],[Credit.]],""),"")</f>
        <v/>
      </c>
      <c r="AE159" s="34" t="str">
        <f>IFERROR(IF(AND(OR(Table8[[#This Row],[Classification]]="Income",Table8[[#This Row],[Classification]]="Cost of Goods Sold"),Table8[[#This Row],[Credit.]]&gt;Table8[[#This Row],[Debit\]]),Table8[[#This Row],[Credit.]]-Table8[[#This Row],[Debit\]],""),"")</f>
        <v/>
      </c>
      <c r="AF159" s="34"/>
      <c r="AG159" s="34" t="str">
        <f>IFERROR(IF(AND(Table8[[#This Row],[Classification]]="Assets",Table8[[#This Row],[Debit\]]-Table8[[#This Row],[Credit.]]),Table8[[#This Row],[Debit\]]-Table8[[#This Row],[Credit.]],""),"")</f>
        <v/>
      </c>
      <c r="AH159" s="34" t="str">
        <f>IFERROR(IF(AND(OR(Table8[[#This Row],[Classification]]="Liabilities",Table8[[#This Row],[Classification]]="Owner´s Equity"),Table8[[#This Row],[Credit.]]&gt;Table8[[#This Row],[Debit\]]),Table8[[#This Row],[Credit.]]-Table8[[#This Row],[Debit\]],""),"")</f>
        <v/>
      </c>
    </row>
    <row r="160" spans="2:34" x14ac:dyDescent="0.25">
      <c r="B160" s="34"/>
      <c r="C160" s="45"/>
      <c r="D160" s="34"/>
      <c r="E160" s="34"/>
      <c r="G160" s="39"/>
      <c r="H160" s="40"/>
      <c r="I160" s="41"/>
      <c r="J160" s="41"/>
      <c r="L160" s="34">
        <v>153</v>
      </c>
      <c r="M160" s="35"/>
      <c r="N160" s="35"/>
      <c r="O160" s="34">
        <f>IFERROR(SUMIF(Table4[,],Table6[[#This Row],[Accounts Name]],Table4[,3]),"")</f>
        <v>0</v>
      </c>
      <c r="P160" s="34">
        <f>IFERROR(SUMIF(Table4[,],Table6[[#This Row],[Accounts Name]],Table4[,2]),"")</f>
        <v>0</v>
      </c>
      <c r="S160" s="36">
        <f t="shared" si="2"/>
        <v>153</v>
      </c>
      <c r="T160" s="34"/>
      <c r="U160" s="37"/>
      <c r="V160" s="34">
        <f>IFERROR(SUMIF(Table6[Sub-Accounts],Table8[[#This Row],[Update your chart of accounts here]],Table6[Debit]),"")</f>
        <v>0</v>
      </c>
      <c r="W160" s="34">
        <f>IFERROR(SUMIF(Table6[Sub-Accounts],Table8[[#This Row],[Update your chart of accounts here]],Table6[Credit]),"")</f>
        <v>0</v>
      </c>
      <c r="X160" s="34"/>
      <c r="Y160" s="34"/>
      <c r="Z160" s="34"/>
      <c r="AA160" s="34"/>
      <c r="AB160" s="34">
        <f>MAX(Table8[[#This Row],[Debit]]+Table8[[#This Row],[Debit -]]-Table8[[#This Row],[Credit]]-Table8[[#This Row],[Credit +]],0)</f>
        <v>0</v>
      </c>
      <c r="AC160" s="34">
        <f>MAX(Table8[[#This Row],[Credit]]-Table8[[#This Row],[Debit]]+Table8[[#This Row],[Credit +]]-Table8[[#This Row],[Debit -]],0)</f>
        <v>0</v>
      </c>
      <c r="AD160" s="34" t="str">
        <f>IFERROR(IF(AND(OR(Table8[[#This Row],[Classification]]="Expense",Table8[[#This Row],[Classification]]="Cost of Goods Sold"),Table8[[#This Row],[Debit\]]&gt;Table8[[#This Row],[Credit.]]),Table8[[#This Row],[Debit\]]-Table8[[#This Row],[Credit.]],""),"")</f>
        <v/>
      </c>
      <c r="AE160" s="34" t="str">
        <f>IFERROR(IF(AND(OR(Table8[[#This Row],[Classification]]="Income",Table8[[#This Row],[Classification]]="Cost of Goods Sold"),Table8[[#This Row],[Credit.]]&gt;Table8[[#This Row],[Debit\]]),Table8[[#This Row],[Credit.]]-Table8[[#This Row],[Debit\]],""),"")</f>
        <v/>
      </c>
      <c r="AF160" s="34"/>
      <c r="AG160" s="34" t="str">
        <f>IFERROR(IF(AND(Table8[[#This Row],[Classification]]="Assets",Table8[[#This Row],[Debit\]]-Table8[[#This Row],[Credit.]]),Table8[[#This Row],[Debit\]]-Table8[[#This Row],[Credit.]],""),"")</f>
        <v/>
      </c>
      <c r="AH160" s="34" t="str">
        <f>IFERROR(IF(AND(OR(Table8[[#This Row],[Classification]]="Liabilities",Table8[[#This Row],[Classification]]="Owner´s Equity"),Table8[[#This Row],[Credit.]]&gt;Table8[[#This Row],[Debit\]]),Table8[[#This Row],[Credit.]]-Table8[[#This Row],[Debit\]],""),"")</f>
        <v/>
      </c>
    </row>
    <row r="161" spans="2:34" x14ac:dyDescent="0.25">
      <c r="B161" s="34"/>
      <c r="C161" s="45"/>
      <c r="D161" s="34"/>
      <c r="E161" s="34"/>
      <c r="G161" s="39"/>
      <c r="H161" s="43"/>
      <c r="I161" s="41"/>
      <c r="J161" s="41"/>
      <c r="L161" s="34">
        <v>154</v>
      </c>
      <c r="M161" s="35"/>
      <c r="N161" s="35"/>
      <c r="O161" s="34">
        <f>IFERROR(SUMIF(Table4[,],Table6[[#This Row],[Accounts Name]],Table4[,3]),"")</f>
        <v>0</v>
      </c>
      <c r="P161" s="34">
        <f>IFERROR(SUMIF(Table4[,],Table6[[#This Row],[Accounts Name]],Table4[,2]),"")</f>
        <v>0</v>
      </c>
      <c r="S161" s="36">
        <f t="shared" si="2"/>
        <v>154</v>
      </c>
      <c r="T161" s="34"/>
      <c r="U161" s="37"/>
      <c r="V161" s="34">
        <f>IFERROR(SUMIF(Table6[Sub-Accounts],Table8[[#This Row],[Update your chart of accounts here]],Table6[Debit]),"")</f>
        <v>0</v>
      </c>
      <c r="W161" s="34">
        <f>IFERROR(SUMIF(Table6[Sub-Accounts],Table8[[#This Row],[Update your chart of accounts here]],Table6[Credit]),"")</f>
        <v>0</v>
      </c>
      <c r="X161" s="34"/>
      <c r="Y161" s="34"/>
      <c r="Z161" s="34"/>
      <c r="AA161" s="34"/>
      <c r="AB161" s="34">
        <f>MAX(Table8[[#This Row],[Debit]]+Table8[[#This Row],[Debit -]]-Table8[[#This Row],[Credit]]-Table8[[#This Row],[Credit +]],0)</f>
        <v>0</v>
      </c>
      <c r="AC161" s="34">
        <f>MAX(Table8[[#This Row],[Credit]]-Table8[[#This Row],[Debit]]+Table8[[#This Row],[Credit +]]-Table8[[#This Row],[Debit -]],0)</f>
        <v>0</v>
      </c>
      <c r="AD161" s="34" t="str">
        <f>IFERROR(IF(AND(OR(Table8[[#This Row],[Classification]]="Expense",Table8[[#This Row],[Classification]]="Cost of Goods Sold"),Table8[[#This Row],[Debit\]]&gt;Table8[[#This Row],[Credit.]]),Table8[[#This Row],[Debit\]]-Table8[[#This Row],[Credit.]],""),"")</f>
        <v/>
      </c>
      <c r="AE161" s="34" t="str">
        <f>IFERROR(IF(AND(OR(Table8[[#This Row],[Classification]]="Income",Table8[[#This Row],[Classification]]="Cost of Goods Sold"),Table8[[#This Row],[Credit.]]&gt;Table8[[#This Row],[Debit\]]),Table8[[#This Row],[Credit.]]-Table8[[#This Row],[Debit\]],""),"")</f>
        <v/>
      </c>
      <c r="AF161" s="34"/>
      <c r="AG161" s="34" t="str">
        <f>IFERROR(IF(AND(Table8[[#This Row],[Classification]]="Assets",Table8[[#This Row],[Debit\]]-Table8[[#This Row],[Credit.]]),Table8[[#This Row],[Debit\]]-Table8[[#This Row],[Credit.]],""),"")</f>
        <v/>
      </c>
      <c r="AH161" s="34" t="str">
        <f>IFERROR(IF(AND(OR(Table8[[#This Row],[Classification]]="Liabilities",Table8[[#This Row],[Classification]]="Owner´s Equity"),Table8[[#This Row],[Credit.]]&gt;Table8[[#This Row],[Debit\]]),Table8[[#This Row],[Credit.]]-Table8[[#This Row],[Debit\]],""),"")</f>
        <v/>
      </c>
    </row>
    <row r="162" spans="2:34" x14ac:dyDescent="0.25">
      <c r="B162" s="34"/>
      <c r="C162" s="45"/>
      <c r="D162" s="34"/>
      <c r="E162" s="34"/>
      <c r="G162" s="39"/>
      <c r="H162" s="40"/>
      <c r="I162" s="41"/>
      <c r="J162" s="41"/>
      <c r="L162" s="34">
        <v>155</v>
      </c>
      <c r="M162" s="35"/>
      <c r="N162" s="35"/>
      <c r="O162" s="34">
        <f>IFERROR(SUMIF(Table4[,],Table6[[#This Row],[Accounts Name]],Table4[,3]),"")</f>
        <v>0</v>
      </c>
      <c r="P162" s="34">
        <f>IFERROR(SUMIF(Table4[,],Table6[[#This Row],[Accounts Name]],Table4[,2]),"")</f>
        <v>0</v>
      </c>
      <c r="S162" s="36">
        <f t="shared" si="2"/>
        <v>155</v>
      </c>
      <c r="T162" s="34"/>
      <c r="U162" s="37"/>
      <c r="V162" s="34">
        <f>IFERROR(SUMIF(Table6[Sub-Accounts],Table8[[#This Row],[Update your chart of accounts here]],Table6[Debit]),"")</f>
        <v>0</v>
      </c>
      <c r="W162" s="34">
        <f>IFERROR(SUMIF(Table6[Sub-Accounts],Table8[[#This Row],[Update your chart of accounts here]],Table6[Credit]),"")</f>
        <v>0</v>
      </c>
      <c r="X162" s="34"/>
      <c r="Y162" s="34"/>
      <c r="Z162" s="34"/>
      <c r="AA162" s="34"/>
      <c r="AB162" s="34">
        <f>MAX(Table8[[#This Row],[Debit]]+Table8[[#This Row],[Debit -]]-Table8[[#This Row],[Credit]]-Table8[[#This Row],[Credit +]],0)</f>
        <v>0</v>
      </c>
      <c r="AC162" s="34">
        <f>MAX(Table8[[#This Row],[Credit]]-Table8[[#This Row],[Debit]]+Table8[[#This Row],[Credit +]]-Table8[[#This Row],[Debit -]],0)</f>
        <v>0</v>
      </c>
      <c r="AD162" s="34" t="str">
        <f>IFERROR(IF(AND(OR(Table8[[#This Row],[Classification]]="Expense",Table8[[#This Row],[Classification]]="Cost of Goods Sold"),Table8[[#This Row],[Debit\]]&gt;Table8[[#This Row],[Credit.]]),Table8[[#This Row],[Debit\]]-Table8[[#This Row],[Credit.]],""),"")</f>
        <v/>
      </c>
      <c r="AE162" s="34" t="str">
        <f>IFERROR(IF(AND(OR(Table8[[#This Row],[Classification]]="Income",Table8[[#This Row],[Classification]]="Cost of Goods Sold"),Table8[[#This Row],[Credit.]]&gt;Table8[[#This Row],[Debit\]]),Table8[[#This Row],[Credit.]]-Table8[[#This Row],[Debit\]],""),"")</f>
        <v/>
      </c>
      <c r="AF162" s="34"/>
      <c r="AG162" s="34" t="str">
        <f>IFERROR(IF(AND(Table8[[#This Row],[Classification]]="Assets",Table8[[#This Row],[Debit\]]-Table8[[#This Row],[Credit.]]),Table8[[#This Row],[Debit\]]-Table8[[#This Row],[Credit.]],""),"")</f>
        <v/>
      </c>
      <c r="AH162" s="34" t="str">
        <f>IFERROR(IF(AND(OR(Table8[[#This Row],[Classification]]="Liabilities",Table8[[#This Row],[Classification]]="Owner´s Equity"),Table8[[#This Row],[Credit.]]&gt;Table8[[#This Row],[Debit\]]),Table8[[#This Row],[Credit.]]-Table8[[#This Row],[Debit\]],""),"")</f>
        <v/>
      </c>
    </row>
    <row r="163" spans="2:34" x14ac:dyDescent="0.25">
      <c r="B163" s="34"/>
      <c r="C163" s="45"/>
      <c r="D163" s="34"/>
      <c r="E163" s="34"/>
      <c r="G163" s="39"/>
      <c r="H163" s="40"/>
      <c r="I163" s="41"/>
      <c r="J163" s="41"/>
      <c r="L163" s="34">
        <v>156</v>
      </c>
      <c r="M163" s="35"/>
      <c r="N163" s="35"/>
      <c r="O163" s="34">
        <f>IFERROR(SUMIF(Table4[,],Table6[[#This Row],[Accounts Name]],Table4[,3]),"")</f>
        <v>0</v>
      </c>
      <c r="P163" s="34">
        <f>IFERROR(SUMIF(Table4[,],Table6[[#This Row],[Accounts Name]],Table4[,2]),"")</f>
        <v>0</v>
      </c>
      <c r="S163" s="36">
        <f t="shared" si="2"/>
        <v>156</v>
      </c>
      <c r="T163" s="34"/>
      <c r="U163" s="37"/>
      <c r="V163" s="34">
        <f>IFERROR(SUMIF(Table6[Sub-Accounts],Table8[[#This Row],[Update your chart of accounts here]],Table6[Debit]),"")</f>
        <v>0</v>
      </c>
      <c r="W163" s="34">
        <f>IFERROR(SUMIF(Table6[Sub-Accounts],Table8[[#This Row],[Update your chart of accounts here]],Table6[Credit]),"")</f>
        <v>0</v>
      </c>
      <c r="X163" s="34"/>
      <c r="Y163" s="34"/>
      <c r="Z163" s="34"/>
      <c r="AA163" s="34"/>
      <c r="AB163" s="34">
        <f>MAX(Table8[[#This Row],[Debit]]+Table8[[#This Row],[Debit -]]-Table8[[#This Row],[Credit]]-Table8[[#This Row],[Credit +]],0)</f>
        <v>0</v>
      </c>
      <c r="AC163" s="34">
        <f>MAX(Table8[[#This Row],[Credit]]-Table8[[#This Row],[Debit]]+Table8[[#This Row],[Credit +]]-Table8[[#This Row],[Debit -]],0)</f>
        <v>0</v>
      </c>
      <c r="AD163" s="34" t="str">
        <f>IFERROR(IF(AND(OR(Table8[[#This Row],[Classification]]="Expense",Table8[[#This Row],[Classification]]="Cost of Goods Sold"),Table8[[#This Row],[Debit\]]&gt;Table8[[#This Row],[Credit.]]),Table8[[#This Row],[Debit\]]-Table8[[#This Row],[Credit.]],""),"")</f>
        <v/>
      </c>
      <c r="AE163" s="34" t="str">
        <f>IFERROR(IF(AND(OR(Table8[[#This Row],[Classification]]="Income",Table8[[#This Row],[Classification]]="Cost of Goods Sold"),Table8[[#This Row],[Credit.]]&gt;Table8[[#This Row],[Debit\]]),Table8[[#This Row],[Credit.]]-Table8[[#This Row],[Debit\]],""),"")</f>
        <v/>
      </c>
      <c r="AF163" s="34"/>
      <c r="AG163" s="34" t="str">
        <f>IFERROR(IF(AND(Table8[[#This Row],[Classification]]="Assets",Table8[[#This Row],[Debit\]]-Table8[[#This Row],[Credit.]]),Table8[[#This Row],[Debit\]]-Table8[[#This Row],[Credit.]],""),"")</f>
        <v/>
      </c>
      <c r="AH163" s="34" t="str">
        <f>IFERROR(IF(AND(OR(Table8[[#This Row],[Classification]]="Liabilities",Table8[[#This Row],[Classification]]="Owner´s Equity"),Table8[[#This Row],[Credit.]]&gt;Table8[[#This Row],[Debit\]]),Table8[[#This Row],[Credit.]]-Table8[[#This Row],[Debit\]],""),"")</f>
        <v/>
      </c>
    </row>
    <row r="164" spans="2:34" x14ac:dyDescent="0.25">
      <c r="B164" s="34"/>
      <c r="C164" s="45"/>
      <c r="D164" s="34"/>
      <c r="E164" s="34"/>
      <c r="G164" s="39"/>
      <c r="H164" s="43"/>
      <c r="I164" s="41"/>
      <c r="J164" s="41"/>
      <c r="L164" s="34">
        <v>157</v>
      </c>
      <c r="M164" s="35"/>
      <c r="N164" s="35"/>
      <c r="O164" s="34">
        <f>IFERROR(SUMIF(Table4[,],Table6[[#This Row],[Accounts Name]],Table4[,3]),"")</f>
        <v>0</v>
      </c>
      <c r="P164" s="34">
        <f>IFERROR(SUMIF(Table4[,],Table6[[#This Row],[Accounts Name]],Table4[,2]),"")</f>
        <v>0</v>
      </c>
      <c r="S164" s="36">
        <f t="shared" si="2"/>
        <v>157</v>
      </c>
      <c r="T164" s="34"/>
      <c r="U164" s="37"/>
      <c r="V164" s="34">
        <f>IFERROR(SUMIF(Table6[Sub-Accounts],Table8[[#This Row],[Update your chart of accounts here]],Table6[Debit]),"")</f>
        <v>0</v>
      </c>
      <c r="W164" s="34">
        <f>IFERROR(SUMIF(Table6[Sub-Accounts],Table8[[#This Row],[Update your chart of accounts here]],Table6[Credit]),"")</f>
        <v>0</v>
      </c>
      <c r="X164" s="34"/>
      <c r="Y164" s="34"/>
      <c r="Z164" s="34"/>
      <c r="AA164" s="34"/>
      <c r="AB164" s="34">
        <f>MAX(Table8[[#This Row],[Debit]]+Table8[[#This Row],[Debit -]]-Table8[[#This Row],[Credit]]-Table8[[#This Row],[Credit +]],0)</f>
        <v>0</v>
      </c>
      <c r="AC164" s="34">
        <f>MAX(Table8[[#This Row],[Credit]]-Table8[[#This Row],[Debit]]+Table8[[#This Row],[Credit +]]-Table8[[#This Row],[Debit -]],0)</f>
        <v>0</v>
      </c>
      <c r="AD164" s="34" t="str">
        <f>IFERROR(IF(AND(OR(Table8[[#This Row],[Classification]]="Expense",Table8[[#This Row],[Classification]]="Cost of Goods Sold"),Table8[[#This Row],[Debit\]]&gt;Table8[[#This Row],[Credit.]]),Table8[[#This Row],[Debit\]]-Table8[[#This Row],[Credit.]],""),"")</f>
        <v/>
      </c>
      <c r="AE164" s="34" t="str">
        <f>IFERROR(IF(AND(OR(Table8[[#This Row],[Classification]]="Income",Table8[[#This Row],[Classification]]="Cost of Goods Sold"),Table8[[#This Row],[Credit.]]&gt;Table8[[#This Row],[Debit\]]),Table8[[#This Row],[Credit.]]-Table8[[#This Row],[Debit\]],""),"")</f>
        <v/>
      </c>
      <c r="AF164" s="34"/>
      <c r="AG164" s="34" t="str">
        <f>IFERROR(IF(AND(Table8[[#This Row],[Classification]]="Assets",Table8[[#This Row],[Debit\]]-Table8[[#This Row],[Credit.]]),Table8[[#This Row],[Debit\]]-Table8[[#This Row],[Credit.]],""),"")</f>
        <v/>
      </c>
      <c r="AH164" s="34" t="str">
        <f>IFERROR(IF(AND(OR(Table8[[#This Row],[Classification]]="Liabilities",Table8[[#This Row],[Classification]]="Owner´s Equity"),Table8[[#This Row],[Credit.]]&gt;Table8[[#This Row],[Debit\]]),Table8[[#This Row],[Credit.]]-Table8[[#This Row],[Debit\]],""),"")</f>
        <v/>
      </c>
    </row>
    <row r="165" spans="2:34" x14ac:dyDescent="0.25">
      <c r="B165" s="34"/>
      <c r="C165" s="45"/>
      <c r="D165" s="34"/>
      <c r="E165" s="34"/>
      <c r="G165" s="39"/>
      <c r="H165" s="40"/>
      <c r="I165" s="41"/>
      <c r="J165" s="41"/>
      <c r="L165" s="34">
        <v>158</v>
      </c>
      <c r="M165" s="35"/>
      <c r="N165" s="35"/>
      <c r="O165" s="34">
        <f>IFERROR(SUMIF(Table4[,],Table6[[#This Row],[Accounts Name]],Table4[,3]),"")</f>
        <v>0</v>
      </c>
      <c r="P165" s="34">
        <f>IFERROR(SUMIF(Table4[,],Table6[[#This Row],[Accounts Name]],Table4[,2]),"")</f>
        <v>0</v>
      </c>
      <c r="S165" s="36">
        <f t="shared" si="2"/>
        <v>158</v>
      </c>
      <c r="T165" s="34"/>
      <c r="U165" s="37"/>
      <c r="V165" s="34">
        <f>IFERROR(SUMIF(Table6[Sub-Accounts],Table8[[#This Row],[Update your chart of accounts here]],Table6[Debit]),"")</f>
        <v>0</v>
      </c>
      <c r="W165" s="34">
        <f>IFERROR(SUMIF(Table6[Sub-Accounts],Table8[[#This Row],[Update your chart of accounts here]],Table6[Credit]),"")</f>
        <v>0</v>
      </c>
      <c r="X165" s="34"/>
      <c r="Y165" s="34"/>
      <c r="Z165" s="34"/>
      <c r="AA165" s="34"/>
      <c r="AB165" s="34">
        <f>MAX(Table8[[#This Row],[Debit]]+Table8[[#This Row],[Debit -]]-Table8[[#This Row],[Credit]]-Table8[[#This Row],[Credit +]],0)</f>
        <v>0</v>
      </c>
      <c r="AC165" s="34">
        <f>MAX(Table8[[#This Row],[Credit]]-Table8[[#This Row],[Debit]]+Table8[[#This Row],[Credit +]]-Table8[[#This Row],[Debit -]],0)</f>
        <v>0</v>
      </c>
      <c r="AD165" s="34" t="str">
        <f>IFERROR(IF(AND(OR(Table8[[#This Row],[Classification]]="Expense",Table8[[#This Row],[Classification]]="Cost of Goods Sold"),Table8[[#This Row],[Debit\]]&gt;Table8[[#This Row],[Credit.]]),Table8[[#This Row],[Debit\]]-Table8[[#This Row],[Credit.]],""),"")</f>
        <v/>
      </c>
      <c r="AE165" s="34" t="str">
        <f>IFERROR(IF(AND(OR(Table8[[#This Row],[Classification]]="Income",Table8[[#This Row],[Classification]]="Cost of Goods Sold"),Table8[[#This Row],[Credit.]]&gt;Table8[[#This Row],[Debit\]]),Table8[[#This Row],[Credit.]]-Table8[[#This Row],[Debit\]],""),"")</f>
        <v/>
      </c>
      <c r="AF165" s="34"/>
      <c r="AG165" s="34" t="str">
        <f>IFERROR(IF(AND(Table8[[#This Row],[Classification]]="Assets",Table8[[#This Row],[Debit\]]-Table8[[#This Row],[Credit.]]),Table8[[#This Row],[Debit\]]-Table8[[#This Row],[Credit.]],""),"")</f>
        <v/>
      </c>
      <c r="AH165" s="34" t="str">
        <f>IFERROR(IF(AND(OR(Table8[[#This Row],[Classification]]="Liabilities",Table8[[#This Row],[Classification]]="Owner´s Equity"),Table8[[#This Row],[Credit.]]&gt;Table8[[#This Row],[Debit\]]),Table8[[#This Row],[Credit.]]-Table8[[#This Row],[Debit\]],""),"")</f>
        <v/>
      </c>
    </row>
    <row r="166" spans="2:34" x14ac:dyDescent="0.25">
      <c r="B166" s="34"/>
      <c r="C166" s="45"/>
      <c r="D166" s="34"/>
      <c r="E166" s="34"/>
      <c r="G166" s="39"/>
      <c r="H166" s="40"/>
      <c r="I166" s="41"/>
      <c r="J166" s="41"/>
      <c r="L166" s="34">
        <v>159</v>
      </c>
      <c r="M166" s="35"/>
      <c r="N166" s="35"/>
      <c r="O166" s="34">
        <f>IFERROR(SUMIF(Table4[,],Table6[[#This Row],[Accounts Name]],Table4[,3]),"")</f>
        <v>0</v>
      </c>
      <c r="P166" s="34">
        <f>IFERROR(SUMIF(Table4[,],Table6[[#This Row],[Accounts Name]],Table4[,2]),"")</f>
        <v>0</v>
      </c>
      <c r="S166" s="36">
        <f t="shared" si="2"/>
        <v>159</v>
      </c>
      <c r="T166" s="34"/>
      <c r="U166" s="37"/>
      <c r="V166" s="34">
        <f>IFERROR(SUMIF(Table6[Sub-Accounts],Table8[[#This Row],[Update your chart of accounts here]],Table6[Debit]),"")</f>
        <v>0</v>
      </c>
      <c r="W166" s="34">
        <f>IFERROR(SUMIF(Table6[Sub-Accounts],Table8[[#This Row],[Update your chart of accounts here]],Table6[Credit]),"")</f>
        <v>0</v>
      </c>
      <c r="X166" s="34"/>
      <c r="Y166" s="34"/>
      <c r="Z166" s="34"/>
      <c r="AA166" s="34"/>
      <c r="AB166" s="34">
        <f>MAX(Table8[[#This Row],[Debit]]+Table8[[#This Row],[Debit -]]-Table8[[#This Row],[Credit]]-Table8[[#This Row],[Credit +]],0)</f>
        <v>0</v>
      </c>
      <c r="AC166" s="34">
        <f>MAX(Table8[[#This Row],[Credit]]-Table8[[#This Row],[Debit]]+Table8[[#This Row],[Credit +]]-Table8[[#This Row],[Debit -]],0)</f>
        <v>0</v>
      </c>
      <c r="AD166" s="34" t="str">
        <f>IFERROR(IF(AND(OR(Table8[[#This Row],[Classification]]="Expense",Table8[[#This Row],[Classification]]="Cost of Goods Sold"),Table8[[#This Row],[Debit\]]&gt;Table8[[#This Row],[Credit.]]),Table8[[#This Row],[Debit\]]-Table8[[#This Row],[Credit.]],""),"")</f>
        <v/>
      </c>
      <c r="AE166" s="34" t="str">
        <f>IFERROR(IF(AND(OR(Table8[[#This Row],[Classification]]="Income",Table8[[#This Row],[Classification]]="Cost of Goods Sold"),Table8[[#This Row],[Credit.]]&gt;Table8[[#This Row],[Debit\]]),Table8[[#This Row],[Credit.]]-Table8[[#This Row],[Debit\]],""),"")</f>
        <v/>
      </c>
      <c r="AF166" s="34"/>
      <c r="AG166" s="34" t="str">
        <f>IFERROR(IF(AND(Table8[[#This Row],[Classification]]="Assets",Table8[[#This Row],[Debit\]]-Table8[[#This Row],[Credit.]]),Table8[[#This Row],[Debit\]]-Table8[[#This Row],[Credit.]],""),"")</f>
        <v/>
      </c>
      <c r="AH166" s="34" t="str">
        <f>IFERROR(IF(AND(OR(Table8[[#This Row],[Classification]]="Liabilities",Table8[[#This Row],[Classification]]="Owner´s Equity"),Table8[[#This Row],[Credit.]]&gt;Table8[[#This Row],[Debit\]]),Table8[[#This Row],[Credit.]]-Table8[[#This Row],[Debit\]],""),"")</f>
        <v/>
      </c>
    </row>
    <row r="167" spans="2:34" x14ac:dyDescent="0.25">
      <c r="B167" s="34"/>
      <c r="C167" s="45"/>
      <c r="D167" s="34"/>
      <c r="E167" s="34"/>
      <c r="G167" s="39"/>
      <c r="H167" s="43"/>
      <c r="I167" s="41"/>
      <c r="J167" s="41"/>
      <c r="L167" s="34">
        <v>160</v>
      </c>
      <c r="M167" s="35"/>
      <c r="N167" s="35"/>
      <c r="O167" s="34">
        <f>IFERROR(SUMIF(Table4[,],Table6[[#This Row],[Accounts Name]],Table4[,3]),"")</f>
        <v>0</v>
      </c>
      <c r="P167" s="34">
        <f>IFERROR(SUMIF(Table4[,],Table6[[#This Row],[Accounts Name]],Table4[,2]),"")</f>
        <v>0</v>
      </c>
      <c r="S167" s="36">
        <f t="shared" si="2"/>
        <v>160</v>
      </c>
      <c r="T167" s="34"/>
      <c r="U167" s="37"/>
      <c r="V167" s="34">
        <f>IFERROR(SUMIF(Table6[Sub-Accounts],Table8[[#This Row],[Update your chart of accounts here]],Table6[Debit]),"")</f>
        <v>0</v>
      </c>
      <c r="W167" s="34">
        <f>IFERROR(SUMIF(Table6[Sub-Accounts],Table8[[#This Row],[Update your chart of accounts here]],Table6[Credit]),"")</f>
        <v>0</v>
      </c>
      <c r="X167" s="34"/>
      <c r="Y167" s="34"/>
      <c r="Z167" s="34"/>
      <c r="AA167" s="34"/>
      <c r="AB167" s="34">
        <f>MAX(Table8[[#This Row],[Debit]]+Table8[[#This Row],[Debit -]]-Table8[[#This Row],[Credit]]-Table8[[#This Row],[Credit +]],0)</f>
        <v>0</v>
      </c>
      <c r="AC167" s="34">
        <f>MAX(Table8[[#This Row],[Credit]]-Table8[[#This Row],[Debit]]+Table8[[#This Row],[Credit +]]-Table8[[#This Row],[Debit -]],0)</f>
        <v>0</v>
      </c>
      <c r="AD167" s="34" t="str">
        <f>IFERROR(IF(AND(OR(Table8[[#This Row],[Classification]]="Expense",Table8[[#This Row],[Classification]]="Cost of Goods Sold"),Table8[[#This Row],[Debit\]]&gt;Table8[[#This Row],[Credit.]]),Table8[[#This Row],[Debit\]]-Table8[[#This Row],[Credit.]],""),"")</f>
        <v/>
      </c>
      <c r="AE167" s="34" t="str">
        <f>IFERROR(IF(AND(OR(Table8[[#This Row],[Classification]]="Income",Table8[[#This Row],[Classification]]="Cost of Goods Sold"),Table8[[#This Row],[Credit.]]&gt;Table8[[#This Row],[Debit\]]),Table8[[#This Row],[Credit.]]-Table8[[#This Row],[Debit\]],""),"")</f>
        <v/>
      </c>
      <c r="AF167" s="34"/>
      <c r="AG167" s="34" t="str">
        <f>IFERROR(IF(AND(Table8[[#This Row],[Classification]]="Assets",Table8[[#This Row],[Debit\]]-Table8[[#This Row],[Credit.]]),Table8[[#This Row],[Debit\]]-Table8[[#This Row],[Credit.]],""),"")</f>
        <v/>
      </c>
      <c r="AH167" s="34" t="str">
        <f>IFERROR(IF(AND(OR(Table8[[#This Row],[Classification]]="Liabilities",Table8[[#This Row],[Classification]]="Owner´s Equity"),Table8[[#This Row],[Credit.]]&gt;Table8[[#This Row],[Debit\]]),Table8[[#This Row],[Credit.]]-Table8[[#This Row],[Debit\]],""),"")</f>
        <v/>
      </c>
    </row>
    <row r="168" spans="2:34" x14ac:dyDescent="0.25">
      <c r="B168" s="34"/>
      <c r="C168" s="45"/>
      <c r="D168" s="34"/>
      <c r="E168" s="34"/>
      <c r="G168" s="39"/>
      <c r="H168" s="40"/>
      <c r="I168" s="41"/>
      <c r="J168" s="41"/>
      <c r="L168" s="34">
        <v>161</v>
      </c>
      <c r="M168" s="35"/>
      <c r="N168" s="35"/>
      <c r="O168" s="34">
        <f>IFERROR(SUMIF(Table4[,],Table6[[#This Row],[Accounts Name]],Table4[,3]),"")</f>
        <v>0</v>
      </c>
      <c r="P168" s="34">
        <f>IFERROR(SUMIF(Table4[,],Table6[[#This Row],[Accounts Name]],Table4[,2]),"")</f>
        <v>0</v>
      </c>
      <c r="S168" s="36">
        <f t="shared" si="2"/>
        <v>161</v>
      </c>
      <c r="T168" s="34"/>
      <c r="U168" s="37"/>
      <c r="V168" s="34">
        <f>IFERROR(SUMIF(Table6[Sub-Accounts],Table8[[#This Row],[Update your chart of accounts here]],Table6[Debit]),"")</f>
        <v>0</v>
      </c>
      <c r="W168" s="34">
        <f>IFERROR(SUMIF(Table6[Sub-Accounts],Table8[[#This Row],[Update your chart of accounts here]],Table6[Credit]),"")</f>
        <v>0</v>
      </c>
      <c r="X168" s="34"/>
      <c r="Y168" s="34"/>
      <c r="Z168" s="34"/>
      <c r="AA168" s="34"/>
      <c r="AB168" s="34">
        <f>MAX(Table8[[#This Row],[Debit]]+Table8[[#This Row],[Debit -]]-Table8[[#This Row],[Credit]]-Table8[[#This Row],[Credit +]],0)</f>
        <v>0</v>
      </c>
      <c r="AC168" s="34">
        <f>MAX(Table8[[#This Row],[Credit]]-Table8[[#This Row],[Debit]]+Table8[[#This Row],[Credit +]]-Table8[[#This Row],[Debit -]],0)</f>
        <v>0</v>
      </c>
      <c r="AD168" s="34" t="str">
        <f>IFERROR(IF(AND(OR(Table8[[#This Row],[Classification]]="Expense",Table8[[#This Row],[Classification]]="Cost of Goods Sold"),Table8[[#This Row],[Debit\]]&gt;Table8[[#This Row],[Credit.]]),Table8[[#This Row],[Debit\]]-Table8[[#This Row],[Credit.]],""),"")</f>
        <v/>
      </c>
      <c r="AE168" s="34" t="str">
        <f>IFERROR(IF(AND(OR(Table8[[#This Row],[Classification]]="Income",Table8[[#This Row],[Classification]]="Cost of Goods Sold"),Table8[[#This Row],[Credit.]]&gt;Table8[[#This Row],[Debit\]]),Table8[[#This Row],[Credit.]]-Table8[[#This Row],[Debit\]],""),"")</f>
        <v/>
      </c>
      <c r="AF168" s="34"/>
      <c r="AG168" s="34" t="str">
        <f>IFERROR(IF(AND(Table8[[#This Row],[Classification]]="Assets",Table8[[#This Row],[Debit\]]-Table8[[#This Row],[Credit.]]),Table8[[#This Row],[Debit\]]-Table8[[#This Row],[Credit.]],""),"")</f>
        <v/>
      </c>
      <c r="AH168" s="34" t="str">
        <f>IFERROR(IF(AND(OR(Table8[[#This Row],[Classification]]="Liabilities",Table8[[#This Row],[Classification]]="Owner´s Equity"),Table8[[#This Row],[Credit.]]&gt;Table8[[#This Row],[Debit\]]),Table8[[#This Row],[Credit.]]-Table8[[#This Row],[Debit\]],""),"")</f>
        <v/>
      </c>
    </row>
    <row r="169" spans="2:34" x14ac:dyDescent="0.25">
      <c r="B169" s="34"/>
      <c r="C169" s="45"/>
      <c r="D169" s="34"/>
      <c r="E169" s="34"/>
      <c r="G169" s="39"/>
      <c r="H169" s="40"/>
      <c r="I169" s="41"/>
      <c r="J169" s="41"/>
      <c r="L169" s="34">
        <v>162</v>
      </c>
      <c r="M169" s="35"/>
      <c r="N169" s="35"/>
      <c r="O169" s="34">
        <f>IFERROR(SUMIF(Table4[,],Table6[[#This Row],[Accounts Name]],Table4[,3]),"")</f>
        <v>0</v>
      </c>
      <c r="P169" s="34">
        <f>IFERROR(SUMIF(Table4[,],Table6[[#This Row],[Accounts Name]],Table4[,2]),"")</f>
        <v>0</v>
      </c>
      <c r="S169" s="36">
        <f t="shared" si="2"/>
        <v>162</v>
      </c>
      <c r="T169" s="34"/>
      <c r="U169" s="37"/>
      <c r="V169" s="34">
        <f>IFERROR(SUMIF(Table6[Sub-Accounts],Table8[[#This Row],[Update your chart of accounts here]],Table6[Debit]),"")</f>
        <v>0</v>
      </c>
      <c r="W169" s="34">
        <f>IFERROR(SUMIF(Table6[Sub-Accounts],Table8[[#This Row],[Update your chart of accounts here]],Table6[Credit]),"")</f>
        <v>0</v>
      </c>
      <c r="X169" s="34"/>
      <c r="Y169" s="34"/>
      <c r="Z169" s="34"/>
      <c r="AA169" s="34"/>
      <c r="AB169" s="34">
        <f>MAX(Table8[[#This Row],[Debit]]+Table8[[#This Row],[Debit -]]-Table8[[#This Row],[Credit]]-Table8[[#This Row],[Credit +]],0)</f>
        <v>0</v>
      </c>
      <c r="AC169" s="34">
        <f>MAX(Table8[[#This Row],[Credit]]-Table8[[#This Row],[Debit]]+Table8[[#This Row],[Credit +]]-Table8[[#This Row],[Debit -]],0)</f>
        <v>0</v>
      </c>
      <c r="AD169" s="34" t="str">
        <f>IFERROR(IF(AND(OR(Table8[[#This Row],[Classification]]="Expense",Table8[[#This Row],[Classification]]="Cost of Goods Sold"),Table8[[#This Row],[Debit\]]&gt;Table8[[#This Row],[Credit.]]),Table8[[#This Row],[Debit\]]-Table8[[#This Row],[Credit.]],""),"")</f>
        <v/>
      </c>
      <c r="AE169" s="34" t="str">
        <f>IFERROR(IF(AND(OR(Table8[[#This Row],[Classification]]="Income",Table8[[#This Row],[Classification]]="Cost of Goods Sold"),Table8[[#This Row],[Credit.]]&gt;Table8[[#This Row],[Debit\]]),Table8[[#This Row],[Credit.]]-Table8[[#This Row],[Debit\]],""),"")</f>
        <v/>
      </c>
      <c r="AF169" s="34"/>
      <c r="AG169" s="34" t="str">
        <f>IFERROR(IF(AND(Table8[[#This Row],[Classification]]="Assets",Table8[[#This Row],[Debit\]]-Table8[[#This Row],[Credit.]]),Table8[[#This Row],[Debit\]]-Table8[[#This Row],[Credit.]],""),"")</f>
        <v/>
      </c>
      <c r="AH169" s="34" t="str">
        <f>IFERROR(IF(AND(OR(Table8[[#This Row],[Classification]]="Liabilities",Table8[[#This Row],[Classification]]="Owner´s Equity"),Table8[[#This Row],[Credit.]]&gt;Table8[[#This Row],[Debit\]]),Table8[[#This Row],[Credit.]]-Table8[[#This Row],[Debit\]],""),"")</f>
        <v/>
      </c>
    </row>
    <row r="170" spans="2:34" x14ac:dyDescent="0.25">
      <c r="B170" s="34"/>
      <c r="C170" s="45"/>
      <c r="D170" s="34"/>
      <c r="E170" s="34"/>
      <c r="G170" s="39"/>
      <c r="H170" s="43"/>
      <c r="I170" s="41"/>
      <c r="J170" s="41"/>
      <c r="L170" s="34">
        <v>163</v>
      </c>
      <c r="M170" s="35"/>
      <c r="N170" s="35"/>
      <c r="O170" s="34">
        <f>IFERROR(SUMIF(Table4[,],Table6[[#This Row],[Accounts Name]],Table4[,3]),"")</f>
        <v>0</v>
      </c>
      <c r="P170" s="34">
        <f>IFERROR(SUMIF(Table4[,],Table6[[#This Row],[Accounts Name]],Table4[,2]),"")</f>
        <v>0</v>
      </c>
      <c r="S170" s="36">
        <f t="shared" si="2"/>
        <v>163</v>
      </c>
      <c r="T170" s="34"/>
      <c r="U170" s="37"/>
      <c r="V170" s="34">
        <f>IFERROR(SUMIF(Table6[Sub-Accounts],Table8[[#This Row],[Update your chart of accounts here]],Table6[Debit]),"")</f>
        <v>0</v>
      </c>
      <c r="W170" s="34">
        <f>IFERROR(SUMIF(Table6[Sub-Accounts],Table8[[#This Row],[Update your chart of accounts here]],Table6[Credit]),"")</f>
        <v>0</v>
      </c>
      <c r="X170" s="34"/>
      <c r="Y170" s="34"/>
      <c r="Z170" s="34"/>
      <c r="AA170" s="34"/>
      <c r="AB170" s="34">
        <f>MAX(Table8[[#This Row],[Debit]]+Table8[[#This Row],[Debit -]]-Table8[[#This Row],[Credit]]-Table8[[#This Row],[Credit +]],0)</f>
        <v>0</v>
      </c>
      <c r="AC170" s="34">
        <f>MAX(Table8[[#This Row],[Credit]]-Table8[[#This Row],[Debit]]+Table8[[#This Row],[Credit +]]-Table8[[#This Row],[Debit -]],0)</f>
        <v>0</v>
      </c>
      <c r="AD170" s="34" t="str">
        <f>IFERROR(IF(AND(OR(Table8[[#This Row],[Classification]]="Expense",Table8[[#This Row],[Classification]]="Cost of Goods Sold"),Table8[[#This Row],[Debit\]]&gt;Table8[[#This Row],[Credit.]]),Table8[[#This Row],[Debit\]]-Table8[[#This Row],[Credit.]],""),"")</f>
        <v/>
      </c>
      <c r="AE170" s="34" t="str">
        <f>IFERROR(IF(AND(OR(Table8[[#This Row],[Classification]]="Income",Table8[[#This Row],[Classification]]="Cost of Goods Sold"),Table8[[#This Row],[Credit.]]&gt;Table8[[#This Row],[Debit\]]),Table8[[#This Row],[Credit.]]-Table8[[#This Row],[Debit\]],""),"")</f>
        <v/>
      </c>
      <c r="AF170" s="34"/>
      <c r="AG170" s="34" t="str">
        <f>IFERROR(IF(AND(Table8[[#This Row],[Classification]]="Assets",Table8[[#This Row],[Debit\]]-Table8[[#This Row],[Credit.]]),Table8[[#This Row],[Debit\]]-Table8[[#This Row],[Credit.]],""),"")</f>
        <v/>
      </c>
      <c r="AH170" s="34" t="str">
        <f>IFERROR(IF(AND(OR(Table8[[#This Row],[Classification]]="Liabilities",Table8[[#This Row],[Classification]]="Owner´s Equity"),Table8[[#This Row],[Credit.]]&gt;Table8[[#This Row],[Debit\]]),Table8[[#This Row],[Credit.]]-Table8[[#This Row],[Debit\]],""),"")</f>
        <v/>
      </c>
    </row>
    <row r="171" spans="2:34" x14ac:dyDescent="0.25">
      <c r="B171" s="34"/>
      <c r="C171" s="45"/>
      <c r="D171" s="34"/>
      <c r="E171" s="34"/>
      <c r="G171" s="39"/>
      <c r="H171" s="40"/>
      <c r="I171" s="41"/>
      <c r="J171" s="41"/>
      <c r="L171" s="34">
        <v>164</v>
      </c>
      <c r="M171" s="35"/>
      <c r="N171" s="35"/>
      <c r="O171" s="34">
        <f>IFERROR(SUMIF(Table4[,],Table6[[#This Row],[Accounts Name]],Table4[,3]),"")</f>
        <v>0</v>
      </c>
      <c r="P171" s="34">
        <f>IFERROR(SUMIF(Table4[,],Table6[[#This Row],[Accounts Name]],Table4[,2]),"")</f>
        <v>0</v>
      </c>
      <c r="S171" s="36">
        <f t="shared" si="2"/>
        <v>164</v>
      </c>
      <c r="T171" s="34"/>
      <c r="U171" s="37"/>
      <c r="V171" s="34">
        <f>IFERROR(SUMIF(Table6[Sub-Accounts],Table8[[#This Row],[Update your chart of accounts here]],Table6[Debit]),"")</f>
        <v>0</v>
      </c>
      <c r="W171" s="34">
        <f>IFERROR(SUMIF(Table6[Sub-Accounts],Table8[[#This Row],[Update your chart of accounts here]],Table6[Credit]),"")</f>
        <v>0</v>
      </c>
      <c r="X171" s="34"/>
      <c r="Y171" s="34"/>
      <c r="Z171" s="34"/>
      <c r="AA171" s="34"/>
      <c r="AB171" s="34">
        <f>MAX(Table8[[#This Row],[Debit]]+Table8[[#This Row],[Debit -]]-Table8[[#This Row],[Credit]]-Table8[[#This Row],[Credit +]],0)</f>
        <v>0</v>
      </c>
      <c r="AC171" s="34">
        <f>MAX(Table8[[#This Row],[Credit]]-Table8[[#This Row],[Debit]]+Table8[[#This Row],[Credit +]]-Table8[[#This Row],[Debit -]],0)</f>
        <v>0</v>
      </c>
      <c r="AD171" s="34" t="str">
        <f>IFERROR(IF(AND(OR(Table8[[#This Row],[Classification]]="Expense",Table8[[#This Row],[Classification]]="Cost of Goods Sold"),Table8[[#This Row],[Debit\]]&gt;Table8[[#This Row],[Credit.]]),Table8[[#This Row],[Debit\]]-Table8[[#This Row],[Credit.]],""),"")</f>
        <v/>
      </c>
      <c r="AE171" s="34" t="str">
        <f>IFERROR(IF(AND(OR(Table8[[#This Row],[Classification]]="Income",Table8[[#This Row],[Classification]]="Cost of Goods Sold"),Table8[[#This Row],[Credit.]]&gt;Table8[[#This Row],[Debit\]]),Table8[[#This Row],[Credit.]]-Table8[[#This Row],[Debit\]],""),"")</f>
        <v/>
      </c>
      <c r="AF171" s="34"/>
      <c r="AG171" s="34" t="str">
        <f>IFERROR(IF(AND(Table8[[#This Row],[Classification]]="Assets",Table8[[#This Row],[Debit\]]-Table8[[#This Row],[Credit.]]),Table8[[#This Row],[Debit\]]-Table8[[#This Row],[Credit.]],""),"")</f>
        <v/>
      </c>
      <c r="AH171" s="34" t="str">
        <f>IFERROR(IF(AND(OR(Table8[[#This Row],[Classification]]="Liabilities",Table8[[#This Row],[Classification]]="Owner´s Equity"),Table8[[#This Row],[Credit.]]&gt;Table8[[#This Row],[Debit\]]),Table8[[#This Row],[Credit.]]-Table8[[#This Row],[Debit\]],""),"")</f>
        <v/>
      </c>
    </row>
    <row r="172" spans="2:34" x14ac:dyDescent="0.25">
      <c r="B172" s="34"/>
      <c r="C172" s="45"/>
      <c r="D172" s="34"/>
      <c r="E172" s="34"/>
      <c r="G172" s="39"/>
      <c r="H172" s="40"/>
      <c r="I172" s="41"/>
      <c r="J172" s="41"/>
      <c r="L172" s="34">
        <v>165</v>
      </c>
      <c r="M172" s="35"/>
      <c r="N172" s="35"/>
      <c r="O172" s="34">
        <f>IFERROR(SUMIF(Table4[,],Table6[[#This Row],[Accounts Name]],Table4[,3]),"")</f>
        <v>0</v>
      </c>
      <c r="P172" s="34">
        <f>IFERROR(SUMIF(Table4[,],Table6[[#This Row],[Accounts Name]],Table4[,2]),"")</f>
        <v>0</v>
      </c>
      <c r="S172" s="36">
        <f t="shared" si="2"/>
        <v>165</v>
      </c>
      <c r="T172" s="34"/>
      <c r="U172" s="37"/>
      <c r="V172" s="34">
        <f>IFERROR(SUMIF(Table6[Sub-Accounts],Table8[[#This Row],[Update your chart of accounts here]],Table6[Debit]),"")</f>
        <v>0</v>
      </c>
      <c r="W172" s="34">
        <f>IFERROR(SUMIF(Table6[Sub-Accounts],Table8[[#This Row],[Update your chart of accounts here]],Table6[Credit]),"")</f>
        <v>0</v>
      </c>
      <c r="X172" s="34"/>
      <c r="Y172" s="34"/>
      <c r="Z172" s="34"/>
      <c r="AA172" s="34"/>
      <c r="AB172" s="34">
        <f>MAX(Table8[[#This Row],[Debit]]+Table8[[#This Row],[Debit -]]-Table8[[#This Row],[Credit]]-Table8[[#This Row],[Credit +]],0)</f>
        <v>0</v>
      </c>
      <c r="AC172" s="34">
        <f>MAX(Table8[[#This Row],[Credit]]-Table8[[#This Row],[Debit]]+Table8[[#This Row],[Credit +]]-Table8[[#This Row],[Debit -]],0)</f>
        <v>0</v>
      </c>
      <c r="AD172" s="34" t="str">
        <f>IFERROR(IF(AND(OR(Table8[[#This Row],[Classification]]="Expense",Table8[[#This Row],[Classification]]="Cost of Goods Sold"),Table8[[#This Row],[Debit\]]&gt;Table8[[#This Row],[Credit.]]),Table8[[#This Row],[Debit\]]-Table8[[#This Row],[Credit.]],""),"")</f>
        <v/>
      </c>
      <c r="AE172" s="34" t="str">
        <f>IFERROR(IF(AND(OR(Table8[[#This Row],[Classification]]="Income",Table8[[#This Row],[Classification]]="Cost of Goods Sold"),Table8[[#This Row],[Credit.]]&gt;Table8[[#This Row],[Debit\]]),Table8[[#This Row],[Credit.]]-Table8[[#This Row],[Debit\]],""),"")</f>
        <v/>
      </c>
      <c r="AF172" s="34"/>
      <c r="AG172" s="34" t="str">
        <f>IFERROR(IF(AND(Table8[[#This Row],[Classification]]="Assets",Table8[[#This Row],[Debit\]]-Table8[[#This Row],[Credit.]]),Table8[[#This Row],[Debit\]]-Table8[[#This Row],[Credit.]],""),"")</f>
        <v/>
      </c>
      <c r="AH172" s="34" t="str">
        <f>IFERROR(IF(AND(OR(Table8[[#This Row],[Classification]]="Liabilities",Table8[[#This Row],[Classification]]="Owner´s Equity"),Table8[[#This Row],[Credit.]]&gt;Table8[[#This Row],[Debit\]]),Table8[[#This Row],[Credit.]]-Table8[[#This Row],[Debit\]],""),"")</f>
        <v/>
      </c>
    </row>
    <row r="173" spans="2:34" x14ac:dyDescent="0.25">
      <c r="B173" s="34"/>
      <c r="C173" s="45"/>
      <c r="D173" s="34"/>
      <c r="E173" s="34"/>
      <c r="G173" s="39"/>
      <c r="H173" s="43"/>
      <c r="I173" s="41"/>
      <c r="J173" s="41"/>
      <c r="L173" s="34">
        <v>166</v>
      </c>
      <c r="M173" s="35"/>
      <c r="N173" s="35"/>
      <c r="O173" s="34">
        <f>IFERROR(SUMIF(Table4[,],Table6[[#This Row],[Accounts Name]],Table4[,3]),"")</f>
        <v>0</v>
      </c>
      <c r="P173" s="34">
        <f>IFERROR(SUMIF(Table4[,],Table6[[#This Row],[Accounts Name]],Table4[,2]),"")</f>
        <v>0</v>
      </c>
      <c r="S173" s="36">
        <f t="shared" si="2"/>
        <v>166</v>
      </c>
      <c r="T173" s="34"/>
      <c r="U173" s="37"/>
      <c r="V173" s="34">
        <f>IFERROR(SUMIF(Table6[Sub-Accounts],Table8[[#This Row],[Update your chart of accounts here]],Table6[Debit]),"")</f>
        <v>0</v>
      </c>
      <c r="W173" s="34">
        <f>IFERROR(SUMIF(Table6[Sub-Accounts],Table8[[#This Row],[Update your chart of accounts here]],Table6[Credit]),"")</f>
        <v>0</v>
      </c>
      <c r="X173" s="34"/>
      <c r="Y173" s="34"/>
      <c r="Z173" s="34"/>
      <c r="AA173" s="34"/>
      <c r="AB173" s="34">
        <f>MAX(Table8[[#This Row],[Debit]]+Table8[[#This Row],[Debit -]]-Table8[[#This Row],[Credit]]-Table8[[#This Row],[Credit +]],0)</f>
        <v>0</v>
      </c>
      <c r="AC173" s="34">
        <f>MAX(Table8[[#This Row],[Credit]]-Table8[[#This Row],[Debit]]+Table8[[#This Row],[Credit +]]-Table8[[#This Row],[Debit -]],0)</f>
        <v>0</v>
      </c>
      <c r="AD173" s="34" t="str">
        <f>IFERROR(IF(AND(OR(Table8[[#This Row],[Classification]]="Expense",Table8[[#This Row],[Classification]]="Cost of Goods Sold"),Table8[[#This Row],[Debit\]]&gt;Table8[[#This Row],[Credit.]]),Table8[[#This Row],[Debit\]]-Table8[[#This Row],[Credit.]],""),"")</f>
        <v/>
      </c>
      <c r="AE173" s="34" t="str">
        <f>IFERROR(IF(AND(OR(Table8[[#This Row],[Classification]]="Income",Table8[[#This Row],[Classification]]="Cost of Goods Sold"),Table8[[#This Row],[Credit.]]&gt;Table8[[#This Row],[Debit\]]),Table8[[#This Row],[Credit.]]-Table8[[#This Row],[Debit\]],""),"")</f>
        <v/>
      </c>
      <c r="AF173" s="34"/>
      <c r="AG173" s="34" t="str">
        <f>IFERROR(IF(AND(Table8[[#This Row],[Classification]]="Assets",Table8[[#This Row],[Debit\]]-Table8[[#This Row],[Credit.]]),Table8[[#This Row],[Debit\]]-Table8[[#This Row],[Credit.]],""),"")</f>
        <v/>
      </c>
      <c r="AH173" s="34" t="str">
        <f>IFERROR(IF(AND(OR(Table8[[#This Row],[Classification]]="Liabilities",Table8[[#This Row],[Classification]]="Owner´s Equity"),Table8[[#This Row],[Credit.]]&gt;Table8[[#This Row],[Debit\]]),Table8[[#This Row],[Credit.]]-Table8[[#This Row],[Debit\]],""),"")</f>
        <v/>
      </c>
    </row>
    <row r="174" spans="2:34" x14ac:dyDescent="0.25">
      <c r="B174" s="34"/>
      <c r="C174" s="45"/>
      <c r="D174" s="34"/>
      <c r="E174" s="34"/>
      <c r="G174" s="39"/>
      <c r="H174" s="40"/>
      <c r="I174" s="41"/>
      <c r="J174" s="41"/>
      <c r="L174" s="34">
        <v>167</v>
      </c>
      <c r="M174" s="35"/>
      <c r="N174" s="35"/>
      <c r="O174" s="34">
        <f>IFERROR(SUMIF(Table4[,],Table6[[#This Row],[Accounts Name]],Table4[,3]),"")</f>
        <v>0</v>
      </c>
      <c r="P174" s="34">
        <f>IFERROR(SUMIF(Table4[,],Table6[[#This Row],[Accounts Name]],Table4[,2]),"")</f>
        <v>0</v>
      </c>
      <c r="S174" s="36">
        <f t="shared" si="2"/>
        <v>167</v>
      </c>
      <c r="T174" s="34"/>
      <c r="U174" s="37"/>
      <c r="V174" s="34">
        <f>IFERROR(SUMIF(Table6[Sub-Accounts],Table8[[#This Row],[Update your chart of accounts here]],Table6[Debit]),"")</f>
        <v>0</v>
      </c>
      <c r="W174" s="34">
        <f>IFERROR(SUMIF(Table6[Sub-Accounts],Table8[[#This Row],[Update your chart of accounts here]],Table6[Credit]),"")</f>
        <v>0</v>
      </c>
      <c r="X174" s="34"/>
      <c r="Y174" s="34"/>
      <c r="Z174" s="34"/>
      <c r="AA174" s="34"/>
      <c r="AB174" s="34">
        <f>MAX(Table8[[#This Row],[Debit]]+Table8[[#This Row],[Debit -]]-Table8[[#This Row],[Credit]]-Table8[[#This Row],[Credit +]],0)</f>
        <v>0</v>
      </c>
      <c r="AC174" s="34">
        <f>MAX(Table8[[#This Row],[Credit]]-Table8[[#This Row],[Debit]]+Table8[[#This Row],[Credit +]]-Table8[[#This Row],[Debit -]],0)</f>
        <v>0</v>
      </c>
      <c r="AD174" s="34" t="str">
        <f>IFERROR(IF(AND(OR(Table8[[#This Row],[Classification]]="Expense",Table8[[#This Row],[Classification]]="Cost of Goods Sold"),Table8[[#This Row],[Debit\]]&gt;Table8[[#This Row],[Credit.]]),Table8[[#This Row],[Debit\]]-Table8[[#This Row],[Credit.]],""),"")</f>
        <v/>
      </c>
      <c r="AE174" s="34" t="str">
        <f>IFERROR(IF(AND(OR(Table8[[#This Row],[Classification]]="Income",Table8[[#This Row],[Classification]]="Cost of Goods Sold"),Table8[[#This Row],[Credit.]]&gt;Table8[[#This Row],[Debit\]]),Table8[[#This Row],[Credit.]]-Table8[[#This Row],[Debit\]],""),"")</f>
        <v/>
      </c>
      <c r="AF174" s="34"/>
      <c r="AG174" s="34" t="str">
        <f>IFERROR(IF(AND(Table8[[#This Row],[Classification]]="Assets",Table8[[#This Row],[Debit\]]-Table8[[#This Row],[Credit.]]),Table8[[#This Row],[Debit\]]-Table8[[#This Row],[Credit.]],""),"")</f>
        <v/>
      </c>
      <c r="AH174" s="34" t="str">
        <f>IFERROR(IF(AND(OR(Table8[[#This Row],[Classification]]="Liabilities",Table8[[#This Row],[Classification]]="Owner´s Equity"),Table8[[#This Row],[Credit.]]&gt;Table8[[#This Row],[Debit\]]),Table8[[#This Row],[Credit.]]-Table8[[#This Row],[Debit\]],""),"")</f>
        <v/>
      </c>
    </row>
    <row r="175" spans="2:34" x14ac:dyDescent="0.25">
      <c r="B175" s="34"/>
      <c r="C175" s="45"/>
      <c r="D175" s="34"/>
      <c r="E175" s="34"/>
      <c r="G175" s="39"/>
      <c r="H175" s="40"/>
      <c r="I175" s="41"/>
      <c r="J175" s="41"/>
      <c r="L175" s="34">
        <v>168</v>
      </c>
      <c r="M175" s="35"/>
      <c r="N175" s="35"/>
      <c r="O175" s="34">
        <f>IFERROR(SUMIF(Table4[,],Table6[[#This Row],[Accounts Name]],Table4[,3]),"")</f>
        <v>0</v>
      </c>
      <c r="P175" s="34">
        <f>IFERROR(SUMIF(Table4[,],Table6[[#This Row],[Accounts Name]],Table4[,2]),"")</f>
        <v>0</v>
      </c>
      <c r="S175" s="36">
        <f t="shared" si="2"/>
        <v>168</v>
      </c>
      <c r="T175" s="34"/>
      <c r="U175" s="37"/>
      <c r="V175" s="34">
        <f>IFERROR(SUMIF(Table6[Sub-Accounts],Table8[[#This Row],[Update your chart of accounts here]],Table6[Debit]),"")</f>
        <v>0</v>
      </c>
      <c r="W175" s="34">
        <f>IFERROR(SUMIF(Table6[Sub-Accounts],Table8[[#This Row],[Update your chart of accounts here]],Table6[Credit]),"")</f>
        <v>0</v>
      </c>
      <c r="X175" s="34"/>
      <c r="Y175" s="34"/>
      <c r="Z175" s="34"/>
      <c r="AA175" s="34"/>
      <c r="AB175" s="34">
        <f>MAX(Table8[[#This Row],[Debit]]+Table8[[#This Row],[Debit -]]-Table8[[#This Row],[Credit]]-Table8[[#This Row],[Credit +]],0)</f>
        <v>0</v>
      </c>
      <c r="AC175" s="34">
        <f>MAX(Table8[[#This Row],[Credit]]-Table8[[#This Row],[Debit]]+Table8[[#This Row],[Credit +]]-Table8[[#This Row],[Debit -]],0)</f>
        <v>0</v>
      </c>
      <c r="AD175" s="34" t="str">
        <f>IFERROR(IF(AND(OR(Table8[[#This Row],[Classification]]="Expense",Table8[[#This Row],[Classification]]="Cost of Goods Sold"),Table8[[#This Row],[Debit\]]&gt;Table8[[#This Row],[Credit.]]),Table8[[#This Row],[Debit\]]-Table8[[#This Row],[Credit.]],""),"")</f>
        <v/>
      </c>
      <c r="AE175" s="34" t="str">
        <f>IFERROR(IF(AND(OR(Table8[[#This Row],[Classification]]="Income",Table8[[#This Row],[Classification]]="Cost of Goods Sold"),Table8[[#This Row],[Credit.]]&gt;Table8[[#This Row],[Debit\]]),Table8[[#This Row],[Credit.]]-Table8[[#This Row],[Debit\]],""),"")</f>
        <v/>
      </c>
      <c r="AF175" s="34"/>
      <c r="AG175" s="34" t="str">
        <f>IFERROR(IF(AND(Table8[[#This Row],[Classification]]="Assets",Table8[[#This Row],[Debit\]]-Table8[[#This Row],[Credit.]]),Table8[[#This Row],[Debit\]]-Table8[[#This Row],[Credit.]],""),"")</f>
        <v/>
      </c>
      <c r="AH175" s="34" t="str">
        <f>IFERROR(IF(AND(OR(Table8[[#This Row],[Classification]]="Liabilities",Table8[[#This Row],[Classification]]="Owner´s Equity"),Table8[[#This Row],[Credit.]]&gt;Table8[[#This Row],[Debit\]]),Table8[[#This Row],[Credit.]]-Table8[[#This Row],[Debit\]],""),"")</f>
        <v/>
      </c>
    </row>
    <row r="176" spans="2:34" x14ac:dyDescent="0.25">
      <c r="B176" s="34"/>
      <c r="C176" s="45"/>
      <c r="D176" s="34"/>
      <c r="E176" s="34"/>
      <c r="G176" s="39"/>
      <c r="H176" s="43"/>
      <c r="I176" s="41"/>
      <c r="J176" s="41"/>
      <c r="L176" s="34">
        <v>169</v>
      </c>
      <c r="M176" s="35"/>
      <c r="N176" s="35"/>
      <c r="O176" s="34">
        <f>IFERROR(SUMIF(Table4[,],Table6[[#This Row],[Accounts Name]],Table4[,3]),"")</f>
        <v>0</v>
      </c>
      <c r="P176" s="34">
        <f>IFERROR(SUMIF(Table4[,],Table6[[#This Row],[Accounts Name]],Table4[,2]),"")</f>
        <v>0</v>
      </c>
      <c r="S176" s="36">
        <f t="shared" si="2"/>
        <v>169</v>
      </c>
      <c r="T176" s="34"/>
      <c r="U176" s="37"/>
      <c r="V176" s="34">
        <f>IFERROR(SUMIF(Table6[Sub-Accounts],Table8[[#This Row],[Update your chart of accounts here]],Table6[Debit]),"")</f>
        <v>0</v>
      </c>
      <c r="W176" s="34">
        <f>IFERROR(SUMIF(Table6[Sub-Accounts],Table8[[#This Row],[Update your chart of accounts here]],Table6[Credit]),"")</f>
        <v>0</v>
      </c>
      <c r="X176" s="34"/>
      <c r="Y176" s="34"/>
      <c r="Z176" s="34"/>
      <c r="AA176" s="34"/>
      <c r="AB176" s="34">
        <f>MAX(Table8[[#This Row],[Debit]]+Table8[[#This Row],[Debit -]]-Table8[[#This Row],[Credit]]-Table8[[#This Row],[Credit +]],0)</f>
        <v>0</v>
      </c>
      <c r="AC176" s="34">
        <f>MAX(Table8[[#This Row],[Credit]]-Table8[[#This Row],[Debit]]+Table8[[#This Row],[Credit +]]-Table8[[#This Row],[Debit -]],0)</f>
        <v>0</v>
      </c>
      <c r="AD176" s="34" t="str">
        <f>IFERROR(IF(AND(OR(Table8[[#This Row],[Classification]]="Expense",Table8[[#This Row],[Classification]]="Cost of Goods Sold"),Table8[[#This Row],[Debit\]]&gt;Table8[[#This Row],[Credit.]]),Table8[[#This Row],[Debit\]]-Table8[[#This Row],[Credit.]],""),"")</f>
        <v/>
      </c>
      <c r="AE176" s="34" t="str">
        <f>IFERROR(IF(AND(OR(Table8[[#This Row],[Classification]]="Income",Table8[[#This Row],[Classification]]="Cost of Goods Sold"),Table8[[#This Row],[Credit.]]&gt;Table8[[#This Row],[Debit\]]),Table8[[#This Row],[Credit.]]-Table8[[#This Row],[Debit\]],""),"")</f>
        <v/>
      </c>
      <c r="AF176" s="34"/>
      <c r="AG176" s="34" t="str">
        <f>IFERROR(IF(AND(Table8[[#This Row],[Classification]]="Assets",Table8[[#This Row],[Debit\]]-Table8[[#This Row],[Credit.]]),Table8[[#This Row],[Debit\]]-Table8[[#This Row],[Credit.]],""),"")</f>
        <v/>
      </c>
      <c r="AH176" s="34" t="str">
        <f>IFERROR(IF(AND(OR(Table8[[#This Row],[Classification]]="Liabilities",Table8[[#This Row],[Classification]]="Owner´s Equity"),Table8[[#This Row],[Credit.]]&gt;Table8[[#This Row],[Debit\]]),Table8[[#This Row],[Credit.]]-Table8[[#This Row],[Debit\]],""),"")</f>
        <v/>
      </c>
    </row>
    <row r="177" spans="2:34" x14ac:dyDescent="0.25">
      <c r="B177" s="34"/>
      <c r="C177" s="45"/>
      <c r="D177" s="34"/>
      <c r="E177" s="34"/>
      <c r="G177" s="39"/>
      <c r="H177" s="40"/>
      <c r="I177" s="41"/>
      <c r="J177" s="41"/>
      <c r="L177" s="34">
        <v>170</v>
      </c>
      <c r="M177" s="35"/>
      <c r="N177" s="35"/>
      <c r="O177" s="34">
        <f>IFERROR(SUMIF(Table4[,],Table6[[#This Row],[Accounts Name]],Table4[,3]),"")</f>
        <v>0</v>
      </c>
      <c r="P177" s="34">
        <f>IFERROR(SUMIF(Table4[,],Table6[[#This Row],[Accounts Name]],Table4[,2]),"")</f>
        <v>0</v>
      </c>
      <c r="S177" s="36">
        <f t="shared" si="2"/>
        <v>170</v>
      </c>
      <c r="T177" s="34"/>
      <c r="U177" s="37"/>
      <c r="V177" s="34">
        <f>IFERROR(SUMIF(Table6[Sub-Accounts],Table8[[#This Row],[Update your chart of accounts here]],Table6[Debit]),"")</f>
        <v>0</v>
      </c>
      <c r="W177" s="34">
        <f>IFERROR(SUMIF(Table6[Sub-Accounts],Table8[[#This Row],[Update your chart of accounts here]],Table6[Credit]),"")</f>
        <v>0</v>
      </c>
      <c r="X177" s="34"/>
      <c r="Y177" s="34"/>
      <c r="Z177" s="34"/>
      <c r="AA177" s="34"/>
      <c r="AB177" s="34">
        <f>MAX(Table8[[#This Row],[Debit]]+Table8[[#This Row],[Debit -]]-Table8[[#This Row],[Credit]]-Table8[[#This Row],[Credit +]],0)</f>
        <v>0</v>
      </c>
      <c r="AC177" s="34">
        <f>MAX(Table8[[#This Row],[Credit]]-Table8[[#This Row],[Debit]]+Table8[[#This Row],[Credit +]]-Table8[[#This Row],[Debit -]],0)</f>
        <v>0</v>
      </c>
      <c r="AD177" s="34" t="str">
        <f>IFERROR(IF(AND(OR(Table8[[#This Row],[Classification]]="Expense",Table8[[#This Row],[Classification]]="Cost of Goods Sold"),Table8[[#This Row],[Debit\]]&gt;Table8[[#This Row],[Credit.]]),Table8[[#This Row],[Debit\]]-Table8[[#This Row],[Credit.]],""),"")</f>
        <v/>
      </c>
      <c r="AE177" s="34" t="str">
        <f>IFERROR(IF(AND(OR(Table8[[#This Row],[Classification]]="Income",Table8[[#This Row],[Classification]]="Cost of Goods Sold"),Table8[[#This Row],[Credit.]]&gt;Table8[[#This Row],[Debit\]]),Table8[[#This Row],[Credit.]]-Table8[[#This Row],[Debit\]],""),"")</f>
        <v/>
      </c>
      <c r="AF177" s="34"/>
      <c r="AG177" s="34" t="str">
        <f>IFERROR(IF(AND(Table8[[#This Row],[Classification]]="Assets",Table8[[#This Row],[Debit\]]-Table8[[#This Row],[Credit.]]),Table8[[#This Row],[Debit\]]-Table8[[#This Row],[Credit.]],""),"")</f>
        <v/>
      </c>
      <c r="AH177" s="34" t="str">
        <f>IFERROR(IF(AND(OR(Table8[[#This Row],[Classification]]="Liabilities",Table8[[#This Row],[Classification]]="Owner´s Equity"),Table8[[#This Row],[Credit.]]&gt;Table8[[#This Row],[Debit\]]),Table8[[#This Row],[Credit.]]-Table8[[#This Row],[Debit\]],""),"")</f>
        <v/>
      </c>
    </row>
    <row r="178" spans="2:34" x14ac:dyDescent="0.25">
      <c r="B178" s="34"/>
      <c r="C178" s="45"/>
      <c r="D178" s="34"/>
      <c r="E178" s="34"/>
      <c r="G178" s="39"/>
      <c r="H178" s="40"/>
      <c r="I178" s="41"/>
      <c r="J178" s="41"/>
      <c r="L178" s="34">
        <v>171</v>
      </c>
      <c r="M178" s="35"/>
      <c r="N178" s="35"/>
      <c r="O178" s="34">
        <f>IFERROR(SUMIF(Table4[,],Table6[[#This Row],[Accounts Name]],Table4[,3]),"")</f>
        <v>0</v>
      </c>
      <c r="P178" s="34">
        <f>IFERROR(SUMIF(Table4[,],Table6[[#This Row],[Accounts Name]],Table4[,2]),"")</f>
        <v>0</v>
      </c>
      <c r="S178" s="36">
        <f t="shared" si="2"/>
        <v>171</v>
      </c>
      <c r="T178" s="34"/>
      <c r="U178" s="37"/>
      <c r="V178" s="34">
        <f>IFERROR(SUMIF(Table6[Sub-Accounts],Table8[[#This Row],[Update your chart of accounts here]],Table6[Debit]),"")</f>
        <v>0</v>
      </c>
      <c r="W178" s="34">
        <f>IFERROR(SUMIF(Table6[Sub-Accounts],Table8[[#This Row],[Update your chart of accounts here]],Table6[Credit]),"")</f>
        <v>0</v>
      </c>
      <c r="X178" s="34"/>
      <c r="Y178" s="34"/>
      <c r="Z178" s="34"/>
      <c r="AA178" s="34"/>
      <c r="AB178" s="34">
        <f>MAX(Table8[[#This Row],[Debit]]+Table8[[#This Row],[Debit -]]-Table8[[#This Row],[Credit]]-Table8[[#This Row],[Credit +]],0)</f>
        <v>0</v>
      </c>
      <c r="AC178" s="34">
        <f>MAX(Table8[[#This Row],[Credit]]-Table8[[#This Row],[Debit]]+Table8[[#This Row],[Credit +]]-Table8[[#This Row],[Debit -]],0)</f>
        <v>0</v>
      </c>
      <c r="AD178" s="34" t="str">
        <f>IFERROR(IF(AND(OR(Table8[[#This Row],[Classification]]="Expense",Table8[[#This Row],[Classification]]="Cost of Goods Sold"),Table8[[#This Row],[Debit\]]&gt;Table8[[#This Row],[Credit.]]),Table8[[#This Row],[Debit\]]-Table8[[#This Row],[Credit.]],""),"")</f>
        <v/>
      </c>
      <c r="AE178" s="34" t="str">
        <f>IFERROR(IF(AND(OR(Table8[[#This Row],[Classification]]="Income",Table8[[#This Row],[Classification]]="Cost of Goods Sold"),Table8[[#This Row],[Credit.]]&gt;Table8[[#This Row],[Debit\]]),Table8[[#This Row],[Credit.]]-Table8[[#This Row],[Debit\]],""),"")</f>
        <v/>
      </c>
      <c r="AF178" s="34"/>
      <c r="AG178" s="34" t="str">
        <f>IFERROR(IF(AND(Table8[[#This Row],[Classification]]="Assets",Table8[[#This Row],[Debit\]]-Table8[[#This Row],[Credit.]]),Table8[[#This Row],[Debit\]]-Table8[[#This Row],[Credit.]],""),"")</f>
        <v/>
      </c>
      <c r="AH178" s="34" t="str">
        <f>IFERROR(IF(AND(OR(Table8[[#This Row],[Classification]]="Liabilities",Table8[[#This Row],[Classification]]="Owner´s Equity"),Table8[[#This Row],[Credit.]]&gt;Table8[[#This Row],[Debit\]]),Table8[[#This Row],[Credit.]]-Table8[[#This Row],[Debit\]],""),"")</f>
        <v/>
      </c>
    </row>
    <row r="179" spans="2:34" x14ac:dyDescent="0.25">
      <c r="B179" s="34"/>
      <c r="C179" s="45"/>
      <c r="D179" s="34"/>
      <c r="E179" s="34"/>
      <c r="G179" s="39"/>
      <c r="H179" s="43"/>
      <c r="I179" s="41"/>
      <c r="J179" s="41"/>
      <c r="L179" s="34">
        <v>172</v>
      </c>
      <c r="M179" s="35"/>
      <c r="N179" s="35"/>
      <c r="O179" s="34">
        <f>IFERROR(SUMIF(Table4[,],Table6[[#This Row],[Accounts Name]],Table4[,3]),"")</f>
        <v>0</v>
      </c>
      <c r="P179" s="34">
        <f>IFERROR(SUMIF(Table4[,],Table6[[#This Row],[Accounts Name]],Table4[,2]),"")</f>
        <v>0</v>
      </c>
      <c r="S179" s="36">
        <f t="shared" si="2"/>
        <v>172</v>
      </c>
      <c r="T179" s="34"/>
      <c r="U179" s="37"/>
      <c r="V179" s="34">
        <f>IFERROR(SUMIF(Table6[Sub-Accounts],Table8[[#This Row],[Update your chart of accounts here]],Table6[Debit]),"")</f>
        <v>0</v>
      </c>
      <c r="W179" s="34">
        <f>IFERROR(SUMIF(Table6[Sub-Accounts],Table8[[#This Row],[Update your chart of accounts here]],Table6[Credit]),"")</f>
        <v>0</v>
      </c>
      <c r="X179" s="34"/>
      <c r="Y179" s="34"/>
      <c r="Z179" s="34"/>
      <c r="AA179" s="34"/>
      <c r="AB179" s="34">
        <f>MAX(Table8[[#This Row],[Debit]]+Table8[[#This Row],[Debit -]]-Table8[[#This Row],[Credit]]-Table8[[#This Row],[Credit +]],0)</f>
        <v>0</v>
      </c>
      <c r="AC179" s="34">
        <f>MAX(Table8[[#This Row],[Credit]]-Table8[[#This Row],[Debit]]+Table8[[#This Row],[Credit +]]-Table8[[#This Row],[Debit -]],0)</f>
        <v>0</v>
      </c>
      <c r="AD179" s="34" t="str">
        <f>IFERROR(IF(AND(OR(Table8[[#This Row],[Classification]]="Expense",Table8[[#This Row],[Classification]]="Cost of Goods Sold"),Table8[[#This Row],[Debit\]]&gt;Table8[[#This Row],[Credit.]]),Table8[[#This Row],[Debit\]]-Table8[[#This Row],[Credit.]],""),"")</f>
        <v/>
      </c>
      <c r="AE179" s="34" t="str">
        <f>IFERROR(IF(AND(OR(Table8[[#This Row],[Classification]]="Income",Table8[[#This Row],[Classification]]="Cost of Goods Sold"),Table8[[#This Row],[Credit.]]&gt;Table8[[#This Row],[Debit\]]),Table8[[#This Row],[Credit.]]-Table8[[#This Row],[Debit\]],""),"")</f>
        <v/>
      </c>
      <c r="AF179" s="34"/>
      <c r="AG179" s="34" t="str">
        <f>IFERROR(IF(AND(Table8[[#This Row],[Classification]]="Assets",Table8[[#This Row],[Debit\]]-Table8[[#This Row],[Credit.]]),Table8[[#This Row],[Debit\]]-Table8[[#This Row],[Credit.]],""),"")</f>
        <v/>
      </c>
      <c r="AH179" s="34" t="str">
        <f>IFERROR(IF(AND(OR(Table8[[#This Row],[Classification]]="Liabilities",Table8[[#This Row],[Classification]]="Owner´s Equity"),Table8[[#This Row],[Credit.]]&gt;Table8[[#This Row],[Debit\]]),Table8[[#This Row],[Credit.]]-Table8[[#This Row],[Debit\]],""),"")</f>
        <v/>
      </c>
    </row>
    <row r="180" spans="2:34" x14ac:dyDescent="0.25">
      <c r="B180" s="34"/>
      <c r="C180" s="45"/>
      <c r="D180" s="34"/>
      <c r="E180" s="34"/>
      <c r="G180" s="39"/>
      <c r="H180" s="40"/>
      <c r="I180" s="41"/>
      <c r="J180" s="41"/>
      <c r="L180" s="34">
        <v>173</v>
      </c>
      <c r="M180" s="35"/>
      <c r="N180" s="35"/>
      <c r="O180" s="34">
        <f>IFERROR(SUMIF(Table4[,],Table6[[#This Row],[Accounts Name]],Table4[,3]),"")</f>
        <v>0</v>
      </c>
      <c r="P180" s="34">
        <f>IFERROR(SUMIF(Table4[,],Table6[[#This Row],[Accounts Name]],Table4[,2]),"")</f>
        <v>0</v>
      </c>
      <c r="S180" s="36">
        <f t="shared" si="2"/>
        <v>173</v>
      </c>
      <c r="T180" s="34"/>
      <c r="U180" s="37"/>
      <c r="V180" s="34">
        <f>IFERROR(SUMIF(Table6[Sub-Accounts],Table8[[#This Row],[Update your chart of accounts here]],Table6[Debit]),"")</f>
        <v>0</v>
      </c>
      <c r="W180" s="34">
        <f>IFERROR(SUMIF(Table6[Sub-Accounts],Table8[[#This Row],[Update your chart of accounts here]],Table6[Credit]),"")</f>
        <v>0</v>
      </c>
      <c r="X180" s="34"/>
      <c r="Y180" s="34"/>
      <c r="Z180" s="34"/>
      <c r="AA180" s="34"/>
      <c r="AB180" s="34">
        <f>MAX(Table8[[#This Row],[Debit]]+Table8[[#This Row],[Debit -]]-Table8[[#This Row],[Credit]]-Table8[[#This Row],[Credit +]],0)</f>
        <v>0</v>
      </c>
      <c r="AC180" s="34">
        <f>MAX(Table8[[#This Row],[Credit]]-Table8[[#This Row],[Debit]]+Table8[[#This Row],[Credit +]]-Table8[[#This Row],[Debit -]],0)</f>
        <v>0</v>
      </c>
      <c r="AD180" s="34" t="str">
        <f>IFERROR(IF(AND(OR(Table8[[#This Row],[Classification]]="Expense",Table8[[#This Row],[Classification]]="Cost of Goods Sold"),Table8[[#This Row],[Debit\]]&gt;Table8[[#This Row],[Credit.]]),Table8[[#This Row],[Debit\]]-Table8[[#This Row],[Credit.]],""),"")</f>
        <v/>
      </c>
      <c r="AE180" s="34" t="str">
        <f>IFERROR(IF(AND(OR(Table8[[#This Row],[Classification]]="Income",Table8[[#This Row],[Classification]]="Cost of Goods Sold"),Table8[[#This Row],[Credit.]]&gt;Table8[[#This Row],[Debit\]]),Table8[[#This Row],[Credit.]]-Table8[[#This Row],[Debit\]],""),"")</f>
        <v/>
      </c>
      <c r="AF180" s="34"/>
      <c r="AG180" s="34" t="str">
        <f>IFERROR(IF(AND(Table8[[#This Row],[Classification]]="Assets",Table8[[#This Row],[Debit\]]-Table8[[#This Row],[Credit.]]),Table8[[#This Row],[Debit\]]-Table8[[#This Row],[Credit.]],""),"")</f>
        <v/>
      </c>
      <c r="AH180" s="34" t="str">
        <f>IFERROR(IF(AND(OR(Table8[[#This Row],[Classification]]="Liabilities",Table8[[#This Row],[Classification]]="Owner´s Equity"),Table8[[#This Row],[Credit.]]&gt;Table8[[#This Row],[Debit\]]),Table8[[#This Row],[Credit.]]-Table8[[#This Row],[Debit\]],""),"")</f>
        <v/>
      </c>
    </row>
    <row r="181" spans="2:34" x14ac:dyDescent="0.25">
      <c r="B181" s="34"/>
      <c r="C181" s="45"/>
      <c r="D181" s="34"/>
      <c r="E181" s="34"/>
      <c r="G181" s="39"/>
      <c r="H181" s="40"/>
      <c r="I181" s="41"/>
      <c r="J181" s="41"/>
      <c r="L181" s="34">
        <v>174</v>
      </c>
      <c r="M181" s="35"/>
      <c r="N181" s="35"/>
      <c r="O181" s="34">
        <f>IFERROR(SUMIF(Table4[,],Table6[[#This Row],[Accounts Name]],Table4[,3]),"")</f>
        <v>0</v>
      </c>
      <c r="P181" s="34">
        <f>IFERROR(SUMIF(Table4[,],Table6[[#This Row],[Accounts Name]],Table4[,2]),"")</f>
        <v>0</v>
      </c>
      <c r="S181" s="36">
        <f t="shared" si="2"/>
        <v>174</v>
      </c>
      <c r="T181" s="34"/>
      <c r="U181" s="37"/>
      <c r="V181" s="34">
        <f>IFERROR(SUMIF(Table6[Sub-Accounts],Table8[[#This Row],[Update your chart of accounts here]],Table6[Debit]),"")</f>
        <v>0</v>
      </c>
      <c r="W181" s="34">
        <f>IFERROR(SUMIF(Table6[Sub-Accounts],Table8[[#This Row],[Update your chart of accounts here]],Table6[Credit]),"")</f>
        <v>0</v>
      </c>
      <c r="X181" s="34"/>
      <c r="Y181" s="34"/>
      <c r="Z181" s="34"/>
      <c r="AA181" s="34"/>
      <c r="AB181" s="34">
        <f>MAX(Table8[[#This Row],[Debit]]+Table8[[#This Row],[Debit -]]-Table8[[#This Row],[Credit]]-Table8[[#This Row],[Credit +]],0)</f>
        <v>0</v>
      </c>
      <c r="AC181" s="34">
        <f>MAX(Table8[[#This Row],[Credit]]-Table8[[#This Row],[Debit]]+Table8[[#This Row],[Credit +]]-Table8[[#This Row],[Debit -]],0)</f>
        <v>0</v>
      </c>
      <c r="AD181" s="34" t="str">
        <f>IFERROR(IF(AND(OR(Table8[[#This Row],[Classification]]="Expense",Table8[[#This Row],[Classification]]="Cost of Goods Sold"),Table8[[#This Row],[Debit\]]&gt;Table8[[#This Row],[Credit.]]),Table8[[#This Row],[Debit\]]-Table8[[#This Row],[Credit.]],""),"")</f>
        <v/>
      </c>
      <c r="AE181" s="34" t="str">
        <f>IFERROR(IF(AND(OR(Table8[[#This Row],[Classification]]="Income",Table8[[#This Row],[Classification]]="Cost of Goods Sold"),Table8[[#This Row],[Credit.]]&gt;Table8[[#This Row],[Debit\]]),Table8[[#This Row],[Credit.]]-Table8[[#This Row],[Debit\]],""),"")</f>
        <v/>
      </c>
      <c r="AF181" s="34"/>
      <c r="AG181" s="34" t="str">
        <f>IFERROR(IF(AND(Table8[[#This Row],[Classification]]="Assets",Table8[[#This Row],[Debit\]]-Table8[[#This Row],[Credit.]]),Table8[[#This Row],[Debit\]]-Table8[[#This Row],[Credit.]],""),"")</f>
        <v/>
      </c>
      <c r="AH181" s="34" t="str">
        <f>IFERROR(IF(AND(OR(Table8[[#This Row],[Classification]]="Liabilities",Table8[[#This Row],[Classification]]="Owner´s Equity"),Table8[[#This Row],[Credit.]]&gt;Table8[[#This Row],[Debit\]]),Table8[[#This Row],[Credit.]]-Table8[[#This Row],[Debit\]],""),"")</f>
        <v/>
      </c>
    </row>
    <row r="182" spans="2:34" x14ac:dyDescent="0.25">
      <c r="B182" s="34"/>
      <c r="C182" s="45"/>
      <c r="D182" s="34"/>
      <c r="E182" s="34"/>
      <c r="G182" s="39"/>
      <c r="H182" s="43"/>
      <c r="I182" s="41"/>
      <c r="J182" s="41"/>
      <c r="L182" s="34">
        <v>175</v>
      </c>
      <c r="M182" s="35"/>
      <c r="N182" s="35"/>
      <c r="O182" s="34">
        <f>IFERROR(SUMIF(Table4[,],Table6[[#This Row],[Accounts Name]],Table4[,3]),"")</f>
        <v>0</v>
      </c>
      <c r="P182" s="34">
        <f>IFERROR(SUMIF(Table4[,],Table6[[#This Row],[Accounts Name]],Table4[,2]),"")</f>
        <v>0</v>
      </c>
      <c r="S182" s="36">
        <f t="shared" si="2"/>
        <v>175</v>
      </c>
      <c r="T182" s="34"/>
      <c r="U182" s="37"/>
      <c r="V182" s="34">
        <f>IFERROR(SUMIF(Table6[Sub-Accounts],Table8[[#This Row],[Update your chart of accounts here]],Table6[Debit]),"")</f>
        <v>0</v>
      </c>
      <c r="W182" s="34">
        <f>IFERROR(SUMIF(Table6[Sub-Accounts],Table8[[#This Row],[Update your chart of accounts here]],Table6[Credit]),"")</f>
        <v>0</v>
      </c>
      <c r="X182" s="34"/>
      <c r="Y182" s="34"/>
      <c r="Z182" s="34"/>
      <c r="AA182" s="34"/>
      <c r="AB182" s="34">
        <f>MAX(Table8[[#This Row],[Debit]]+Table8[[#This Row],[Debit -]]-Table8[[#This Row],[Credit]]-Table8[[#This Row],[Credit +]],0)</f>
        <v>0</v>
      </c>
      <c r="AC182" s="34">
        <f>MAX(Table8[[#This Row],[Credit]]-Table8[[#This Row],[Debit]]+Table8[[#This Row],[Credit +]]-Table8[[#This Row],[Debit -]],0)</f>
        <v>0</v>
      </c>
      <c r="AD182" s="34" t="str">
        <f>IFERROR(IF(AND(OR(Table8[[#This Row],[Classification]]="Expense",Table8[[#This Row],[Classification]]="Cost of Goods Sold"),Table8[[#This Row],[Debit\]]&gt;Table8[[#This Row],[Credit.]]),Table8[[#This Row],[Debit\]]-Table8[[#This Row],[Credit.]],""),"")</f>
        <v/>
      </c>
      <c r="AE182" s="34" t="str">
        <f>IFERROR(IF(AND(OR(Table8[[#This Row],[Classification]]="Income",Table8[[#This Row],[Classification]]="Cost of Goods Sold"),Table8[[#This Row],[Credit.]]&gt;Table8[[#This Row],[Debit\]]),Table8[[#This Row],[Credit.]]-Table8[[#This Row],[Debit\]],""),"")</f>
        <v/>
      </c>
      <c r="AF182" s="34"/>
      <c r="AG182" s="34" t="str">
        <f>IFERROR(IF(AND(Table8[[#This Row],[Classification]]="Assets",Table8[[#This Row],[Debit\]]-Table8[[#This Row],[Credit.]]),Table8[[#This Row],[Debit\]]-Table8[[#This Row],[Credit.]],""),"")</f>
        <v/>
      </c>
      <c r="AH182" s="34" t="str">
        <f>IFERROR(IF(AND(OR(Table8[[#This Row],[Classification]]="Liabilities",Table8[[#This Row],[Classification]]="Owner´s Equity"),Table8[[#This Row],[Credit.]]&gt;Table8[[#This Row],[Debit\]]),Table8[[#This Row],[Credit.]]-Table8[[#This Row],[Debit\]],""),"")</f>
        <v/>
      </c>
    </row>
    <row r="183" spans="2:34" x14ac:dyDescent="0.25">
      <c r="B183" s="34"/>
      <c r="C183" s="45"/>
      <c r="D183" s="34"/>
      <c r="E183" s="34"/>
      <c r="G183" s="39"/>
      <c r="H183" s="40"/>
      <c r="I183" s="41"/>
      <c r="J183" s="41"/>
      <c r="L183" s="34">
        <v>176</v>
      </c>
      <c r="M183" s="35"/>
      <c r="N183" s="35"/>
      <c r="O183" s="34">
        <f>IFERROR(SUMIF(Table4[,],Table6[[#This Row],[Accounts Name]],Table4[,3]),"")</f>
        <v>0</v>
      </c>
      <c r="P183" s="34">
        <f>IFERROR(SUMIF(Table4[,],Table6[[#This Row],[Accounts Name]],Table4[,2]),"")</f>
        <v>0</v>
      </c>
      <c r="S183" s="36">
        <f t="shared" si="2"/>
        <v>176</v>
      </c>
      <c r="T183" s="34"/>
      <c r="U183" s="37"/>
      <c r="V183" s="34">
        <f>IFERROR(SUMIF(Table6[Sub-Accounts],Table8[[#This Row],[Update your chart of accounts here]],Table6[Debit]),"")</f>
        <v>0</v>
      </c>
      <c r="W183" s="34">
        <f>IFERROR(SUMIF(Table6[Sub-Accounts],Table8[[#This Row],[Update your chart of accounts here]],Table6[Credit]),"")</f>
        <v>0</v>
      </c>
      <c r="X183" s="34"/>
      <c r="Y183" s="34"/>
      <c r="Z183" s="34"/>
      <c r="AA183" s="34"/>
      <c r="AB183" s="34">
        <f>MAX(Table8[[#This Row],[Debit]]+Table8[[#This Row],[Debit -]]-Table8[[#This Row],[Credit]]-Table8[[#This Row],[Credit +]],0)</f>
        <v>0</v>
      </c>
      <c r="AC183" s="34">
        <f>MAX(Table8[[#This Row],[Credit]]-Table8[[#This Row],[Debit]]+Table8[[#This Row],[Credit +]]-Table8[[#This Row],[Debit -]],0)</f>
        <v>0</v>
      </c>
      <c r="AD183" s="34" t="str">
        <f>IFERROR(IF(AND(OR(Table8[[#This Row],[Classification]]="Expense",Table8[[#This Row],[Classification]]="Cost of Goods Sold"),Table8[[#This Row],[Debit\]]&gt;Table8[[#This Row],[Credit.]]),Table8[[#This Row],[Debit\]]-Table8[[#This Row],[Credit.]],""),"")</f>
        <v/>
      </c>
      <c r="AE183" s="34" t="str">
        <f>IFERROR(IF(AND(OR(Table8[[#This Row],[Classification]]="Income",Table8[[#This Row],[Classification]]="Cost of Goods Sold"),Table8[[#This Row],[Credit.]]&gt;Table8[[#This Row],[Debit\]]),Table8[[#This Row],[Credit.]]-Table8[[#This Row],[Debit\]],""),"")</f>
        <v/>
      </c>
      <c r="AF183" s="34"/>
      <c r="AG183" s="34" t="str">
        <f>IFERROR(IF(AND(Table8[[#This Row],[Classification]]="Assets",Table8[[#This Row],[Debit\]]-Table8[[#This Row],[Credit.]]),Table8[[#This Row],[Debit\]]-Table8[[#This Row],[Credit.]],""),"")</f>
        <v/>
      </c>
      <c r="AH183" s="34" t="str">
        <f>IFERROR(IF(AND(OR(Table8[[#This Row],[Classification]]="Liabilities",Table8[[#This Row],[Classification]]="Owner´s Equity"),Table8[[#This Row],[Credit.]]&gt;Table8[[#This Row],[Debit\]]),Table8[[#This Row],[Credit.]]-Table8[[#This Row],[Debit\]],""),"")</f>
        <v/>
      </c>
    </row>
    <row r="184" spans="2:34" x14ac:dyDescent="0.25">
      <c r="B184" s="34"/>
      <c r="C184" s="45"/>
      <c r="D184" s="34"/>
      <c r="E184" s="34"/>
      <c r="G184" s="39"/>
      <c r="H184" s="40"/>
      <c r="I184" s="41"/>
      <c r="J184" s="41"/>
      <c r="L184" s="34">
        <v>177</v>
      </c>
      <c r="M184" s="35"/>
      <c r="N184" s="35"/>
      <c r="O184" s="34">
        <f>IFERROR(SUMIF(Table4[,],Table6[[#This Row],[Accounts Name]],Table4[,3]),"")</f>
        <v>0</v>
      </c>
      <c r="P184" s="34">
        <f>IFERROR(SUMIF(Table4[,],Table6[[#This Row],[Accounts Name]],Table4[,2]),"")</f>
        <v>0</v>
      </c>
      <c r="S184" s="36">
        <f t="shared" si="2"/>
        <v>177</v>
      </c>
      <c r="T184" s="34"/>
      <c r="U184" s="37"/>
      <c r="V184" s="34">
        <f>IFERROR(SUMIF(Table6[Sub-Accounts],Table8[[#This Row],[Update your chart of accounts here]],Table6[Debit]),"")</f>
        <v>0</v>
      </c>
      <c r="W184" s="34">
        <f>IFERROR(SUMIF(Table6[Sub-Accounts],Table8[[#This Row],[Update your chart of accounts here]],Table6[Credit]),"")</f>
        <v>0</v>
      </c>
      <c r="X184" s="34"/>
      <c r="Y184" s="34"/>
      <c r="Z184" s="34"/>
      <c r="AA184" s="34"/>
      <c r="AB184" s="34">
        <f>MAX(Table8[[#This Row],[Debit]]+Table8[[#This Row],[Debit -]]-Table8[[#This Row],[Credit]]-Table8[[#This Row],[Credit +]],0)</f>
        <v>0</v>
      </c>
      <c r="AC184" s="34">
        <f>MAX(Table8[[#This Row],[Credit]]-Table8[[#This Row],[Debit]]+Table8[[#This Row],[Credit +]]-Table8[[#This Row],[Debit -]],0)</f>
        <v>0</v>
      </c>
      <c r="AD184" s="34" t="str">
        <f>IFERROR(IF(AND(OR(Table8[[#This Row],[Classification]]="Expense",Table8[[#This Row],[Classification]]="Cost of Goods Sold"),Table8[[#This Row],[Debit\]]&gt;Table8[[#This Row],[Credit.]]),Table8[[#This Row],[Debit\]]-Table8[[#This Row],[Credit.]],""),"")</f>
        <v/>
      </c>
      <c r="AE184" s="34" t="str">
        <f>IFERROR(IF(AND(OR(Table8[[#This Row],[Classification]]="Income",Table8[[#This Row],[Classification]]="Cost of Goods Sold"),Table8[[#This Row],[Credit.]]&gt;Table8[[#This Row],[Debit\]]),Table8[[#This Row],[Credit.]]-Table8[[#This Row],[Debit\]],""),"")</f>
        <v/>
      </c>
      <c r="AF184" s="34"/>
      <c r="AG184" s="34" t="str">
        <f>IFERROR(IF(AND(Table8[[#This Row],[Classification]]="Assets",Table8[[#This Row],[Debit\]]-Table8[[#This Row],[Credit.]]),Table8[[#This Row],[Debit\]]-Table8[[#This Row],[Credit.]],""),"")</f>
        <v/>
      </c>
      <c r="AH184" s="34" t="str">
        <f>IFERROR(IF(AND(OR(Table8[[#This Row],[Classification]]="Liabilities",Table8[[#This Row],[Classification]]="Owner´s Equity"),Table8[[#This Row],[Credit.]]&gt;Table8[[#This Row],[Debit\]]),Table8[[#This Row],[Credit.]]-Table8[[#This Row],[Debit\]],""),"")</f>
        <v/>
      </c>
    </row>
    <row r="185" spans="2:34" x14ac:dyDescent="0.25">
      <c r="B185" s="34"/>
      <c r="C185" s="45"/>
      <c r="D185" s="34"/>
      <c r="E185" s="34"/>
      <c r="G185" s="39"/>
      <c r="H185" s="43"/>
      <c r="I185" s="41"/>
      <c r="J185" s="41"/>
      <c r="L185" s="34">
        <v>178</v>
      </c>
      <c r="M185" s="35"/>
      <c r="N185" s="35"/>
      <c r="O185" s="34">
        <f>IFERROR(SUMIF(Table4[,],Table6[[#This Row],[Accounts Name]],Table4[,3]),"")</f>
        <v>0</v>
      </c>
      <c r="P185" s="34">
        <f>IFERROR(SUMIF(Table4[,],Table6[[#This Row],[Accounts Name]],Table4[,2]),"")</f>
        <v>0</v>
      </c>
      <c r="S185" s="36">
        <f t="shared" si="2"/>
        <v>178</v>
      </c>
      <c r="T185" s="34"/>
      <c r="U185" s="37"/>
      <c r="V185" s="34">
        <f>IFERROR(SUMIF(Table6[Sub-Accounts],Table8[[#This Row],[Update your chart of accounts here]],Table6[Debit]),"")</f>
        <v>0</v>
      </c>
      <c r="W185" s="34">
        <f>IFERROR(SUMIF(Table6[Sub-Accounts],Table8[[#This Row],[Update your chart of accounts here]],Table6[Credit]),"")</f>
        <v>0</v>
      </c>
      <c r="X185" s="34"/>
      <c r="Y185" s="34"/>
      <c r="Z185" s="34"/>
      <c r="AA185" s="34"/>
      <c r="AB185" s="34">
        <f>MAX(Table8[[#This Row],[Debit]]+Table8[[#This Row],[Debit -]]-Table8[[#This Row],[Credit]]-Table8[[#This Row],[Credit +]],0)</f>
        <v>0</v>
      </c>
      <c r="AC185" s="34">
        <f>MAX(Table8[[#This Row],[Credit]]-Table8[[#This Row],[Debit]]+Table8[[#This Row],[Credit +]]-Table8[[#This Row],[Debit -]],0)</f>
        <v>0</v>
      </c>
      <c r="AD185" s="34" t="str">
        <f>IFERROR(IF(AND(OR(Table8[[#This Row],[Classification]]="Expense",Table8[[#This Row],[Classification]]="Cost of Goods Sold"),Table8[[#This Row],[Debit\]]&gt;Table8[[#This Row],[Credit.]]),Table8[[#This Row],[Debit\]]-Table8[[#This Row],[Credit.]],""),"")</f>
        <v/>
      </c>
      <c r="AE185" s="34" t="str">
        <f>IFERROR(IF(AND(OR(Table8[[#This Row],[Classification]]="Income",Table8[[#This Row],[Classification]]="Cost of Goods Sold"),Table8[[#This Row],[Credit.]]&gt;Table8[[#This Row],[Debit\]]),Table8[[#This Row],[Credit.]]-Table8[[#This Row],[Debit\]],""),"")</f>
        <v/>
      </c>
      <c r="AF185" s="34"/>
      <c r="AG185" s="34" t="str">
        <f>IFERROR(IF(AND(Table8[[#This Row],[Classification]]="Assets",Table8[[#This Row],[Debit\]]-Table8[[#This Row],[Credit.]]),Table8[[#This Row],[Debit\]]-Table8[[#This Row],[Credit.]],""),"")</f>
        <v/>
      </c>
      <c r="AH185" s="34" t="str">
        <f>IFERROR(IF(AND(OR(Table8[[#This Row],[Classification]]="Liabilities",Table8[[#This Row],[Classification]]="Owner´s Equity"),Table8[[#This Row],[Credit.]]&gt;Table8[[#This Row],[Debit\]]),Table8[[#This Row],[Credit.]]-Table8[[#This Row],[Debit\]],""),"")</f>
        <v/>
      </c>
    </row>
    <row r="186" spans="2:34" x14ac:dyDescent="0.25">
      <c r="B186" s="34"/>
      <c r="C186" s="45"/>
      <c r="D186" s="34"/>
      <c r="E186" s="34"/>
      <c r="G186" s="39"/>
      <c r="H186" s="40"/>
      <c r="I186" s="41"/>
      <c r="J186" s="41"/>
      <c r="L186" s="34">
        <v>179</v>
      </c>
      <c r="M186" s="35"/>
      <c r="N186" s="35"/>
      <c r="O186" s="34">
        <f>IFERROR(SUMIF(Table4[,],Table6[[#This Row],[Accounts Name]],Table4[,3]),"")</f>
        <v>0</v>
      </c>
      <c r="P186" s="34">
        <f>IFERROR(SUMIF(Table4[,],Table6[[#This Row],[Accounts Name]],Table4[,2]),"")</f>
        <v>0</v>
      </c>
      <c r="S186" s="36">
        <f t="shared" si="2"/>
        <v>179</v>
      </c>
      <c r="T186" s="34"/>
      <c r="U186" s="37"/>
      <c r="V186" s="34">
        <f>IFERROR(SUMIF(Table6[Sub-Accounts],Table8[[#This Row],[Update your chart of accounts here]],Table6[Debit]),"")</f>
        <v>0</v>
      </c>
      <c r="W186" s="34">
        <f>IFERROR(SUMIF(Table6[Sub-Accounts],Table8[[#This Row],[Update your chart of accounts here]],Table6[Credit]),"")</f>
        <v>0</v>
      </c>
      <c r="X186" s="34"/>
      <c r="Y186" s="34"/>
      <c r="Z186" s="34"/>
      <c r="AA186" s="34"/>
      <c r="AB186" s="34">
        <f>MAX(Table8[[#This Row],[Debit]]+Table8[[#This Row],[Debit -]]-Table8[[#This Row],[Credit]]-Table8[[#This Row],[Credit +]],0)</f>
        <v>0</v>
      </c>
      <c r="AC186" s="34">
        <f>MAX(Table8[[#This Row],[Credit]]-Table8[[#This Row],[Debit]]+Table8[[#This Row],[Credit +]]-Table8[[#This Row],[Debit -]],0)</f>
        <v>0</v>
      </c>
      <c r="AD186" s="34" t="str">
        <f>IFERROR(IF(AND(OR(Table8[[#This Row],[Classification]]="Expense",Table8[[#This Row],[Classification]]="Cost of Goods Sold"),Table8[[#This Row],[Debit\]]&gt;Table8[[#This Row],[Credit.]]),Table8[[#This Row],[Debit\]]-Table8[[#This Row],[Credit.]],""),"")</f>
        <v/>
      </c>
      <c r="AE186" s="34" t="str">
        <f>IFERROR(IF(AND(OR(Table8[[#This Row],[Classification]]="Income",Table8[[#This Row],[Classification]]="Cost of Goods Sold"),Table8[[#This Row],[Credit.]]&gt;Table8[[#This Row],[Debit\]]),Table8[[#This Row],[Credit.]]-Table8[[#This Row],[Debit\]],""),"")</f>
        <v/>
      </c>
      <c r="AF186" s="34"/>
      <c r="AG186" s="34" t="str">
        <f>IFERROR(IF(AND(Table8[[#This Row],[Classification]]="Assets",Table8[[#This Row],[Debit\]]-Table8[[#This Row],[Credit.]]),Table8[[#This Row],[Debit\]]-Table8[[#This Row],[Credit.]],""),"")</f>
        <v/>
      </c>
      <c r="AH186" s="34" t="str">
        <f>IFERROR(IF(AND(OR(Table8[[#This Row],[Classification]]="Liabilities",Table8[[#This Row],[Classification]]="Owner´s Equity"),Table8[[#This Row],[Credit.]]&gt;Table8[[#This Row],[Debit\]]),Table8[[#This Row],[Credit.]]-Table8[[#This Row],[Debit\]],""),"")</f>
        <v/>
      </c>
    </row>
    <row r="187" spans="2:34" x14ac:dyDescent="0.25">
      <c r="B187" s="34"/>
      <c r="C187" s="45"/>
      <c r="D187" s="34"/>
      <c r="E187" s="34"/>
      <c r="G187" s="39"/>
      <c r="H187" s="40"/>
      <c r="I187" s="41"/>
      <c r="J187" s="41"/>
      <c r="L187" s="34">
        <v>180</v>
      </c>
      <c r="M187" s="35"/>
      <c r="N187" s="35"/>
      <c r="O187" s="34">
        <f>IFERROR(SUMIF(Table4[,],Table6[[#This Row],[Accounts Name]],Table4[,3]),"")</f>
        <v>0</v>
      </c>
      <c r="P187" s="34">
        <f>IFERROR(SUMIF(Table4[,],Table6[[#This Row],[Accounts Name]],Table4[,2]),"")</f>
        <v>0</v>
      </c>
      <c r="S187" s="36">
        <f t="shared" si="2"/>
        <v>180</v>
      </c>
      <c r="T187" s="34"/>
      <c r="U187" s="37"/>
      <c r="V187" s="34">
        <f>IFERROR(SUMIF(Table6[Sub-Accounts],Table8[[#This Row],[Update your chart of accounts here]],Table6[Debit]),"")</f>
        <v>0</v>
      </c>
      <c r="W187" s="34">
        <f>IFERROR(SUMIF(Table6[Sub-Accounts],Table8[[#This Row],[Update your chart of accounts here]],Table6[Credit]),"")</f>
        <v>0</v>
      </c>
      <c r="X187" s="34"/>
      <c r="Y187" s="34"/>
      <c r="Z187" s="34"/>
      <c r="AA187" s="34"/>
      <c r="AB187" s="34">
        <f>MAX(Table8[[#This Row],[Debit]]+Table8[[#This Row],[Debit -]]-Table8[[#This Row],[Credit]]-Table8[[#This Row],[Credit +]],0)</f>
        <v>0</v>
      </c>
      <c r="AC187" s="34">
        <f>MAX(Table8[[#This Row],[Credit]]-Table8[[#This Row],[Debit]]+Table8[[#This Row],[Credit +]]-Table8[[#This Row],[Debit -]],0)</f>
        <v>0</v>
      </c>
      <c r="AD187" s="34" t="str">
        <f>IFERROR(IF(AND(OR(Table8[[#This Row],[Classification]]="Expense",Table8[[#This Row],[Classification]]="Cost of Goods Sold"),Table8[[#This Row],[Debit\]]&gt;Table8[[#This Row],[Credit.]]),Table8[[#This Row],[Debit\]]-Table8[[#This Row],[Credit.]],""),"")</f>
        <v/>
      </c>
      <c r="AE187" s="34" t="str">
        <f>IFERROR(IF(AND(OR(Table8[[#This Row],[Classification]]="Income",Table8[[#This Row],[Classification]]="Cost of Goods Sold"),Table8[[#This Row],[Credit.]]&gt;Table8[[#This Row],[Debit\]]),Table8[[#This Row],[Credit.]]-Table8[[#This Row],[Debit\]],""),"")</f>
        <v/>
      </c>
      <c r="AF187" s="34"/>
      <c r="AG187" s="34" t="str">
        <f>IFERROR(IF(AND(Table8[[#This Row],[Classification]]="Assets",Table8[[#This Row],[Debit\]]-Table8[[#This Row],[Credit.]]),Table8[[#This Row],[Debit\]]-Table8[[#This Row],[Credit.]],""),"")</f>
        <v/>
      </c>
      <c r="AH187" s="34" t="str">
        <f>IFERROR(IF(AND(OR(Table8[[#This Row],[Classification]]="Liabilities",Table8[[#This Row],[Classification]]="Owner´s Equity"),Table8[[#This Row],[Credit.]]&gt;Table8[[#This Row],[Debit\]]),Table8[[#This Row],[Credit.]]-Table8[[#This Row],[Debit\]],""),"")</f>
        <v/>
      </c>
    </row>
    <row r="188" spans="2:34" x14ac:dyDescent="0.25">
      <c r="B188" s="34"/>
      <c r="C188" s="45"/>
      <c r="D188" s="34"/>
      <c r="E188" s="34"/>
      <c r="G188" s="39"/>
      <c r="H188" s="43"/>
      <c r="I188" s="41"/>
      <c r="J188" s="41"/>
      <c r="L188" s="34">
        <v>181</v>
      </c>
      <c r="M188" s="35"/>
      <c r="N188" s="35"/>
      <c r="O188" s="34">
        <f>IFERROR(SUMIF(Table4[,],Table6[[#This Row],[Accounts Name]],Table4[,3]),"")</f>
        <v>0</v>
      </c>
      <c r="P188" s="34">
        <f>IFERROR(SUMIF(Table4[,],Table6[[#This Row],[Accounts Name]],Table4[,2]),"")</f>
        <v>0</v>
      </c>
      <c r="S188" s="36">
        <f t="shared" si="2"/>
        <v>181</v>
      </c>
      <c r="T188" s="34"/>
      <c r="U188" s="37"/>
      <c r="V188" s="34">
        <f>IFERROR(SUMIF(Table6[Sub-Accounts],Table8[[#This Row],[Update your chart of accounts here]],Table6[Debit]),"")</f>
        <v>0</v>
      </c>
      <c r="W188" s="34">
        <f>IFERROR(SUMIF(Table6[Sub-Accounts],Table8[[#This Row],[Update your chart of accounts here]],Table6[Credit]),"")</f>
        <v>0</v>
      </c>
      <c r="X188" s="34"/>
      <c r="Y188" s="34"/>
      <c r="Z188" s="34"/>
      <c r="AA188" s="34"/>
      <c r="AB188" s="34">
        <f>MAX(Table8[[#This Row],[Debit]]+Table8[[#This Row],[Debit -]]-Table8[[#This Row],[Credit]]-Table8[[#This Row],[Credit +]],0)</f>
        <v>0</v>
      </c>
      <c r="AC188" s="34">
        <f>MAX(Table8[[#This Row],[Credit]]-Table8[[#This Row],[Debit]]+Table8[[#This Row],[Credit +]]-Table8[[#This Row],[Debit -]],0)</f>
        <v>0</v>
      </c>
      <c r="AD188" s="34" t="str">
        <f>IFERROR(IF(AND(OR(Table8[[#This Row],[Classification]]="Expense",Table8[[#This Row],[Classification]]="Cost of Goods Sold"),Table8[[#This Row],[Debit\]]&gt;Table8[[#This Row],[Credit.]]),Table8[[#This Row],[Debit\]]-Table8[[#This Row],[Credit.]],""),"")</f>
        <v/>
      </c>
      <c r="AE188" s="34" t="str">
        <f>IFERROR(IF(AND(OR(Table8[[#This Row],[Classification]]="Income",Table8[[#This Row],[Classification]]="Cost of Goods Sold"),Table8[[#This Row],[Credit.]]&gt;Table8[[#This Row],[Debit\]]),Table8[[#This Row],[Credit.]]-Table8[[#This Row],[Debit\]],""),"")</f>
        <v/>
      </c>
      <c r="AF188" s="34"/>
      <c r="AG188" s="34" t="str">
        <f>IFERROR(IF(AND(Table8[[#This Row],[Classification]]="Assets",Table8[[#This Row],[Debit\]]-Table8[[#This Row],[Credit.]]),Table8[[#This Row],[Debit\]]-Table8[[#This Row],[Credit.]],""),"")</f>
        <v/>
      </c>
      <c r="AH188" s="34" t="str">
        <f>IFERROR(IF(AND(OR(Table8[[#This Row],[Classification]]="Liabilities",Table8[[#This Row],[Classification]]="Owner´s Equity"),Table8[[#This Row],[Credit.]]&gt;Table8[[#This Row],[Debit\]]),Table8[[#This Row],[Credit.]]-Table8[[#This Row],[Debit\]],""),"")</f>
        <v/>
      </c>
    </row>
    <row r="189" spans="2:34" x14ac:dyDescent="0.25">
      <c r="B189" s="34"/>
      <c r="C189" s="45"/>
      <c r="D189" s="34"/>
      <c r="E189" s="34"/>
      <c r="G189" s="39"/>
      <c r="H189" s="40"/>
      <c r="I189" s="41"/>
      <c r="J189" s="41"/>
      <c r="L189" s="34">
        <v>182</v>
      </c>
      <c r="M189" s="35"/>
      <c r="N189" s="35"/>
      <c r="O189" s="34">
        <f>IFERROR(SUMIF(Table4[,],Table6[[#This Row],[Accounts Name]],Table4[,3]),"")</f>
        <v>0</v>
      </c>
      <c r="P189" s="34">
        <f>IFERROR(SUMIF(Table4[,],Table6[[#This Row],[Accounts Name]],Table4[,2]),"")</f>
        <v>0</v>
      </c>
      <c r="S189" s="36">
        <f t="shared" si="2"/>
        <v>182</v>
      </c>
      <c r="T189" s="34"/>
      <c r="U189" s="37"/>
      <c r="V189" s="34">
        <f>IFERROR(SUMIF(Table6[Sub-Accounts],Table8[[#This Row],[Update your chart of accounts here]],Table6[Debit]),"")</f>
        <v>0</v>
      </c>
      <c r="W189" s="34">
        <f>IFERROR(SUMIF(Table6[Sub-Accounts],Table8[[#This Row],[Update your chart of accounts here]],Table6[Credit]),"")</f>
        <v>0</v>
      </c>
      <c r="X189" s="34"/>
      <c r="Y189" s="34"/>
      <c r="Z189" s="34"/>
      <c r="AA189" s="34"/>
      <c r="AB189" s="34">
        <f>MAX(Table8[[#This Row],[Debit]]+Table8[[#This Row],[Debit -]]-Table8[[#This Row],[Credit]]-Table8[[#This Row],[Credit +]],0)</f>
        <v>0</v>
      </c>
      <c r="AC189" s="34">
        <f>MAX(Table8[[#This Row],[Credit]]-Table8[[#This Row],[Debit]]+Table8[[#This Row],[Credit +]]-Table8[[#This Row],[Debit -]],0)</f>
        <v>0</v>
      </c>
      <c r="AD189" s="34" t="str">
        <f>IFERROR(IF(AND(OR(Table8[[#This Row],[Classification]]="Expense",Table8[[#This Row],[Classification]]="Cost of Goods Sold"),Table8[[#This Row],[Debit\]]&gt;Table8[[#This Row],[Credit.]]),Table8[[#This Row],[Debit\]]-Table8[[#This Row],[Credit.]],""),"")</f>
        <v/>
      </c>
      <c r="AE189" s="34" t="str">
        <f>IFERROR(IF(AND(OR(Table8[[#This Row],[Classification]]="Income",Table8[[#This Row],[Classification]]="Cost of Goods Sold"),Table8[[#This Row],[Credit.]]&gt;Table8[[#This Row],[Debit\]]),Table8[[#This Row],[Credit.]]-Table8[[#This Row],[Debit\]],""),"")</f>
        <v/>
      </c>
      <c r="AF189" s="34"/>
      <c r="AG189" s="34" t="str">
        <f>IFERROR(IF(AND(Table8[[#This Row],[Classification]]="Assets",Table8[[#This Row],[Debit\]]-Table8[[#This Row],[Credit.]]),Table8[[#This Row],[Debit\]]-Table8[[#This Row],[Credit.]],""),"")</f>
        <v/>
      </c>
      <c r="AH189" s="34" t="str">
        <f>IFERROR(IF(AND(OR(Table8[[#This Row],[Classification]]="Liabilities",Table8[[#This Row],[Classification]]="Owner´s Equity"),Table8[[#This Row],[Credit.]]&gt;Table8[[#This Row],[Debit\]]),Table8[[#This Row],[Credit.]]-Table8[[#This Row],[Debit\]],""),"")</f>
        <v/>
      </c>
    </row>
    <row r="190" spans="2:34" x14ac:dyDescent="0.25">
      <c r="B190" s="34"/>
      <c r="C190" s="45"/>
      <c r="D190" s="34"/>
      <c r="E190" s="34"/>
      <c r="G190" s="39"/>
      <c r="H190" s="40"/>
      <c r="I190" s="41"/>
      <c r="J190" s="41"/>
      <c r="L190" s="34">
        <v>183</v>
      </c>
      <c r="M190" s="35"/>
      <c r="N190" s="35"/>
      <c r="O190" s="34">
        <f>IFERROR(SUMIF(Table4[,],Table6[[#This Row],[Accounts Name]],Table4[,3]),"")</f>
        <v>0</v>
      </c>
      <c r="P190" s="34">
        <f>IFERROR(SUMIF(Table4[,],Table6[[#This Row],[Accounts Name]],Table4[,2]),"")</f>
        <v>0</v>
      </c>
      <c r="S190" s="36">
        <f t="shared" si="2"/>
        <v>183</v>
      </c>
      <c r="T190" s="34"/>
      <c r="U190" s="37"/>
      <c r="V190" s="34">
        <f>IFERROR(SUMIF(Table6[Sub-Accounts],Table8[[#This Row],[Update your chart of accounts here]],Table6[Debit]),"")</f>
        <v>0</v>
      </c>
      <c r="W190" s="34">
        <f>IFERROR(SUMIF(Table6[Sub-Accounts],Table8[[#This Row],[Update your chart of accounts here]],Table6[Credit]),"")</f>
        <v>0</v>
      </c>
      <c r="X190" s="34"/>
      <c r="Y190" s="34"/>
      <c r="Z190" s="34"/>
      <c r="AA190" s="34"/>
      <c r="AB190" s="34">
        <f>MAX(Table8[[#This Row],[Debit]]+Table8[[#This Row],[Debit -]]-Table8[[#This Row],[Credit]]-Table8[[#This Row],[Credit +]],0)</f>
        <v>0</v>
      </c>
      <c r="AC190" s="34">
        <f>MAX(Table8[[#This Row],[Credit]]-Table8[[#This Row],[Debit]]+Table8[[#This Row],[Credit +]]-Table8[[#This Row],[Debit -]],0)</f>
        <v>0</v>
      </c>
      <c r="AD190" s="34" t="str">
        <f>IFERROR(IF(AND(OR(Table8[[#This Row],[Classification]]="Expense",Table8[[#This Row],[Classification]]="Cost of Goods Sold"),Table8[[#This Row],[Debit\]]&gt;Table8[[#This Row],[Credit.]]),Table8[[#This Row],[Debit\]]-Table8[[#This Row],[Credit.]],""),"")</f>
        <v/>
      </c>
      <c r="AE190" s="34" t="str">
        <f>IFERROR(IF(AND(OR(Table8[[#This Row],[Classification]]="Income",Table8[[#This Row],[Classification]]="Cost of Goods Sold"),Table8[[#This Row],[Credit.]]&gt;Table8[[#This Row],[Debit\]]),Table8[[#This Row],[Credit.]]-Table8[[#This Row],[Debit\]],""),"")</f>
        <v/>
      </c>
      <c r="AF190" s="34"/>
      <c r="AG190" s="34" t="str">
        <f>IFERROR(IF(AND(Table8[[#This Row],[Classification]]="Assets",Table8[[#This Row],[Debit\]]-Table8[[#This Row],[Credit.]]),Table8[[#This Row],[Debit\]]-Table8[[#This Row],[Credit.]],""),"")</f>
        <v/>
      </c>
      <c r="AH190" s="34" t="str">
        <f>IFERROR(IF(AND(OR(Table8[[#This Row],[Classification]]="Liabilities",Table8[[#This Row],[Classification]]="Owner´s Equity"),Table8[[#This Row],[Credit.]]&gt;Table8[[#This Row],[Debit\]]),Table8[[#This Row],[Credit.]]-Table8[[#This Row],[Debit\]],""),"")</f>
        <v/>
      </c>
    </row>
    <row r="191" spans="2:34" x14ac:dyDescent="0.25">
      <c r="B191" s="34"/>
      <c r="C191" s="45"/>
      <c r="D191" s="34"/>
      <c r="E191" s="34"/>
      <c r="G191" s="39"/>
      <c r="H191" s="43"/>
      <c r="I191" s="41"/>
      <c r="J191" s="41"/>
      <c r="L191" s="34">
        <v>184</v>
      </c>
      <c r="M191" s="35"/>
      <c r="N191" s="35"/>
      <c r="O191" s="34">
        <f>IFERROR(SUMIF(Table4[,],Table6[[#This Row],[Accounts Name]],Table4[,3]),"")</f>
        <v>0</v>
      </c>
      <c r="P191" s="34">
        <f>IFERROR(SUMIF(Table4[,],Table6[[#This Row],[Accounts Name]],Table4[,2]),"")</f>
        <v>0</v>
      </c>
      <c r="S191" s="36">
        <f t="shared" si="2"/>
        <v>184</v>
      </c>
      <c r="T191" s="34"/>
      <c r="U191" s="37"/>
      <c r="V191" s="34">
        <f>IFERROR(SUMIF(Table6[Sub-Accounts],Table8[[#This Row],[Update your chart of accounts here]],Table6[Debit]),"")</f>
        <v>0</v>
      </c>
      <c r="W191" s="34">
        <f>IFERROR(SUMIF(Table6[Sub-Accounts],Table8[[#This Row],[Update your chart of accounts here]],Table6[Credit]),"")</f>
        <v>0</v>
      </c>
      <c r="X191" s="34"/>
      <c r="Y191" s="34"/>
      <c r="Z191" s="34"/>
      <c r="AA191" s="34"/>
      <c r="AB191" s="34">
        <f>MAX(Table8[[#This Row],[Debit]]+Table8[[#This Row],[Debit -]]-Table8[[#This Row],[Credit]]-Table8[[#This Row],[Credit +]],0)</f>
        <v>0</v>
      </c>
      <c r="AC191" s="34">
        <f>MAX(Table8[[#This Row],[Credit]]-Table8[[#This Row],[Debit]]+Table8[[#This Row],[Credit +]]-Table8[[#This Row],[Debit -]],0)</f>
        <v>0</v>
      </c>
      <c r="AD191" s="34" t="str">
        <f>IFERROR(IF(AND(OR(Table8[[#This Row],[Classification]]="Expense",Table8[[#This Row],[Classification]]="Cost of Goods Sold"),Table8[[#This Row],[Debit\]]&gt;Table8[[#This Row],[Credit.]]),Table8[[#This Row],[Debit\]]-Table8[[#This Row],[Credit.]],""),"")</f>
        <v/>
      </c>
      <c r="AE191" s="34" t="str">
        <f>IFERROR(IF(AND(OR(Table8[[#This Row],[Classification]]="Income",Table8[[#This Row],[Classification]]="Cost of Goods Sold"),Table8[[#This Row],[Credit.]]&gt;Table8[[#This Row],[Debit\]]),Table8[[#This Row],[Credit.]]-Table8[[#This Row],[Debit\]],""),"")</f>
        <v/>
      </c>
      <c r="AF191" s="34"/>
      <c r="AG191" s="34" t="str">
        <f>IFERROR(IF(AND(Table8[[#This Row],[Classification]]="Assets",Table8[[#This Row],[Debit\]]-Table8[[#This Row],[Credit.]]),Table8[[#This Row],[Debit\]]-Table8[[#This Row],[Credit.]],""),"")</f>
        <v/>
      </c>
      <c r="AH191" s="34" t="str">
        <f>IFERROR(IF(AND(OR(Table8[[#This Row],[Classification]]="Liabilities",Table8[[#This Row],[Classification]]="Owner´s Equity"),Table8[[#This Row],[Credit.]]&gt;Table8[[#This Row],[Debit\]]),Table8[[#This Row],[Credit.]]-Table8[[#This Row],[Debit\]],""),"")</f>
        <v/>
      </c>
    </row>
    <row r="192" spans="2:34" x14ac:dyDescent="0.25">
      <c r="B192" s="34"/>
      <c r="C192" s="45"/>
      <c r="D192" s="34"/>
      <c r="E192" s="34"/>
      <c r="G192" s="39"/>
      <c r="H192" s="40"/>
      <c r="I192" s="41"/>
      <c r="J192" s="41"/>
      <c r="L192" s="34">
        <v>185</v>
      </c>
      <c r="M192" s="35"/>
      <c r="N192" s="35"/>
      <c r="O192" s="34">
        <f>IFERROR(SUMIF(Table4[,],Table6[[#This Row],[Accounts Name]],Table4[,3]),"")</f>
        <v>0</v>
      </c>
      <c r="P192" s="34">
        <f>IFERROR(SUMIF(Table4[,],Table6[[#This Row],[Accounts Name]],Table4[,2]),"")</f>
        <v>0</v>
      </c>
      <c r="S192" s="36">
        <f t="shared" si="2"/>
        <v>185</v>
      </c>
      <c r="T192" s="34"/>
      <c r="U192" s="37"/>
      <c r="V192" s="34">
        <f>IFERROR(SUMIF(Table6[Sub-Accounts],Table8[[#This Row],[Update your chart of accounts here]],Table6[Debit]),"")</f>
        <v>0</v>
      </c>
      <c r="W192" s="34">
        <f>IFERROR(SUMIF(Table6[Sub-Accounts],Table8[[#This Row],[Update your chart of accounts here]],Table6[Credit]),"")</f>
        <v>0</v>
      </c>
      <c r="X192" s="34"/>
      <c r="Y192" s="34"/>
      <c r="Z192" s="34"/>
      <c r="AA192" s="34"/>
      <c r="AB192" s="34">
        <f>MAX(Table8[[#This Row],[Debit]]+Table8[[#This Row],[Debit -]]-Table8[[#This Row],[Credit]]-Table8[[#This Row],[Credit +]],0)</f>
        <v>0</v>
      </c>
      <c r="AC192" s="34">
        <f>MAX(Table8[[#This Row],[Credit]]-Table8[[#This Row],[Debit]]+Table8[[#This Row],[Credit +]]-Table8[[#This Row],[Debit -]],0)</f>
        <v>0</v>
      </c>
      <c r="AD192" s="34" t="str">
        <f>IFERROR(IF(AND(OR(Table8[[#This Row],[Classification]]="Expense",Table8[[#This Row],[Classification]]="Cost of Goods Sold"),Table8[[#This Row],[Debit\]]&gt;Table8[[#This Row],[Credit.]]),Table8[[#This Row],[Debit\]]-Table8[[#This Row],[Credit.]],""),"")</f>
        <v/>
      </c>
      <c r="AE192" s="34" t="str">
        <f>IFERROR(IF(AND(OR(Table8[[#This Row],[Classification]]="Income",Table8[[#This Row],[Classification]]="Cost of Goods Sold"),Table8[[#This Row],[Credit.]]&gt;Table8[[#This Row],[Debit\]]),Table8[[#This Row],[Credit.]]-Table8[[#This Row],[Debit\]],""),"")</f>
        <v/>
      </c>
      <c r="AF192" s="34"/>
      <c r="AG192" s="34" t="str">
        <f>IFERROR(IF(AND(Table8[[#This Row],[Classification]]="Assets",Table8[[#This Row],[Debit\]]-Table8[[#This Row],[Credit.]]),Table8[[#This Row],[Debit\]]-Table8[[#This Row],[Credit.]],""),"")</f>
        <v/>
      </c>
      <c r="AH192" s="34" t="str">
        <f>IFERROR(IF(AND(OR(Table8[[#This Row],[Classification]]="Liabilities",Table8[[#This Row],[Classification]]="Owner´s Equity"),Table8[[#This Row],[Credit.]]&gt;Table8[[#This Row],[Debit\]]),Table8[[#This Row],[Credit.]]-Table8[[#This Row],[Debit\]],""),"")</f>
        <v/>
      </c>
    </row>
    <row r="193" spans="2:38" x14ac:dyDescent="0.25">
      <c r="B193" s="34"/>
      <c r="C193" s="45"/>
      <c r="D193" s="34"/>
      <c r="E193" s="34"/>
      <c r="G193" s="39"/>
      <c r="H193" s="40"/>
      <c r="I193" s="41"/>
      <c r="J193" s="41"/>
      <c r="L193" s="34">
        <v>186</v>
      </c>
      <c r="M193" s="35"/>
      <c r="N193" s="35"/>
      <c r="O193" s="34">
        <f>IFERROR(SUMIF(Table4[,],Table6[[#This Row],[Accounts Name]],Table4[,3]),"")</f>
        <v>0</v>
      </c>
      <c r="P193" s="34">
        <f>IFERROR(SUMIF(Table4[,],Table6[[#This Row],[Accounts Name]],Table4[,2]),"")</f>
        <v>0</v>
      </c>
      <c r="S193" s="36">
        <f t="shared" si="2"/>
        <v>186</v>
      </c>
      <c r="T193" s="34"/>
      <c r="U193" s="37"/>
      <c r="V193" s="34">
        <f>IFERROR(SUMIF(Table6[Sub-Accounts],Table8[[#This Row],[Update your chart of accounts here]],Table6[Debit]),"")</f>
        <v>0</v>
      </c>
      <c r="W193" s="34">
        <f>IFERROR(SUMIF(Table6[Sub-Accounts],Table8[[#This Row],[Update your chart of accounts here]],Table6[Credit]),"")</f>
        <v>0</v>
      </c>
      <c r="X193" s="34"/>
      <c r="Y193" s="34"/>
      <c r="Z193" s="34"/>
      <c r="AA193" s="34"/>
      <c r="AB193" s="34">
        <f>MAX(Table8[[#This Row],[Debit]]+Table8[[#This Row],[Debit -]]-Table8[[#This Row],[Credit]]-Table8[[#This Row],[Credit +]],0)</f>
        <v>0</v>
      </c>
      <c r="AC193" s="34">
        <f>MAX(Table8[[#This Row],[Credit]]-Table8[[#This Row],[Debit]]+Table8[[#This Row],[Credit +]]-Table8[[#This Row],[Debit -]],0)</f>
        <v>0</v>
      </c>
      <c r="AD193" s="34" t="str">
        <f>IFERROR(IF(AND(OR(Table8[[#This Row],[Classification]]="Expense",Table8[[#This Row],[Classification]]="Cost of Goods Sold"),Table8[[#This Row],[Debit\]]&gt;Table8[[#This Row],[Credit.]]),Table8[[#This Row],[Debit\]]-Table8[[#This Row],[Credit.]],""),"")</f>
        <v/>
      </c>
      <c r="AE193" s="34" t="str">
        <f>IFERROR(IF(AND(OR(Table8[[#This Row],[Classification]]="Income",Table8[[#This Row],[Classification]]="Cost of Goods Sold"),Table8[[#This Row],[Credit.]]&gt;Table8[[#This Row],[Debit\]]),Table8[[#This Row],[Credit.]]-Table8[[#This Row],[Debit\]],""),"")</f>
        <v/>
      </c>
      <c r="AF193" s="34"/>
      <c r="AG193" s="34" t="str">
        <f>IFERROR(IF(AND(Table8[[#This Row],[Classification]]="Assets",Table8[[#This Row],[Debit\]]-Table8[[#This Row],[Credit.]]),Table8[[#This Row],[Debit\]]-Table8[[#This Row],[Credit.]],""),"")</f>
        <v/>
      </c>
      <c r="AH193" s="34" t="str">
        <f>IFERROR(IF(AND(OR(Table8[[#This Row],[Classification]]="Liabilities",Table8[[#This Row],[Classification]]="Owner´s Equity"),Table8[[#This Row],[Credit.]]&gt;Table8[[#This Row],[Debit\]]),Table8[[#This Row],[Credit.]]-Table8[[#This Row],[Debit\]],""),"")</f>
        <v/>
      </c>
    </row>
    <row r="194" spans="2:38" x14ac:dyDescent="0.25">
      <c r="B194" s="34"/>
      <c r="C194" s="45"/>
      <c r="D194" s="34"/>
      <c r="E194" s="34"/>
      <c r="G194" s="39"/>
      <c r="H194" s="43"/>
      <c r="I194" s="41"/>
      <c r="J194" s="41"/>
      <c r="L194" s="34">
        <v>187</v>
      </c>
      <c r="M194" s="35"/>
      <c r="N194" s="35"/>
      <c r="O194" s="34">
        <f>IFERROR(SUMIF(Table4[,],Table6[[#This Row],[Accounts Name]],Table4[,3]),"")</f>
        <v>0</v>
      </c>
      <c r="P194" s="34">
        <f>IFERROR(SUMIF(Table4[,],Table6[[#This Row],[Accounts Name]],Table4[,2]),"")</f>
        <v>0</v>
      </c>
      <c r="S194" s="36">
        <f t="shared" si="2"/>
        <v>187</v>
      </c>
      <c r="T194" s="34"/>
      <c r="U194" s="37"/>
      <c r="V194" s="34">
        <f>IFERROR(SUMIF(Table6[Sub-Accounts],Table8[[#This Row],[Update your chart of accounts here]],Table6[Debit]),"")</f>
        <v>0</v>
      </c>
      <c r="W194" s="34">
        <f>IFERROR(SUMIF(Table6[Sub-Accounts],Table8[[#This Row],[Update your chart of accounts here]],Table6[Credit]),"")</f>
        <v>0</v>
      </c>
      <c r="X194" s="34"/>
      <c r="Y194" s="34"/>
      <c r="Z194" s="34"/>
      <c r="AA194" s="34"/>
      <c r="AB194" s="34">
        <f>MAX(Table8[[#This Row],[Debit]]+Table8[[#This Row],[Debit -]]-Table8[[#This Row],[Credit]]-Table8[[#This Row],[Credit +]],0)</f>
        <v>0</v>
      </c>
      <c r="AC194" s="34">
        <f>MAX(Table8[[#This Row],[Credit]]-Table8[[#This Row],[Debit]]+Table8[[#This Row],[Credit +]]-Table8[[#This Row],[Debit -]],0)</f>
        <v>0</v>
      </c>
      <c r="AD194" s="34" t="str">
        <f>IFERROR(IF(AND(OR(Table8[[#This Row],[Classification]]="Expense",Table8[[#This Row],[Classification]]="Cost of Goods Sold"),Table8[[#This Row],[Debit\]]&gt;Table8[[#This Row],[Credit.]]),Table8[[#This Row],[Debit\]]-Table8[[#This Row],[Credit.]],""),"")</f>
        <v/>
      </c>
      <c r="AE194" s="34" t="str">
        <f>IFERROR(IF(AND(OR(Table8[[#This Row],[Classification]]="Income",Table8[[#This Row],[Classification]]="Cost of Goods Sold"),Table8[[#This Row],[Credit.]]&gt;Table8[[#This Row],[Debit\]]),Table8[[#This Row],[Credit.]]-Table8[[#This Row],[Debit\]],""),"")</f>
        <v/>
      </c>
      <c r="AF194" s="34"/>
      <c r="AG194" s="34" t="str">
        <f>IFERROR(IF(AND(Table8[[#This Row],[Classification]]="Assets",Table8[[#This Row],[Debit\]]-Table8[[#This Row],[Credit.]]),Table8[[#This Row],[Debit\]]-Table8[[#This Row],[Credit.]],""),"")</f>
        <v/>
      </c>
      <c r="AH194" s="34" t="str">
        <f>IFERROR(IF(AND(OR(Table8[[#This Row],[Classification]]="Liabilities",Table8[[#This Row],[Classification]]="Owner´s Equity"),Table8[[#This Row],[Credit.]]&gt;Table8[[#This Row],[Debit\]]),Table8[[#This Row],[Credit.]]-Table8[[#This Row],[Debit\]],""),"")</f>
        <v/>
      </c>
    </row>
    <row r="195" spans="2:38" x14ac:dyDescent="0.25">
      <c r="B195" s="34"/>
      <c r="C195" s="45"/>
      <c r="D195" s="34"/>
      <c r="E195" s="34"/>
      <c r="G195" s="39"/>
      <c r="H195" s="40"/>
      <c r="I195" s="41"/>
      <c r="J195" s="41"/>
      <c r="L195" s="34">
        <v>188</v>
      </c>
      <c r="M195" s="35"/>
      <c r="N195" s="35"/>
      <c r="O195" s="34">
        <f>IFERROR(SUMIF(Table4[,],Table6[[#This Row],[Accounts Name]],Table4[,3]),"")</f>
        <v>0</v>
      </c>
      <c r="P195" s="34">
        <f>IFERROR(SUMIF(Table4[,],Table6[[#This Row],[Accounts Name]],Table4[,2]),"")</f>
        <v>0</v>
      </c>
      <c r="S195" s="36">
        <f t="shared" si="2"/>
        <v>188</v>
      </c>
      <c r="T195" s="34"/>
      <c r="U195" s="37"/>
      <c r="V195" s="34">
        <f>IFERROR(SUMIF(Table6[Sub-Accounts],Table8[[#This Row],[Update your chart of accounts here]],Table6[Debit]),"")</f>
        <v>0</v>
      </c>
      <c r="W195" s="34">
        <f>IFERROR(SUMIF(Table6[Sub-Accounts],Table8[[#This Row],[Update your chart of accounts here]],Table6[Credit]),"")</f>
        <v>0</v>
      </c>
      <c r="X195" s="34"/>
      <c r="Y195" s="34"/>
      <c r="Z195" s="34"/>
      <c r="AA195" s="34"/>
      <c r="AB195" s="34">
        <f>MAX(Table8[[#This Row],[Debit]]+Table8[[#This Row],[Debit -]]-Table8[[#This Row],[Credit]]-Table8[[#This Row],[Credit +]],0)</f>
        <v>0</v>
      </c>
      <c r="AC195" s="34">
        <f>MAX(Table8[[#This Row],[Credit]]-Table8[[#This Row],[Debit]]+Table8[[#This Row],[Credit +]]-Table8[[#This Row],[Debit -]],0)</f>
        <v>0</v>
      </c>
      <c r="AD195" s="34" t="str">
        <f>IFERROR(IF(AND(OR(Table8[[#This Row],[Classification]]="Expense",Table8[[#This Row],[Classification]]="Cost of Goods Sold"),Table8[[#This Row],[Debit\]]&gt;Table8[[#This Row],[Credit.]]),Table8[[#This Row],[Debit\]]-Table8[[#This Row],[Credit.]],""),"")</f>
        <v/>
      </c>
      <c r="AE195" s="34" t="str">
        <f>IFERROR(IF(AND(OR(Table8[[#This Row],[Classification]]="Income",Table8[[#This Row],[Classification]]="Cost of Goods Sold"),Table8[[#This Row],[Credit.]]&gt;Table8[[#This Row],[Debit\]]),Table8[[#This Row],[Credit.]]-Table8[[#This Row],[Debit\]],""),"")</f>
        <v/>
      </c>
      <c r="AF195" s="34"/>
      <c r="AG195" s="34" t="str">
        <f>IFERROR(IF(AND(Table8[[#This Row],[Classification]]="Assets",Table8[[#This Row],[Debit\]]-Table8[[#This Row],[Credit.]]),Table8[[#This Row],[Debit\]]-Table8[[#This Row],[Credit.]],""),"")</f>
        <v/>
      </c>
      <c r="AH195" s="34" t="str">
        <f>IFERROR(IF(AND(OR(Table8[[#This Row],[Classification]]="Liabilities",Table8[[#This Row],[Classification]]="Owner´s Equity"),Table8[[#This Row],[Credit.]]&gt;Table8[[#This Row],[Debit\]]),Table8[[#This Row],[Credit.]]-Table8[[#This Row],[Debit\]],""),"")</f>
        <v/>
      </c>
    </row>
    <row r="196" spans="2:38" x14ac:dyDescent="0.25">
      <c r="B196" s="34"/>
      <c r="C196" s="45"/>
      <c r="D196" s="34"/>
      <c r="E196" s="34"/>
      <c r="G196" s="39"/>
      <c r="H196" s="40"/>
      <c r="I196" s="41"/>
      <c r="J196" s="41"/>
      <c r="L196" s="34">
        <v>189</v>
      </c>
      <c r="M196" s="35"/>
      <c r="N196" s="35"/>
      <c r="O196" s="34">
        <f>IFERROR(SUMIF(Table4[,],Table6[[#This Row],[Accounts Name]],Table4[,3]),"")</f>
        <v>0</v>
      </c>
      <c r="P196" s="34">
        <f>IFERROR(SUMIF(Table4[,],Table6[[#This Row],[Accounts Name]],Table4[,2]),"")</f>
        <v>0</v>
      </c>
      <c r="S196" s="36">
        <f t="shared" si="2"/>
        <v>189</v>
      </c>
      <c r="T196" s="34"/>
      <c r="U196" s="37"/>
      <c r="V196" s="34">
        <f>IFERROR(SUMIF(Table6[Sub-Accounts],Table8[[#This Row],[Update your chart of accounts here]],Table6[Debit]),"")</f>
        <v>0</v>
      </c>
      <c r="W196" s="34">
        <f>IFERROR(SUMIF(Table6[Sub-Accounts],Table8[[#This Row],[Update your chart of accounts here]],Table6[Credit]),"")</f>
        <v>0</v>
      </c>
      <c r="X196" s="34"/>
      <c r="Y196" s="34"/>
      <c r="Z196" s="34"/>
      <c r="AA196" s="34"/>
      <c r="AB196" s="34">
        <f>MAX(Table8[[#This Row],[Debit]]+Table8[[#This Row],[Debit -]]-Table8[[#This Row],[Credit]]-Table8[[#This Row],[Credit +]],0)</f>
        <v>0</v>
      </c>
      <c r="AC196" s="34">
        <f>MAX(Table8[[#This Row],[Credit]]-Table8[[#This Row],[Debit]]+Table8[[#This Row],[Credit +]]-Table8[[#This Row],[Debit -]],0)</f>
        <v>0</v>
      </c>
      <c r="AD196" s="34" t="str">
        <f>IFERROR(IF(AND(OR(Table8[[#This Row],[Classification]]="Expense",Table8[[#This Row],[Classification]]="Cost of Goods Sold"),Table8[[#This Row],[Debit\]]&gt;Table8[[#This Row],[Credit.]]),Table8[[#This Row],[Debit\]]-Table8[[#This Row],[Credit.]],""),"")</f>
        <v/>
      </c>
      <c r="AE196" s="34" t="str">
        <f>IFERROR(IF(AND(OR(Table8[[#This Row],[Classification]]="Income",Table8[[#This Row],[Classification]]="Cost of Goods Sold"),Table8[[#This Row],[Credit.]]&gt;Table8[[#This Row],[Debit\]]),Table8[[#This Row],[Credit.]]-Table8[[#This Row],[Debit\]],""),"")</f>
        <v/>
      </c>
      <c r="AF196" s="34"/>
      <c r="AG196" s="34" t="str">
        <f>IFERROR(IF(AND(Table8[[#This Row],[Classification]]="Assets",Table8[[#This Row],[Debit\]]-Table8[[#This Row],[Credit.]]),Table8[[#This Row],[Debit\]]-Table8[[#This Row],[Credit.]],""),"")</f>
        <v/>
      </c>
      <c r="AH196" s="34" t="str">
        <f>IFERROR(IF(AND(OR(Table8[[#This Row],[Classification]]="Liabilities",Table8[[#This Row],[Classification]]="Owner´s Equity"),Table8[[#This Row],[Credit.]]&gt;Table8[[#This Row],[Debit\]]),Table8[[#This Row],[Credit.]]-Table8[[#This Row],[Debit\]],""),"")</f>
        <v/>
      </c>
    </row>
    <row r="197" spans="2:38" x14ac:dyDescent="0.25">
      <c r="B197" s="34"/>
      <c r="C197" s="45"/>
      <c r="D197" s="34"/>
      <c r="E197" s="34"/>
      <c r="G197" s="39"/>
      <c r="H197" s="43"/>
      <c r="I197" s="41"/>
      <c r="J197" s="41"/>
      <c r="L197" s="34">
        <v>190</v>
      </c>
      <c r="M197" s="35"/>
      <c r="N197" s="35"/>
      <c r="O197" s="34">
        <f>IFERROR(SUMIF(Table4[,],Table6[[#This Row],[Accounts Name]],Table4[,3]),"")</f>
        <v>0</v>
      </c>
      <c r="P197" s="34">
        <f>IFERROR(SUMIF(Table4[,],Table6[[#This Row],[Accounts Name]],Table4[,2]),"")</f>
        <v>0</v>
      </c>
      <c r="S197" s="36">
        <f t="shared" si="2"/>
        <v>190</v>
      </c>
      <c r="T197" s="34"/>
      <c r="U197" s="37"/>
      <c r="V197" s="34">
        <f>IFERROR(SUMIF(Table6[Sub-Accounts],Table8[[#This Row],[Update your chart of accounts here]],Table6[Debit]),"")</f>
        <v>0</v>
      </c>
      <c r="W197" s="34">
        <f>IFERROR(SUMIF(Table6[Sub-Accounts],Table8[[#This Row],[Update your chart of accounts here]],Table6[Credit]),"")</f>
        <v>0</v>
      </c>
      <c r="X197" s="34"/>
      <c r="Y197" s="34"/>
      <c r="Z197" s="34"/>
      <c r="AA197" s="34"/>
      <c r="AB197" s="34">
        <f>MAX(Table8[[#This Row],[Debit]]+Table8[[#This Row],[Debit -]]-Table8[[#This Row],[Credit]]-Table8[[#This Row],[Credit +]],0)</f>
        <v>0</v>
      </c>
      <c r="AC197" s="34">
        <f>MAX(Table8[[#This Row],[Credit]]-Table8[[#This Row],[Debit]]+Table8[[#This Row],[Credit +]]-Table8[[#This Row],[Debit -]],0)</f>
        <v>0</v>
      </c>
      <c r="AD197" s="34" t="str">
        <f>IFERROR(IF(AND(OR(Table8[[#This Row],[Classification]]="Expense",Table8[[#This Row],[Classification]]="Cost of Goods Sold"),Table8[[#This Row],[Debit\]]&gt;Table8[[#This Row],[Credit.]]),Table8[[#This Row],[Debit\]]-Table8[[#This Row],[Credit.]],""),"")</f>
        <v/>
      </c>
      <c r="AE197" s="34" t="str">
        <f>IFERROR(IF(AND(OR(Table8[[#This Row],[Classification]]="Income",Table8[[#This Row],[Classification]]="Cost of Goods Sold"),Table8[[#This Row],[Credit.]]&gt;Table8[[#This Row],[Debit\]]),Table8[[#This Row],[Credit.]]-Table8[[#This Row],[Debit\]],""),"")</f>
        <v/>
      </c>
      <c r="AF197" s="34"/>
      <c r="AG197" s="34" t="str">
        <f>IFERROR(IF(AND(Table8[[#This Row],[Classification]]="Assets",Table8[[#This Row],[Debit\]]-Table8[[#This Row],[Credit.]]),Table8[[#This Row],[Debit\]]-Table8[[#This Row],[Credit.]],""),"")</f>
        <v/>
      </c>
      <c r="AH197" s="34" t="str">
        <f>IFERROR(IF(AND(OR(Table8[[#This Row],[Classification]]="Liabilities",Table8[[#This Row],[Classification]]="Owner´s Equity"),Table8[[#This Row],[Credit.]]&gt;Table8[[#This Row],[Debit\]]),Table8[[#This Row],[Credit.]]-Table8[[#This Row],[Debit\]],""),"")</f>
        <v/>
      </c>
    </row>
    <row r="198" spans="2:38" x14ac:dyDescent="0.25">
      <c r="B198" s="34"/>
      <c r="C198" s="45"/>
      <c r="D198" s="34"/>
      <c r="E198" s="34"/>
      <c r="G198" s="39"/>
      <c r="H198" s="40"/>
      <c r="I198" s="41"/>
      <c r="J198" s="41"/>
      <c r="L198" s="34">
        <v>191</v>
      </c>
      <c r="M198" s="35"/>
      <c r="N198" s="35"/>
      <c r="O198" s="34">
        <f>IFERROR(SUMIF(Table4[,],Table6[[#This Row],[Accounts Name]],Table4[,3]),"")</f>
        <v>0</v>
      </c>
      <c r="P198" s="34">
        <f>IFERROR(SUMIF(Table4[,],Table6[[#This Row],[Accounts Name]],Table4[,2]),"")</f>
        <v>0</v>
      </c>
      <c r="S198" s="36">
        <f t="shared" si="2"/>
        <v>191</v>
      </c>
      <c r="T198" s="34"/>
      <c r="U198" s="37"/>
      <c r="V198" s="34">
        <f>IFERROR(SUMIF(Table6[Sub-Accounts],Table8[[#This Row],[Update your chart of accounts here]],Table6[Debit]),"")</f>
        <v>0</v>
      </c>
      <c r="W198" s="34">
        <f>IFERROR(SUMIF(Table6[Sub-Accounts],Table8[[#This Row],[Update your chart of accounts here]],Table6[Credit]),"")</f>
        <v>0</v>
      </c>
      <c r="X198" s="34"/>
      <c r="Y198" s="34"/>
      <c r="Z198" s="34"/>
      <c r="AA198" s="34"/>
      <c r="AB198" s="34">
        <f>MAX(Table8[[#This Row],[Debit]]+Table8[[#This Row],[Debit -]]-Table8[[#This Row],[Credit]]-Table8[[#This Row],[Credit +]],0)</f>
        <v>0</v>
      </c>
      <c r="AC198" s="34">
        <f>MAX(Table8[[#This Row],[Credit]]-Table8[[#This Row],[Debit]]+Table8[[#This Row],[Credit +]]-Table8[[#This Row],[Debit -]],0)</f>
        <v>0</v>
      </c>
      <c r="AD198" s="34" t="str">
        <f>IFERROR(IF(AND(OR(Table8[[#This Row],[Classification]]="Expense",Table8[[#This Row],[Classification]]="Cost of Goods Sold"),Table8[[#This Row],[Debit\]]&gt;Table8[[#This Row],[Credit.]]),Table8[[#This Row],[Debit\]]-Table8[[#This Row],[Credit.]],""),"")</f>
        <v/>
      </c>
      <c r="AE198" s="34" t="str">
        <f>IFERROR(IF(AND(OR(Table8[[#This Row],[Classification]]="Income",Table8[[#This Row],[Classification]]="Cost of Goods Sold"),Table8[[#This Row],[Credit.]]&gt;Table8[[#This Row],[Debit\]]),Table8[[#This Row],[Credit.]]-Table8[[#This Row],[Debit\]],""),"")</f>
        <v/>
      </c>
      <c r="AF198" s="34"/>
      <c r="AG198" s="34" t="str">
        <f>IFERROR(IF(AND(Table8[[#This Row],[Classification]]="Assets",Table8[[#This Row],[Debit\]]-Table8[[#This Row],[Credit.]]),Table8[[#This Row],[Debit\]]-Table8[[#This Row],[Credit.]],""),"")</f>
        <v/>
      </c>
      <c r="AH198" s="34" t="str">
        <f>IFERROR(IF(AND(OR(Table8[[#This Row],[Classification]]="Liabilities",Table8[[#This Row],[Classification]]="Owner´s Equity"),Table8[[#This Row],[Credit.]]&gt;Table8[[#This Row],[Debit\]]),Table8[[#This Row],[Credit.]]-Table8[[#This Row],[Debit\]],""),"")</f>
        <v/>
      </c>
    </row>
    <row r="199" spans="2:38" x14ac:dyDescent="0.25">
      <c r="B199" s="34"/>
      <c r="C199" s="45"/>
      <c r="D199" s="34"/>
      <c r="E199" s="34"/>
      <c r="G199" s="39"/>
      <c r="H199" s="40"/>
      <c r="I199" s="41"/>
      <c r="J199" s="41"/>
      <c r="L199" s="34">
        <v>192</v>
      </c>
      <c r="M199" s="35"/>
      <c r="N199" s="35"/>
      <c r="O199" s="34">
        <f>IFERROR(SUMIF(Table4[,],Table6[[#This Row],[Accounts Name]],Table4[,3]),"")</f>
        <v>0</v>
      </c>
      <c r="P199" s="34">
        <f>IFERROR(SUMIF(Table4[,],Table6[[#This Row],[Accounts Name]],Table4[,2]),"")</f>
        <v>0</v>
      </c>
      <c r="S199" s="36">
        <f t="shared" si="2"/>
        <v>192</v>
      </c>
      <c r="T199" s="34"/>
      <c r="U199" s="46"/>
      <c r="V199" s="34">
        <f>IFERROR(SUMIF(Table6[Sub-Accounts],Table8[[#This Row],[Update your chart of accounts here]],Table6[Debit]),"")</f>
        <v>0</v>
      </c>
      <c r="W199" s="34">
        <f>IFERROR(SUMIF(Table6[Sub-Accounts],Table8[[#This Row],[Update your chart of accounts here]],Table6[Credit]),"")</f>
        <v>0</v>
      </c>
      <c r="X199" s="34"/>
      <c r="Y199" s="34"/>
      <c r="Z199" s="34"/>
      <c r="AA199" s="34"/>
      <c r="AB199" s="34">
        <f>MAX(Table8[[#This Row],[Debit]]+Table8[[#This Row],[Debit -]]-Table8[[#This Row],[Credit]]-Table8[[#This Row],[Credit +]],0)</f>
        <v>0</v>
      </c>
      <c r="AC199" s="34">
        <f>MAX(Table8[[#This Row],[Credit]]-Table8[[#This Row],[Debit]]+Table8[[#This Row],[Credit +]]-Table8[[#This Row],[Debit -]],0)</f>
        <v>0</v>
      </c>
      <c r="AD199" s="34" t="str">
        <f>IFERROR(IF(AND(OR(Table8[[#This Row],[Classification]]="Expense",Table8[[#This Row],[Classification]]="Cost of Goods Sold"),Table8[[#This Row],[Debit\]]&gt;Table8[[#This Row],[Credit.]]),Table8[[#This Row],[Debit\]]-Table8[[#This Row],[Credit.]],""),"")</f>
        <v/>
      </c>
      <c r="AE199" s="34" t="str">
        <f>IFERROR(IF(AND(OR(Table8[[#This Row],[Classification]]="Income",Table8[[#This Row],[Classification]]="Cost of Goods Sold"),Table8[[#This Row],[Credit.]]&gt;Table8[[#This Row],[Debit\]]),Table8[[#This Row],[Credit.]]-Table8[[#This Row],[Debit\]],""),"")</f>
        <v/>
      </c>
      <c r="AF199" s="34"/>
      <c r="AG199" s="34" t="str">
        <f>IFERROR(IF(AND(Table8[[#This Row],[Classification]]="Assets",Table8[[#This Row],[Debit\]]-Table8[[#This Row],[Credit.]]),Table8[[#This Row],[Debit\]]-Table8[[#This Row],[Credit.]],""),"")</f>
        <v/>
      </c>
      <c r="AH199" s="34" t="str">
        <f>IFERROR(IF(AND(OR(Table8[[#This Row],[Classification]]="Liabilities",Table8[[#This Row],[Classification]]="Owner´s Equity"),Table8[[#This Row],[Credit.]]&gt;Table8[[#This Row],[Debit\]]),Table8[[#This Row],[Credit.]]-Table8[[#This Row],[Debit\]],""),"")</f>
        <v/>
      </c>
    </row>
    <row r="200" spans="2:38" x14ac:dyDescent="0.25">
      <c r="B200" s="34"/>
      <c r="C200" s="45"/>
      <c r="D200" s="34"/>
      <c r="E200" s="34"/>
      <c r="G200" s="39"/>
      <c r="H200" s="43"/>
      <c r="I200" s="41"/>
      <c r="J200" s="41"/>
      <c r="L200" s="34">
        <v>193</v>
      </c>
      <c r="M200" s="35"/>
      <c r="N200" s="35"/>
      <c r="O200" s="34">
        <f>IFERROR(SUMIF(Table4[,],Table6[[#This Row],[Accounts Name]],Table4[,3]),"")</f>
        <v>0</v>
      </c>
      <c r="P200" s="34">
        <f>IFERROR(SUMIF(Table4[,],Table6[[#This Row],[Accounts Name]],Table4[,2]),"")</f>
        <v>0</v>
      </c>
      <c r="S200" s="36">
        <f t="shared" si="2"/>
        <v>193</v>
      </c>
      <c r="T200" s="34"/>
      <c r="U200" s="47"/>
      <c r="V200" s="34">
        <f>IFERROR(SUMIF(Table6[Sub-Accounts],Table8[[#This Row],[Update your chart of accounts here]],Table6[Debit]),"")</f>
        <v>0</v>
      </c>
      <c r="W200" s="34">
        <f>IFERROR(SUMIF(Table6[Sub-Accounts],Table8[[#This Row],[Update your chart of accounts here]],Table6[Credit]),"")</f>
        <v>0</v>
      </c>
      <c r="X200" s="34"/>
      <c r="Y200" s="34"/>
      <c r="Z200" s="34"/>
      <c r="AA200" s="34"/>
      <c r="AB200" s="34">
        <f>MAX(Table8[[#This Row],[Debit]]+Table8[[#This Row],[Debit -]]-Table8[[#This Row],[Credit]]-Table8[[#This Row],[Credit +]],0)</f>
        <v>0</v>
      </c>
      <c r="AC200" s="34">
        <f>MAX(Table8[[#This Row],[Credit]]-Table8[[#This Row],[Debit]]+Table8[[#This Row],[Credit +]]-Table8[[#This Row],[Debit -]],0)</f>
        <v>0</v>
      </c>
      <c r="AD200" s="34" t="str">
        <f>IFERROR(IF(AND(OR(Table8[[#This Row],[Classification]]="Expense",Table8[[#This Row],[Classification]]="Cost of Goods Sold"),Table8[[#This Row],[Debit\]]&gt;Table8[[#This Row],[Credit.]]),Table8[[#This Row],[Debit\]]-Table8[[#This Row],[Credit.]],""),"")</f>
        <v/>
      </c>
      <c r="AE200" s="34" t="str">
        <f>IFERROR(IF(AND(OR(Table8[[#This Row],[Classification]]="Income",Table8[[#This Row],[Classification]]="Cost of Goods Sold"),Table8[[#This Row],[Credit.]]&gt;Table8[[#This Row],[Debit\]]),Table8[[#This Row],[Credit.]]-Table8[[#This Row],[Debit\]],""),"")</f>
        <v/>
      </c>
      <c r="AF200" s="34"/>
      <c r="AG200" s="34" t="str">
        <f>IFERROR(IF(AND(Table8[[#This Row],[Classification]]="Assets",Table8[[#This Row],[Debit\]]-Table8[[#This Row],[Credit.]]),Table8[[#This Row],[Debit\]]-Table8[[#This Row],[Credit.]],""),"")</f>
        <v/>
      </c>
      <c r="AH200" s="34" t="str">
        <f>IFERROR(IF(AND(OR(Table8[[#This Row],[Classification]]="Liabilities",Table8[[#This Row],[Classification]]="Owner´s Equity"),Table8[[#This Row],[Credit.]]&gt;Table8[[#This Row],[Debit\]]),Table8[[#This Row],[Credit.]]-Table8[[#This Row],[Debit\]],""),"")</f>
        <v/>
      </c>
      <c r="AI200" s="20" t="b">
        <f>Table8[[#Totals],[Debit .]]=Table8[[#Totals],[Credit'']]</f>
        <v>0</v>
      </c>
      <c r="AL200" s="20">
        <f>Table8[[#Totals],[Debit .]]-Table8[[#Totals],[Credit'']]</f>
        <v>0</v>
      </c>
    </row>
    <row r="201" spans="2:38" ht="15.75" thickBot="1" x14ac:dyDescent="0.3">
      <c r="B201" s="20" t="s">
        <v>60</v>
      </c>
      <c r="D201" s="57">
        <f>SUBTOTAL(109,Table4[,3])</f>
        <v>366476093.04999995</v>
      </c>
      <c r="E201" s="57">
        <f>SUBTOTAL(109,Table4[,2])</f>
        <v>366476093.05000001</v>
      </c>
      <c r="G201" s="39"/>
      <c r="H201" s="40"/>
      <c r="I201" s="41"/>
      <c r="J201" s="41"/>
      <c r="L201" s="63" t="s">
        <v>60</v>
      </c>
      <c r="M201" s="404"/>
      <c r="N201" s="404"/>
      <c r="O201" s="405">
        <f>SUBTOTAL(109,Table6[Debit])</f>
        <v>366476093.04999995</v>
      </c>
      <c r="P201" s="405">
        <f>SUBTOTAL(109,Table6[Credit])</f>
        <v>366476093.05000001</v>
      </c>
      <c r="S201" s="62" t="s">
        <v>60</v>
      </c>
      <c r="T201" s="63"/>
      <c r="U201" s="64"/>
      <c r="V201" s="63">
        <f>SUBTOTAL(109,Table8[Debit])</f>
        <v>366476093.04999995</v>
      </c>
      <c r="W201" s="63">
        <f>SUBTOTAL(109,Table8[Credit])</f>
        <v>366476093.05000001</v>
      </c>
      <c r="X201" s="63"/>
      <c r="Y201" s="63"/>
      <c r="Z201" s="63"/>
      <c r="AA201" s="63"/>
      <c r="AB201" s="63">
        <f>SUBTOTAL(109,Table8[Debit\])</f>
        <v>381619031.17322552</v>
      </c>
      <c r="AC201" s="63">
        <f>SUBTOTAL(109,Table8[Credit.])</f>
        <v>381619031.17322558</v>
      </c>
      <c r="AD201" s="63">
        <f>SUBTOTAL(109,Table8[[Debit ]])</f>
        <v>343142974.44999999</v>
      </c>
      <c r="AE201" s="63">
        <f>SUBTOTAL(109,Table8[Credit,])</f>
        <v>343142974.44999999</v>
      </c>
      <c r="AF201" s="63"/>
      <c r="AG201" s="63">
        <f>SUBTOTAL(109,Table8[Debit .])</f>
        <v>38476056.723225519</v>
      </c>
      <c r="AH201" s="63">
        <f>SUBTOTAL(109,Table8[Credit''])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AD6:AE6"/>
    <mergeCell ref="AG6:AH6"/>
    <mergeCell ref="S5:AH5"/>
    <mergeCell ref="Z6:AA6"/>
    <mergeCell ref="AB6:AC6"/>
    <mergeCell ref="S2:AH2"/>
    <mergeCell ref="L2:P2"/>
    <mergeCell ref="S4:AH4"/>
    <mergeCell ref="B2:E2"/>
    <mergeCell ref="G2:J2"/>
  </mergeCells>
  <conditionalFormatting sqref="S4:AH4">
    <cfRule type="expression" dxfId="605" priority="12">
      <formula>"Balanced"</formula>
    </cfRule>
  </conditionalFormatting>
  <dataValidations count="3">
    <dataValidation type="list" allowBlank="1" showInputMessage="1" showErrorMessage="1" sqref="N8:N200" xr:uid="{00000000-0002-0000-0600-000000000000}">
      <formula1>P_LAccount_Name</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600-000001000000}">
      <formula1>P_LSub_Group</formula1>
    </dataValidation>
    <dataValidation type="list" allowBlank="1" showInputMessage="1" showErrorMessage="1" sqref="T8:T200" xr:uid="{00000000-0002-0000-0600-000002000000}">
      <formula1>$T$402:$T$407</formula1>
    </dataValidation>
  </dataValidations>
  <pageMargins left="0.7" right="0.7" top="0.75" bottom="0.75" header="0.3" footer="0.3"/>
  <pageSetup orientation="portrait" r:id="rId1"/>
  <legacyDrawing r:id="rId2"/>
  <picture r:id="rId3"/>
  <tableParts count="4">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iconSet" priority="90" id="{DB4D1C7A-FC3D-4288-86DD-1B5001B4EB0B}">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11" id="{9F0507E1-6E97-4DFE-90C9-81E485CA84EB}">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2" operator="containsText" id="{EF429D32-26C9-47DD-9968-BC92322EDCB2}">
            <xm:f>NOT(ISERROR(SEARCH($T$407,T8)))</xm:f>
            <xm:f>$T$407</xm:f>
            <x14:dxf>
              <fill>
                <patternFill>
                  <bgColor rgb="FF7030A0"/>
                </patternFill>
              </fill>
            </x14:dxf>
          </x14:cfRule>
          <x14:cfRule type="containsText" priority="3" operator="containsText" id="{ECED7B4D-8D49-41EF-97DB-7DDCF17002DA}">
            <xm:f>NOT(ISERROR(SEARCH($T$406,T8)))</xm:f>
            <xm:f>$T$406</xm:f>
            <x14:dxf>
              <fill>
                <patternFill>
                  <bgColor rgb="FFFFFF00"/>
                </patternFill>
              </fill>
            </x14:dxf>
          </x14:cfRule>
          <x14:cfRule type="containsText" priority="4" operator="containsText" id="{E90C6ECB-D6BA-4208-B815-7D29F97FC563}">
            <xm:f>NOT(ISERROR(SEARCH($T$405,T8)))</xm:f>
            <xm:f>$T$405</xm:f>
            <x14:dxf>
              <fill>
                <patternFill>
                  <bgColor rgb="FF00B050"/>
                </patternFill>
              </fill>
            </x14:dxf>
          </x14:cfRule>
          <x14:cfRule type="containsText" priority="5" operator="containsText" id="{15E28117-6F10-43FD-BBF5-50C6735F2A15}">
            <xm:f>NOT(ISERROR(SEARCH($T$404,T8)))</xm:f>
            <xm:f>$T$404</xm:f>
            <x14:dxf>
              <fill>
                <patternFill>
                  <bgColor theme="0"/>
                </patternFill>
              </fill>
            </x14:dxf>
          </x14:cfRule>
          <x14:cfRule type="containsText" priority="6" operator="containsText" id="{9BEA8752-7E2E-46F5-93CF-501E7B1EA0B9}">
            <xm:f>NOT(ISERROR(SEARCH($T$403,T8)))</xm:f>
            <xm:f>$T$403</xm:f>
            <x14:dxf>
              <fill>
                <patternFill>
                  <bgColor rgb="FFFF0000"/>
                </patternFill>
              </fill>
            </x14:dxf>
          </x14:cfRule>
          <x14:cfRule type="containsText" priority="7" operator="containsText" id="{4B7CB8D5-3812-4C77-B2DA-BD828828207F}">
            <xm:f>NOT(ISERROR(SEARCH($T$402,T8)))</xm:f>
            <xm:f>$T$402</xm:f>
            <x14:dxf>
              <fill>
                <patternFill>
                  <bgColor theme="8" tint="-0.24994659260841701"/>
                </patternFill>
              </fill>
            </x14:dxf>
          </x14:cfRule>
          <xm:sqref>T8:T200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B1:AN407"/>
  <sheetViews>
    <sheetView showGridLines="0" topLeftCell="A14" workbookViewId="0">
      <selection activeCell="E205" sqref="E205"/>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IFERROR(SUMIF(Table447[,],Table649[[#This Row],[Accounts Name]],Table447[,3]),"")</f>
        <v>3977142.74</v>
      </c>
      <c r="P8" s="34">
        <f>IFERROR(SUMIF(Table447[,],Table649[[#This Row],[Accounts Name]],Table447[,2]),"")</f>
        <v>0</v>
      </c>
      <c r="S8" s="36">
        <v>1</v>
      </c>
      <c r="T8" s="34" t="s">
        <v>11</v>
      </c>
      <c r="U8" s="37" t="s">
        <v>138</v>
      </c>
      <c r="V8" s="34">
        <f>IFERROR(SUMIF(Table649[Sub-Accounts],Table850[[#This Row],[Update your chart of accounts here]],Table649[Debit]),"")</f>
        <v>5942202.0100000007</v>
      </c>
      <c r="W8" s="34">
        <f>IFERROR(SUMIF(Table649[Sub-Accounts],Table850[[#This Row],[Update your chart of accounts here]],Table649[Credit]),"")</f>
        <v>0</v>
      </c>
      <c r="X8" s="34"/>
      <c r="Y8" s="34" t="s">
        <v>228</v>
      </c>
      <c r="Z8" s="34"/>
      <c r="AA8" s="34">
        <f>J25</f>
        <v>21</v>
      </c>
      <c r="AB8" s="34">
        <f>MAX(Table850[[#This Row],[Debit]]+Table850[[#This Row],[Debit -]]-Table850[[#This Row],[Credit]]-Table850[[#This Row],[Credit +]],0)</f>
        <v>5942181.0100000007</v>
      </c>
      <c r="AC8" s="34">
        <f>MAX(Table850[[#This Row],[Credit]]-Table850[[#This Row],[Debit]]+Table850[[#This Row],[Credit +]]-Table850[[#This Row],[Debit -]],0)</f>
        <v>0</v>
      </c>
      <c r="AD8" s="34" t="str">
        <f>IFERROR(IF(AND(OR(Table850[[#This Row],[Classification]]="Expense",Table850[[#This Row],[Classification]]="Cost of Goods Sold"),Table850[[#This Row],[Debit\]]&gt;Table850[[#This Row],[Credit.]]),Table850[[#This Row],[Debit\]]-Table850[[#This Row],[Credit.]],""),"")</f>
        <v/>
      </c>
      <c r="AE8" s="34" t="str">
        <f>IFERROR(IF(AND(OR(Table850[[#This Row],[Classification]]="Income",Table850[[#This Row],[Classification]]="Cost of Goods Sold"),Table850[[#This Row],[Credit.]]&gt;Table850[[#This Row],[Debit\]]),Table850[[#This Row],[Credit.]]-Table850[[#This Row],[Debit\]],""),"")</f>
        <v/>
      </c>
      <c r="AF8" s="34"/>
      <c r="AG8" s="34">
        <f>IFERROR(IF(AND(Table850[[#This Row],[Classification]]="Assets",Table850[[#This Row],[Debit\]]-Table850[[#This Row],[Credit.]]),Table850[[#This Row],[Debit\]]-Table850[[#This Row],[Credit.]],""),"")</f>
        <v>5942181.0100000007</v>
      </c>
      <c r="AH8" s="34" t="str">
        <f>IFERROR(IF(AND(OR(Table850[[#This Row],[Classification]]="Liabilities",Table850[[#This Row],[Classification]]="Owner´s Equity"),Table850[[#This Row],[Credit.]]&gt;Table850[[#This Row],[Debit\]]),Table850[[#This Row],[Credit.]]-Table850[[#This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IFERROR(SUMIF(Table447[,],Table649[[#This Row],[Accounts Name]],Table447[,3]),"")</f>
        <v>0</v>
      </c>
      <c r="P9" s="34">
        <f>IFERROR(SUMIF(Table447[,],Table649[[#This Row],[Accounts Name]],Table447[,2]),"")</f>
        <v>1699952.7</v>
      </c>
      <c r="S9" s="36">
        <f>S8+1</f>
        <v>2</v>
      </c>
      <c r="T9" s="34" t="s">
        <v>12</v>
      </c>
      <c r="U9" s="37" t="s">
        <v>139</v>
      </c>
      <c r="V9" s="34">
        <f>IFERROR(SUMIF(Table649[Sub-Accounts],Table850[[#This Row],[Update your chart of accounts here]],Table649[Debit]),"")</f>
        <v>0</v>
      </c>
      <c r="W9" s="34">
        <f>IFERROR(SUMIF(Table649[Sub-Accounts],Table850[[#This Row],[Update your chart of accounts here]],Table649[Credit]),"")</f>
        <v>3699952.7</v>
      </c>
      <c r="X9" s="34"/>
      <c r="Y9" s="34"/>
      <c r="Z9" s="34"/>
      <c r="AA9" s="34"/>
      <c r="AB9" s="34">
        <f>MAX(Table850[[#This Row],[Debit]]+Table850[[#This Row],[Debit -]]-Table850[[#This Row],[Credit]]-Table850[[#This Row],[Credit +]],0)</f>
        <v>0</v>
      </c>
      <c r="AC9" s="34">
        <f>MAX(Table850[[#This Row],[Credit]]-Table850[[#This Row],[Debit]]+Table850[[#This Row],[Credit +]]-Table850[[#This Row],[Debit -]],0)</f>
        <v>3699952.7</v>
      </c>
      <c r="AD9" s="34" t="str">
        <f>IFERROR(IF(AND(OR(Table850[[#This Row],[Classification]]="Expense",Table850[[#This Row],[Classification]]="Cost of Goods Sold"),Table850[[#This Row],[Debit\]]&gt;Table850[[#This Row],[Credit.]]),Table850[[#This Row],[Debit\]]-Table850[[#This Row],[Credit.]],""),"")</f>
        <v/>
      </c>
      <c r="AE9" s="34" t="str">
        <f>IFERROR(IF(AND(OR(Table850[[#This Row],[Classification]]="Income",Table850[[#This Row],[Classification]]="Cost of Goods Sold"),Table850[[#This Row],[Credit.]]&gt;Table850[[#This Row],[Debit\]]),Table850[[#This Row],[Credit.]]-Table850[[#This Row],[Debit\]],""),"")</f>
        <v/>
      </c>
      <c r="AF9" s="34"/>
      <c r="AG9" s="34" t="str">
        <f>IFERROR(IF(AND(Table850[[#This Row],[Classification]]="Assets",Table850[[#This Row],[Debit\]]-Table850[[#This Row],[Credit.]]),Table850[[#This Row],[Debit\]]-Table850[[#This Row],[Credit.]],""),"")</f>
        <v/>
      </c>
      <c r="AH9" s="34">
        <f>IFERROR(IF(AND(OR(Table850[[#This Row],[Classification]]="Liabilities",Table850[[#This Row],[Classification]]="Owner´s Equity"),Table850[[#This Row],[Credit.]]&gt;Table850[[#This Row],[Debit\]]),Table850[[#This Row],[Credit.]]-Table850[[#This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IFERROR(SUMIF(Table447[,],Table649[[#This Row],[Accounts Name]],Table447[,3]),"")</f>
        <v>0</v>
      </c>
      <c r="P10" s="34">
        <f>IFERROR(SUMIF(Table447[,],Table649[[#This Row],[Accounts Name]],Table447[,2]),"")</f>
        <v>2000000</v>
      </c>
      <c r="S10" s="36">
        <f t="shared" ref="S10:S73" si="0">S9+1</f>
        <v>3</v>
      </c>
      <c r="T10" s="34" t="s">
        <v>11</v>
      </c>
      <c r="U10" s="37" t="s">
        <v>172</v>
      </c>
      <c r="V10" s="34">
        <f>IFERROR(SUMIF(Table649[Sub-Accounts],Table850[[#This Row],[Update your chart of accounts here]],Table649[Debit]),"")</f>
        <v>4355552.28</v>
      </c>
      <c r="W10" s="34">
        <f>IFERROR(SUMIF(Table649[Sub-Accounts],Table850[[#This Row],[Update your chart of accounts here]],Table649[Credit]),"")</f>
        <v>2517904</v>
      </c>
      <c r="X10" s="34"/>
      <c r="Y10" s="34" t="s">
        <v>224</v>
      </c>
      <c r="Z10" s="34">
        <f>I12</f>
        <v>251563</v>
      </c>
      <c r="AA10" s="34">
        <f>Table548[[#This Row],[,2]]</f>
        <v>409278.51677448238</v>
      </c>
      <c r="AB10" s="34">
        <f>MAX(Table850[[#This Row],[Debit]]+Table850[[#This Row],[Debit -]]-Table850[[#This Row],[Credit]]-Table850[[#This Row],[Credit +]],0)</f>
        <v>1679932.7632255179</v>
      </c>
      <c r="AC10" s="34">
        <f>MAX(Table850[[#This Row],[Credit]]-Table850[[#This Row],[Debit]]+Table850[[#This Row],[Credit +]]-Table850[[#This Row],[Debit -]],0)</f>
        <v>0</v>
      </c>
      <c r="AD10" s="34" t="str">
        <f>IFERROR(IF(AND(OR(Table850[[#This Row],[Classification]]="Expense",Table850[[#This Row],[Classification]]="Cost of Goods Sold"),Table850[[#This Row],[Debit\]]&gt;Table850[[#This Row],[Credit.]]),Table850[[#This Row],[Debit\]]-Table850[[#This Row],[Credit.]],""),"")</f>
        <v/>
      </c>
      <c r="AE10" s="34" t="str">
        <f>IFERROR(IF(AND(OR(Table850[[#This Row],[Classification]]="Income",Table850[[#This Row],[Classification]]="Cost of Goods Sold"),Table850[[#This Row],[Credit.]]&gt;Table850[[#This Row],[Debit\]]),Table850[[#This Row],[Credit.]]-Table850[[#This Row],[Debit\]],""),"")</f>
        <v/>
      </c>
      <c r="AF10" s="34"/>
      <c r="AG10" s="34">
        <f>IFERROR(IF(AND(Table850[[#This Row],[Classification]]="Assets",Table850[[#This Row],[Debit\]]-Table850[[#This Row],[Credit.]]),Table850[[#This Row],[Debit\]]-Table850[[#This Row],[Credit.]],""),"")</f>
        <v>1679932.7632255179</v>
      </c>
      <c r="AH10" s="34" t="str">
        <f>IFERROR(IF(AND(OR(Table850[[#This Row],[Classification]]="Liabilities",Table850[[#This Row],[Classification]]="Owner´s Equity"),Table850[[#This Row],[Credit.]]&gt;Table850[[#This Row],[Debit\]]),Table850[[#This Row],[Credit.]]-Table850[[#This Row],[Debit\]],""),"")</f>
        <v/>
      </c>
    </row>
    <row r="11" spans="2:40" x14ac:dyDescent="0.25">
      <c r="B11" s="34"/>
      <c r="C11" s="42" t="s">
        <v>65</v>
      </c>
      <c r="D11" s="34"/>
      <c r="E11" s="34">
        <v>2000000</v>
      </c>
      <c r="G11" s="39"/>
      <c r="H11" s="43" t="s">
        <v>180</v>
      </c>
      <c r="I11" s="41"/>
      <c r="J11" s="41"/>
      <c r="L11" s="34">
        <v>4</v>
      </c>
      <c r="M11" s="35" t="s">
        <v>138</v>
      </c>
      <c r="N11" s="35" t="s">
        <v>66</v>
      </c>
      <c r="O11" s="34">
        <f>IFERROR(SUMIF(Table447[,],Table649[[#This Row],[Accounts Name]],Table447[,3]),"")</f>
        <v>219779.97</v>
      </c>
      <c r="P11" s="34">
        <f>IFERROR(SUMIF(Table447[,],Table649[[#This Row],[Accounts Name]],Table447[,2]),"")</f>
        <v>0</v>
      </c>
      <c r="S11" s="36">
        <f t="shared" si="0"/>
        <v>4</v>
      </c>
      <c r="T11" s="34" t="s">
        <v>11</v>
      </c>
      <c r="U11" s="37" t="s">
        <v>140</v>
      </c>
      <c r="V11" s="34">
        <f>IFERROR(SUMIF(Table649[Sub-Accounts],Table850[[#This Row],[Update your chart of accounts here]],Table649[Debit]),"")</f>
        <v>21108825.949999999</v>
      </c>
      <c r="W11" s="34">
        <f>IFERROR(SUMIF(Table649[Sub-Accounts],Table850[[#This Row],[Update your chart of accounts here]],Table649[Credit]),"")</f>
        <v>0</v>
      </c>
      <c r="X11" s="34"/>
      <c r="Y11" s="34" t="s">
        <v>231</v>
      </c>
      <c r="Z11" s="34"/>
      <c r="AA11" s="34">
        <f>J31</f>
        <v>2551250</v>
      </c>
      <c r="AB11" s="34">
        <f>MAX(Table850[[#This Row],[Debit]]+Table850[[#This Row],[Debit -]]-Table850[[#This Row],[Credit]]-Table850[[#This Row],[Credit +]],0)</f>
        <v>18557575.949999999</v>
      </c>
      <c r="AC11" s="34">
        <f>MAX(Table850[[#This Row],[Credit]]-Table850[[#This Row],[Debit]]+Table850[[#This Row],[Credit +]]-Table850[[#This Row],[Debit -]],0)</f>
        <v>0</v>
      </c>
      <c r="AD11" s="34" t="str">
        <f>IFERROR(IF(AND(OR(Table850[[#This Row],[Classification]]="Expense",Table850[[#This Row],[Classification]]="Cost of Goods Sold"),Table850[[#This Row],[Debit\]]&gt;Table850[[#This Row],[Credit.]]),Table850[[#This Row],[Debit\]]-Table850[[#This Row],[Credit.]],""),"")</f>
        <v/>
      </c>
      <c r="AE11" s="34" t="str">
        <f>IFERROR(IF(AND(OR(Table850[[#This Row],[Classification]]="Income",Table850[[#This Row],[Classification]]="Cost of Goods Sold"),Table850[[#This Row],[Credit.]]&gt;Table850[[#This Row],[Debit\]]),Table850[[#This Row],[Credit.]]-Table850[[#This Row],[Debit\]],""),"")</f>
        <v/>
      </c>
      <c r="AF11" s="34"/>
      <c r="AG11" s="34">
        <f>IFERROR(IF(AND(Table850[[#This Row],[Classification]]="Assets",Table850[[#This Row],[Debit\]]-Table850[[#This Row],[Credit.]]),Table850[[#This Row],[Debit\]]-Table850[[#This Row],[Credit.]],""),"")</f>
        <v>18557575.949999999</v>
      </c>
      <c r="AH11" s="34" t="str">
        <f>IFERROR(IF(AND(OR(Table850[[#This Row],[Classification]]="Liabilities",Table850[[#This Row],[Classification]]="Owner´s Equity"),Table850[[#This Row],[Credit.]]&gt;Table850[[#This Row],[Debit\]]),Table850[[#This Row],[Credit.]]-Table850[[#This Row],[Debit\]],""),"")</f>
        <v/>
      </c>
    </row>
    <row r="12" spans="2:40" ht="15" hidden="1" customHeight="1" x14ac:dyDescent="0.25">
      <c r="B12" s="34"/>
      <c r="C12" s="38" t="s">
        <v>66</v>
      </c>
      <c r="D12" s="34">
        <v>219779.97</v>
      </c>
      <c r="E12" s="34"/>
      <c r="G12" s="39" t="s">
        <v>182</v>
      </c>
      <c r="H12" s="40" t="s">
        <v>143</v>
      </c>
      <c r="I12" s="41">
        <v>251563</v>
      </c>
      <c r="J12" s="41"/>
      <c r="L12" s="34">
        <v>5</v>
      </c>
      <c r="M12" s="35" t="s">
        <v>138</v>
      </c>
      <c r="N12" s="35" t="s">
        <v>67</v>
      </c>
      <c r="O12" s="34">
        <f>IFERROR(SUMIF(Table447[,],Table649[[#This Row],[Accounts Name]],Table447[,3]),"")</f>
        <v>1054457.3500000001</v>
      </c>
      <c r="P12" s="34">
        <f>IFERROR(SUMIF(Table447[,],Table649[[#This Row],[Accounts Name]],Table447[,2]),"")</f>
        <v>0</v>
      </c>
      <c r="S12" s="36">
        <f t="shared" si="0"/>
        <v>5</v>
      </c>
      <c r="T12" s="34" t="s">
        <v>61</v>
      </c>
      <c r="U12" s="37" t="s">
        <v>207</v>
      </c>
      <c r="V12" s="34">
        <f>IFERROR(SUMIF(Table649[Sub-Accounts],Table850[[#This Row],[Update your chart of accounts here]],Table649[Debit]),"")</f>
        <v>0</v>
      </c>
      <c r="W12" s="34">
        <f>IFERROR(SUMIF(Table649[Sub-Accounts],Table850[[#This Row],[Update your chart of accounts here]],Table649[Credit]),"")</f>
        <v>0</v>
      </c>
      <c r="X12" s="34"/>
      <c r="Y12" s="34"/>
      <c r="Z12" s="34">
        <f>AN7</f>
        <v>8341041.1232255697</v>
      </c>
      <c r="AA12" s="34">
        <f>AU6</f>
        <v>0</v>
      </c>
      <c r="AB12" s="34">
        <f>MAX(Table850[[#This Row],[Debit]]+Table850[[#This Row],[Debit -]]-Table850[[#This Row],[Credit]]-Table850[[#This Row],[Credit +]],0)</f>
        <v>8341041.1232255697</v>
      </c>
      <c r="AC12" s="34">
        <f>MAX(Table850[[#This Row],[Credit]]-Table850[[#This Row],[Debit]]+Table850[[#This Row],[Credit +]]-Table850[[#This Row],[Debit -]],0)</f>
        <v>0</v>
      </c>
      <c r="AD12" s="34">
        <f>IFERROR(IF(AND(OR(Table850[[#This Row],[Classification]]="Expense",Table850[[#This Row],[Classification]]="Cost of Goods Sold"),Table850[[#This Row],[Debit\]]&gt;Table850[[#This Row],[Credit.]]),Table850[[#This Row],[Debit\]]-Table850[[#This Row],[Credit.]],""),"")</f>
        <v>8341041.1232255697</v>
      </c>
      <c r="AE12" s="34" t="str">
        <f>IFERROR(IF(AND(OR(Table850[[#This Row],[Classification]]="Income",Table850[[#This Row],[Classification]]="Cost of Goods Sold"),Table850[[#This Row],[Credit.]]&gt;Table850[[#This Row],[Debit\]]),Table850[[#This Row],[Credit.]]-Table850[[#This Row],[Debit\]],""),"")</f>
        <v/>
      </c>
      <c r="AF12" s="34"/>
      <c r="AG12" s="34" t="str">
        <f>IFERROR(IF(AND(Table850[[#This Row],[Classification]]="Assets",Table850[[#This Row],[Debit\]]-Table850[[#This Row],[Credit.]]),Table850[[#This Row],[Debit\]]-Table850[[#This Row],[Credit.]],""),"")</f>
        <v/>
      </c>
      <c r="AH12" s="34" t="str">
        <f>IFERROR(IF(AND(OR(Table850[[#This Row],[Classification]]="Liabilities",Table850[[#This Row],[Classification]]="Owner´s Equity"),Table850[[#This Row],[Credit.]]&gt;Table850[[#This Row],[Debit\]]),Table850[[#This Row],[Credit.]]-Table850[[#This Row],[Debit\]],""),"")</f>
        <v/>
      </c>
    </row>
    <row r="13" spans="2:40" hidden="1" x14ac:dyDescent="0.25">
      <c r="B13" s="34"/>
      <c r="C13" s="38" t="s">
        <v>67</v>
      </c>
      <c r="D13" s="34">
        <v>1054457.3500000001</v>
      </c>
      <c r="E13" s="34"/>
      <c r="G13" s="39"/>
      <c r="H13" s="40" t="s">
        <v>173</v>
      </c>
      <c r="I13" s="41"/>
      <c r="J13" s="41">
        <v>251563</v>
      </c>
      <c r="L13" s="34">
        <v>6</v>
      </c>
      <c r="M13" s="35" t="s">
        <v>138</v>
      </c>
      <c r="N13" s="35" t="s">
        <v>68</v>
      </c>
      <c r="O13" s="34">
        <f>IFERROR(SUMIF(Table447[,],Table649[[#This Row],[Accounts Name]],Table447[,3]),"")</f>
        <v>230653</v>
      </c>
      <c r="P13" s="34">
        <f>IFERROR(SUMIF(Table447[,],Table649[[#This Row],[Accounts Name]],Table447[,2]),"")</f>
        <v>0</v>
      </c>
      <c r="S13" s="36">
        <f t="shared" si="0"/>
        <v>6</v>
      </c>
      <c r="T13" s="34" t="s">
        <v>6</v>
      </c>
      <c r="U13" s="37" t="s">
        <v>142</v>
      </c>
      <c r="V13" s="34">
        <f>IFERROR(SUMIF(Table649[Sub-Accounts],Table850[[#This Row],[Update your chart of accounts here]],Table649[Debit]),"")</f>
        <v>3296400</v>
      </c>
      <c r="W13" s="34">
        <f>IFERROR(SUMIF(Table649[Sub-Accounts],Table850[[#This Row],[Update your chart of accounts here]],Table649[Credit]),"")</f>
        <v>0</v>
      </c>
      <c r="X13" s="34"/>
      <c r="Y13" s="34" t="s">
        <v>227</v>
      </c>
      <c r="Z13" s="65"/>
      <c r="AA13" s="34"/>
      <c r="AB13" s="34">
        <f>MAX(Table850[[#This Row],[Debit]]+Table850[[#This Row],[Debit -]]-Table850[[#This Row],[Credit]]-Table850[[#This Row],[Credit +]],0)</f>
        <v>3296400</v>
      </c>
      <c r="AC13" s="34">
        <f>MAX(Table850[[#This Row],[Credit]]-Table850[[#This Row],[Debit]]+Table850[[#This Row],[Credit +]]-Table850[[#This Row],[Debit -]],0)</f>
        <v>0</v>
      </c>
      <c r="AD13" s="34">
        <f>IFERROR(IF(AND(OR(Table850[[#This Row],[Classification]]="Expense",Table850[[#This Row],[Classification]]="Cost of Goods Sold"),Table850[[#This Row],[Debit\]]&gt;Table850[[#This Row],[Credit.]]),Table850[[#This Row],[Debit\]]-Table850[[#This Row],[Credit.]],""),"")</f>
        <v>3296400</v>
      </c>
      <c r="AE13" s="34" t="str">
        <f>IFERROR(IF(AND(OR(Table850[[#This Row],[Classification]]="Income",Table850[[#This Row],[Classification]]="Cost of Goods Sold"),Table850[[#This Row],[Credit.]]&gt;Table850[[#This Row],[Debit\]]),Table850[[#This Row],[Credit.]]-Table850[[#This Row],[Debit\]],""),"")</f>
        <v/>
      </c>
      <c r="AF13" s="34"/>
      <c r="AG13" s="34" t="str">
        <f>IFERROR(IF(AND(Table850[[#This Row],[Classification]]="Assets",Table850[[#This Row],[Debit\]]-Table850[[#This Row],[Credit.]]),Table850[[#This Row],[Debit\]]-Table850[[#This Row],[Credit.]],""),"")</f>
        <v/>
      </c>
      <c r="AH13" s="34" t="str">
        <f>IFERROR(IF(AND(OR(Table850[[#This Row],[Classification]]="Liabilities",Table850[[#This Row],[Classification]]="Owner´s Equity"),Table850[[#This Row],[Credit.]]&gt;Table850[[#This Row],[Debit\]]),Table850[[#This Row],[Credit.]]-Table850[[#This Row],[Debit\]],""),"")</f>
        <v/>
      </c>
    </row>
    <row r="14" spans="2:40" x14ac:dyDescent="0.25">
      <c r="B14" s="34"/>
      <c r="C14" s="38" t="s">
        <v>68</v>
      </c>
      <c r="D14" s="34">
        <v>230653</v>
      </c>
      <c r="E14" s="34"/>
      <c r="G14" s="39"/>
      <c r="H14" s="43" t="s">
        <v>184</v>
      </c>
      <c r="I14" s="41"/>
      <c r="J14" s="41"/>
      <c r="L14" s="34">
        <v>7</v>
      </c>
      <c r="M14" s="35" t="s">
        <v>138</v>
      </c>
      <c r="N14" s="35" t="s">
        <v>69</v>
      </c>
      <c r="O14" s="34">
        <f>IFERROR(SUMIF(Table447[,],Table649[[#This Row],[Accounts Name]],Table447[,3]),"")</f>
        <v>460168.95</v>
      </c>
      <c r="P14" s="34">
        <f>IFERROR(SUMIF(Table447[,],Table649[[#This Row],[Accounts Name]],Table447[,2]),"")</f>
        <v>0</v>
      </c>
      <c r="S14" s="36">
        <f t="shared" si="0"/>
        <v>7</v>
      </c>
      <c r="T14" s="34" t="s">
        <v>12</v>
      </c>
      <c r="U14" s="37" t="s">
        <v>141</v>
      </c>
      <c r="V14" s="34">
        <f>IFERROR(SUMIF(Table649[Sub-Accounts],Table850[[#This Row],[Update your chart of accounts here]],Table649[Debit]),"")</f>
        <v>0</v>
      </c>
      <c r="W14" s="34">
        <f>IFERROR(SUMIF(Table649[Sub-Accounts],Table850[[#This Row],[Update your chart of accounts here]],Table649[Credit]),"")</f>
        <v>15517383.640000001</v>
      </c>
      <c r="X14" s="34"/>
      <c r="Y14" s="34" t="s">
        <v>233</v>
      </c>
      <c r="Z14" s="34">
        <f>I18</f>
        <v>50000</v>
      </c>
      <c r="AA14" s="34">
        <f>J22</f>
        <v>115200</v>
      </c>
      <c r="AB14" s="34">
        <f>MAX(Table850[[#This Row],[Debit]]+Table850[[#This Row],[Debit -]]-Table850[[#This Row],[Credit]]-Table850[[#This Row],[Credit +]],0)</f>
        <v>0</v>
      </c>
      <c r="AC14" s="34">
        <f>MAX(Table850[[#This Row],[Credit]]-Table850[[#This Row],[Debit]]+Table850[[#This Row],[Credit +]]-Table850[[#This Row],[Debit -]],0)</f>
        <v>15582583.640000001</v>
      </c>
      <c r="AD14" s="34" t="str">
        <f>IFERROR(IF(AND(OR(Table850[[#This Row],[Classification]]="Expense",Table850[[#This Row],[Classification]]="Cost of Goods Sold"),Table850[[#This Row],[Debit\]]&gt;Table850[[#This Row],[Credit.]]),Table850[[#This Row],[Debit\]]-Table850[[#This Row],[Credit.]],""),"")</f>
        <v/>
      </c>
      <c r="AE14" s="34" t="str">
        <f>IFERROR(IF(AND(OR(Table850[[#This Row],[Classification]]="Income",Table850[[#This Row],[Classification]]="Cost of Goods Sold"),Table850[[#This Row],[Credit.]]&gt;Table850[[#This Row],[Debit\]]),Table850[[#This Row],[Credit.]]-Table850[[#This Row],[Debit\]],""),"")</f>
        <v/>
      </c>
      <c r="AF14" s="34"/>
      <c r="AG14" s="34" t="str">
        <f>IFERROR(IF(AND(Table850[[#This Row],[Classification]]="Assets",Table850[[#This Row],[Debit\]]-Table850[[#This Row],[Credit.]]),Table850[[#This Row],[Debit\]]-Table850[[#This Row],[Credit.]],""),"")</f>
        <v/>
      </c>
      <c r="AH14" s="34">
        <f>IFERROR(IF(AND(OR(Table850[[#This Row],[Classification]]="Liabilities",Table850[[#This Row],[Classification]]="Owner´s Equity"),Table850[[#This Row],[Credit.]]&gt;Table850[[#This Row],[Debit\]]),Table850[[#This Row],[Credit.]]-Table850[[#This Row],[Debit\]],""),"")</f>
        <v>15582583.640000001</v>
      </c>
    </row>
    <row r="15" spans="2:40" hidden="1" x14ac:dyDescent="0.25">
      <c r="B15" s="34"/>
      <c r="C15" s="37" t="s">
        <v>69</v>
      </c>
      <c r="D15" s="34">
        <v>460168.95</v>
      </c>
      <c r="E15" s="34"/>
      <c r="G15" s="39" t="s">
        <v>191</v>
      </c>
      <c r="H15" s="40" t="s">
        <v>174</v>
      </c>
      <c r="I15" s="41"/>
      <c r="J15" s="41">
        <v>1000000</v>
      </c>
      <c r="L15" s="34">
        <v>8</v>
      </c>
      <c r="M15" s="35" t="s">
        <v>140</v>
      </c>
      <c r="N15" s="35" t="s">
        <v>70</v>
      </c>
      <c r="O15" s="34">
        <f>IFERROR(SUMIF(Table447[,],Table649[[#This Row],[Accounts Name]],Table447[,3]),"")</f>
        <v>17870623.949999999</v>
      </c>
      <c r="P15" s="34">
        <f>IFERROR(SUMIF(Table447[,],Table649[[#This Row],[Accounts Name]],Table447[,2]),"")</f>
        <v>0</v>
      </c>
      <c r="S15" s="36">
        <f t="shared" si="0"/>
        <v>8</v>
      </c>
      <c r="T15" s="34"/>
      <c r="U15" s="37" t="s">
        <v>208</v>
      </c>
      <c r="V15" s="34">
        <f>IFERROR(SUMIF(Table649[Sub-Accounts],Table850[[#This Row],[Update your chart of accounts here]],Table649[Debit]),"")</f>
        <v>0</v>
      </c>
      <c r="W15" s="34">
        <f>IFERROR(SUMIF(Table649[Sub-Accounts],Table850[[#This Row],[Update your chart of accounts here]],Table649[Credit]),"")</f>
        <v>0</v>
      </c>
      <c r="X15" s="34"/>
      <c r="Y15" s="34"/>
      <c r="Z15" s="34"/>
      <c r="AA15" s="34"/>
      <c r="AB15" s="34">
        <f>MAX(Table850[[#This Row],[Debit]]+Table850[[#This Row],[Debit -]]-Table850[[#This Row],[Credit]]-Table850[[#This Row],[Credit +]],0)</f>
        <v>0</v>
      </c>
      <c r="AC15" s="34">
        <f>MAX(Table850[[#This Row],[Credit]]-Table850[[#This Row],[Debit]]+Table850[[#This Row],[Credit +]]-Table850[[#This Row],[Debit -]],0)</f>
        <v>0</v>
      </c>
      <c r="AD15" s="34" t="str">
        <f>IFERROR(IF(AND(OR(Table850[[#This Row],[Classification]]="Expense",Table850[[#This Row],[Classification]]="Cost of Goods Sold"),Table850[[#This Row],[Debit\]]&gt;Table850[[#This Row],[Credit.]]),Table850[[#This Row],[Debit\]]-Table850[[#This Row],[Credit.]],""),"")</f>
        <v/>
      </c>
      <c r="AE15" s="34" t="str">
        <f>IFERROR(IF(AND(OR(Table850[[#This Row],[Classification]]="Income",Table850[[#This Row],[Classification]]="Cost of Goods Sold"),Table850[[#This Row],[Credit.]]&gt;Table850[[#This Row],[Debit\]]),Table850[[#This Row],[Credit.]]-Table850[[#This Row],[Debit\]],""),"")</f>
        <v/>
      </c>
      <c r="AF15" s="34"/>
      <c r="AG15" s="34" t="str">
        <f>IFERROR(IF(AND(Table850[[#This Row],[Classification]]="Assets",Table850[[#This Row],[Debit\]]-Table850[[#This Row],[Credit.]]),Table850[[#This Row],[Debit\]]-Table850[[#This Row],[Credit.]],""),"")</f>
        <v/>
      </c>
      <c r="AH15" s="34" t="str">
        <f>IFERROR(IF(AND(OR(Table850[[#This Row],[Classification]]="Liabilities",Table850[[#This Row],[Classification]]="Owner´s Equity"),Table850[[#This Row],[Credit.]]&gt;Table850[[#This Row],[Debit\]]),Table850[[#This Row],[Credit.]]-Table850[[#This Row],[Debit\]],""),"")</f>
        <v/>
      </c>
    </row>
    <row r="16" spans="2:40" hidden="1" x14ac:dyDescent="0.25">
      <c r="B16" s="34"/>
      <c r="C16" s="37" t="s">
        <v>70</v>
      </c>
      <c r="D16" s="34">
        <v>17870623.949999999</v>
      </c>
      <c r="E16" s="34"/>
      <c r="G16" s="39"/>
      <c r="H16" s="40" t="s">
        <v>145</v>
      </c>
      <c r="I16" s="41">
        <v>1000000</v>
      </c>
      <c r="J16" s="41"/>
      <c r="L16" s="34">
        <v>9</v>
      </c>
      <c r="M16" s="35" t="s">
        <v>141</v>
      </c>
      <c r="N16" s="35" t="s">
        <v>71</v>
      </c>
      <c r="O16" s="34">
        <f>IFERROR(SUMIF(Table447[,],Table649[[#This Row],[Accounts Name]],Table447[,3]),"")</f>
        <v>0</v>
      </c>
      <c r="P16" s="34">
        <f>IFERROR(SUMIF(Table447[,],Table649[[#This Row],[Accounts Name]],Table447[,2]),"")</f>
        <v>8925200</v>
      </c>
      <c r="S16" s="36">
        <f t="shared" si="0"/>
        <v>9</v>
      </c>
      <c r="T16" s="34"/>
      <c r="U16" s="37" t="s">
        <v>209</v>
      </c>
      <c r="V16" s="34">
        <f>IFERROR(SUMIF(Table649[Sub-Accounts],Table850[[#This Row],[Update your chart of accounts here]],Table649[Debit]),"")</f>
        <v>0</v>
      </c>
      <c r="W16" s="34">
        <f>IFERROR(SUMIF(Table649[Sub-Accounts],Table850[[#This Row],[Update your chart of accounts here]],Table649[Credit]),"")</f>
        <v>0</v>
      </c>
      <c r="X16" s="34"/>
      <c r="Y16" s="34"/>
      <c r="Z16" s="34"/>
      <c r="AA16" s="34"/>
      <c r="AB16" s="34">
        <f>MAX(Table850[[#This Row],[Debit]]+Table850[[#This Row],[Debit -]]-Table850[[#This Row],[Credit]]-Table850[[#This Row],[Credit +]],0)</f>
        <v>0</v>
      </c>
      <c r="AC16" s="34">
        <f>MAX(Table850[[#This Row],[Credit]]-Table850[[#This Row],[Debit]]+Table850[[#This Row],[Credit +]]-Table850[[#This Row],[Debit -]],0)</f>
        <v>0</v>
      </c>
      <c r="AD16" s="34" t="str">
        <f>IFERROR(IF(AND(OR(Table850[[#This Row],[Classification]]="Expense",Table850[[#This Row],[Classification]]="Cost of Goods Sold"),Table850[[#This Row],[Debit\]]&gt;Table850[[#This Row],[Credit.]]),Table850[[#This Row],[Debit\]]-Table850[[#This Row],[Credit.]],""),"")</f>
        <v/>
      </c>
      <c r="AE16" s="34" t="str">
        <f>IFERROR(IF(AND(OR(Table850[[#This Row],[Classification]]="Income",Table850[[#This Row],[Classification]]="Cost of Goods Sold"),Table850[[#This Row],[Credit.]]&gt;Table850[[#This Row],[Debit\]]),Table850[[#This Row],[Credit.]]-Table850[[#This Row],[Debit\]],""),"")</f>
        <v/>
      </c>
      <c r="AF16" s="34"/>
      <c r="AG16" s="34" t="str">
        <f>IFERROR(IF(AND(Table850[[#This Row],[Classification]]="Assets",Table850[[#This Row],[Debit\]]-Table850[[#This Row],[Credit.]]),Table850[[#This Row],[Debit\]]-Table850[[#This Row],[Credit.]],""),"")</f>
        <v/>
      </c>
      <c r="AH16" s="34" t="str">
        <f>IFERROR(IF(AND(OR(Table850[[#This Row],[Classification]]="Liabilities",Table850[[#This Row],[Classification]]="Owner´s Equity"),Table850[[#This Row],[Credit.]]&gt;Table850[[#This Row],[Debit\]]),Table850[[#This Row],[Credit.]]-Table850[[#This Row],[Debit\]],""),"")</f>
        <v/>
      </c>
    </row>
    <row r="17" spans="2:34" x14ac:dyDescent="0.25">
      <c r="B17" s="34"/>
      <c r="C17" s="37" t="s">
        <v>71</v>
      </c>
      <c r="D17" s="34"/>
      <c r="E17" s="34">
        <v>8925200</v>
      </c>
      <c r="G17" s="39"/>
      <c r="H17" s="43" t="s">
        <v>185</v>
      </c>
      <c r="I17" s="41"/>
      <c r="J17" s="41"/>
      <c r="L17" s="34">
        <v>10</v>
      </c>
      <c r="M17" s="35" t="s">
        <v>142</v>
      </c>
      <c r="N17" s="35" t="s">
        <v>72</v>
      </c>
      <c r="O17" s="34">
        <f>IFERROR(SUMIF(Table447[,],Table649[[#This Row],[Accounts Name]],Table447[,3]),"")</f>
        <v>3296400</v>
      </c>
      <c r="P17" s="34">
        <f>IFERROR(SUMIF(Table447[,],Table649[[#This Row],[Accounts Name]],Table447[,2]),"")</f>
        <v>0</v>
      </c>
      <c r="S17" s="36">
        <f t="shared" si="0"/>
        <v>10</v>
      </c>
      <c r="T17" s="34" t="s">
        <v>48</v>
      </c>
      <c r="U17" s="37" t="s">
        <v>146</v>
      </c>
      <c r="V17" s="34">
        <f>IFERROR(SUMIF(Table649[Sub-Accounts],Table850[[#This Row],[Update your chart of accounts here]],Table649[Debit]),"")</f>
        <v>0</v>
      </c>
      <c r="W17" s="34">
        <f>IFERROR(SUMIF(Table649[Sub-Accounts],Table850[[#This Row],[Update your chart of accounts here]],Table649[Credit]),"")</f>
        <v>400</v>
      </c>
      <c r="X17" s="34"/>
      <c r="Y17" s="34"/>
      <c r="Z17" s="34"/>
      <c r="AA17" s="34"/>
      <c r="AB17" s="34">
        <f>MAX(Table850[[#This Row],[Debit]]+Table850[[#This Row],[Debit -]]-Table850[[#This Row],[Credit]]-Table850[[#This Row],[Credit +]],0)</f>
        <v>0</v>
      </c>
      <c r="AC17" s="34">
        <f>MAX(Table850[[#This Row],[Credit]]-Table850[[#This Row],[Debit]]+Table850[[#This Row],[Credit +]]-Table850[[#This Row],[Debit -]],0)</f>
        <v>400</v>
      </c>
      <c r="AD17" s="34" t="str">
        <f>IFERROR(IF(AND(OR(Table850[[#This Row],[Classification]]="Expense",Table850[[#This Row],[Classification]]="Cost of Goods Sold"),Table850[[#This Row],[Debit\]]&gt;Table850[[#This Row],[Credit.]]),Table850[[#This Row],[Debit\]]-Table850[[#This Row],[Credit.]],""),"")</f>
        <v/>
      </c>
      <c r="AE17" s="34" t="str">
        <f>IFERROR(IF(AND(OR(Table850[[#This Row],[Classification]]="Income",Table850[[#This Row],[Classification]]="Cost of Goods Sold"),Table850[[#This Row],[Credit.]]&gt;Table850[[#This Row],[Debit\]]),Table850[[#This Row],[Credit.]]-Table850[[#This Row],[Debit\]],""),"")</f>
        <v/>
      </c>
      <c r="AF17" s="34"/>
      <c r="AG17" s="34" t="str">
        <f>IFERROR(IF(AND(Table850[[#This Row],[Classification]]="Assets",Table850[[#This Row],[Debit\]]-Table850[[#This Row],[Credit.]]),Table850[[#This Row],[Debit\]]-Table850[[#This Row],[Credit.]],""),"")</f>
        <v/>
      </c>
      <c r="AH17" s="34">
        <f>IFERROR(IF(AND(OR(Table850[[#This Row],[Classification]]="Liabilities",Table850[[#This Row],[Classification]]="Owner´s Equity"),Table850[[#This Row],[Credit.]]&gt;Table850[[#This Row],[Debit\]]),Table850[[#This Row],[Credit.]]-Table850[[#This Row],[Debit\]],""),"")</f>
        <v>400</v>
      </c>
    </row>
    <row r="18" spans="2:34" hidden="1" x14ac:dyDescent="0.25">
      <c r="B18" s="34"/>
      <c r="C18" s="37" t="s">
        <v>72</v>
      </c>
      <c r="D18" s="34">
        <v>3296400</v>
      </c>
      <c r="E18" s="34"/>
      <c r="G18" s="39" t="s">
        <v>192</v>
      </c>
      <c r="H18" s="40" t="s">
        <v>186</v>
      </c>
      <c r="I18" s="41">
        <v>50000</v>
      </c>
      <c r="J18" s="41"/>
      <c r="L18" s="34">
        <v>11</v>
      </c>
      <c r="M18" s="35" t="s">
        <v>140</v>
      </c>
      <c r="N18" s="35" t="s">
        <v>73</v>
      </c>
      <c r="O18" s="34">
        <f>IFERROR(SUMIF(Table447[,],Table649[[#This Row],[Accounts Name]],Table447[,3]),"")</f>
        <v>165000</v>
      </c>
      <c r="P18" s="34">
        <f>IFERROR(SUMIF(Table447[,],Table649[[#This Row],[Accounts Name]],Table447[,2]),"")</f>
        <v>0</v>
      </c>
      <c r="S18" s="36">
        <f t="shared" si="0"/>
        <v>11</v>
      </c>
      <c r="T18" s="34"/>
      <c r="U18" s="37" t="s">
        <v>210</v>
      </c>
      <c r="V18" s="34">
        <f>IFERROR(SUMIF(Table649[Sub-Accounts],Table850[[#This Row],[Update your chart of accounts here]],Table649[Debit]),"")</f>
        <v>0</v>
      </c>
      <c r="W18" s="34">
        <f>IFERROR(SUMIF(Table649[Sub-Accounts],Table850[[#This Row],[Update your chart of accounts here]],Table649[Credit]),"")</f>
        <v>0</v>
      </c>
      <c r="X18" s="34"/>
      <c r="Y18" s="34"/>
      <c r="Z18" s="34"/>
      <c r="AA18" s="34"/>
      <c r="AB18" s="34">
        <f>MAX(Table850[[#This Row],[Debit]]+Table850[[#This Row],[Debit -]]-Table850[[#This Row],[Credit]]-Table850[[#This Row],[Credit +]],0)</f>
        <v>0</v>
      </c>
      <c r="AC18" s="34">
        <f>MAX(Table850[[#This Row],[Credit]]-Table850[[#This Row],[Debit]]+Table850[[#This Row],[Credit +]]-Table850[[#This Row],[Debit -]],0)</f>
        <v>0</v>
      </c>
      <c r="AD18" s="34" t="str">
        <f>IFERROR(IF(AND(OR(Table850[[#This Row],[Classification]]="Expense",Table850[[#This Row],[Classification]]="Cost of Goods Sold"),Table850[[#This Row],[Debit\]]&gt;Table850[[#This Row],[Credit.]]),Table850[[#This Row],[Debit\]]-Table850[[#This Row],[Credit.]],""),"")</f>
        <v/>
      </c>
      <c r="AE18" s="34" t="str">
        <f>IFERROR(IF(AND(OR(Table850[[#This Row],[Classification]]="Income",Table850[[#This Row],[Classification]]="Cost of Goods Sold"),Table850[[#This Row],[Credit.]]&gt;Table850[[#This Row],[Debit\]]),Table850[[#This Row],[Credit.]]-Table850[[#This Row],[Debit\]],""),"")</f>
        <v/>
      </c>
      <c r="AF18" s="34"/>
      <c r="AG18" s="34" t="str">
        <f>IFERROR(IF(AND(Table850[[#This Row],[Classification]]="Assets",Table850[[#This Row],[Debit\]]-Table850[[#This Row],[Credit.]]),Table850[[#This Row],[Debit\]]-Table850[[#This Row],[Credit.]],""),"")</f>
        <v/>
      </c>
      <c r="AH18" s="34" t="str">
        <f>IFERROR(IF(AND(OR(Table850[[#This Row],[Classification]]="Liabilities",Table850[[#This Row],[Classification]]="Owner´s Equity"),Table850[[#This Row],[Credit.]]&gt;Table850[[#This Row],[Debit\]]),Table850[[#This Row],[Credit.]]-Table850[[#This Row],[Debit\]],""),"")</f>
        <v/>
      </c>
    </row>
    <row r="19" spans="2:34" hidden="1" x14ac:dyDescent="0.25">
      <c r="B19" s="34"/>
      <c r="C19" s="37" t="s">
        <v>73</v>
      </c>
      <c r="D19" s="34">
        <v>165000</v>
      </c>
      <c r="E19" s="34"/>
      <c r="G19" s="39"/>
      <c r="H19" s="40" t="s">
        <v>178</v>
      </c>
      <c r="I19" s="41"/>
      <c r="J19" s="41">
        <v>50000</v>
      </c>
      <c r="L19" s="34">
        <v>12</v>
      </c>
      <c r="M19" s="35" t="s">
        <v>143</v>
      </c>
      <c r="N19" s="35" t="s">
        <v>74</v>
      </c>
      <c r="O19" s="34">
        <f>IFERROR(SUMIF(Table447[,],Table649[[#This Row],[Accounts Name]],Table447[,3]),"")</f>
        <v>676160</v>
      </c>
      <c r="P19" s="34">
        <f>IFERROR(SUMIF(Table447[,],Table649[[#This Row],[Accounts Name]],Table447[,2]),"")</f>
        <v>0</v>
      </c>
      <c r="S19" s="36">
        <f t="shared" si="0"/>
        <v>12</v>
      </c>
      <c r="T19" s="34"/>
      <c r="U19" s="37" t="s">
        <v>211</v>
      </c>
      <c r="V19" s="34">
        <f>IFERROR(SUMIF(Table649[Sub-Accounts],Table850[[#This Row],[Update your chart of accounts here]],Table649[Debit]),"")</f>
        <v>0</v>
      </c>
      <c r="W19" s="34">
        <f>IFERROR(SUMIF(Table649[Sub-Accounts],Table850[[#This Row],[Update your chart of accounts here]],Table649[Credit]),"")</f>
        <v>0</v>
      </c>
      <c r="X19" s="34"/>
      <c r="Y19" s="34"/>
      <c r="Z19" s="34"/>
      <c r="AA19" s="34"/>
      <c r="AB19" s="34">
        <f>MAX(Table850[[#This Row],[Debit]]+Table850[[#This Row],[Debit -]]-Table850[[#This Row],[Credit]]-Table850[[#This Row],[Credit +]],0)</f>
        <v>0</v>
      </c>
      <c r="AC19" s="34">
        <f>MAX(Table850[[#This Row],[Credit]]-Table850[[#This Row],[Debit]]+Table850[[#This Row],[Credit +]]-Table850[[#This Row],[Debit -]],0)</f>
        <v>0</v>
      </c>
      <c r="AD19" s="34" t="str">
        <f>IFERROR(IF(AND(OR(Table850[[#This Row],[Classification]]="Expense",Table850[[#This Row],[Classification]]="Cost of Goods Sold"),Table850[[#This Row],[Debit\]]&gt;Table850[[#This Row],[Credit.]]),Table850[[#This Row],[Debit\]]-Table850[[#This Row],[Credit.]],""),"")</f>
        <v/>
      </c>
      <c r="AE19" s="34" t="str">
        <f>IFERROR(IF(AND(OR(Table850[[#This Row],[Classification]]="Income",Table850[[#This Row],[Classification]]="Cost of Goods Sold"),Table850[[#This Row],[Credit.]]&gt;Table850[[#This Row],[Debit\]]),Table850[[#This Row],[Credit.]]-Table850[[#This Row],[Debit\]],""),"")</f>
        <v/>
      </c>
      <c r="AF19" s="34"/>
      <c r="AG19" s="34" t="str">
        <f>IFERROR(IF(AND(Table850[[#This Row],[Classification]]="Assets",Table850[[#This Row],[Debit\]]-Table850[[#This Row],[Credit.]]),Table850[[#This Row],[Debit\]]-Table850[[#This Row],[Credit.]],""),"")</f>
        <v/>
      </c>
      <c r="AH19" s="34" t="str">
        <f>IFERROR(IF(AND(OR(Table850[[#This Row],[Classification]]="Liabilities",Table850[[#This Row],[Classification]]="Owner´s Equity"),Table850[[#This Row],[Credit.]]&gt;Table850[[#This Row],[Debit\]]),Table850[[#This Row],[Credit.]]-Table850[[#This Row],[Debit\]],""),"")</f>
        <v/>
      </c>
    </row>
    <row r="20" spans="2:34" hidden="1" x14ac:dyDescent="0.25">
      <c r="B20" s="34"/>
      <c r="C20" s="37" t="s">
        <v>74</v>
      </c>
      <c r="D20" s="34">
        <v>676160</v>
      </c>
      <c r="E20" s="34"/>
      <c r="G20" s="39"/>
      <c r="H20" s="43" t="s">
        <v>187</v>
      </c>
      <c r="I20" s="41"/>
      <c r="J20" s="41"/>
      <c r="L20" s="34">
        <v>13</v>
      </c>
      <c r="M20" s="35" t="s">
        <v>143</v>
      </c>
      <c r="N20" s="35" t="s">
        <v>75</v>
      </c>
      <c r="O20" s="34">
        <f>IFERROR(SUMIF(Table447[,],Table649[[#This Row],[Accounts Name]],Table447[,3]),"")</f>
        <v>0</v>
      </c>
      <c r="P20" s="34">
        <f>IFERROR(SUMIF(Table447[,],Table649[[#This Row],[Accounts Name]],Table447[,2]),"")</f>
        <v>654898</v>
      </c>
      <c r="S20" s="36">
        <f t="shared" si="0"/>
        <v>13</v>
      </c>
      <c r="T20" s="34"/>
      <c r="U20" s="37" t="s">
        <v>212</v>
      </c>
      <c r="V20" s="34">
        <f>IFERROR(SUMIF(Table649[Sub-Accounts],Table850[[#This Row],[Update your chart of accounts here]],Table649[Debit]),"")</f>
        <v>0</v>
      </c>
      <c r="W20" s="34">
        <f>IFERROR(SUMIF(Table649[Sub-Accounts],Table850[[#This Row],[Update your chart of accounts here]],Table649[Credit]),"")</f>
        <v>0</v>
      </c>
      <c r="X20" s="34"/>
      <c r="Y20" s="34"/>
      <c r="Z20" s="34"/>
      <c r="AA20" s="34"/>
      <c r="AB20" s="34">
        <f>MAX(Table850[[#This Row],[Debit]]+Table850[[#This Row],[Debit -]]-Table850[[#This Row],[Credit]]-Table850[[#This Row],[Credit +]],0)</f>
        <v>0</v>
      </c>
      <c r="AC20" s="34">
        <f>MAX(Table850[[#This Row],[Credit]]-Table850[[#This Row],[Debit]]+Table850[[#This Row],[Credit +]]-Table850[[#This Row],[Debit -]],0)</f>
        <v>0</v>
      </c>
      <c r="AD20" s="34" t="str">
        <f>IFERROR(IF(AND(OR(Table850[[#This Row],[Classification]]="Expense",Table850[[#This Row],[Classification]]="Cost of Goods Sold"),Table850[[#This Row],[Debit\]]&gt;Table850[[#This Row],[Credit.]]),Table850[[#This Row],[Debit\]]-Table850[[#This Row],[Credit.]],""),"")</f>
        <v/>
      </c>
      <c r="AE20" s="34" t="str">
        <f>IFERROR(IF(AND(OR(Table850[[#This Row],[Classification]]="Income",Table850[[#This Row],[Classification]]="Cost of Goods Sold"),Table850[[#This Row],[Credit.]]&gt;Table850[[#This Row],[Debit\]]),Table850[[#This Row],[Credit.]]-Table850[[#This Row],[Debit\]],""),"")</f>
        <v/>
      </c>
      <c r="AF20" s="34"/>
      <c r="AG20" s="34" t="str">
        <f>IFERROR(IF(AND(Table850[[#This Row],[Classification]]="Assets",Table850[[#This Row],[Debit\]]-Table850[[#This Row],[Credit.]]),Table850[[#This Row],[Debit\]]-Table850[[#This Row],[Credit.]],""),"")</f>
        <v/>
      </c>
      <c r="AH20" s="34" t="str">
        <f>IFERROR(IF(AND(OR(Table850[[#This Row],[Classification]]="Liabilities",Table850[[#This Row],[Classification]]="Owner´s Equity"),Table850[[#This Row],[Credit.]]&gt;Table850[[#This Row],[Debit\]]),Table850[[#This Row],[Credit.]]-Table850[[#This Row],[Debit\]],""),"")</f>
        <v/>
      </c>
    </row>
    <row r="21" spans="2:34" hidden="1" x14ac:dyDescent="0.25">
      <c r="B21" s="34"/>
      <c r="C21" s="37" t="s">
        <v>75</v>
      </c>
      <c r="D21" s="34"/>
      <c r="E21" s="34">
        <v>654898</v>
      </c>
      <c r="G21" s="39" t="s">
        <v>193</v>
      </c>
      <c r="H21" s="40" t="s">
        <v>178</v>
      </c>
      <c r="I21" s="41">
        <v>115200</v>
      </c>
      <c r="J21" s="41"/>
      <c r="L21" s="34">
        <v>14</v>
      </c>
      <c r="M21" s="35" t="s">
        <v>143</v>
      </c>
      <c r="N21" s="35" t="s">
        <v>76</v>
      </c>
      <c r="O21" s="34">
        <f>IFERROR(SUMIF(Table447[,],Table649[[#This Row],[Accounts Name]],Table447[,3]),"")</f>
        <v>828735.28</v>
      </c>
      <c r="P21" s="34">
        <f>IFERROR(SUMIF(Table447[,],Table649[[#This Row],[Accounts Name]],Table447[,2]),"")</f>
        <v>0</v>
      </c>
      <c r="S21" s="36">
        <f t="shared" si="0"/>
        <v>14</v>
      </c>
      <c r="T21" s="34"/>
      <c r="U21" s="37" t="s">
        <v>213</v>
      </c>
      <c r="V21" s="34">
        <f>IFERROR(SUMIF(Table649[Sub-Accounts],Table850[[#This Row],[Update your chart of accounts here]],Table649[Debit]),"")</f>
        <v>0</v>
      </c>
      <c r="W21" s="34">
        <f>IFERROR(SUMIF(Table649[Sub-Accounts],Table850[[#This Row],[Update your chart of accounts here]],Table649[Credit]),"")</f>
        <v>0</v>
      </c>
      <c r="X21" s="34"/>
      <c r="Y21" s="34"/>
      <c r="Z21" s="34"/>
      <c r="AA21" s="34"/>
      <c r="AB21" s="34">
        <f>MAX(Table850[[#This Row],[Debit]]+Table850[[#This Row],[Debit -]]-Table850[[#This Row],[Credit]]-Table850[[#This Row],[Credit +]],0)</f>
        <v>0</v>
      </c>
      <c r="AC21" s="34">
        <f>MAX(Table850[[#This Row],[Credit]]-Table850[[#This Row],[Debit]]+Table850[[#This Row],[Credit +]]-Table850[[#This Row],[Debit -]],0)</f>
        <v>0</v>
      </c>
      <c r="AD21" s="34" t="str">
        <f>IFERROR(IF(AND(OR(Table850[[#This Row],[Classification]]="Expense",Table850[[#This Row],[Classification]]="Cost of Goods Sold"),Table850[[#This Row],[Debit\]]&gt;Table850[[#This Row],[Credit.]]),Table850[[#This Row],[Debit\]]-Table850[[#This Row],[Credit.]],""),"")</f>
        <v/>
      </c>
      <c r="AE21" s="34" t="str">
        <f>IFERROR(IF(AND(OR(Table850[[#This Row],[Classification]]="Income",Table850[[#This Row],[Classification]]="Cost of Goods Sold"),Table850[[#This Row],[Credit.]]&gt;Table850[[#This Row],[Debit\]]),Table850[[#This Row],[Credit.]]-Table850[[#This Row],[Debit\]],""),"")</f>
        <v/>
      </c>
      <c r="AF21" s="34"/>
      <c r="AG21" s="34" t="str">
        <f>IFERROR(IF(AND(Table850[[#This Row],[Classification]]="Assets",Table850[[#This Row],[Debit\]]-Table850[[#This Row],[Credit.]]),Table850[[#This Row],[Debit\]]-Table850[[#This Row],[Credit.]],""),"")</f>
        <v/>
      </c>
      <c r="AH21" s="34" t="str">
        <f>IFERROR(IF(AND(OR(Table850[[#This Row],[Classification]]="Liabilities",Table850[[#This Row],[Classification]]="Owner´s Equity"),Table850[[#This Row],[Credit.]]&gt;Table850[[#This Row],[Debit\]]),Table850[[#This Row],[Credit.]]-Table850[[#This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IFERROR(SUMIF(Table447[,],Table649[[#This Row],[Accounts Name]],Table447[,3]),"")</f>
        <v>0</v>
      </c>
      <c r="P22" s="34">
        <f>IFERROR(SUMIF(Table447[,],Table649[[#This Row],[Accounts Name]],Table447[,2]),"")</f>
        <v>347656</v>
      </c>
      <c r="S22" s="36">
        <f t="shared" si="0"/>
        <v>15</v>
      </c>
      <c r="T22" s="34" t="s">
        <v>11</v>
      </c>
      <c r="U22" s="37" t="s">
        <v>144</v>
      </c>
      <c r="V22" s="34">
        <f>IFERROR(SUMIF(Table649[Sub-Accounts],Table850[[#This Row],[Update your chart of accounts here]],Table649[Debit]),"")</f>
        <v>2228108</v>
      </c>
      <c r="W22" s="34">
        <f>IFERROR(SUMIF(Table649[Sub-Accounts],Table850[[#This Row],[Update your chart of accounts here]],Table649[Credit]),"")</f>
        <v>0</v>
      </c>
      <c r="X22" s="34"/>
      <c r="Y22" s="34" t="s">
        <v>227</v>
      </c>
      <c r="Z22" s="34"/>
      <c r="AA22" s="34">
        <f>J19</f>
        <v>50000</v>
      </c>
      <c r="AB22" s="34">
        <f>MAX(Table850[[#This Row],[Debit]]+Table850[[#This Row],[Debit -]]-Table850[[#This Row],[Credit]]-Table850[[#This Row],[Credit +]],0)</f>
        <v>2178108</v>
      </c>
      <c r="AC22" s="34">
        <f>MAX(Table850[[#This Row],[Credit]]-Table850[[#This Row],[Debit]]+Table850[[#This Row],[Credit +]]-Table850[[#This Row],[Debit -]],0)</f>
        <v>0</v>
      </c>
      <c r="AD22" s="34" t="str">
        <f>IFERROR(IF(AND(OR(Table850[[#This Row],[Classification]]="Expense",Table850[[#This Row],[Classification]]="Cost of Goods Sold"),Table850[[#This Row],[Debit\]]&gt;Table850[[#This Row],[Credit.]]),Table850[[#This Row],[Debit\]]-Table850[[#This Row],[Credit.]],""),"")</f>
        <v/>
      </c>
      <c r="AE22" s="34" t="str">
        <f>IFERROR(IF(AND(OR(Table850[[#This Row],[Classification]]="Income",Table850[[#This Row],[Classification]]="Cost of Goods Sold"),Table850[[#This Row],[Credit.]]&gt;Table850[[#This Row],[Debit\]]),Table850[[#This Row],[Credit.]]-Table850[[#This Row],[Debit\]],""),"")</f>
        <v/>
      </c>
      <c r="AF22" s="34"/>
      <c r="AG22" s="34">
        <f>IFERROR(IF(AND(Table850[[#This Row],[Classification]]="Assets",Table850[[#This Row],[Debit\]]-Table850[[#This Row],[Credit.]]),Table850[[#This Row],[Debit\]]-Table850[[#This Row],[Credit.]],""),"")</f>
        <v>2178108</v>
      </c>
      <c r="AH22" s="34" t="str">
        <f>IFERROR(IF(AND(OR(Table850[[#This Row],[Classification]]="Liabilities",Table850[[#This Row],[Classification]]="Owner´s Equity"),Table850[[#This Row],[Credit.]]&gt;Table850[[#This Row],[Debit\]]),Table850[[#This Row],[Credit.]]-Table850[[#This Row],[Debit\]],""),"")</f>
        <v/>
      </c>
    </row>
    <row r="23" spans="2:34" hidden="1" x14ac:dyDescent="0.25">
      <c r="B23" s="34"/>
      <c r="C23" s="37" t="s">
        <v>77</v>
      </c>
      <c r="D23" s="34"/>
      <c r="E23" s="34">
        <v>347656</v>
      </c>
      <c r="G23" s="39"/>
      <c r="H23" s="43" t="s">
        <v>188</v>
      </c>
      <c r="I23" s="41"/>
      <c r="J23" s="41"/>
      <c r="L23" s="34">
        <v>16</v>
      </c>
      <c r="M23" s="35" t="s">
        <v>143</v>
      </c>
      <c r="N23" s="35" t="s">
        <v>78</v>
      </c>
      <c r="O23" s="34">
        <f>IFERROR(SUMIF(Table447[,],Table649[[#This Row],[Accounts Name]],Table447[,3]),"")</f>
        <v>1150000</v>
      </c>
      <c r="P23" s="34">
        <f>IFERROR(SUMIF(Table447[,],Table649[[#This Row],[Accounts Name]],Table447[,2]),"")</f>
        <v>0</v>
      </c>
      <c r="S23" s="36">
        <f t="shared" si="0"/>
        <v>16</v>
      </c>
      <c r="T23" s="34"/>
      <c r="U23" s="37" t="s">
        <v>214</v>
      </c>
      <c r="V23" s="34">
        <f>IFERROR(SUMIF(Table649[Sub-Accounts],Table850[[#This Row],[Update your chart of accounts here]],Table649[Debit]),"")</f>
        <v>0</v>
      </c>
      <c r="W23" s="34">
        <f>IFERROR(SUMIF(Table649[Sub-Accounts],Table850[[#This Row],[Update your chart of accounts here]],Table649[Credit]),"")</f>
        <v>0</v>
      </c>
      <c r="X23" s="34"/>
      <c r="Y23" s="34"/>
      <c r="Z23" s="34"/>
      <c r="AA23" s="34"/>
      <c r="AB23" s="34">
        <f>MAX(Table850[[#This Row],[Debit]]+Table850[[#This Row],[Debit -]]-Table850[[#This Row],[Credit]]-Table850[[#This Row],[Credit +]],0)</f>
        <v>0</v>
      </c>
      <c r="AC23" s="34">
        <f>MAX(Table850[[#This Row],[Credit]]-Table850[[#This Row],[Debit]]+Table850[[#This Row],[Credit +]]-Table850[[#This Row],[Debit -]],0)</f>
        <v>0</v>
      </c>
      <c r="AD23" s="34" t="str">
        <f>IFERROR(IF(AND(OR(Table850[[#This Row],[Classification]]="Expense",Table850[[#This Row],[Classification]]="Cost of Goods Sold"),Table850[[#This Row],[Debit\]]&gt;Table850[[#This Row],[Credit.]]),Table850[[#This Row],[Debit\]]-Table850[[#This Row],[Credit.]],""),"")</f>
        <v/>
      </c>
      <c r="AE23" s="34" t="str">
        <f>IFERROR(IF(AND(OR(Table850[[#This Row],[Classification]]="Income",Table850[[#This Row],[Classification]]="Cost of Goods Sold"),Table850[[#This Row],[Credit.]]&gt;Table850[[#This Row],[Debit\]]),Table850[[#This Row],[Credit.]]-Table850[[#This Row],[Debit\]],""),"")</f>
        <v/>
      </c>
      <c r="AF23" s="34"/>
      <c r="AG23" s="34" t="str">
        <f>IFERROR(IF(AND(Table850[[#This Row],[Classification]]="Assets",Table850[[#This Row],[Debit\]]-Table850[[#This Row],[Credit.]]),Table850[[#This Row],[Debit\]]-Table850[[#This Row],[Credit.]],""),"")</f>
        <v/>
      </c>
      <c r="AH23" s="34" t="str">
        <f>IFERROR(IF(AND(OR(Table850[[#This Row],[Classification]]="Liabilities",Table850[[#This Row],[Classification]]="Owner´s Equity"),Table850[[#This Row],[Credit.]]&gt;Table850[[#This Row],[Debit\]]),Table850[[#This Row],[Credit.]]-Table850[[#This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IFERROR(SUMIF(Table447[,],Table649[[#This Row],[Accounts Name]],Table447[,3]),"")</f>
        <v>375657</v>
      </c>
      <c r="P24" s="34">
        <f>IFERROR(SUMIF(Table447[,],Table649[[#This Row],[Accounts Name]],Table447[,2]),"")</f>
        <v>0</v>
      </c>
      <c r="S24" s="36">
        <f t="shared" si="0"/>
        <v>17</v>
      </c>
      <c r="T24" s="34" t="s">
        <v>48</v>
      </c>
      <c r="U24" s="37" t="s">
        <v>145</v>
      </c>
      <c r="V24" s="34">
        <f>IFERROR(SUMIF(Table649[Sub-Accounts],Table850[[#This Row],[Update your chart of accounts here]],Table649[Debit]),"")</f>
        <v>0</v>
      </c>
      <c r="W24" s="34">
        <f>IFERROR(SUMIF(Table649[Sub-Accounts],Table850[[#This Row],[Update your chart of accounts here]],Table649[Credit]),"")</f>
        <v>11852079.26</v>
      </c>
      <c r="X24" s="34"/>
      <c r="Y24" s="34" t="s">
        <v>226</v>
      </c>
      <c r="Z24" s="34">
        <f>I16</f>
        <v>1000000</v>
      </c>
      <c r="AA24" s="34"/>
      <c r="AB24" s="34">
        <f>MAX(Table850[[#This Row],[Debit]]+Table850[[#This Row],[Debit -]]-Table850[[#This Row],[Credit]]-Table850[[#This Row],[Credit +]],0)</f>
        <v>0</v>
      </c>
      <c r="AC24" s="34">
        <f>MAX(Table850[[#This Row],[Credit]]-Table850[[#This Row],[Debit]]+Table850[[#This Row],[Credit +]]-Table850[[#This Row],[Debit -]],0)</f>
        <v>10852079.26</v>
      </c>
      <c r="AD24" s="34" t="str">
        <f>IFERROR(IF(AND(OR(Table850[[#This Row],[Classification]]="Expense",Table850[[#This Row],[Classification]]="Cost of Goods Sold"),Table850[[#This Row],[Debit\]]&gt;Table850[[#This Row],[Credit.]]),Table850[[#This Row],[Debit\]]-Table850[[#This Row],[Credit.]],""),"")</f>
        <v/>
      </c>
      <c r="AE24" s="34" t="str">
        <f>IFERROR(IF(AND(OR(Table850[[#This Row],[Classification]]="Income",Table850[[#This Row],[Classification]]="Cost of Goods Sold"),Table850[[#This Row],[Credit.]]&gt;Table850[[#This Row],[Debit\]]),Table850[[#This Row],[Credit.]]-Table850[[#This Row],[Debit\]],""),"")</f>
        <v/>
      </c>
      <c r="AF24" s="34"/>
      <c r="AG24" s="34" t="str">
        <f>IFERROR(IF(AND(Table850[[#This Row],[Classification]]="Assets",Table850[[#This Row],[Debit\]]-Table850[[#This Row],[Credit.]]),Table850[[#This Row],[Debit\]]-Table850[[#This Row],[Credit.]],""),"")</f>
        <v/>
      </c>
      <c r="AH24" s="34">
        <f>IFERROR(IF(AND(OR(Table850[[#This Row],[Classification]]="Liabilities",Table850[[#This Row],[Classification]]="Owner´s Equity"),Table850[[#This Row],[Credit.]]&gt;Table850[[#This Row],[Debit\]]),Table850[[#This Row],[Credit.]]-Table850[[#This Row],[Debit\]],""),"")</f>
        <v>10852079.26</v>
      </c>
    </row>
    <row r="25" spans="2:34" hidden="1" x14ac:dyDescent="0.25">
      <c r="B25" s="34"/>
      <c r="C25" s="37" t="s">
        <v>79</v>
      </c>
      <c r="D25" s="34">
        <v>375657</v>
      </c>
      <c r="E25" s="34"/>
      <c r="G25" s="39"/>
      <c r="H25" s="40" t="s">
        <v>177</v>
      </c>
      <c r="I25" s="41"/>
      <c r="J25" s="41">
        <v>21</v>
      </c>
      <c r="L25" s="34">
        <v>18</v>
      </c>
      <c r="M25" s="35" t="s">
        <v>143</v>
      </c>
      <c r="N25" s="35" t="s">
        <v>80</v>
      </c>
      <c r="O25" s="34">
        <f>IFERROR(SUMIF(Table447[,],Table649[[#This Row],[Accounts Name]],Table447[,3]),"")</f>
        <v>0</v>
      </c>
      <c r="P25" s="34">
        <f>IFERROR(SUMIF(Table447[,],Table649[[#This Row],[Accounts Name]],Table447[,2]),"")</f>
        <v>288789</v>
      </c>
      <c r="S25" s="36">
        <f t="shared" si="0"/>
        <v>18</v>
      </c>
      <c r="T25" s="34"/>
      <c r="U25" s="37" t="s">
        <v>215</v>
      </c>
      <c r="V25" s="34">
        <f>IFERROR(SUMIF(Table649[Sub-Accounts],Table850[[#This Row],[Update your chart of accounts here]],Table649[Debit]),"")</f>
        <v>0</v>
      </c>
      <c r="W25" s="34">
        <f>IFERROR(SUMIF(Table649[Sub-Accounts],Table850[[#This Row],[Update your chart of accounts here]],Table649[Credit]),"")</f>
        <v>0</v>
      </c>
      <c r="X25" s="34"/>
      <c r="Y25" s="34"/>
      <c r="Z25" s="34"/>
      <c r="AA25" s="34"/>
      <c r="AB25" s="34">
        <f>MAX(Table850[[#This Row],[Debit]]+Table850[[#This Row],[Debit -]]-Table850[[#This Row],[Credit]]-Table850[[#This Row],[Credit +]],0)</f>
        <v>0</v>
      </c>
      <c r="AC25" s="34">
        <f>MAX(Table850[[#This Row],[Credit]]-Table850[[#This Row],[Debit]]+Table850[[#This Row],[Credit +]]-Table850[[#This Row],[Debit -]],0)</f>
        <v>0</v>
      </c>
      <c r="AD25" s="34" t="str">
        <f>IFERROR(IF(AND(OR(Table850[[#This Row],[Classification]]="Expense",Table850[[#This Row],[Classification]]="Cost of Goods Sold"),Table850[[#This Row],[Debit\]]&gt;Table850[[#This Row],[Credit.]]),Table850[[#This Row],[Debit\]]-Table850[[#This Row],[Credit.]],""),"")</f>
        <v/>
      </c>
      <c r="AE25" s="34" t="str">
        <f>IFERROR(IF(AND(OR(Table850[[#This Row],[Classification]]="Income",Table850[[#This Row],[Classification]]="Cost of Goods Sold"),Table850[[#This Row],[Credit.]]&gt;Table850[[#This Row],[Debit\]]),Table850[[#This Row],[Credit.]]-Table850[[#This Row],[Debit\]],""),"")</f>
        <v/>
      </c>
      <c r="AF25" s="34"/>
      <c r="AG25" s="34" t="str">
        <f>IFERROR(IF(AND(Table850[[#This Row],[Classification]]="Assets",Table850[[#This Row],[Debit\]]-Table850[[#This Row],[Credit.]]),Table850[[#This Row],[Debit\]]-Table850[[#This Row],[Credit.]],""),"")</f>
        <v/>
      </c>
      <c r="AH25" s="34" t="str">
        <f>IFERROR(IF(AND(OR(Table850[[#This Row],[Classification]]="Liabilities",Table850[[#This Row],[Classification]]="Owner´s Equity"),Table850[[#This Row],[Credit.]]&gt;Table850[[#This Row],[Debit\]]),Table850[[#This Row],[Credit.]]-Table850[[#This Row],[Debit\]],""),"")</f>
        <v/>
      </c>
    </row>
    <row r="26" spans="2:34" hidden="1" x14ac:dyDescent="0.25">
      <c r="B26" s="34"/>
      <c r="C26" s="37" t="s">
        <v>80</v>
      </c>
      <c r="D26" s="34"/>
      <c r="E26" s="34">
        <v>288789</v>
      </c>
      <c r="G26" s="39"/>
      <c r="H26" s="43" t="s">
        <v>189</v>
      </c>
      <c r="I26" s="41"/>
      <c r="J26" s="41"/>
      <c r="L26" s="34">
        <v>19</v>
      </c>
      <c r="M26" s="35" t="s">
        <v>143</v>
      </c>
      <c r="N26" s="35" t="s">
        <v>81</v>
      </c>
      <c r="O26" s="34">
        <f>IFERROR(SUMIF(Table447[,],Table649[[#This Row],[Accounts Name]],Table447[,3]),"")</f>
        <v>975000</v>
      </c>
      <c r="P26" s="34">
        <f>IFERROR(SUMIF(Table447[,],Table649[[#This Row],[Accounts Name]],Table447[,2]),"")</f>
        <v>0</v>
      </c>
      <c r="S26" s="36">
        <f t="shared" si="0"/>
        <v>19</v>
      </c>
      <c r="T26" s="34" t="s">
        <v>62</v>
      </c>
      <c r="U26" s="37" t="s">
        <v>62</v>
      </c>
      <c r="V26" s="34">
        <f>IFERROR(SUMIF(Table649[Sub-Accounts],Table850[[#This Row],[Update your chart of accounts here]],Table649[Debit]),"")</f>
        <v>0</v>
      </c>
      <c r="W26" s="34">
        <f>IFERROR(SUMIF(Table649[Sub-Accounts],Table850[[#This Row],[Update your chart of accounts here]],Table649[Credit]),"")</f>
        <v>332888373.44999999</v>
      </c>
      <c r="X26" s="34"/>
      <c r="Y26" s="34" t="s">
        <v>228</v>
      </c>
      <c r="Z26" s="34">
        <f>I24</f>
        <v>21</v>
      </c>
      <c r="AA26" s="34"/>
      <c r="AB26" s="34">
        <f>MAX(Table850[[#This Row],[Debit]]+Table850[[#This Row],[Debit -]]-Table850[[#This Row],[Credit]]-Table850[[#This Row],[Credit +]],0)</f>
        <v>0</v>
      </c>
      <c r="AC26" s="34">
        <f>MAX(Table850[[#This Row],[Credit]]-Table850[[#This Row],[Debit]]+Table850[[#This Row],[Credit +]]-Table850[[#This Row],[Debit -]],0)</f>
        <v>332888352.44999999</v>
      </c>
      <c r="AD26" s="34" t="str">
        <f>IFERROR(IF(AND(OR(Table850[[#This Row],[Classification]]="Expense",Table850[[#This Row],[Classification]]="Cost of Goods Sold"),Table850[[#This Row],[Debit\]]&gt;Table850[[#This Row],[Credit.]]),Table850[[#This Row],[Debit\]]-Table850[[#This Row],[Credit.]],""),"")</f>
        <v/>
      </c>
      <c r="AE26" s="34">
        <f>IFERROR(IF(AND(OR(Table850[[#This Row],[Classification]]="Income",Table850[[#This Row],[Classification]]="Cost of Goods Sold"),Table850[[#This Row],[Credit.]]&gt;Table850[[#This Row],[Debit\]]),Table850[[#This Row],[Credit.]]-Table850[[#This Row],[Debit\]],""),"")</f>
        <v>332888352.44999999</v>
      </c>
      <c r="AF26" s="34"/>
      <c r="AG26" s="34" t="str">
        <f>IFERROR(IF(AND(Table850[[#This Row],[Classification]]="Assets",Table850[[#This Row],[Debit\]]-Table850[[#This Row],[Credit.]]),Table850[[#This Row],[Debit\]]-Table850[[#This Row],[Credit.]],""),"")</f>
        <v/>
      </c>
      <c r="AH26" s="34" t="str">
        <f>IFERROR(IF(AND(OR(Table850[[#This Row],[Classification]]="Liabilities",Table850[[#This Row],[Classification]]="Owner´s Equity"),Table850[[#This Row],[Credit.]]&gt;Table850[[#This Row],[Debit\]]),Table850[[#This Row],[Credit.]]-Table850[[#This Row],[Debit\]],""),"")</f>
        <v/>
      </c>
    </row>
    <row r="27" spans="2:34" hidden="1" x14ac:dyDescent="0.25">
      <c r="B27" s="34"/>
      <c r="C27" s="37" t="s">
        <v>81</v>
      </c>
      <c r="D27" s="34">
        <v>975000</v>
      </c>
      <c r="E27" s="34"/>
      <c r="G27" s="39" t="s">
        <v>195</v>
      </c>
      <c r="H27" s="40" t="s">
        <v>175</v>
      </c>
      <c r="I27" s="41">
        <v>845624</v>
      </c>
      <c r="J27" s="41"/>
      <c r="L27" s="34">
        <v>20</v>
      </c>
      <c r="M27" s="35" t="s">
        <v>143</v>
      </c>
      <c r="N27" s="35" t="s">
        <v>82</v>
      </c>
      <c r="O27" s="34">
        <f>IFERROR(SUMIF(Table447[,],Table649[[#This Row],[Accounts Name]],Table447[,3]),"")</f>
        <v>0</v>
      </c>
      <c r="P27" s="34">
        <f>IFERROR(SUMIF(Table447[,],Table649[[#This Row],[Accounts Name]],Table447[,2]),"")</f>
        <v>426561</v>
      </c>
      <c r="S27" s="36">
        <f t="shared" si="0"/>
        <v>20</v>
      </c>
      <c r="T27" s="34" t="s">
        <v>62</v>
      </c>
      <c r="U27" s="37" t="s">
        <v>216</v>
      </c>
      <c r="V27" s="34">
        <f>IFERROR(SUMIF(Table649[Sub-Accounts],Table850[[#This Row],[Update your chart of accounts here]],Table649[Debit]),"")</f>
        <v>0</v>
      </c>
      <c r="W27" s="34">
        <f>IFERROR(SUMIF(Table649[Sub-Accounts],Table850[[#This Row],[Update your chart of accounts here]],Table649[Credit]),"")</f>
        <v>0</v>
      </c>
      <c r="X27" s="34"/>
      <c r="Y27" s="34" t="s">
        <v>225</v>
      </c>
      <c r="Z27" s="34"/>
      <c r="AA27" s="34">
        <f>J13</f>
        <v>251563</v>
      </c>
      <c r="AB27" s="34">
        <f>MAX(Table850[[#This Row],[Debit]]+Table850[[#This Row],[Debit -]]-Table850[[#This Row],[Credit]]-Table850[[#This Row],[Credit +]],0)</f>
        <v>0</v>
      </c>
      <c r="AC27" s="34">
        <f>MAX(Table850[[#This Row],[Credit]]-Table850[[#This Row],[Debit]]+Table850[[#This Row],[Credit +]]-Table850[[#This Row],[Debit -]],0)</f>
        <v>251563</v>
      </c>
      <c r="AD27" s="34" t="str">
        <f>IFERROR(IF(AND(OR(Table850[[#This Row],[Classification]]="Expense",Table850[[#This Row],[Classification]]="Cost of Goods Sold"),Table850[[#This Row],[Debit\]]&gt;Table850[[#This Row],[Credit.]]),Table850[[#This Row],[Debit\]]-Table850[[#This Row],[Credit.]],""),"")</f>
        <v/>
      </c>
      <c r="AE27" s="34">
        <f>IFERROR(IF(AND(OR(Table850[[#This Row],[Classification]]="Income",Table850[[#This Row],[Classification]]="Cost of Goods Sold"),Table850[[#This Row],[Credit.]]&gt;Table850[[#This Row],[Debit\]]),Table850[[#This Row],[Credit.]]-Table850[[#This Row],[Debit\]],""),"")</f>
        <v>251563</v>
      </c>
      <c r="AF27" s="34"/>
      <c r="AG27" s="34" t="str">
        <f>IFERROR(IF(AND(Table850[[#This Row],[Classification]]="Assets",Table850[[#This Row],[Debit\]]-Table850[[#This Row],[Credit.]]),Table850[[#This Row],[Debit\]]-Table850[[#This Row],[Credit.]],""),"")</f>
        <v/>
      </c>
      <c r="AH27" s="34" t="str">
        <f>IFERROR(IF(AND(OR(Table850[[#This Row],[Classification]]="Liabilities",Table850[[#This Row],[Classification]]="Owner´s Equity"),Table850[[#This Row],[Credit.]]&gt;Table850[[#This Row],[Debit\]]),Table850[[#This Row],[Credit.]]-Table850[[#This Row],[Debit\]],""),"")</f>
        <v/>
      </c>
    </row>
    <row r="28" spans="2:34" hidden="1" x14ac:dyDescent="0.25">
      <c r="B28" s="34"/>
      <c r="C28" s="37" t="s">
        <v>82</v>
      </c>
      <c r="D28" s="34"/>
      <c r="E28" s="34">
        <v>426561</v>
      </c>
      <c r="G28" s="39"/>
      <c r="H28" s="40" t="s">
        <v>162</v>
      </c>
      <c r="I28" s="41">
        <v>0</v>
      </c>
      <c r="J28" s="41"/>
      <c r="L28" s="34">
        <v>21</v>
      </c>
      <c r="M28" s="35" t="s">
        <v>143</v>
      </c>
      <c r="N28" s="35" t="s">
        <v>83</v>
      </c>
      <c r="O28" s="34">
        <f>IFERROR(SUMIF(Table447[,],Table649[[#This Row],[Accounts Name]],Table447[,3]),"")</f>
        <v>350000</v>
      </c>
      <c r="P28" s="34">
        <f>IFERROR(SUMIF(Table447[,],Table649[[#This Row],[Accounts Name]],Table447[,2]),"")</f>
        <v>0</v>
      </c>
      <c r="S28" s="36">
        <f t="shared" si="0"/>
        <v>21</v>
      </c>
      <c r="T28" s="34" t="s">
        <v>6</v>
      </c>
      <c r="U28" s="37" t="s">
        <v>147</v>
      </c>
      <c r="V28" s="34">
        <f>IFERROR(SUMIF(Table649[Sub-Accounts],Table850[[#This Row],[Update your chart of accounts here]],Table649[Debit]),"")</f>
        <v>316209838.63</v>
      </c>
      <c r="W28" s="34">
        <f>IFERROR(SUMIF(Table649[Sub-Accounts],Table850[[#This Row],[Update your chart of accounts here]],Table649[Credit]),"")</f>
        <v>0</v>
      </c>
      <c r="X28" s="34"/>
      <c r="Y28" s="34" t="s">
        <v>231</v>
      </c>
      <c r="Z28" s="34">
        <f>I30</f>
        <v>1379881</v>
      </c>
      <c r="AA28" s="34"/>
      <c r="AB28" s="34">
        <f>MAX(Table850[[#This Row],[Debit]]+Table850[[#This Row],[Debit -]]-Table850[[#This Row],[Credit]]-Table850[[#This Row],[Credit +]],0)</f>
        <v>317589719.63</v>
      </c>
      <c r="AC28" s="34">
        <f>MAX(Table850[[#This Row],[Credit]]-Table850[[#This Row],[Debit]]+Table850[[#This Row],[Credit +]]-Table850[[#This Row],[Debit -]],0)</f>
        <v>0</v>
      </c>
      <c r="AD28" s="34">
        <f>IFERROR(IF(AND(OR(Table850[[#This Row],[Classification]]="Expense",Table850[[#This Row],[Classification]]="Cost of Goods Sold"),Table850[[#This Row],[Debit\]]&gt;Table850[[#This Row],[Credit.]]),Table850[[#This Row],[Debit\]]-Table850[[#This Row],[Credit.]],""),"")</f>
        <v>317589719.63</v>
      </c>
      <c r="AE28" s="34" t="str">
        <f>IFERROR(IF(AND(OR(Table850[[#This Row],[Classification]]="Income",Table850[[#This Row],[Classification]]="Cost of Goods Sold"),Table850[[#This Row],[Credit.]]&gt;Table850[[#This Row],[Debit\]]),Table850[[#This Row],[Credit.]]-Table850[[#This Row],[Debit\]],""),"")</f>
        <v/>
      </c>
      <c r="AF28" s="34"/>
      <c r="AG28" s="34" t="str">
        <f>IFERROR(IF(AND(Table850[[#This Row],[Classification]]="Assets",Table850[[#This Row],[Debit\]]-Table850[[#This Row],[Credit.]]),Table850[[#This Row],[Debit\]]-Table850[[#This Row],[Credit.]],""),"")</f>
        <v/>
      </c>
      <c r="AH28" s="34" t="str">
        <f>IFERROR(IF(AND(OR(Table850[[#This Row],[Classification]]="Liabilities",Table850[[#This Row],[Classification]]="Owner´s Equity"),Table850[[#This Row],[Credit.]]&gt;Table850[[#This Row],[Debit\]]),Table850[[#This Row],[Credit.]]-Table850[[#This Row],[Debit\]],""),"")</f>
        <v/>
      </c>
    </row>
    <row r="29" spans="2:34" hidden="1" x14ac:dyDescent="0.25">
      <c r="B29" s="34"/>
      <c r="C29" s="37" t="s">
        <v>83</v>
      </c>
      <c r="D29" s="34">
        <v>350000</v>
      </c>
      <c r="E29" s="34"/>
      <c r="G29" s="39"/>
      <c r="H29" s="40" t="s">
        <v>167</v>
      </c>
      <c r="I29" s="41">
        <v>325745</v>
      </c>
      <c r="J29" s="41"/>
      <c r="L29" s="34">
        <v>22</v>
      </c>
      <c r="M29" s="35" t="s">
        <v>141</v>
      </c>
      <c r="N29" s="35" t="s">
        <v>84</v>
      </c>
      <c r="O29" s="34">
        <f>IFERROR(SUMIF(Table447[,],Table649[[#This Row],[Accounts Name]],Table447[,3]),"")</f>
        <v>0</v>
      </c>
      <c r="P29" s="34">
        <f>IFERROR(SUMIF(Table447[,],Table649[[#This Row],[Accounts Name]],Table447[,2]),"")</f>
        <v>4840392.6399999997</v>
      </c>
      <c r="S29" s="36">
        <f t="shared" si="0"/>
        <v>22</v>
      </c>
      <c r="T29" s="34" t="s">
        <v>61</v>
      </c>
      <c r="U29" s="37" t="s">
        <v>151</v>
      </c>
      <c r="V29" s="34">
        <f>IFERROR(SUMIF(Table649[Sub-Accounts],Table850[[#This Row],[Update your chart of accounts here]],Table649[Debit]),"")</f>
        <v>3516485</v>
      </c>
      <c r="W29" s="34">
        <f>IFERROR(SUMIF(Table649[Sub-Accounts],Table850[[#This Row],[Update your chart of accounts here]],Table649[Credit]),"")</f>
        <v>0</v>
      </c>
      <c r="X29" s="34"/>
      <c r="Y29" s="34"/>
      <c r="Z29" s="34"/>
      <c r="AA29" s="34"/>
      <c r="AB29" s="34">
        <f>MAX(Table850[[#This Row],[Debit]]+Table850[[#This Row],[Debit -]]-Table850[[#This Row],[Credit]]-Table850[[#This Row],[Credit +]],0)</f>
        <v>3516485</v>
      </c>
      <c r="AC29" s="34">
        <f>MAX(Table850[[#This Row],[Credit]]-Table850[[#This Row],[Debit]]+Table850[[#This Row],[Credit +]]-Table850[[#This Row],[Debit -]],0)</f>
        <v>0</v>
      </c>
      <c r="AD29" s="34">
        <f>IFERROR(IF(AND(OR(Table850[[#This Row],[Classification]]="Expense",Table850[[#This Row],[Classification]]="Cost of Goods Sold"),Table850[[#This Row],[Debit\]]&gt;Table850[[#This Row],[Credit.]]),Table850[[#This Row],[Debit\]]-Table850[[#This Row],[Credit.]],""),"")</f>
        <v>3516485</v>
      </c>
      <c r="AE29" s="34" t="str">
        <f>IFERROR(IF(AND(OR(Table850[[#This Row],[Classification]]="Income",Table850[[#This Row],[Classification]]="Cost of Goods Sold"),Table850[[#This Row],[Credit.]]&gt;Table850[[#This Row],[Debit\]]),Table850[[#This Row],[Credit.]]-Table850[[#This Row],[Debit\]],""),"")</f>
        <v/>
      </c>
      <c r="AF29" s="34"/>
      <c r="AG29" s="34" t="str">
        <f>IFERROR(IF(AND(Table850[[#This Row],[Classification]]="Assets",Table850[[#This Row],[Debit\]]-Table850[[#This Row],[Credit.]]),Table850[[#This Row],[Debit\]]-Table850[[#This Row],[Credit.]],""),"")</f>
        <v/>
      </c>
      <c r="AH29" s="34" t="str">
        <f>IFERROR(IF(AND(OR(Table850[[#This Row],[Classification]]="Liabilities",Table850[[#This Row],[Classification]]="Owner´s Equity"),Table850[[#This Row],[Credit.]]&gt;Table850[[#This Row],[Debit\]]),Table850[[#This Row],[Credit.]]-Table850[[#This Row],[Debit\]],""),"")</f>
        <v/>
      </c>
    </row>
    <row r="30" spans="2:34" hidden="1" x14ac:dyDescent="0.25">
      <c r="B30" s="34"/>
      <c r="C30" s="37" t="s">
        <v>84</v>
      </c>
      <c r="D30" s="34"/>
      <c r="E30" s="34">
        <v>4840392.6399999997</v>
      </c>
      <c r="G30" s="39"/>
      <c r="H30" s="40" t="s">
        <v>147</v>
      </c>
      <c r="I30" s="41">
        <v>1379881</v>
      </c>
      <c r="J30" s="41"/>
      <c r="L30" s="34">
        <v>23</v>
      </c>
      <c r="M30" s="35" t="s">
        <v>141</v>
      </c>
      <c r="N30" s="35" t="s">
        <v>85</v>
      </c>
      <c r="O30" s="34">
        <f>IFERROR(SUMIF(Table447[,],Table649[[#This Row],[Accounts Name]],Table447[,3]),"")</f>
        <v>0</v>
      </c>
      <c r="P30" s="34">
        <f>IFERROR(SUMIF(Table447[,],Table649[[#This Row],[Accounts Name]],Table447[,2]),"")</f>
        <v>175000</v>
      </c>
      <c r="S30" s="36">
        <f t="shared" si="0"/>
        <v>23</v>
      </c>
      <c r="T30" s="34" t="s">
        <v>61</v>
      </c>
      <c r="U30" s="37" t="s">
        <v>167</v>
      </c>
      <c r="V30" s="34">
        <f>IFERROR(SUMIF(Table649[Sub-Accounts],Table850[[#This Row],[Update your chart of accounts here]],Table649[Debit]),"")</f>
        <v>395822.76</v>
      </c>
      <c r="W30" s="34">
        <f>IFERROR(SUMIF(Table649[Sub-Accounts],Table850[[#This Row],[Update your chart of accounts here]],Table649[Credit]),"")</f>
        <v>0</v>
      </c>
      <c r="X30" s="34"/>
      <c r="Y30" s="34" t="s">
        <v>231</v>
      </c>
      <c r="Z30" s="34">
        <f>I29</f>
        <v>325745</v>
      </c>
      <c r="AA30" s="34"/>
      <c r="AB30" s="34">
        <f>MAX(Table850[[#This Row],[Debit]]+Table850[[#This Row],[Debit -]]-Table850[[#This Row],[Credit]]-Table850[[#This Row],[Credit +]],0)</f>
        <v>721567.76</v>
      </c>
      <c r="AC30" s="34">
        <f>MAX(Table850[[#This Row],[Credit]]-Table850[[#This Row],[Debit]]+Table850[[#This Row],[Credit +]]-Table850[[#This Row],[Debit -]],0)</f>
        <v>0</v>
      </c>
      <c r="AD30" s="34">
        <f>IFERROR(IF(AND(OR(Table850[[#This Row],[Classification]]="Expense",Table850[[#This Row],[Classification]]="Cost of Goods Sold"),Table850[[#This Row],[Debit\]]&gt;Table850[[#This Row],[Credit.]]),Table850[[#This Row],[Debit\]]-Table850[[#This Row],[Credit.]],""),"")</f>
        <v>721567.76</v>
      </c>
      <c r="AE30" s="34" t="str">
        <f>IFERROR(IF(AND(OR(Table850[[#This Row],[Classification]]="Income",Table850[[#This Row],[Classification]]="Cost of Goods Sold"),Table850[[#This Row],[Credit.]]&gt;Table850[[#This Row],[Debit\]]),Table850[[#This Row],[Credit.]]-Table850[[#This Row],[Debit\]],""),"")</f>
        <v/>
      </c>
      <c r="AF30" s="34"/>
      <c r="AG30" s="34" t="str">
        <f>IFERROR(IF(AND(Table850[[#This Row],[Classification]]="Assets",Table850[[#This Row],[Debit\]]-Table850[[#This Row],[Credit.]]),Table850[[#This Row],[Debit\]]-Table850[[#This Row],[Credit.]],""),"")</f>
        <v/>
      </c>
      <c r="AH30" s="34" t="str">
        <f>IFERROR(IF(AND(OR(Table850[[#This Row],[Classification]]="Liabilities",Table850[[#This Row],[Classification]]="Owner´s Equity"),Table850[[#This Row],[Credit.]]&gt;Table850[[#This Row],[Debit\]]),Table850[[#This Row],[Credit.]]-Table850[[#This Row],[Debit\]],""),"")</f>
        <v/>
      </c>
    </row>
    <row r="31" spans="2:34" hidden="1" x14ac:dyDescent="0.25">
      <c r="B31" s="34"/>
      <c r="C31" s="37" t="s">
        <v>85</v>
      </c>
      <c r="D31" s="34"/>
      <c r="E31" s="34">
        <v>175000</v>
      </c>
      <c r="G31" s="39"/>
      <c r="H31" s="40" t="s">
        <v>176</v>
      </c>
      <c r="I31" s="41"/>
      <c r="J31" s="41">
        <v>2551250</v>
      </c>
      <c r="L31" s="34">
        <v>24</v>
      </c>
      <c r="M31" s="35" t="s">
        <v>141</v>
      </c>
      <c r="N31" s="35" t="s">
        <v>86</v>
      </c>
      <c r="O31" s="34">
        <f>IFERROR(SUMIF(Table447[,],Table649[[#This Row],[Accounts Name]],Table447[,3]),"")</f>
        <v>0</v>
      </c>
      <c r="P31" s="34">
        <f>IFERROR(SUMIF(Table447[,],Table649[[#This Row],[Accounts Name]],Table447[,2]),"")</f>
        <v>100000</v>
      </c>
      <c r="S31" s="36">
        <f t="shared" si="0"/>
        <v>24</v>
      </c>
      <c r="T31" s="34" t="s">
        <v>61</v>
      </c>
      <c r="U31" s="37" t="s">
        <v>166</v>
      </c>
      <c r="V31" s="34">
        <f>IFERROR(SUMIF(Table649[Sub-Accounts],Table850[[#This Row],[Update your chart of accounts here]],Table649[Debit]),"")</f>
        <v>1409746.56</v>
      </c>
      <c r="W31" s="34">
        <f>IFERROR(SUMIF(Table649[Sub-Accounts],Table850[[#This Row],[Update your chart of accounts here]],Table649[Credit]),"")</f>
        <v>0</v>
      </c>
      <c r="X31" s="34"/>
      <c r="Y31" s="34"/>
      <c r="Z31" s="34"/>
      <c r="AA31" s="34"/>
      <c r="AB31" s="34">
        <f>MAX(Table850[[#This Row],[Debit]]+Table850[[#This Row],[Debit -]]-Table850[[#This Row],[Credit]]-Table850[[#This Row],[Credit +]],0)</f>
        <v>1409746.56</v>
      </c>
      <c r="AC31" s="34">
        <f>MAX(Table850[[#This Row],[Credit]]-Table850[[#This Row],[Debit]]+Table850[[#This Row],[Credit +]]-Table850[[#This Row],[Debit -]],0)</f>
        <v>0</v>
      </c>
      <c r="AD31" s="34">
        <f>IFERROR(IF(AND(OR(Table850[[#This Row],[Classification]]="Expense",Table850[[#This Row],[Classification]]="Cost of Goods Sold"),Table850[[#This Row],[Debit\]]&gt;Table850[[#This Row],[Credit.]]),Table850[[#This Row],[Debit\]]-Table850[[#This Row],[Credit.]],""),"")</f>
        <v>1409746.56</v>
      </c>
      <c r="AE31" s="34" t="str">
        <f>IFERROR(IF(AND(OR(Table850[[#This Row],[Classification]]="Income",Table850[[#This Row],[Classification]]="Cost of Goods Sold"),Table850[[#This Row],[Credit.]]&gt;Table850[[#This Row],[Debit\]]),Table850[[#This Row],[Credit.]]-Table850[[#This Row],[Debit\]],""),"")</f>
        <v/>
      </c>
      <c r="AF31" s="34"/>
      <c r="AG31" s="34" t="str">
        <f>IFERROR(IF(AND(Table850[[#This Row],[Classification]]="Assets",Table850[[#This Row],[Debit\]]-Table850[[#This Row],[Credit.]]),Table850[[#This Row],[Debit\]]-Table850[[#This Row],[Credit.]],""),"")</f>
        <v/>
      </c>
      <c r="AH31" s="34" t="str">
        <f>IFERROR(IF(AND(OR(Table850[[#This Row],[Classification]]="Liabilities",Table850[[#This Row],[Classification]]="Owner´s Equity"),Table850[[#This Row],[Credit.]]&gt;Table850[[#This Row],[Debit\]]),Table850[[#This Row],[Credit.]]-Table850[[#This Row],[Debit\]],""),"")</f>
        <v/>
      </c>
    </row>
    <row r="32" spans="2:34" ht="16.5" hidden="1" x14ac:dyDescent="0.35">
      <c r="B32" s="34"/>
      <c r="C32" s="37" t="s">
        <v>86</v>
      </c>
      <c r="D32" s="34"/>
      <c r="E32" s="34">
        <v>100000</v>
      </c>
      <c r="G32" s="44"/>
      <c r="H32" s="43" t="s">
        <v>190</v>
      </c>
      <c r="I32" s="41"/>
      <c r="J32" s="41"/>
      <c r="L32" s="34">
        <v>25</v>
      </c>
      <c r="M32" s="35" t="s">
        <v>141</v>
      </c>
      <c r="N32" s="35" t="s">
        <v>87</v>
      </c>
      <c r="O32" s="34">
        <f>IFERROR(SUMIF(Table447[,],Table649[[#This Row],[Accounts Name]],Table447[,3]),"")</f>
        <v>0</v>
      </c>
      <c r="P32" s="34">
        <f>IFERROR(SUMIF(Table447[,],Table649[[#This Row],[Accounts Name]],Table447[,2]),"")</f>
        <v>10050</v>
      </c>
      <c r="S32" s="36">
        <f t="shared" si="0"/>
        <v>25</v>
      </c>
      <c r="T32" s="34" t="s">
        <v>61</v>
      </c>
      <c r="U32" s="37" t="s">
        <v>175</v>
      </c>
      <c r="V32" s="34">
        <f>IFERROR(SUMIF(Table649[Sub-Accounts],Table850[[#This Row],[Update your chart of accounts here]],Table649[Debit]),"")</f>
        <v>0</v>
      </c>
      <c r="W32" s="34">
        <f>IFERROR(SUMIF(Table649[Sub-Accounts],Table850[[#This Row],[Update your chart of accounts here]],Table649[Credit]),"")</f>
        <v>0</v>
      </c>
      <c r="X32" s="34"/>
      <c r="Y32" s="34" t="s">
        <v>231</v>
      </c>
      <c r="Z32" s="34">
        <f>I27</f>
        <v>845624</v>
      </c>
      <c r="AA32" s="34"/>
      <c r="AB32" s="34">
        <f>MAX(Table850[[#This Row],[Debit]]+Table850[[#This Row],[Debit -]]-Table850[[#This Row],[Credit]]-Table850[[#This Row],[Credit +]],0)</f>
        <v>845624</v>
      </c>
      <c r="AC32" s="34">
        <f>MAX(Table850[[#This Row],[Credit]]-Table850[[#This Row],[Debit]]+Table850[[#This Row],[Credit +]]-Table850[[#This Row],[Debit -]],0)</f>
        <v>0</v>
      </c>
      <c r="AD32" s="34">
        <f>IFERROR(IF(AND(OR(Table850[[#This Row],[Classification]]="Expense",Table850[[#This Row],[Classification]]="Cost of Goods Sold"),Table850[[#This Row],[Debit\]]&gt;Table850[[#This Row],[Credit.]]),Table850[[#This Row],[Debit\]]-Table850[[#This Row],[Credit.]],""),"")</f>
        <v>845624</v>
      </c>
      <c r="AE32" s="34" t="str">
        <f>IFERROR(IF(AND(OR(Table850[[#This Row],[Classification]]="Income",Table850[[#This Row],[Classification]]="Cost of Goods Sold"),Table850[[#This Row],[Credit.]]&gt;Table850[[#This Row],[Debit\]]),Table850[[#This Row],[Credit.]]-Table850[[#This Row],[Debit\]],""),"")</f>
        <v/>
      </c>
      <c r="AF32" s="34"/>
      <c r="AG32" s="34" t="str">
        <f>IFERROR(IF(AND(Table850[[#This Row],[Classification]]="Assets",Table850[[#This Row],[Debit\]]-Table850[[#This Row],[Credit.]]),Table850[[#This Row],[Debit\]]-Table850[[#This Row],[Credit.]],""),"")</f>
        <v/>
      </c>
      <c r="AH32" s="34" t="str">
        <f>IFERROR(IF(AND(OR(Table850[[#This Row],[Classification]]="Liabilities",Table850[[#This Row],[Classification]]="Owner´s Equity"),Table850[[#This Row],[Credit.]]&gt;Table850[[#This Row],[Debit\]]),Table850[[#This Row],[Credit.]]-Table850[[#This Row],[Debit\]],""),"")</f>
        <v/>
      </c>
    </row>
    <row r="33" spans="2:34" hidden="1" x14ac:dyDescent="0.25">
      <c r="B33" s="34"/>
      <c r="C33" s="37" t="s">
        <v>87</v>
      </c>
      <c r="D33" s="34"/>
      <c r="E33" s="34">
        <v>10050</v>
      </c>
      <c r="G33" s="39"/>
      <c r="H33" s="40"/>
      <c r="I33" s="41"/>
      <c r="J33" s="41"/>
      <c r="L33" s="34">
        <v>26</v>
      </c>
      <c r="M33" s="35" t="s">
        <v>141</v>
      </c>
      <c r="N33" s="35" t="s">
        <v>88</v>
      </c>
      <c r="O33" s="34">
        <f>IFERROR(SUMIF(Table447[,],Table649[[#This Row],[Accounts Name]],Table447[,3]),"")</f>
        <v>0</v>
      </c>
      <c r="P33" s="34">
        <f>IFERROR(SUMIF(Table447[,],Table649[[#This Row],[Accounts Name]],Table447[,2]),"")</f>
        <v>4800</v>
      </c>
      <c r="S33" s="36">
        <f t="shared" si="0"/>
        <v>26</v>
      </c>
      <c r="T33" s="34" t="s">
        <v>61</v>
      </c>
      <c r="U33" s="37" t="s">
        <v>154</v>
      </c>
      <c r="V33" s="34">
        <f>IFERROR(SUMIF(Table649[Sub-Accounts],Table850[[#This Row],[Update your chart of accounts here]],Table649[Debit]),"")</f>
        <v>2500001</v>
      </c>
      <c r="W33" s="34">
        <f>IFERROR(SUMIF(Table649[Sub-Accounts],Table850[[#This Row],[Update your chart of accounts here]],Table649[Credit]),"")</f>
        <v>0</v>
      </c>
      <c r="X33" s="34"/>
      <c r="Y33" s="34"/>
      <c r="Z33" s="34"/>
      <c r="AA33" s="34"/>
      <c r="AB33" s="34">
        <f>MAX(Table850[[#This Row],[Debit]]+Table850[[#This Row],[Debit -]]-Table850[[#This Row],[Credit]]-Table850[[#This Row],[Credit +]],0)</f>
        <v>2500001</v>
      </c>
      <c r="AC33" s="34">
        <f>MAX(Table850[[#This Row],[Credit]]-Table850[[#This Row],[Debit]]+Table850[[#This Row],[Credit +]]-Table850[[#This Row],[Debit -]],0)</f>
        <v>0</v>
      </c>
      <c r="AD33" s="34">
        <f>IFERROR(IF(AND(OR(Table850[[#This Row],[Classification]]="Expense",Table850[[#This Row],[Classification]]="Cost of Goods Sold"),Table850[[#This Row],[Debit\]]&gt;Table850[[#This Row],[Credit.]]),Table850[[#This Row],[Debit\]]-Table850[[#This Row],[Credit.]],""),"")</f>
        <v>2500001</v>
      </c>
      <c r="AE33" s="34" t="str">
        <f>IFERROR(IF(AND(OR(Table850[[#This Row],[Classification]]="Income",Table850[[#This Row],[Classification]]="Cost of Goods Sold"),Table850[[#This Row],[Credit.]]&gt;Table850[[#This Row],[Debit\]]),Table850[[#This Row],[Credit.]]-Table850[[#This Row],[Debit\]],""),"")</f>
        <v/>
      </c>
      <c r="AF33" s="34"/>
      <c r="AG33" s="34" t="str">
        <f>IFERROR(IF(AND(Table850[[#This Row],[Classification]]="Assets",Table850[[#This Row],[Debit\]]-Table850[[#This Row],[Credit.]]),Table850[[#This Row],[Debit\]]-Table850[[#This Row],[Credit.]],""),"")</f>
        <v/>
      </c>
      <c r="AH33" s="34" t="str">
        <f>IFERROR(IF(AND(OR(Table850[[#This Row],[Classification]]="Liabilities",Table850[[#This Row],[Classification]]="Owner´s Equity"),Table850[[#This Row],[Credit.]]&gt;Table850[[#This Row],[Debit\]]),Table850[[#This Row],[Credit.]]-Table850[[#This Row],[Debit\]],""),"")</f>
        <v/>
      </c>
    </row>
    <row r="34" spans="2:34" hidden="1" x14ac:dyDescent="0.25">
      <c r="B34" s="34"/>
      <c r="C34" s="37" t="s">
        <v>88</v>
      </c>
      <c r="D34" s="34"/>
      <c r="E34" s="34">
        <v>4800</v>
      </c>
      <c r="G34" s="39"/>
      <c r="H34" s="40"/>
      <c r="I34" s="41"/>
      <c r="J34" s="41"/>
      <c r="L34" s="34">
        <v>27</v>
      </c>
      <c r="M34" s="35" t="s">
        <v>141</v>
      </c>
      <c r="N34" s="35" t="s">
        <v>89</v>
      </c>
      <c r="O34" s="34">
        <f>IFERROR(SUMIF(Table447[,],Table649[[#This Row],[Accounts Name]],Table447[,3]),"")</f>
        <v>0</v>
      </c>
      <c r="P34" s="34">
        <f>IFERROR(SUMIF(Table447[,],Table649[[#This Row],[Accounts Name]],Table447[,2]),"")</f>
        <v>110610</v>
      </c>
      <c r="S34" s="36">
        <f t="shared" si="0"/>
        <v>27</v>
      </c>
      <c r="T34" s="34" t="s">
        <v>61</v>
      </c>
      <c r="U34" s="37" t="s">
        <v>161</v>
      </c>
      <c r="V34" s="34">
        <f>IFERROR(SUMIF(Table649[Sub-Accounts],Table850[[#This Row],[Update your chart of accounts here]],Table649[Debit]),"")</f>
        <v>77850</v>
      </c>
      <c r="W34" s="34">
        <f>IFERROR(SUMIF(Table649[Sub-Accounts],Table850[[#This Row],[Update your chart of accounts here]],Table649[Credit]),"")</f>
        <v>0</v>
      </c>
      <c r="X34" s="34"/>
      <c r="Y34" s="34"/>
      <c r="Z34" s="34"/>
      <c r="AA34" s="34"/>
      <c r="AB34" s="34">
        <f>MAX(Table850[[#This Row],[Debit]]+Table850[[#This Row],[Debit -]]-Table850[[#This Row],[Credit]]-Table850[[#This Row],[Credit +]],0)</f>
        <v>77850</v>
      </c>
      <c r="AC34" s="34">
        <f>MAX(Table850[[#This Row],[Credit]]-Table850[[#This Row],[Debit]]+Table850[[#This Row],[Credit +]]-Table850[[#This Row],[Debit -]],0)</f>
        <v>0</v>
      </c>
      <c r="AD34" s="34">
        <f>IFERROR(IF(AND(OR(Table850[[#This Row],[Classification]]="Expense",Table850[[#This Row],[Classification]]="Cost of Goods Sold"),Table850[[#This Row],[Debit\]]&gt;Table850[[#This Row],[Credit.]]),Table850[[#This Row],[Debit\]]-Table850[[#This Row],[Credit.]],""),"")</f>
        <v>77850</v>
      </c>
      <c r="AE34" s="34" t="str">
        <f>IFERROR(IF(AND(OR(Table850[[#This Row],[Classification]]="Income",Table850[[#This Row],[Classification]]="Cost of Goods Sold"),Table850[[#This Row],[Credit.]]&gt;Table850[[#This Row],[Debit\]]),Table850[[#This Row],[Credit.]]-Table850[[#This Row],[Debit\]],""),"")</f>
        <v/>
      </c>
      <c r="AF34" s="34"/>
      <c r="AG34" s="34" t="str">
        <f>IFERROR(IF(AND(Table850[[#This Row],[Classification]]="Assets",Table850[[#This Row],[Debit\]]-Table850[[#This Row],[Credit.]]),Table850[[#This Row],[Debit\]]-Table850[[#This Row],[Credit.]],""),"")</f>
        <v/>
      </c>
      <c r="AH34" s="34" t="str">
        <f>IFERROR(IF(AND(OR(Table850[[#This Row],[Classification]]="Liabilities",Table850[[#This Row],[Classification]]="Owner´s Equity"),Table850[[#This Row],[Credit.]]&gt;Table850[[#This Row],[Debit\]]),Table850[[#This Row],[Credit.]]-Table850[[#This Row],[Debit\]],""),"")</f>
        <v/>
      </c>
    </row>
    <row r="35" spans="2:34" hidden="1" x14ac:dyDescent="0.25">
      <c r="B35" s="34"/>
      <c r="C35" s="37" t="s">
        <v>89</v>
      </c>
      <c r="D35" s="34"/>
      <c r="E35" s="34">
        <v>110610</v>
      </c>
      <c r="G35" s="39"/>
      <c r="H35" s="43"/>
      <c r="I35" s="41"/>
      <c r="J35" s="41"/>
      <c r="L35" s="34">
        <v>28</v>
      </c>
      <c r="M35" s="35" t="s">
        <v>141</v>
      </c>
      <c r="N35" s="35" t="s">
        <v>90</v>
      </c>
      <c r="O35" s="34">
        <f>IFERROR(SUMIF(Table447[,],Table649[[#This Row],[Accounts Name]],Table447[,3]),"")</f>
        <v>0</v>
      </c>
      <c r="P35" s="34">
        <f>IFERROR(SUMIF(Table447[,],Table649[[#This Row],[Accounts Name]],Table447[,2]),"")</f>
        <v>33200</v>
      </c>
      <c r="S35" s="36">
        <f t="shared" si="0"/>
        <v>28</v>
      </c>
      <c r="T35" s="34" t="s">
        <v>61</v>
      </c>
      <c r="U35" s="37" t="s">
        <v>162</v>
      </c>
      <c r="V35" s="34">
        <f>IFERROR(SUMIF(Table649[Sub-Accounts],Table850[[#This Row],[Update your chart of accounts here]],Table649[Debit]),"")</f>
        <v>268183.07</v>
      </c>
      <c r="W35" s="34">
        <f>IFERROR(SUMIF(Table649[Sub-Accounts],Table850[[#This Row],[Update your chart of accounts here]],Table649[Credit]),"")</f>
        <v>0</v>
      </c>
      <c r="X35" s="34"/>
      <c r="Y35" s="34"/>
      <c r="Z35" s="34">
        <f>I28</f>
        <v>0</v>
      </c>
      <c r="AA35" s="34"/>
      <c r="AB35" s="34">
        <f>MAX(Table850[[#This Row],[Debit]]+Table850[[#This Row],[Debit -]]-Table850[[#This Row],[Credit]]-Table850[[#This Row],[Credit +]],0)</f>
        <v>268183.07</v>
      </c>
      <c r="AC35" s="34">
        <f>MAX(Table850[[#This Row],[Credit]]-Table850[[#This Row],[Debit]]+Table850[[#This Row],[Credit +]]-Table850[[#This Row],[Debit -]],0)</f>
        <v>0</v>
      </c>
      <c r="AD35" s="34">
        <f>IFERROR(IF(AND(OR(Table850[[#This Row],[Classification]]="Expense",Table850[[#This Row],[Classification]]="Cost of Goods Sold"),Table850[[#This Row],[Debit\]]&gt;Table850[[#This Row],[Credit.]]),Table850[[#This Row],[Debit\]]-Table850[[#This Row],[Credit.]],""),"")</f>
        <v>268183.07</v>
      </c>
      <c r="AE35" s="34" t="str">
        <f>IFERROR(IF(AND(OR(Table850[[#This Row],[Classification]]="Income",Table850[[#This Row],[Classification]]="Cost of Goods Sold"),Table850[[#This Row],[Credit.]]&gt;Table850[[#This Row],[Debit\]]),Table850[[#This Row],[Credit.]]-Table850[[#This Row],[Debit\]],""),"")</f>
        <v/>
      </c>
      <c r="AF35" s="34"/>
      <c r="AG35" s="34" t="str">
        <f>IFERROR(IF(AND(Table850[[#This Row],[Classification]]="Assets",Table850[[#This Row],[Debit\]]-Table850[[#This Row],[Credit.]]),Table850[[#This Row],[Debit\]]-Table850[[#This Row],[Credit.]],""),"")</f>
        <v/>
      </c>
      <c r="AH35" s="34" t="str">
        <f>IFERROR(IF(AND(OR(Table850[[#This Row],[Classification]]="Liabilities",Table850[[#This Row],[Classification]]="Owner´s Equity"),Table850[[#This Row],[Credit.]]&gt;Table850[[#This Row],[Debit\]]),Table850[[#This Row],[Credit.]]-Table850[[#This Row],[Debit\]],""),"")</f>
        <v/>
      </c>
    </row>
    <row r="36" spans="2:34" hidden="1" x14ac:dyDescent="0.25">
      <c r="B36" s="34"/>
      <c r="C36" s="37" t="s">
        <v>90</v>
      </c>
      <c r="D36" s="34"/>
      <c r="E36" s="34">
        <v>33200</v>
      </c>
      <c r="G36" s="39"/>
      <c r="H36" s="40"/>
      <c r="I36" s="41"/>
      <c r="J36" s="41"/>
      <c r="L36" s="34">
        <v>29</v>
      </c>
      <c r="M36" s="35" t="s">
        <v>140</v>
      </c>
      <c r="N36" s="35" t="s">
        <v>91</v>
      </c>
      <c r="O36" s="34">
        <f>IFERROR(SUMIF(Table447[,],Table649[[#This Row],[Accounts Name]],Table447[,3]),"")</f>
        <v>124460</v>
      </c>
      <c r="P36" s="34">
        <f>IFERROR(SUMIF(Table447[,],Table649[[#This Row],[Accounts Name]],Table447[,2]),"")</f>
        <v>0</v>
      </c>
      <c r="S36" s="36">
        <f t="shared" si="0"/>
        <v>29</v>
      </c>
      <c r="T36" s="34" t="s">
        <v>61</v>
      </c>
      <c r="U36" s="37" t="s">
        <v>165</v>
      </c>
      <c r="V36" s="34">
        <f>IFERROR(SUMIF(Table649[Sub-Accounts],Table850[[#This Row],[Update your chart of accounts here]],Table649[Debit]),"")</f>
        <v>653656.38</v>
      </c>
      <c r="W36" s="34">
        <f>IFERROR(SUMIF(Table649[Sub-Accounts],Table850[[#This Row],[Update your chart of accounts here]],Table649[Credit]),"")</f>
        <v>0</v>
      </c>
      <c r="X36" s="34"/>
      <c r="Y36" s="34"/>
      <c r="Z36" s="34"/>
      <c r="AA36" s="34"/>
      <c r="AB36" s="34">
        <f>MAX(Table850[[#This Row],[Debit]]+Table850[[#This Row],[Debit -]]-Table850[[#This Row],[Credit]]-Table850[[#This Row],[Credit +]],0)</f>
        <v>653656.38</v>
      </c>
      <c r="AC36" s="34">
        <f>MAX(Table850[[#This Row],[Credit]]-Table850[[#This Row],[Debit]]+Table850[[#This Row],[Credit +]]-Table850[[#This Row],[Debit -]],0)</f>
        <v>0</v>
      </c>
      <c r="AD36" s="34">
        <f>IFERROR(IF(AND(OR(Table850[[#This Row],[Classification]]="Expense",Table850[[#This Row],[Classification]]="Cost of Goods Sold"),Table850[[#This Row],[Debit\]]&gt;Table850[[#This Row],[Credit.]]),Table850[[#This Row],[Debit\]]-Table850[[#This Row],[Credit.]],""),"")</f>
        <v>653656.38</v>
      </c>
      <c r="AE36" s="34" t="str">
        <f>IFERROR(IF(AND(OR(Table850[[#This Row],[Classification]]="Income",Table850[[#This Row],[Classification]]="Cost of Goods Sold"),Table850[[#This Row],[Credit.]]&gt;Table850[[#This Row],[Debit\]]),Table850[[#This Row],[Credit.]]-Table850[[#This Row],[Debit\]],""),"")</f>
        <v/>
      </c>
      <c r="AF36" s="34"/>
      <c r="AG36" s="34" t="str">
        <f>IFERROR(IF(AND(Table850[[#This Row],[Classification]]="Assets",Table850[[#This Row],[Debit\]]-Table850[[#This Row],[Credit.]]),Table850[[#This Row],[Debit\]]-Table850[[#This Row],[Credit.]],""),"")</f>
        <v/>
      </c>
      <c r="AH36" s="34" t="str">
        <f>IFERROR(IF(AND(OR(Table850[[#This Row],[Classification]]="Liabilities",Table850[[#This Row],[Classification]]="Owner´s Equity"),Table850[[#This Row],[Credit.]]&gt;Table850[[#This Row],[Debit\]]),Table850[[#This Row],[Credit.]]-Table850[[#This Row],[Debit\]],""),"")</f>
        <v/>
      </c>
    </row>
    <row r="37" spans="2:34" hidden="1" x14ac:dyDescent="0.25">
      <c r="B37" s="34"/>
      <c r="C37" s="37" t="s">
        <v>91</v>
      </c>
      <c r="D37" s="34">
        <v>124460</v>
      </c>
      <c r="E37" s="34"/>
      <c r="G37" s="39"/>
      <c r="H37" s="40"/>
      <c r="I37" s="41"/>
      <c r="J37" s="41"/>
      <c r="L37" s="34">
        <v>30</v>
      </c>
      <c r="M37" s="35" t="s">
        <v>144</v>
      </c>
      <c r="N37" s="35" t="s">
        <v>92</v>
      </c>
      <c r="O37" s="34">
        <f>IFERROR(SUMIF(Table447[,],Table649[[#This Row],[Accounts Name]],Table447[,3]),"")</f>
        <v>2228108</v>
      </c>
      <c r="P37" s="34">
        <f>IFERROR(SUMIF(Table447[,],Table649[[#This Row],[Accounts Name]],Table447[,2]),"")</f>
        <v>0</v>
      </c>
      <c r="S37" s="36">
        <f t="shared" si="0"/>
        <v>30</v>
      </c>
      <c r="T37" s="34" t="s">
        <v>61</v>
      </c>
      <c r="U37" s="37" t="s">
        <v>159</v>
      </c>
      <c r="V37" s="34">
        <f>IFERROR(SUMIF(Table649[Sub-Accounts],Table850[[#This Row],[Update your chart of accounts here]],Table649[Debit]),"")</f>
        <v>208578.65</v>
      </c>
      <c r="W37" s="34">
        <f>IFERROR(SUMIF(Table649[Sub-Accounts],Table850[[#This Row],[Update your chart of accounts here]],Table649[Credit]),"")</f>
        <v>0</v>
      </c>
      <c r="X37" s="34"/>
      <c r="Y37" s="34"/>
      <c r="Z37" s="34"/>
      <c r="AA37" s="34"/>
      <c r="AB37" s="34">
        <f>MAX(Table850[[#This Row],[Debit]]+Table850[[#This Row],[Debit -]]-Table850[[#This Row],[Credit]]-Table850[[#This Row],[Credit +]],0)</f>
        <v>208578.65</v>
      </c>
      <c r="AC37" s="34">
        <f>MAX(Table850[[#This Row],[Credit]]-Table850[[#This Row],[Debit]]+Table850[[#This Row],[Credit +]]-Table850[[#This Row],[Debit -]],0)</f>
        <v>0</v>
      </c>
      <c r="AD37" s="34">
        <f>IFERROR(IF(AND(OR(Table850[[#This Row],[Classification]]="Expense",Table850[[#This Row],[Classification]]="Cost of Goods Sold"),Table850[[#This Row],[Debit\]]&gt;Table850[[#This Row],[Credit.]]),Table850[[#This Row],[Debit\]]-Table850[[#This Row],[Credit.]],""),"")</f>
        <v>208578.65</v>
      </c>
      <c r="AE37" s="34" t="str">
        <f>IFERROR(IF(AND(OR(Table850[[#This Row],[Classification]]="Income",Table850[[#This Row],[Classification]]="Cost of Goods Sold"),Table850[[#This Row],[Credit.]]&gt;Table850[[#This Row],[Debit\]]),Table850[[#This Row],[Credit.]]-Table850[[#This Row],[Debit\]],""),"")</f>
        <v/>
      </c>
      <c r="AF37" s="34"/>
      <c r="AG37" s="34" t="str">
        <f>IFERROR(IF(AND(Table850[[#This Row],[Classification]]="Assets",Table850[[#This Row],[Debit\]]-Table850[[#This Row],[Credit.]]),Table850[[#This Row],[Debit\]]-Table850[[#This Row],[Credit.]],""),"")</f>
        <v/>
      </c>
      <c r="AH37" s="34" t="str">
        <f>IFERROR(IF(AND(OR(Table850[[#This Row],[Classification]]="Liabilities",Table850[[#This Row],[Classification]]="Owner´s Equity"),Table850[[#This Row],[Credit.]]&gt;Table850[[#This Row],[Debit\]]),Table850[[#This Row],[Credit.]]-Table850[[#This Row],[Debit\]],""),"")</f>
        <v/>
      </c>
    </row>
    <row r="38" spans="2:34" hidden="1" x14ac:dyDescent="0.25">
      <c r="B38" s="34"/>
      <c r="C38" s="37" t="s">
        <v>92</v>
      </c>
      <c r="D38" s="34">
        <v>2228108</v>
      </c>
      <c r="E38" s="34"/>
      <c r="G38" s="39"/>
      <c r="H38" s="43"/>
      <c r="I38" s="41"/>
      <c r="J38" s="41"/>
      <c r="L38" s="34">
        <v>31</v>
      </c>
      <c r="M38" s="35" t="s">
        <v>140</v>
      </c>
      <c r="N38" s="35" t="s">
        <v>93</v>
      </c>
      <c r="O38" s="34">
        <f>IFERROR(SUMIF(Table447[,],Table649[[#This Row],[Accounts Name]],Table447[,3]),"")</f>
        <v>510902</v>
      </c>
      <c r="P38" s="34">
        <f>IFERROR(SUMIF(Table447[,],Table649[[#This Row],[Accounts Name]],Table447[,2]),"")</f>
        <v>0</v>
      </c>
      <c r="S38" s="36">
        <f t="shared" si="0"/>
        <v>31</v>
      </c>
      <c r="T38" s="34" t="s">
        <v>61</v>
      </c>
      <c r="U38" s="37" t="s">
        <v>157</v>
      </c>
      <c r="V38" s="34">
        <f>IFERROR(SUMIF(Table649[Sub-Accounts],Table850[[#This Row],[Update your chart of accounts here]],Table649[Debit]),"")</f>
        <v>542263</v>
      </c>
      <c r="W38" s="34">
        <f>IFERROR(SUMIF(Table649[Sub-Accounts],Table850[[#This Row],[Update your chart of accounts here]],Table649[Credit]),"")</f>
        <v>0</v>
      </c>
      <c r="X38" s="34"/>
      <c r="Y38" s="34"/>
      <c r="Z38" s="34"/>
      <c r="AA38" s="34"/>
      <c r="AB38" s="34">
        <f>MAX(Table850[[#This Row],[Debit]]+Table850[[#This Row],[Debit -]]-Table850[[#This Row],[Credit]]-Table850[[#This Row],[Credit +]],0)</f>
        <v>542263</v>
      </c>
      <c r="AC38" s="34">
        <f>MAX(Table850[[#This Row],[Credit]]-Table850[[#This Row],[Debit]]+Table850[[#This Row],[Credit +]]-Table850[[#This Row],[Debit -]],0)</f>
        <v>0</v>
      </c>
      <c r="AD38" s="34">
        <f>IFERROR(IF(AND(OR(Table850[[#This Row],[Classification]]="Expense",Table850[[#This Row],[Classification]]="Cost of Goods Sold"),Table850[[#This Row],[Debit\]]&gt;Table850[[#This Row],[Credit.]]),Table850[[#This Row],[Debit\]]-Table850[[#This Row],[Credit.]],""),"")</f>
        <v>542263</v>
      </c>
      <c r="AE38" s="34" t="str">
        <f>IFERROR(IF(AND(OR(Table850[[#This Row],[Classification]]="Income",Table850[[#This Row],[Classification]]="Cost of Goods Sold"),Table850[[#This Row],[Credit.]]&gt;Table850[[#This Row],[Debit\]]),Table850[[#This Row],[Credit.]]-Table850[[#This Row],[Debit\]],""),"")</f>
        <v/>
      </c>
      <c r="AF38" s="34"/>
      <c r="AG38" s="34" t="str">
        <f>IFERROR(IF(AND(Table850[[#This Row],[Classification]]="Assets",Table850[[#This Row],[Debit\]]-Table850[[#This Row],[Credit.]]),Table850[[#This Row],[Debit\]]-Table850[[#This Row],[Credit.]],""),"")</f>
        <v/>
      </c>
      <c r="AH38" s="34" t="str">
        <f>IFERROR(IF(AND(OR(Table850[[#This Row],[Classification]]="Liabilities",Table850[[#This Row],[Classification]]="Owner´s Equity"),Table850[[#This Row],[Credit.]]&gt;Table850[[#This Row],[Debit\]]),Table850[[#This Row],[Credit.]]-Table850[[#This Row],[Debit\]],""),"")</f>
        <v/>
      </c>
    </row>
    <row r="39" spans="2:34" hidden="1" x14ac:dyDescent="0.25">
      <c r="B39" s="34"/>
      <c r="C39" s="37" t="s">
        <v>93</v>
      </c>
      <c r="D39" s="34">
        <v>510902</v>
      </c>
      <c r="E39" s="34"/>
      <c r="G39" s="39"/>
      <c r="H39" s="40"/>
      <c r="I39" s="41"/>
      <c r="J39" s="41"/>
      <c r="L39" s="34">
        <v>32</v>
      </c>
      <c r="M39" s="35" t="s">
        <v>140</v>
      </c>
      <c r="N39" s="35" t="s">
        <v>94</v>
      </c>
      <c r="O39" s="34">
        <f>IFERROR(SUMIF(Table447[,],Table649[[#This Row],[Accounts Name]],Table447[,3]),"")</f>
        <v>1702569</v>
      </c>
      <c r="P39" s="34">
        <f>IFERROR(SUMIF(Table447[,],Table649[[#This Row],[Accounts Name]],Table447[,2]),"")</f>
        <v>0</v>
      </c>
      <c r="S39" s="36">
        <f t="shared" si="0"/>
        <v>32</v>
      </c>
      <c r="T39" s="34" t="s">
        <v>61</v>
      </c>
      <c r="U39" s="37" t="s">
        <v>168</v>
      </c>
      <c r="V39" s="34">
        <f>IFERROR(SUMIF(Table649[Sub-Accounts],Table850[[#This Row],[Update your chart of accounts here]],Table649[Debit]),"")</f>
        <v>302989.64</v>
      </c>
      <c r="W39" s="34">
        <f>IFERROR(SUMIF(Table649[Sub-Accounts],Table850[[#This Row],[Update your chart of accounts here]],Table649[Credit]),"")</f>
        <v>0</v>
      </c>
      <c r="X39" s="34"/>
      <c r="Y39" s="34"/>
      <c r="Z39" s="34"/>
      <c r="AA39" s="34"/>
      <c r="AB39" s="34">
        <f>MAX(Table850[[#This Row],[Debit]]+Table850[[#This Row],[Debit -]]-Table850[[#This Row],[Credit]]-Table850[[#This Row],[Credit +]],0)</f>
        <v>302989.64</v>
      </c>
      <c r="AC39" s="34">
        <f>MAX(Table850[[#This Row],[Credit]]-Table850[[#This Row],[Debit]]+Table850[[#This Row],[Credit +]]-Table850[[#This Row],[Debit -]],0)</f>
        <v>0</v>
      </c>
      <c r="AD39" s="34">
        <f>IFERROR(IF(AND(OR(Table850[[#This Row],[Classification]]="Expense",Table850[[#This Row],[Classification]]="Cost of Goods Sold"),Table850[[#This Row],[Debit\]]&gt;Table850[[#This Row],[Credit.]]),Table850[[#This Row],[Debit\]]-Table850[[#This Row],[Credit.]],""),"")</f>
        <v>302989.64</v>
      </c>
      <c r="AE39" s="34" t="str">
        <f>IFERROR(IF(AND(OR(Table850[[#This Row],[Classification]]="Income",Table850[[#This Row],[Classification]]="Cost of Goods Sold"),Table850[[#This Row],[Credit.]]&gt;Table850[[#This Row],[Debit\]]),Table850[[#This Row],[Credit.]]-Table850[[#This Row],[Debit\]],""),"")</f>
        <v/>
      </c>
      <c r="AF39" s="34"/>
      <c r="AG39" s="34" t="str">
        <f>IFERROR(IF(AND(Table850[[#This Row],[Classification]]="Assets",Table850[[#This Row],[Debit\]]-Table850[[#This Row],[Credit.]]),Table850[[#This Row],[Debit\]]-Table850[[#This Row],[Credit.]],""),"")</f>
        <v/>
      </c>
      <c r="AH39" s="34" t="str">
        <f>IFERROR(IF(AND(OR(Table850[[#This Row],[Classification]]="Liabilities",Table850[[#This Row],[Classification]]="Owner´s Equity"),Table850[[#This Row],[Credit.]]&gt;Table850[[#This Row],[Debit\]]),Table850[[#This Row],[Credit.]]-Table850[[#This Row],[Debit\]],""),"")</f>
        <v/>
      </c>
    </row>
    <row r="40" spans="2:34" hidden="1" x14ac:dyDescent="0.25">
      <c r="B40" s="34"/>
      <c r="C40" s="37" t="s">
        <v>94</v>
      </c>
      <c r="D40" s="34">
        <v>1702569</v>
      </c>
      <c r="E40" s="34"/>
      <c r="G40" s="39"/>
      <c r="H40" s="40"/>
      <c r="I40" s="41"/>
      <c r="J40" s="41"/>
      <c r="L40" s="34">
        <v>33</v>
      </c>
      <c r="M40" s="35" t="s">
        <v>140</v>
      </c>
      <c r="N40" s="35" t="s">
        <v>95</v>
      </c>
      <c r="O40" s="34">
        <f>IFERROR(SUMIF(Table447[,],Table649[[#This Row],[Accounts Name]],Table447[,3]),"")</f>
        <v>735271</v>
      </c>
      <c r="P40" s="34">
        <f>IFERROR(SUMIF(Table447[,],Table649[[#This Row],[Accounts Name]],Table447[,2]),"")</f>
        <v>0</v>
      </c>
      <c r="S40" s="36">
        <f t="shared" si="0"/>
        <v>33</v>
      </c>
      <c r="T40" s="34" t="s">
        <v>61</v>
      </c>
      <c r="U40" s="37" t="s">
        <v>153</v>
      </c>
      <c r="V40" s="34">
        <f>IFERROR(SUMIF(Table649[Sub-Accounts],Table850[[#This Row],[Update your chart of accounts here]],Table649[Debit]),"")</f>
        <v>233250</v>
      </c>
      <c r="W40" s="34">
        <f>IFERROR(SUMIF(Table649[Sub-Accounts],Table850[[#This Row],[Update your chart of accounts here]],Table649[Credit]),"")</f>
        <v>0</v>
      </c>
      <c r="X40" s="34"/>
      <c r="Y40" s="34"/>
      <c r="Z40" s="34"/>
      <c r="AA40" s="34"/>
      <c r="AB40" s="34">
        <f>MAX(Table850[[#This Row],[Debit]]+Table850[[#This Row],[Debit -]]-Table850[[#This Row],[Credit]]-Table850[[#This Row],[Credit +]],0)</f>
        <v>233250</v>
      </c>
      <c r="AC40" s="34">
        <f>MAX(Table850[[#This Row],[Credit]]-Table850[[#This Row],[Debit]]+Table850[[#This Row],[Credit +]]-Table850[[#This Row],[Debit -]],0)</f>
        <v>0</v>
      </c>
      <c r="AD40" s="34">
        <f>IFERROR(IF(AND(OR(Table850[[#This Row],[Classification]]="Expense",Table850[[#This Row],[Classification]]="Cost of Goods Sold"),Table850[[#This Row],[Debit\]]&gt;Table850[[#This Row],[Credit.]]),Table850[[#This Row],[Debit\]]-Table850[[#This Row],[Credit.]],""),"")</f>
        <v>233250</v>
      </c>
      <c r="AE40" s="34" t="str">
        <f>IFERROR(IF(AND(OR(Table850[[#This Row],[Classification]]="Income",Table850[[#This Row],[Classification]]="Cost of Goods Sold"),Table850[[#This Row],[Credit.]]&gt;Table850[[#This Row],[Debit\]]),Table850[[#This Row],[Credit.]]-Table850[[#This Row],[Debit\]],""),"")</f>
        <v/>
      </c>
      <c r="AF40" s="34"/>
      <c r="AG40" s="34" t="str">
        <f>IFERROR(IF(AND(Table850[[#This Row],[Classification]]="Assets",Table850[[#This Row],[Debit\]]-Table850[[#This Row],[Credit.]]),Table850[[#This Row],[Debit\]]-Table850[[#This Row],[Credit.]],""),"")</f>
        <v/>
      </c>
      <c r="AH40" s="34" t="str">
        <f>IFERROR(IF(AND(OR(Table850[[#This Row],[Classification]]="Liabilities",Table850[[#This Row],[Classification]]="Owner´s Equity"),Table850[[#This Row],[Credit.]]&gt;Table850[[#This Row],[Debit\]]),Table850[[#This Row],[Credit.]]-Table850[[#This Row],[Debit\]],""),"")</f>
        <v/>
      </c>
    </row>
    <row r="41" spans="2:34" hidden="1" x14ac:dyDescent="0.25">
      <c r="B41" s="34"/>
      <c r="C41" s="37" t="s">
        <v>95</v>
      </c>
      <c r="D41" s="34">
        <v>735271</v>
      </c>
      <c r="E41" s="34"/>
      <c r="G41" s="39"/>
      <c r="H41" s="43"/>
      <c r="I41" s="41"/>
      <c r="J41" s="41"/>
      <c r="L41" s="34">
        <v>34</v>
      </c>
      <c r="M41" s="35" t="s">
        <v>141</v>
      </c>
      <c r="N41" s="35" t="s">
        <v>96</v>
      </c>
      <c r="O41" s="34">
        <f>IFERROR(SUMIF(Table447[,],Table649[[#This Row],[Accounts Name]],Table447[,3]),"")</f>
        <v>0</v>
      </c>
      <c r="P41" s="34">
        <f>IFERROR(SUMIF(Table447[,],Table649[[#This Row],[Accounts Name]],Table447[,2]),"")</f>
        <v>1318131</v>
      </c>
      <c r="S41" s="36">
        <f t="shared" si="0"/>
        <v>34</v>
      </c>
      <c r="T41" s="34" t="s">
        <v>61</v>
      </c>
      <c r="U41" s="37" t="s">
        <v>152</v>
      </c>
      <c r="V41" s="34">
        <f>IFERROR(SUMIF(Table649[Sub-Accounts],Table850[[#This Row],[Update your chart of accounts here]],Table649[Debit]),"")</f>
        <v>51948.32</v>
      </c>
      <c r="W41" s="34">
        <f>IFERROR(SUMIF(Table649[Sub-Accounts],Table850[[#This Row],[Update your chart of accounts here]],Table649[Credit]),"")</f>
        <v>0</v>
      </c>
      <c r="X41" s="34"/>
      <c r="Y41" s="34"/>
      <c r="Z41" s="34"/>
      <c r="AA41" s="34"/>
      <c r="AB41" s="34">
        <f>MAX(Table850[[#This Row],[Debit]]+Table850[[#This Row],[Debit -]]-Table850[[#This Row],[Credit]]-Table850[[#This Row],[Credit +]],0)</f>
        <v>51948.32</v>
      </c>
      <c r="AC41" s="34">
        <f>MAX(Table850[[#This Row],[Credit]]-Table850[[#This Row],[Debit]]+Table850[[#This Row],[Credit +]]-Table850[[#This Row],[Debit -]],0)</f>
        <v>0</v>
      </c>
      <c r="AD41" s="34">
        <f>IFERROR(IF(AND(OR(Table850[[#This Row],[Classification]]="Expense",Table850[[#This Row],[Classification]]="Cost of Goods Sold"),Table850[[#This Row],[Debit\]]&gt;Table850[[#This Row],[Credit.]]),Table850[[#This Row],[Debit\]]-Table850[[#This Row],[Credit.]],""),"")</f>
        <v>51948.32</v>
      </c>
      <c r="AE41" s="34" t="str">
        <f>IFERROR(IF(AND(OR(Table850[[#This Row],[Classification]]="Income",Table850[[#This Row],[Classification]]="Cost of Goods Sold"),Table850[[#This Row],[Credit.]]&gt;Table850[[#This Row],[Debit\]]),Table850[[#This Row],[Credit.]]-Table850[[#This Row],[Debit\]],""),"")</f>
        <v/>
      </c>
      <c r="AF41" s="34"/>
      <c r="AG41" s="34" t="str">
        <f>IFERROR(IF(AND(Table850[[#This Row],[Classification]]="Assets",Table850[[#This Row],[Debit\]]-Table850[[#This Row],[Credit.]]),Table850[[#This Row],[Debit\]]-Table850[[#This Row],[Credit.]],""),"")</f>
        <v/>
      </c>
      <c r="AH41" s="34" t="str">
        <f>IFERROR(IF(AND(OR(Table850[[#This Row],[Classification]]="Liabilities",Table850[[#This Row],[Classification]]="Owner´s Equity"),Table850[[#This Row],[Credit.]]&gt;Table850[[#This Row],[Debit\]]),Table850[[#This Row],[Credit.]]-Table850[[#This Row],[Debit\]],""),"")</f>
        <v/>
      </c>
    </row>
    <row r="42" spans="2:34" hidden="1" x14ac:dyDescent="0.25">
      <c r="B42" s="34"/>
      <c r="C42" s="37" t="s">
        <v>96</v>
      </c>
      <c r="D42" s="34"/>
      <c r="E42" s="34">
        <v>1318131</v>
      </c>
      <c r="G42" s="39"/>
      <c r="H42" s="40"/>
      <c r="I42" s="41"/>
      <c r="J42" s="41"/>
      <c r="L42" s="34">
        <v>35</v>
      </c>
      <c r="M42" s="35" t="s">
        <v>145</v>
      </c>
      <c r="N42" s="35" t="s">
        <v>97</v>
      </c>
      <c r="O42" s="34">
        <f>IFERROR(SUMIF(Table447[,],Table649[[#This Row],[Accounts Name]],Table447[,3]),"")</f>
        <v>0</v>
      </c>
      <c r="P42" s="34">
        <f>IFERROR(SUMIF(Table447[,],Table649[[#This Row],[Accounts Name]],Table447[,2]),"")</f>
        <v>11852079.26</v>
      </c>
      <c r="S42" s="36">
        <f t="shared" si="0"/>
        <v>35</v>
      </c>
      <c r="T42" s="34" t="s">
        <v>61</v>
      </c>
      <c r="U42" s="37" t="s">
        <v>156</v>
      </c>
      <c r="V42" s="34">
        <f>IFERROR(SUMIF(Table649[Sub-Accounts],Table850[[#This Row],[Update your chart of accounts here]],Table649[Debit]),"")</f>
        <v>219706</v>
      </c>
      <c r="W42" s="34">
        <f>IFERROR(SUMIF(Table649[Sub-Accounts],Table850[[#This Row],[Update your chart of accounts here]],Table649[Credit]),"")</f>
        <v>0</v>
      </c>
      <c r="X42" s="34"/>
      <c r="Y42" s="34"/>
      <c r="Z42" s="34"/>
      <c r="AA42" s="34"/>
      <c r="AB42" s="34">
        <f>MAX(Table850[[#This Row],[Debit]]+Table850[[#This Row],[Debit -]]-Table850[[#This Row],[Credit]]-Table850[[#This Row],[Credit +]],0)</f>
        <v>219706</v>
      </c>
      <c r="AC42" s="34">
        <f>MAX(Table850[[#This Row],[Credit]]-Table850[[#This Row],[Debit]]+Table850[[#This Row],[Credit +]]-Table850[[#This Row],[Debit -]],0)</f>
        <v>0</v>
      </c>
      <c r="AD42" s="34">
        <f>IFERROR(IF(AND(OR(Table850[[#This Row],[Classification]]="Expense",Table850[[#This Row],[Classification]]="Cost of Goods Sold"),Table850[[#This Row],[Debit\]]&gt;Table850[[#This Row],[Credit.]]),Table850[[#This Row],[Debit\]]-Table850[[#This Row],[Credit.]],""),"")</f>
        <v>219706</v>
      </c>
      <c r="AE42" s="34" t="str">
        <f>IFERROR(IF(AND(OR(Table850[[#This Row],[Classification]]="Income",Table850[[#This Row],[Classification]]="Cost of Goods Sold"),Table850[[#This Row],[Credit.]]&gt;Table850[[#This Row],[Debit\]]),Table850[[#This Row],[Credit.]]-Table850[[#This Row],[Debit\]],""),"")</f>
        <v/>
      </c>
      <c r="AF42" s="34"/>
      <c r="AG42" s="34" t="str">
        <f>IFERROR(IF(AND(Table850[[#This Row],[Classification]]="Assets",Table850[[#This Row],[Debit\]]-Table850[[#This Row],[Credit.]]),Table850[[#This Row],[Debit\]]-Table850[[#This Row],[Credit.]],""),"")</f>
        <v/>
      </c>
      <c r="AH42" s="34" t="str">
        <f>IFERROR(IF(AND(OR(Table850[[#This Row],[Classification]]="Liabilities",Table850[[#This Row],[Classification]]="Owner´s Equity"),Table850[[#This Row],[Credit.]]&gt;Table850[[#This Row],[Debit\]]),Table850[[#This Row],[Credit.]]-Table850[[#This Row],[Debit\]],""),"")</f>
        <v/>
      </c>
    </row>
    <row r="43" spans="2:34" hidden="1" x14ac:dyDescent="0.25">
      <c r="B43" s="34"/>
      <c r="C43" s="37" t="s">
        <v>97</v>
      </c>
      <c r="D43" s="34"/>
      <c r="E43" s="34">
        <v>11852079.26</v>
      </c>
      <c r="G43" s="39"/>
      <c r="H43" s="40"/>
      <c r="I43" s="41"/>
      <c r="J43" s="41"/>
      <c r="L43" s="34">
        <v>36</v>
      </c>
      <c r="M43" s="35" t="s">
        <v>146</v>
      </c>
      <c r="N43" s="35" t="s">
        <v>98</v>
      </c>
      <c r="O43" s="34">
        <f>IFERROR(SUMIF(Table447[,],Table649[[#This Row],[Accounts Name]],Table447[,3]),"")</f>
        <v>0</v>
      </c>
      <c r="P43" s="34">
        <f>IFERROR(SUMIF(Table447[,],Table649[[#This Row],[Accounts Name]],Table447[,2]),"")</f>
        <v>400</v>
      </c>
      <c r="S43" s="36">
        <f t="shared" si="0"/>
        <v>36</v>
      </c>
      <c r="T43" s="34" t="s">
        <v>61</v>
      </c>
      <c r="U43" s="37" t="s">
        <v>217</v>
      </c>
      <c r="V43" s="34">
        <f>IFERROR(SUMIF(Table649[Sub-Accounts],Table850[[#This Row],[Update your chart of accounts here]],Table649[Debit]),"")</f>
        <v>0</v>
      </c>
      <c r="W43" s="34">
        <f>IFERROR(SUMIF(Table649[Sub-Accounts],Table850[[#This Row],[Update your chart of accounts here]],Table649[Credit]),"")</f>
        <v>0</v>
      </c>
      <c r="X43" s="34"/>
      <c r="Y43" s="34"/>
      <c r="Z43" s="34"/>
      <c r="AA43" s="34"/>
      <c r="AB43" s="34">
        <f>MAX(Table850[[#This Row],[Debit]]+Table850[[#This Row],[Debit -]]-Table850[[#This Row],[Credit]]-Table850[[#This Row],[Credit +]],0)</f>
        <v>0</v>
      </c>
      <c r="AC43" s="34">
        <f>MAX(Table850[[#This Row],[Credit]]-Table850[[#This Row],[Debit]]+Table850[[#This Row],[Credit +]]-Table850[[#This Row],[Debit -]],0)</f>
        <v>0</v>
      </c>
      <c r="AD43" s="34" t="str">
        <f>IFERROR(IF(AND(OR(Table850[[#This Row],[Classification]]="Expense",Table850[[#This Row],[Classification]]="Cost of Goods Sold"),Table850[[#This Row],[Debit\]]&gt;Table850[[#This Row],[Credit.]]),Table850[[#This Row],[Debit\]]-Table850[[#This Row],[Credit.]],""),"")</f>
        <v/>
      </c>
      <c r="AE43" s="34" t="str">
        <f>IFERROR(IF(AND(OR(Table850[[#This Row],[Classification]]="Income",Table850[[#This Row],[Classification]]="Cost of Goods Sold"),Table850[[#This Row],[Credit.]]&gt;Table850[[#This Row],[Debit\]]),Table850[[#This Row],[Credit.]]-Table850[[#This Row],[Debit\]],""),"")</f>
        <v/>
      </c>
      <c r="AF43" s="34"/>
      <c r="AG43" s="34" t="str">
        <f>IFERROR(IF(AND(Table850[[#This Row],[Classification]]="Assets",Table850[[#This Row],[Debit\]]-Table850[[#This Row],[Credit.]]),Table850[[#This Row],[Debit\]]-Table850[[#This Row],[Credit.]],""),"")</f>
        <v/>
      </c>
      <c r="AH43" s="34" t="str">
        <f>IFERROR(IF(AND(OR(Table850[[#This Row],[Classification]]="Liabilities",Table850[[#This Row],[Classification]]="Owner´s Equity"),Table850[[#This Row],[Credit.]]&gt;Table850[[#This Row],[Debit\]]),Table850[[#This Row],[Credit.]]-Table850[[#This Row],[Debit\]],""),"")</f>
        <v/>
      </c>
    </row>
    <row r="44" spans="2:34" hidden="1" x14ac:dyDescent="0.25">
      <c r="B44" s="34"/>
      <c r="C44" s="37" t="s">
        <v>98</v>
      </c>
      <c r="D44" s="34"/>
      <c r="E44" s="34">
        <v>400</v>
      </c>
      <c r="G44" s="39"/>
      <c r="H44" s="43"/>
      <c r="I44" s="41"/>
      <c r="J44" s="41"/>
      <c r="L44" s="34">
        <v>37</v>
      </c>
      <c r="M44" s="35" t="s">
        <v>143</v>
      </c>
      <c r="N44" s="35" t="s">
        <v>99</v>
      </c>
      <c r="O44" s="34">
        <f>IFERROR(SUMIF(Table447[,],Table649[[#This Row],[Accounts Name]],Table447[,3]),"")</f>
        <v>0</v>
      </c>
      <c r="P44" s="34">
        <f>IFERROR(SUMIF(Table447[,],Table649[[#This Row],[Accounts Name]],Table447[,2]),"")</f>
        <v>800000</v>
      </c>
      <c r="S44" s="36">
        <f t="shared" si="0"/>
        <v>37</v>
      </c>
      <c r="T44" s="34" t="s">
        <v>61</v>
      </c>
      <c r="U44" s="37" t="s">
        <v>218</v>
      </c>
      <c r="V44" s="34">
        <f>IFERROR(SUMIF(Table649[Sub-Accounts],Table850[[#This Row],[Update your chart of accounts here]],Table649[Debit]),"")</f>
        <v>0</v>
      </c>
      <c r="W44" s="34">
        <f>IFERROR(SUMIF(Table649[Sub-Accounts],Table850[[#This Row],[Update your chart of accounts here]],Table649[Credit]),"")</f>
        <v>0</v>
      </c>
      <c r="X44" s="34"/>
      <c r="Y44" s="34"/>
      <c r="Z44" s="34"/>
      <c r="AA44" s="34"/>
      <c r="AB44" s="34">
        <f>MAX(Table850[[#This Row],[Debit]]+Table850[[#This Row],[Debit -]]-Table850[[#This Row],[Credit]]-Table850[[#This Row],[Credit +]],0)</f>
        <v>0</v>
      </c>
      <c r="AC44" s="34">
        <f>MAX(Table850[[#This Row],[Credit]]-Table850[[#This Row],[Debit]]+Table850[[#This Row],[Credit +]]-Table850[[#This Row],[Debit -]],0)</f>
        <v>0</v>
      </c>
      <c r="AD44" s="34" t="str">
        <f>IFERROR(IF(AND(OR(Table850[[#This Row],[Classification]]="Expense",Table850[[#This Row],[Classification]]="Cost of Goods Sold"),Table850[[#This Row],[Debit\]]&gt;Table850[[#This Row],[Credit.]]),Table850[[#This Row],[Debit\]]-Table850[[#This Row],[Credit.]],""),"")</f>
        <v/>
      </c>
      <c r="AE44" s="34" t="str">
        <f>IFERROR(IF(AND(OR(Table850[[#This Row],[Classification]]="Income",Table850[[#This Row],[Classification]]="Cost of Goods Sold"),Table850[[#This Row],[Credit.]]&gt;Table850[[#This Row],[Debit\]]),Table850[[#This Row],[Credit.]]-Table850[[#This Row],[Debit\]],""),"")</f>
        <v/>
      </c>
      <c r="AF44" s="34"/>
      <c r="AG44" s="34" t="str">
        <f>IFERROR(IF(AND(Table850[[#This Row],[Classification]]="Assets",Table850[[#This Row],[Debit\]]-Table850[[#This Row],[Credit.]]),Table850[[#This Row],[Debit\]]-Table850[[#This Row],[Credit.]],""),"")</f>
        <v/>
      </c>
      <c r="AH44" s="34" t="str">
        <f>IFERROR(IF(AND(OR(Table850[[#This Row],[Classification]]="Liabilities",Table850[[#This Row],[Classification]]="Owner´s Equity"),Table850[[#This Row],[Credit.]]&gt;Table850[[#This Row],[Debit\]]),Table850[[#This Row],[Credit.]]-Table850[[#This Row],[Debit\]],""),"")</f>
        <v/>
      </c>
    </row>
    <row r="45" spans="2:34" hidden="1" x14ac:dyDescent="0.25">
      <c r="B45" s="34"/>
      <c r="C45" s="37" t="s">
        <v>99</v>
      </c>
      <c r="D45" s="34"/>
      <c r="E45" s="34">
        <v>800000</v>
      </c>
      <c r="G45" s="39"/>
      <c r="H45" s="40"/>
      <c r="I45" s="41"/>
      <c r="J45" s="41"/>
      <c r="L45" s="34">
        <v>38</v>
      </c>
      <c r="M45" s="35" t="s">
        <v>62</v>
      </c>
      <c r="N45" s="35" t="s">
        <v>100</v>
      </c>
      <c r="O45" s="34">
        <f>IFERROR(SUMIF(Table447[,],Table649[[#This Row],[Accounts Name]],Table447[,3]),"")</f>
        <v>0</v>
      </c>
      <c r="P45" s="34">
        <f>IFERROR(SUMIF(Table447[,],Table649[[#This Row],[Accounts Name]],Table447[,2]),"")</f>
        <v>332888373.44999999</v>
      </c>
      <c r="S45" s="36">
        <f t="shared" si="0"/>
        <v>38</v>
      </c>
      <c r="T45" s="34" t="s">
        <v>61</v>
      </c>
      <c r="U45" s="37" t="s">
        <v>163</v>
      </c>
      <c r="V45" s="34">
        <f>IFERROR(SUMIF(Table649[Sub-Accounts],Table850[[#This Row],[Update your chart of accounts here]],Table649[Debit]),"")</f>
        <v>300</v>
      </c>
      <c r="W45" s="34">
        <f>IFERROR(SUMIF(Table649[Sub-Accounts],Table850[[#This Row],[Update your chart of accounts here]],Table649[Credit]),"")</f>
        <v>0</v>
      </c>
      <c r="X45" s="34"/>
      <c r="Y45" s="34"/>
      <c r="Z45" s="34"/>
      <c r="AA45" s="34"/>
      <c r="AB45" s="34">
        <f>MAX(Table850[[#This Row],[Debit]]+Table850[[#This Row],[Debit -]]-Table850[[#This Row],[Credit]]-Table850[[#This Row],[Credit +]],0)</f>
        <v>300</v>
      </c>
      <c r="AC45" s="34">
        <f>MAX(Table850[[#This Row],[Credit]]-Table850[[#This Row],[Debit]]+Table850[[#This Row],[Credit +]]-Table850[[#This Row],[Debit -]],0)</f>
        <v>0</v>
      </c>
      <c r="AD45" s="34">
        <f>IFERROR(IF(AND(OR(Table850[[#This Row],[Classification]]="Expense",Table850[[#This Row],[Classification]]="Cost of Goods Sold"),Table850[[#This Row],[Debit\]]&gt;Table850[[#This Row],[Credit.]]),Table850[[#This Row],[Debit\]]-Table850[[#This Row],[Credit.]],""),"")</f>
        <v>300</v>
      </c>
      <c r="AE45" s="34" t="str">
        <f>IFERROR(IF(AND(OR(Table850[[#This Row],[Classification]]="Income",Table850[[#This Row],[Classification]]="Cost of Goods Sold"),Table850[[#This Row],[Credit.]]&gt;Table850[[#This Row],[Debit\]]),Table850[[#This Row],[Credit.]]-Table850[[#This Row],[Debit\]],""),"")</f>
        <v/>
      </c>
      <c r="AF45" s="34"/>
      <c r="AG45" s="34" t="str">
        <f>IFERROR(IF(AND(Table850[[#This Row],[Classification]]="Assets",Table850[[#This Row],[Debit\]]-Table850[[#This Row],[Credit.]]),Table850[[#This Row],[Debit\]]-Table850[[#This Row],[Credit.]],""),"")</f>
        <v/>
      </c>
      <c r="AH45" s="34" t="str">
        <f>IFERROR(IF(AND(OR(Table850[[#This Row],[Classification]]="Liabilities",Table850[[#This Row],[Classification]]="Owner´s Equity"),Table850[[#This Row],[Credit.]]&gt;Table850[[#This Row],[Debit\]]),Table850[[#This Row],[Credit.]]-Table850[[#This Row],[Debit\]],""),"")</f>
        <v/>
      </c>
    </row>
    <row r="46" spans="2:34" hidden="1" x14ac:dyDescent="0.25">
      <c r="B46" s="34"/>
      <c r="C46" s="37" t="s">
        <v>100</v>
      </c>
      <c r="D46" s="34"/>
      <c r="E46" s="34">
        <v>332888373.44999999</v>
      </c>
      <c r="G46" s="39"/>
      <c r="H46" s="40"/>
      <c r="I46" s="41"/>
      <c r="J46" s="41"/>
      <c r="L46" s="34">
        <v>39</v>
      </c>
      <c r="M46" s="35" t="s">
        <v>147</v>
      </c>
      <c r="N46" s="35" t="s">
        <v>101</v>
      </c>
      <c r="O46" s="34">
        <f>IFERROR(SUMIF(Table447[,],Table649[[#This Row],[Accounts Name]],Table447[,3]),"")</f>
        <v>316209838.63</v>
      </c>
      <c r="P46" s="34">
        <f>IFERROR(SUMIF(Table447[,],Table649[[#This Row],[Accounts Name]],Table447[,2]),"")</f>
        <v>0</v>
      </c>
      <c r="S46" s="36">
        <f t="shared" si="0"/>
        <v>39</v>
      </c>
      <c r="T46" s="34" t="s">
        <v>61</v>
      </c>
      <c r="U46" s="37" t="s">
        <v>164</v>
      </c>
      <c r="V46" s="34">
        <f>IFERROR(SUMIF(Table649[Sub-Accounts],Table850[[#This Row],[Update your chart of accounts here]],Table649[Debit]),"")</f>
        <v>436840.42</v>
      </c>
      <c r="W46" s="34">
        <f>IFERROR(SUMIF(Table649[Sub-Accounts],Table850[[#This Row],[Update your chart of accounts here]],Table649[Credit]),"")</f>
        <v>0</v>
      </c>
      <c r="X46" s="34"/>
      <c r="Y46" s="34"/>
      <c r="Z46" s="34"/>
      <c r="AA46" s="34"/>
      <c r="AB46" s="34">
        <f>MAX(Table850[[#This Row],[Debit]]+Table850[[#This Row],[Debit -]]-Table850[[#This Row],[Credit]]-Table850[[#This Row],[Credit +]],0)</f>
        <v>436840.42</v>
      </c>
      <c r="AC46" s="34">
        <f>MAX(Table850[[#This Row],[Credit]]-Table850[[#This Row],[Debit]]+Table850[[#This Row],[Credit +]]-Table850[[#This Row],[Debit -]],0)</f>
        <v>0</v>
      </c>
      <c r="AD46" s="34">
        <f>IFERROR(IF(AND(OR(Table850[[#This Row],[Classification]]="Expense",Table850[[#This Row],[Classification]]="Cost of Goods Sold"),Table850[[#This Row],[Debit\]]&gt;Table850[[#This Row],[Credit.]]),Table850[[#This Row],[Debit\]]-Table850[[#This Row],[Credit.]],""),"")</f>
        <v>436840.42</v>
      </c>
      <c r="AE46" s="34" t="str">
        <f>IFERROR(IF(AND(OR(Table850[[#This Row],[Classification]]="Income",Table850[[#This Row],[Classification]]="Cost of Goods Sold"),Table850[[#This Row],[Credit.]]&gt;Table850[[#This Row],[Debit\]]),Table850[[#This Row],[Credit.]]-Table850[[#This Row],[Debit\]],""),"")</f>
        <v/>
      </c>
      <c r="AF46" s="34"/>
      <c r="AG46" s="34" t="str">
        <f>IFERROR(IF(AND(Table850[[#This Row],[Classification]]="Assets",Table850[[#This Row],[Debit\]]-Table850[[#This Row],[Credit.]]),Table850[[#This Row],[Debit\]]-Table850[[#This Row],[Credit.]],""),"")</f>
        <v/>
      </c>
      <c r="AH46" s="34" t="str">
        <f>IFERROR(IF(AND(OR(Table850[[#This Row],[Classification]]="Liabilities",Table850[[#This Row],[Classification]]="Owner´s Equity"),Table850[[#This Row],[Credit.]]&gt;Table850[[#This Row],[Debit\]]),Table850[[#This Row],[Credit.]]-Table850[[#This Row],[Debit\]],""),"")</f>
        <v/>
      </c>
    </row>
    <row r="47" spans="2:34" hidden="1" x14ac:dyDescent="0.25">
      <c r="B47" s="34"/>
      <c r="C47" s="37" t="s">
        <v>101</v>
      </c>
      <c r="D47" s="34">
        <v>316209838.63</v>
      </c>
      <c r="E47" s="34"/>
      <c r="G47" s="39"/>
      <c r="H47" s="43"/>
      <c r="I47" s="41"/>
      <c r="J47" s="41"/>
      <c r="L47" s="34">
        <v>40</v>
      </c>
      <c r="M47" s="35" t="s">
        <v>148</v>
      </c>
      <c r="N47" s="35" t="s">
        <v>102</v>
      </c>
      <c r="O47" s="34">
        <f>IFERROR(SUMIF(Table447[,],Table649[[#This Row],[Accounts Name]],Table447[,3]),"")</f>
        <v>568965.54</v>
      </c>
      <c r="P47" s="34">
        <f>IFERROR(SUMIF(Table447[,],Table649[[#This Row],[Accounts Name]],Table447[,2]),"")</f>
        <v>0</v>
      </c>
      <c r="S47" s="36">
        <f t="shared" si="0"/>
        <v>40</v>
      </c>
      <c r="T47" s="34" t="s">
        <v>61</v>
      </c>
      <c r="U47" s="37" t="s">
        <v>219</v>
      </c>
      <c r="V47" s="34">
        <f>IFERROR(SUMIF(Table649[Sub-Accounts],Table850[[#This Row],[Update your chart of accounts here]],Table649[Debit]),"")</f>
        <v>0</v>
      </c>
      <c r="W47" s="34">
        <f>IFERROR(SUMIF(Table649[Sub-Accounts],Table850[[#This Row],[Update your chart of accounts here]],Table649[Credit]),"")</f>
        <v>0</v>
      </c>
      <c r="X47" s="34"/>
      <c r="Y47" s="34"/>
      <c r="Z47" s="34"/>
      <c r="AA47" s="34"/>
      <c r="AB47" s="34">
        <f>MAX(Table850[[#This Row],[Debit]]+Table850[[#This Row],[Debit -]]-Table850[[#This Row],[Credit]]-Table850[[#This Row],[Credit +]],0)</f>
        <v>0</v>
      </c>
      <c r="AC47" s="34">
        <f>MAX(Table850[[#This Row],[Credit]]-Table850[[#This Row],[Debit]]+Table850[[#This Row],[Credit +]]-Table850[[#This Row],[Debit -]],0)</f>
        <v>0</v>
      </c>
      <c r="AD47" s="34" t="str">
        <f>IFERROR(IF(AND(OR(Table850[[#This Row],[Classification]]="Expense",Table850[[#This Row],[Classification]]="Cost of Goods Sold"),Table850[[#This Row],[Debit\]]&gt;Table850[[#This Row],[Credit.]]),Table850[[#This Row],[Debit\]]-Table850[[#This Row],[Credit.]],""),"")</f>
        <v/>
      </c>
      <c r="AE47" s="34" t="str">
        <f>IFERROR(IF(AND(OR(Table850[[#This Row],[Classification]]="Income",Table850[[#This Row],[Classification]]="Cost of Goods Sold"),Table850[[#This Row],[Credit.]]&gt;Table850[[#This Row],[Debit\]]),Table850[[#This Row],[Credit.]]-Table850[[#This Row],[Debit\]],""),"")</f>
        <v/>
      </c>
      <c r="AF47" s="34"/>
      <c r="AG47" s="34" t="str">
        <f>IFERROR(IF(AND(Table850[[#This Row],[Classification]]="Assets",Table850[[#This Row],[Debit\]]-Table850[[#This Row],[Credit.]]),Table850[[#This Row],[Debit\]]-Table850[[#This Row],[Credit.]],""),"")</f>
        <v/>
      </c>
      <c r="AH47" s="34" t="str">
        <f>IFERROR(IF(AND(OR(Table850[[#This Row],[Classification]]="Liabilities",Table850[[#This Row],[Classification]]="Owner´s Equity"),Table850[[#This Row],[Credit.]]&gt;Table850[[#This Row],[Debit\]]),Table850[[#This Row],[Credit.]]-Table850[[#This Row],[Debit\]],""),"")</f>
        <v/>
      </c>
    </row>
    <row r="48" spans="2:34" hidden="1" x14ac:dyDescent="0.25">
      <c r="B48" s="34"/>
      <c r="C48" s="37" t="s">
        <v>102</v>
      </c>
      <c r="D48" s="34">
        <v>568965.54</v>
      </c>
      <c r="E48" s="34"/>
      <c r="G48" s="39"/>
      <c r="H48" s="40"/>
      <c r="I48" s="41"/>
      <c r="J48" s="41"/>
      <c r="L48" s="34">
        <v>41</v>
      </c>
      <c r="M48" s="35" t="s">
        <v>149</v>
      </c>
      <c r="N48" s="35" t="s">
        <v>103</v>
      </c>
      <c r="O48" s="34">
        <f>IFERROR(SUMIF(Table447[,],Table649[[#This Row],[Accounts Name]],Table447[,3]),"")</f>
        <v>175000</v>
      </c>
      <c r="P48" s="34">
        <f>IFERROR(SUMIF(Table447[,],Table649[[#This Row],[Accounts Name]],Table447[,2]),"")</f>
        <v>0</v>
      </c>
      <c r="S48" s="36">
        <f t="shared" si="0"/>
        <v>41</v>
      </c>
      <c r="T48" s="34" t="s">
        <v>61</v>
      </c>
      <c r="U48" s="37" t="s">
        <v>169</v>
      </c>
      <c r="V48" s="34">
        <f>IFERROR(SUMIF(Table649[Sub-Accounts],Table850[[#This Row],[Update your chart of accounts here]],Table649[Debit]),"")</f>
        <v>2000</v>
      </c>
      <c r="W48" s="34">
        <f>IFERROR(SUMIF(Table649[Sub-Accounts],Table850[[#This Row],[Update your chart of accounts here]],Table649[Credit]),"")</f>
        <v>0</v>
      </c>
      <c r="X48" s="34"/>
      <c r="Y48" s="34"/>
      <c r="Z48" s="34"/>
      <c r="AA48" s="34"/>
      <c r="AB48" s="34">
        <f>MAX(Table850[[#This Row],[Debit]]+Table850[[#This Row],[Debit -]]-Table850[[#This Row],[Credit]]-Table850[[#This Row],[Credit +]],0)</f>
        <v>2000</v>
      </c>
      <c r="AC48" s="34">
        <f>MAX(Table850[[#This Row],[Credit]]-Table850[[#This Row],[Debit]]+Table850[[#This Row],[Credit +]]-Table850[[#This Row],[Debit -]],0)</f>
        <v>0</v>
      </c>
      <c r="AD48" s="34">
        <f>IFERROR(IF(AND(OR(Table850[[#This Row],[Classification]]="Expense",Table850[[#This Row],[Classification]]="Cost of Goods Sold"),Table850[[#This Row],[Debit\]]&gt;Table850[[#This Row],[Credit.]]),Table850[[#This Row],[Debit\]]-Table850[[#This Row],[Credit.]],""),"")</f>
        <v>2000</v>
      </c>
      <c r="AE48" s="34" t="str">
        <f>IFERROR(IF(AND(OR(Table850[[#This Row],[Classification]]="Income",Table850[[#This Row],[Classification]]="Cost of Goods Sold"),Table850[[#This Row],[Credit.]]&gt;Table850[[#This Row],[Debit\]]),Table850[[#This Row],[Credit.]]-Table850[[#This Row],[Debit\]],""),"")</f>
        <v/>
      </c>
      <c r="AF48" s="34"/>
      <c r="AG48" s="34" t="str">
        <f>IFERROR(IF(AND(Table850[[#This Row],[Classification]]="Assets",Table850[[#This Row],[Debit\]]-Table850[[#This Row],[Credit.]]),Table850[[#This Row],[Debit\]]-Table850[[#This Row],[Credit.]],""),"")</f>
        <v/>
      </c>
      <c r="AH48" s="34" t="str">
        <f>IFERROR(IF(AND(OR(Table850[[#This Row],[Classification]]="Liabilities",Table850[[#This Row],[Classification]]="Owner´s Equity"),Table850[[#This Row],[Credit.]]&gt;Table850[[#This Row],[Debit\]]),Table850[[#This Row],[Credit.]]-Table850[[#This Row],[Debit\]],""),"")</f>
        <v/>
      </c>
    </row>
    <row r="49" spans="2:34" hidden="1" x14ac:dyDescent="0.25">
      <c r="B49" s="34"/>
      <c r="C49" s="37" t="s">
        <v>103</v>
      </c>
      <c r="D49" s="34">
        <v>175000</v>
      </c>
      <c r="E49" s="34"/>
      <c r="G49" s="39"/>
      <c r="H49" s="40"/>
      <c r="I49" s="41"/>
      <c r="J49" s="41"/>
      <c r="L49" s="34">
        <v>42</v>
      </c>
      <c r="M49" s="35" t="s">
        <v>150</v>
      </c>
      <c r="N49" s="35" t="s">
        <v>104</v>
      </c>
      <c r="O49" s="34">
        <f>IFERROR(SUMIF(Table447[,],Table649[[#This Row],[Accounts Name]],Table447[,3]),"")</f>
        <v>176009.84</v>
      </c>
      <c r="P49" s="34">
        <f>IFERROR(SUMIF(Table447[,],Table649[[#This Row],[Accounts Name]],Table447[,2]),"")</f>
        <v>0</v>
      </c>
      <c r="S49" s="36">
        <f t="shared" si="0"/>
        <v>42</v>
      </c>
      <c r="T49" s="34" t="s">
        <v>61</v>
      </c>
      <c r="U49" s="37" t="s">
        <v>170</v>
      </c>
      <c r="V49" s="34">
        <f>IFERROR(SUMIF(Table649[Sub-Accounts],Table850[[#This Row],[Update your chart of accounts here]],Table649[Debit]),"")</f>
        <v>13250</v>
      </c>
      <c r="W49" s="34">
        <f>IFERROR(SUMIF(Table649[Sub-Accounts],Table850[[#This Row],[Update your chart of accounts here]],Table649[Credit]),"")</f>
        <v>0</v>
      </c>
      <c r="X49" s="34"/>
      <c r="Y49" s="34"/>
      <c r="Z49" s="34"/>
      <c r="AA49" s="34"/>
      <c r="AB49" s="34">
        <f>MAX(Table850[[#This Row],[Debit]]+Table850[[#This Row],[Debit -]]-Table850[[#This Row],[Credit]]-Table850[[#This Row],[Credit +]],0)</f>
        <v>13250</v>
      </c>
      <c r="AC49" s="34">
        <f>MAX(Table850[[#This Row],[Credit]]-Table850[[#This Row],[Debit]]+Table850[[#This Row],[Credit +]]-Table850[[#This Row],[Debit -]],0)</f>
        <v>0</v>
      </c>
      <c r="AD49" s="34">
        <f>IFERROR(IF(AND(OR(Table850[[#This Row],[Classification]]="Expense",Table850[[#This Row],[Classification]]="Cost of Goods Sold"),Table850[[#This Row],[Debit\]]&gt;Table850[[#This Row],[Credit.]]),Table850[[#This Row],[Debit\]]-Table850[[#This Row],[Credit.]],""),"")</f>
        <v>13250</v>
      </c>
      <c r="AE49" s="34" t="str">
        <f>IFERROR(IF(AND(OR(Table850[[#This Row],[Classification]]="Income",Table850[[#This Row],[Classification]]="Cost of Goods Sold"),Table850[[#This Row],[Credit.]]&gt;Table850[[#This Row],[Debit\]]),Table850[[#This Row],[Credit.]]-Table850[[#This Row],[Debit\]],""),"")</f>
        <v/>
      </c>
      <c r="AF49" s="34"/>
      <c r="AG49" s="34" t="str">
        <f>IFERROR(IF(AND(Table850[[#This Row],[Classification]]="Assets",Table850[[#This Row],[Debit\]]-Table850[[#This Row],[Credit.]]),Table850[[#This Row],[Debit\]]-Table850[[#This Row],[Credit.]],""),"")</f>
        <v/>
      </c>
      <c r="AH49" s="34" t="str">
        <f>IFERROR(IF(AND(OR(Table850[[#This Row],[Classification]]="Liabilities",Table850[[#This Row],[Classification]]="Owner´s Equity"),Table850[[#This Row],[Credit.]]&gt;Table850[[#This Row],[Debit\]]),Table850[[#This Row],[Credit.]]-Table850[[#This Row],[Debit\]],""),"")</f>
        <v/>
      </c>
    </row>
    <row r="50" spans="2:34" hidden="1" x14ac:dyDescent="0.25">
      <c r="B50" s="34"/>
      <c r="C50" s="37" t="s">
        <v>104</v>
      </c>
      <c r="D50" s="34">
        <v>176009.84</v>
      </c>
      <c r="E50" s="34"/>
      <c r="G50" s="39"/>
      <c r="H50" s="43"/>
      <c r="I50" s="41"/>
      <c r="J50" s="41"/>
      <c r="L50" s="34">
        <v>43</v>
      </c>
      <c r="M50" s="35" t="s">
        <v>151</v>
      </c>
      <c r="N50" s="35" t="s">
        <v>105</v>
      </c>
      <c r="O50" s="34">
        <f>IFERROR(SUMIF(Table447[,],Table649[[#This Row],[Accounts Name]],Table447[,3]),"")</f>
        <v>4000</v>
      </c>
      <c r="P50" s="34">
        <f>IFERROR(SUMIF(Table447[,],Table649[[#This Row],[Accounts Name]],Table447[,2]),"")</f>
        <v>0</v>
      </c>
      <c r="S50" s="36">
        <f t="shared" si="0"/>
        <v>43</v>
      </c>
      <c r="T50" s="34" t="s">
        <v>61</v>
      </c>
      <c r="U50" s="37" t="s">
        <v>220</v>
      </c>
      <c r="V50" s="34">
        <f>IFERROR(SUMIF(Table649[Sub-Accounts],Table850[[#This Row],[Update your chart of accounts here]],Table649[Debit]),"")</f>
        <v>0</v>
      </c>
      <c r="W50" s="34">
        <f>IFERROR(SUMIF(Table649[Sub-Accounts],Table850[[#This Row],[Update your chart of accounts here]],Table649[Credit]),"")</f>
        <v>0</v>
      </c>
      <c r="X50" s="34"/>
      <c r="Y50" s="34"/>
      <c r="Z50" s="34"/>
      <c r="AA50" s="34"/>
      <c r="AB50" s="34">
        <f>MAX(Table850[[#This Row],[Debit]]+Table850[[#This Row],[Debit -]]-Table850[[#This Row],[Credit]]-Table850[[#This Row],[Credit +]],0)</f>
        <v>0</v>
      </c>
      <c r="AC50" s="34">
        <f>MAX(Table850[[#This Row],[Credit]]-Table850[[#This Row],[Debit]]+Table850[[#This Row],[Credit +]]-Table850[[#This Row],[Debit -]],0)</f>
        <v>0</v>
      </c>
      <c r="AD50" s="34" t="str">
        <f>IFERROR(IF(AND(OR(Table850[[#This Row],[Classification]]="Expense",Table850[[#This Row],[Classification]]="Cost of Goods Sold"),Table850[[#This Row],[Debit\]]&gt;Table850[[#This Row],[Credit.]]),Table850[[#This Row],[Debit\]]-Table850[[#This Row],[Credit.]],""),"")</f>
        <v/>
      </c>
      <c r="AE50" s="34" t="str">
        <f>IFERROR(IF(AND(OR(Table850[[#This Row],[Classification]]="Income",Table850[[#This Row],[Classification]]="Cost of Goods Sold"),Table850[[#This Row],[Credit.]]&gt;Table850[[#This Row],[Debit\]]),Table850[[#This Row],[Credit.]]-Table850[[#This Row],[Debit\]],""),"")</f>
        <v/>
      </c>
      <c r="AF50" s="34"/>
      <c r="AG50" s="34" t="str">
        <f>IFERROR(IF(AND(Table850[[#This Row],[Classification]]="Assets",Table850[[#This Row],[Debit\]]-Table850[[#This Row],[Credit.]]),Table850[[#This Row],[Debit\]]-Table850[[#This Row],[Credit.]],""),"")</f>
        <v/>
      </c>
      <c r="AH50" s="34" t="str">
        <f>IFERROR(IF(AND(OR(Table850[[#This Row],[Classification]]="Liabilities",Table850[[#This Row],[Classification]]="Owner´s Equity"),Table850[[#This Row],[Credit.]]&gt;Table850[[#This Row],[Debit\]]),Table850[[#This Row],[Credit.]]-Table850[[#This Row],[Debit\]],""),"")</f>
        <v/>
      </c>
    </row>
    <row r="51" spans="2:34" hidden="1" x14ac:dyDescent="0.25">
      <c r="B51" s="34"/>
      <c r="C51" s="37" t="s">
        <v>105</v>
      </c>
      <c r="D51" s="34">
        <v>4000</v>
      </c>
      <c r="E51" s="34"/>
      <c r="G51" s="39"/>
      <c r="H51" s="40"/>
      <c r="I51" s="41"/>
      <c r="J51" s="41"/>
      <c r="L51" s="34">
        <v>44</v>
      </c>
      <c r="M51" s="35" t="s">
        <v>152</v>
      </c>
      <c r="N51" s="35" t="s">
        <v>106</v>
      </c>
      <c r="O51" s="34">
        <f>IFERROR(SUMIF(Table447[,],Table649[[#This Row],[Accounts Name]],Table447[,3]),"")</f>
        <v>50190.32</v>
      </c>
      <c r="P51" s="34">
        <f>IFERROR(SUMIF(Table447[,],Table649[[#This Row],[Accounts Name]],Table447[,2]),"")</f>
        <v>0</v>
      </c>
      <c r="S51" s="36">
        <f t="shared" si="0"/>
        <v>44</v>
      </c>
      <c r="T51" s="34" t="s">
        <v>61</v>
      </c>
      <c r="U51" s="37" t="s">
        <v>155</v>
      </c>
      <c r="V51" s="34">
        <f>IFERROR(SUMIF(Table649[Sub-Accounts],Table850[[#This Row],[Update your chart of accounts here]],Table649[Debit]),"")</f>
        <v>1000000</v>
      </c>
      <c r="W51" s="34">
        <f>IFERROR(SUMIF(Table649[Sub-Accounts],Table850[[#This Row],[Update your chart of accounts here]],Table649[Credit]),"")</f>
        <v>0</v>
      </c>
      <c r="X51" s="34"/>
      <c r="Y51" s="34" t="s">
        <v>226</v>
      </c>
      <c r="Z51" s="34"/>
      <c r="AA51" s="34">
        <f>J15</f>
        <v>1000000</v>
      </c>
      <c r="AB51" s="34">
        <f>MAX(Table850[[#This Row],[Debit]]+Table850[[#This Row],[Debit -]]-Table850[[#This Row],[Credit]]-Table850[[#This Row],[Credit +]],0)</f>
        <v>0</v>
      </c>
      <c r="AC51" s="34">
        <f>MAX(Table850[[#This Row],[Credit]]-Table850[[#This Row],[Debit]]+Table850[[#This Row],[Credit +]]-Table850[[#This Row],[Debit -]],0)</f>
        <v>0</v>
      </c>
      <c r="AD51" s="34" t="str">
        <f>IFERROR(IF(AND(OR(Table850[[#This Row],[Classification]]="Expense",Table850[[#This Row],[Classification]]="Cost of Goods Sold"),Table850[[#This Row],[Debit\]]&gt;Table850[[#This Row],[Credit.]]),Table850[[#This Row],[Debit\]]-Table850[[#This Row],[Credit.]],""),"")</f>
        <v/>
      </c>
      <c r="AE51" s="34" t="str">
        <f>IFERROR(IF(AND(OR(Table850[[#This Row],[Classification]]="Income",Table850[[#This Row],[Classification]]="Cost of Goods Sold"),Table850[[#This Row],[Credit.]]&gt;Table850[[#This Row],[Debit\]]),Table850[[#This Row],[Credit.]]-Table850[[#This Row],[Debit\]],""),"")</f>
        <v/>
      </c>
      <c r="AF51" s="34"/>
      <c r="AG51" s="34" t="str">
        <f>IFERROR(IF(AND(Table850[[#This Row],[Classification]]="Assets",Table850[[#This Row],[Debit\]]-Table850[[#This Row],[Credit.]]),Table850[[#This Row],[Debit\]]-Table850[[#This Row],[Credit.]],""),"")</f>
        <v/>
      </c>
      <c r="AH51" s="34" t="str">
        <f>IFERROR(IF(AND(OR(Table850[[#This Row],[Classification]]="Liabilities",Table850[[#This Row],[Classification]]="Owner´s Equity"),Table850[[#This Row],[Credit.]]&gt;Table850[[#This Row],[Debit\]]),Table850[[#This Row],[Credit.]]-Table850[[#This Row],[Debit\]],""),"")</f>
        <v/>
      </c>
    </row>
    <row r="52" spans="2:34" hidden="1" x14ac:dyDescent="0.25">
      <c r="B52" s="34"/>
      <c r="C52" s="37" t="s">
        <v>106</v>
      </c>
      <c r="D52" s="34">
        <v>50190.32</v>
      </c>
      <c r="E52" s="34"/>
      <c r="G52" s="39"/>
      <c r="H52" s="40"/>
      <c r="I52" s="41"/>
      <c r="J52" s="41"/>
      <c r="L52" s="34">
        <v>45</v>
      </c>
      <c r="M52" s="35" t="s">
        <v>153</v>
      </c>
      <c r="N52" s="35" t="s">
        <v>107</v>
      </c>
      <c r="O52" s="34">
        <f>IFERROR(SUMIF(Table447[,],Table649[[#This Row],[Accounts Name]],Table447[,3]),"")</f>
        <v>233250</v>
      </c>
      <c r="P52" s="34">
        <f>IFERROR(SUMIF(Table447[,],Table649[[#This Row],[Accounts Name]],Table447[,2]),"")</f>
        <v>0</v>
      </c>
      <c r="S52" s="36">
        <f t="shared" si="0"/>
        <v>45</v>
      </c>
      <c r="T52" s="34" t="s">
        <v>61</v>
      </c>
      <c r="U52" s="37" t="s">
        <v>171</v>
      </c>
      <c r="V52" s="34">
        <f>IFERROR(SUMIF(Table649[Sub-Accounts],Table850[[#This Row],[Update your chart of accounts here]],Table649[Debit]),"")</f>
        <v>0</v>
      </c>
      <c r="W52" s="34">
        <f>IFERROR(SUMIF(Table649[Sub-Accounts],Table850[[#This Row],[Update your chart of accounts here]],Table649[Credit]),"")</f>
        <v>0</v>
      </c>
      <c r="X52" s="34"/>
      <c r="Y52" s="34" t="s">
        <v>224</v>
      </c>
      <c r="Z52" s="34">
        <f>I9</f>
        <v>409278.51677448238</v>
      </c>
      <c r="AA52" s="34"/>
      <c r="AB52" s="34">
        <f>MAX(Table850[[#This Row],[Debit]]+Table850[[#This Row],[Debit -]]-Table850[[#This Row],[Credit]]-Table850[[#This Row],[Credit +]],0)</f>
        <v>409278.51677448238</v>
      </c>
      <c r="AC52" s="34">
        <f>MAX(Table850[[#This Row],[Credit]]-Table850[[#This Row],[Debit]]+Table850[[#This Row],[Credit +]]-Table850[[#This Row],[Debit -]],0)</f>
        <v>0</v>
      </c>
      <c r="AD52" s="34">
        <f>IFERROR(IF(AND(OR(Table850[[#This Row],[Classification]]="Expense",Table850[[#This Row],[Classification]]="Cost of Goods Sold"),Table850[[#This Row],[Debit\]]&gt;Table850[[#This Row],[Credit.]]),Table850[[#This Row],[Debit\]]-Table850[[#This Row],[Credit.]],""),"")</f>
        <v>409278.51677448238</v>
      </c>
      <c r="AE52" s="34" t="str">
        <f>IFERROR(IF(AND(OR(Table850[[#This Row],[Classification]]="Income",Table850[[#This Row],[Classification]]="Cost of Goods Sold"),Table850[[#This Row],[Credit.]]&gt;Table850[[#This Row],[Debit\]]),Table850[[#This Row],[Credit.]]-Table850[[#This Row],[Debit\]],""),"")</f>
        <v/>
      </c>
      <c r="AF52" s="34"/>
      <c r="AG52" s="34" t="str">
        <f>IFERROR(IF(AND(Table850[[#This Row],[Classification]]="Assets",Table850[[#This Row],[Debit\]]-Table850[[#This Row],[Credit.]]),Table850[[#This Row],[Debit\]]-Table850[[#This Row],[Credit.]],""),"")</f>
        <v/>
      </c>
      <c r="AH52" s="34" t="str">
        <f>IFERROR(IF(AND(OR(Table850[[#This Row],[Classification]]="Liabilities",Table850[[#This Row],[Classification]]="Owner´s Equity"),Table850[[#This Row],[Credit.]]&gt;Table850[[#This Row],[Debit\]]),Table850[[#This Row],[Credit.]]-Table850[[#This Row],[Debit\]],""),"")</f>
        <v/>
      </c>
    </row>
    <row r="53" spans="2:34" hidden="1" x14ac:dyDescent="0.25">
      <c r="B53" s="34"/>
      <c r="C53" s="37" t="s">
        <v>107</v>
      </c>
      <c r="D53" s="34">
        <v>233250</v>
      </c>
      <c r="E53" s="34"/>
      <c r="G53" s="39"/>
      <c r="H53" s="43"/>
      <c r="I53" s="41"/>
      <c r="J53" s="41"/>
      <c r="L53" s="34">
        <v>46</v>
      </c>
      <c r="M53" s="35" t="s">
        <v>154</v>
      </c>
      <c r="N53" s="35" t="s">
        <v>108</v>
      </c>
      <c r="O53" s="34">
        <f>IFERROR(SUMIF(Table447[,],Table649[[#This Row],[Accounts Name]],Table447[,3]),"")</f>
        <v>2500001</v>
      </c>
      <c r="P53" s="34">
        <f>IFERROR(SUMIF(Table447[,],Table649[[#This Row],[Accounts Name]],Table447[,2]),"")</f>
        <v>0</v>
      </c>
      <c r="S53" s="36">
        <f t="shared" si="0"/>
        <v>46</v>
      </c>
      <c r="T53" s="34" t="s">
        <v>61</v>
      </c>
      <c r="U53" s="37" t="s">
        <v>148</v>
      </c>
      <c r="V53" s="34">
        <f>IFERROR(SUMIF(Table649[Sub-Accounts],Table850[[#This Row],[Update your chart of accounts here]],Table649[Debit]),"")</f>
        <v>568965.54</v>
      </c>
      <c r="W53" s="34">
        <f>IFERROR(SUMIF(Table649[Sub-Accounts],Table850[[#This Row],[Update your chart of accounts here]],Table649[Credit]),"")</f>
        <v>0</v>
      </c>
      <c r="X53" s="34"/>
      <c r="Y53" s="34"/>
      <c r="Z53" s="34"/>
      <c r="AA53" s="34"/>
      <c r="AB53" s="34">
        <f>MAX(Table850[[#This Row],[Debit]]+Table850[[#This Row],[Debit -]]-Table850[[#This Row],[Credit]]-Table850[[#This Row],[Credit +]],0)</f>
        <v>568965.54</v>
      </c>
      <c r="AC53" s="34">
        <f>MAX(Table850[[#This Row],[Credit]]-Table850[[#This Row],[Debit]]+Table850[[#This Row],[Credit +]]-Table850[[#This Row],[Debit -]],0)</f>
        <v>0</v>
      </c>
      <c r="AD53" s="34">
        <f>IFERROR(IF(AND(OR(Table850[[#This Row],[Classification]]="Expense",Table850[[#This Row],[Classification]]="Cost of Goods Sold"),Table850[[#This Row],[Debit\]]&gt;Table850[[#This Row],[Credit.]]),Table850[[#This Row],[Debit\]]-Table850[[#This Row],[Credit.]],""),"")</f>
        <v>568965.54</v>
      </c>
      <c r="AE53" s="34" t="str">
        <f>IFERROR(IF(AND(OR(Table850[[#This Row],[Classification]]="Income",Table850[[#This Row],[Classification]]="Cost of Goods Sold"),Table850[[#This Row],[Credit.]]&gt;Table850[[#This Row],[Debit\]]),Table850[[#This Row],[Credit.]]-Table850[[#This Row],[Debit\]],""),"")</f>
        <v/>
      </c>
      <c r="AF53" s="34"/>
      <c r="AG53" s="34" t="str">
        <f>IFERROR(IF(AND(Table850[[#This Row],[Classification]]="Assets",Table850[[#This Row],[Debit\]]-Table850[[#This Row],[Credit.]]),Table850[[#This Row],[Debit\]]-Table850[[#This Row],[Credit.]],""),"")</f>
        <v/>
      </c>
      <c r="AH53" s="34" t="str">
        <f>IFERROR(IF(AND(OR(Table850[[#This Row],[Classification]]="Liabilities",Table850[[#This Row],[Classification]]="Owner´s Equity"),Table850[[#This Row],[Credit.]]&gt;Table850[[#This Row],[Debit\]]),Table850[[#This Row],[Credit.]]-Table850[[#This Row],[Debit\]],""),"")</f>
        <v/>
      </c>
    </row>
    <row r="54" spans="2:34" hidden="1" x14ac:dyDescent="0.25">
      <c r="B54" s="34"/>
      <c r="C54" s="37" t="s">
        <v>108</v>
      </c>
      <c r="D54" s="34">
        <v>2500001</v>
      </c>
      <c r="E54" s="34"/>
      <c r="G54" s="39"/>
      <c r="H54" s="40"/>
      <c r="I54" s="41"/>
      <c r="J54" s="41"/>
      <c r="L54" s="34">
        <v>47</v>
      </c>
      <c r="M54" s="35" t="s">
        <v>155</v>
      </c>
      <c r="N54" s="35" t="s">
        <v>109</v>
      </c>
      <c r="O54" s="34">
        <f>IFERROR(SUMIF(Table447[,],Table649[[#This Row],[Accounts Name]],Table447[,3]),"")</f>
        <v>1000000</v>
      </c>
      <c r="P54" s="34">
        <f>IFERROR(SUMIF(Table447[,],Table649[[#This Row],[Accounts Name]],Table447[,2]),"")</f>
        <v>0</v>
      </c>
      <c r="S54" s="36">
        <f t="shared" si="0"/>
        <v>47</v>
      </c>
      <c r="T54" s="34" t="s">
        <v>61</v>
      </c>
      <c r="U54" s="37" t="s">
        <v>158</v>
      </c>
      <c r="V54" s="34">
        <f>IFERROR(SUMIF(Table649[Sub-Accounts],Table850[[#This Row],[Update your chart of accounts here]],Table649[Debit]),"")</f>
        <v>436880</v>
      </c>
      <c r="W54" s="34">
        <f>IFERROR(SUMIF(Table649[Sub-Accounts],Table850[[#This Row],[Update your chart of accounts here]],Table649[Credit]),"")</f>
        <v>0</v>
      </c>
      <c r="X54" s="34"/>
      <c r="Y54" s="34"/>
      <c r="Z54" s="34"/>
      <c r="AA54" s="34"/>
      <c r="AB54" s="34">
        <f>MAX(Table850[[#This Row],[Debit]]+Table850[[#This Row],[Debit -]]-Table850[[#This Row],[Credit]]-Table850[[#This Row],[Credit +]],0)</f>
        <v>436880</v>
      </c>
      <c r="AC54" s="34">
        <f>MAX(Table850[[#This Row],[Credit]]-Table850[[#This Row],[Debit]]+Table850[[#This Row],[Credit +]]-Table850[[#This Row],[Debit -]],0)</f>
        <v>0</v>
      </c>
      <c r="AD54" s="34">
        <f>IFERROR(IF(AND(OR(Table850[[#This Row],[Classification]]="Expense",Table850[[#This Row],[Classification]]="Cost of Goods Sold"),Table850[[#This Row],[Debit\]]&gt;Table850[[#This Row],[Credit.]]),Table850[[#This Row],[Debit\]]-Table850[[#This Row],[Credit.]],""),"")</f>
        <v>436880</v>
      </c>
      <c r="AE54" s="34" t="str">
        <f>IFERROR(IF(AND(OR(Table850[[#This Row],[Classification]]="Income",Table850[[#This Row],[Classification]]="Cost of Goods Sold"),Table850[[#This Row],[Credit.]]&gt;Table850[[#This Row],[Debit\]]),Table850[[#This Row],[Credit.]]-Table850[[#This Row],[Debit\]],""),"")</f>
        <v/>
      </c>
      <c r="AF54" s="34"/>
      <c r="AG54" s="34" t="str">
        <f>IFERROR(IF(AND(Table850[[#This Row],[Classification]]="Assets",Table850[[#This Row],[Debit\]]-Table850[[#This Row],[Credit.]]),Table850[[#This Row],[Debit\]]-Table850[[#This Row],[Credit.]],""),"")</f>
        <v/>
      </c>
      <c r="AH54" s="34" t="str">
        <f>IFERROR(IF(AND(OR(Table850[[#This Row],[Classification]]="Liabilities",Table850[[#This Row],[Classification]]="Owner´s Equity"),Table850[[#This Row],[Credit.]]&gt;Table850[[#This Row],[Debit\]]),Table850[[#This Row],[Credit.]]-Table850[[#This Row],[Debit\]],""),"")</f>
        <v/>
      </c>
    </row>
    <row r="55" spans="2:34" hidden="1" x14ac:dyDescent="0.25">
      <c r="B55" s="34"/>
      <c r="C55" s="37" t="s">
        <v>109</v>
      </c>
      <c r="D55" s="34">
        <v>1000000</v>
      </c>
      <c r="E55" s="34"/>
      <c r="G55" s="39"/>
      <c r="H55" s="40"/>
      <c r="I55" s="41"/>
      <c r="J55" s="41"/>
      <c r="L55" s="34">
        <v>48</v>
      </c>
      <c r="M55" s="35" t="s">
        <v>156</v>
      </c>
      <c r="N55" s="35" t="s">
        <v>110</v>
      </c>
      <c r="O55" s="34">
        <f>IFERROR(SUMIF(Table447[,],Table649[[#This Row],[Accounts Name]],Table447[,3]),"")</f>
        <v>900</v>
      </c>
      <c r="P55" s="34">
        <f>IFERROR(SUMIF(Table447[,],Table649[[#This Row],[Accounts Name]],Table447[,2]),"")</f>
        <v>0</v>
      </c>
      <c r="S55" s="36">
        <f t="shared" si="0"/>
        <v>48</v>
      </c>
      <c r="T55" s="34" t="s">
        <v>61</v>
      </c>
      <c r="U55" s="37" t="s">
        <v>149</v>
      </c>
      <c r="V55" s="34">
        <f>IFERROR(SUMIF(Table649[Sub-Accounts],Table850[[#This Row],[Update your chart of accounts here]],Table649[Debit]),"")</f>
        <v>175000</v>
      </c>
      <c r="W55" s="34">
        <f>IFERROR(SUMIF(Table649[Sub-Accounts],Table850[[#This Row],[Update your chart of accounts here]],Table649[Credit]),"")</f>
        <v>0</v>
      </c>
      <c r="X55" s="34"/>
      <c r="Y55" s="34"/>
      <c r="Z55" s="34"/>
      <c r="AA55" s="34"/>
      <c r="AB55" s="34">
        <f>MAX(Table850[[#This Row],[Debit]]+Table850[[#This Row],[Debit -]]-Table850[[#This Row],[Credit]]-Table850[[#This Row],[Credit +]],0)</f>
        <v>175000</v>
      </c>
      <c r="AC55" s="34">
        <f>MAX(Table850[[#This Row],[Credit]]-Table850[[#This Row],[Debit]]+Table850[[#This Row],[Credit +]]-Table850[[#This Row],[Debit -]],0)</f>
        <v>0</v>
      </c>
      <c r="AD55" s="34">
        <f>IFERROR(IF(AND(OR(Table850[[#This Row],[Classification]]="Expense",Table850[[#This Row],[Classification]]="Cost of Goods Sold"),Table850[[#This Row],[Debit\]]&gt;Table850[[#This Row],[Credit.]]),Table850[[#This Row],[Debit\]]-Table850[[#This Row],[Credit.]],""),"")</f>
        <v>175000</v>
      </c>
      <c r="AE55" s="34" t="str">
        <f>IFERROR(IF(AND(OR(Table850[[#This Row],[Classification]]="Income",Table850[[#This Row],[Classification]]="Cost of Goods Sold"),Table850[[#This Row],[Credit.]]&gt;Table850[[#This Row],[Debit\]]),Table850[[#This Row],[Credit.]]-Table850[[#This Row],[Debit\]],""),"")</f>
        <v/>
      </c>
      <c r="AF55" s="34"/>
      <c r="AG55" s="34" t="str">
        <f>IFERROR(IF(AND(Table850[[#This Row],[Classification]]="Assets",Table850[[#This Row],[Debit\]]-Table850[[#This Row],[Credit.]]),Table850[[#This Row],[Debit\]]-Table850[[#This Row],[Credit.]],""),"")</f>
        <v/>
      </c>
      <c r="AH55" s="34" t="str">
        <f>IFERROR(IF(AND(OR(Table850[[#This Row],[Classification]]="Liabilities",Table850[[#This Row],[Classification]]="Owner´s Equity"),Table850[[#This Row],[Credit.]]&gt;Table850[[#This Row],[Debit\]]),Table850[[#This Row],[Credit.]]-Table850[[#This Row],[Debit\]],""),"")</f>
        <v/>
      </c>
    </row>
    <row r="56" spans="2:34" hidden="1" x14ac:dyDescent="0.25">
      <c r="B56" s="34"/>
      <c r="C56" s="37" t="s">
        <v>110</v>
      </c>
      <c r="D56" s="34">
        <v>900</v>
      </c>
      <c r="E56" s="34"/>
      <c r="G56" s="39"/>
      <c r="H56" s="43"/>
      <c r="I56" s="41"/>
      <c r="J56" s="41"/>
      <c r="L56" s="34">
        <v>49</v>
      </c>
      <c r="M56" s="35" t="s">
        <v>157</v>
      </c>
      <c r="N56" s="35" t="s">
        <v>111</v>
      </c>
      <c r="O56" s="34">
        <f>IFERROR(SUMIF(Table447[,],Table649[[#This Row],[Accounts Name]],Table447[,3]),"")</f>
        <v>542263</v>
      </c>
      <c r="P56" s="34">
        <f>IFERROR(SUMIF(Table447[,],Table649[[#This Row],[Accounts Name]],Table447[,2]),"")</f>
        <v>0</v>
      </c>
      <c r="S56" s="36">
        <f t="shared" si="0"/>
        <v>49</v>
      </c>
      <c r="T56" s="34" t="s">
        <v>61</v>
      </c>
      <c r="U56" s="37" t="s">
        <v>160</v>
      </c>
      <c r="V56" s="34">
        <f>IFERROR(SUMIF(Table649[Sub-Accounts],Table850[[#This Row],[Update your chart of accounts here]],Table649[Debit]),"")</f>
        <v>145440</v>
      </c>
      <c r="W56" s="34">
        <f>IFERROR(SUMIF(Table649[Sub-Accounts],Table850[[#This Row],[Update your chart of accounts here]],Table649[Credit]),"")</f>
        <v>0</v>
      </c>
      <c r="X56" s="34"/>
      <c r="Y56" s="34"/>
      <c r="Z56" s="34"/>
      <c r="AA56" s="34"/>
      <c r="AB56" s="34">
        <f>MAX(Table850[[#This Row],[Debit]]+Table850[[#This Row],[Debit -]]-Table850[[#This Row],[Credit]]-Table850[[#This Row],[Credit +]],0)</f>
        <v>145440</v>
      </c>
      <c r="AC56" s="34">
        <f>MAX(Table850[[#This Row],[Credit]]-Table850[[#This Row],[Debit]]+Table850[[#This Row],[Credit +]]-Table850[[#This Row],[Debit -]],0)</f>
        <v>0</v>
      </c>
      <c r="AD56" s="34">
        <f>IFERROR(IF(AND(OR(Table850[[#This Row],[Classification]]="Expense",Table850[[#This Row],[Classification]]="Cost of Goods Sold"),Table850[[#This Row],[Debit\]]&gt;Table850[[#This Row],[Credit.]]),Table850[[#This Row],[Debit\]]-Table850[[#This Row],[Credit.]],""),"")</f>
        <v>145440</v>
      </c>
      <c r="AE56" s="34" t="str">
        <f>IFERROR(IF(AND(OR(Table850[[#This Row],[Classification]]="Income",Table850[[#This Row],[Classification]]="Cost of Goods Sold"),Table850[[#This Row],[Credit.]]&gt;Table850[[#This Row],[Debit\]]),Table850[[#This Row],[Credit.]]-Table850[[#This Row],[Debit\]],""),"")</f>
        <v/>
      </c>
      <c r="AF56" s="34"/>
      <c r="AG56" s="34" t="str">
        <f>IFERROR(IF(AND(Table850[[#This Row],[Classification]]="Assets",Table850[[#This Row],[Debit\]]-Table850[[#This Row],[Credit.]]),Table850[[#This Row],[Debit\]]-Table850[[#This Row],[Credit.]],""),"")</f>
        <v/>
      </c>
      <c r="AH56" s="34" t="str">
        <f>IFERROR(IF(AND(OR(Table850[[#This Row],[Classification]]="Liabilities",Table850[[#This Row],[Classification]]="Owner´s Equity"),Table850[[#This Row],[Credit.]]&gt;Table850[[#This Row],[Debit\]]),Table850[[#This Row],[Credit.]]-Table850[[#This Row],[Debit\]],""),"")</f>
        <v/>
      </c>
    </row>
    <row r="57" spans="2:34" hidden="1" x14ac:dyDescent="0.25">
      <c r="B57" s="34"/>
      <c r="C57" s="37" t="s">
        <v>111</v>
      </c>
      <c r="D57" s="34">
        <v>542263</v>
      </c>
      <c r="E57" s="34"/>
      <c r="G57" s="39"/>
      <c r="H57" s="40"/>
      <c r="I57" s="41"/>
      <c r="J57" s="41"/>
      <c r="L57" s="34">
        <v>50</v>
      </c>
      <c r="M57" s="35" t="s">
        <v>158</v>
      </c>
      <c r="N57" s="35" t="s">
        <v>112</v>
      </c>
      <c r="O57" s="34">
        <f>IFERROR(SUMIF(Table447[,],Table649[[#This Row],[Accounts Name]],Table447[,3]),"")</f>
        <v>20412.8</v>
      </c>
      <c r="P57" s="34">
        <f>IFERROR(SUMIF(Table447[,],Table649[[#This Row],[Accounts Name]],Table447[,2]),"")</f>
        <v>0</v>
      </c>
      <c r="S57" s="36">
        <f t="shared" si="0"/>
        <v>50</v>
      </c>
      <c r="T57" s="34" t="s">
        <v>61</v>
      </c>
      <c r="U57" s="37" t="s">
        <v>150</v>
      </c>
      <c r="V57" s="34">
        <f>IFERROR(SUMIF(Table649[Sub-Accounts],Table850[[#This Row],[Update your chart of accounts here]],Table649[Debit]),"")</f>
        <v>176009.84</v>
      </c>
      <c r="W57" s="34">
        <f>IFERROR(SUMIF(Table649[Sub-Accounts],Table850[[#This Row],[Update your chart of accounts here]],Table649[Credit]),"")</f>
        <v>0</v>
      </c>
      <c r="X57" s="34"/>
      <c r="Y57" s="34"/>
      <c r="Z57" s="34"/>
      <c r="AA57" s="34"/>
      <c r="AB57" s="34">
        <f>MAX(Table850[[#This Row],[Debit]]+Table850[[#This Row],[Debit -]]-Table850[[#This Row],[Credit]]-Table850[[#This Row],[Credit +]],0)</f>
        <v>176009.84</v>
      </c>
      <c r="AC57" s="34">
        <f>MAX(Table850[[#This Row],[Credit]]-Table850[[#This Row],[Debit]]+Table850[[#This Row],[Credit +]]-Table850[[#This Row],[Debit -]],0)</f>
        <v>0</v>
      </c>
      <c r="AD57" s="34">
        <f>IFERROR(IF(AND(OR(Table850[[#This Row],[Classification]]="Expense",Table850[[#This Row],[Classification]]="Cost of Goods Sold"),Table850[[#This Row],[Debit\]]&gt;Table850[[#This Row],[Credit.]]),Table850[[#This Row],[Debit\]]-Table850[[#This Row],[Credit.]],""),"")</f>
        <v>176009.84</v>
      </c>
      <c r="AE57" s="34" t="str">
        <f>IFERROR(IF(AND(OR(Table850[[#This Row],[Classification]]="Income",Table850[[#This Row],[Classification]]="Cost of Goods Sold"),Table850[[#This Row],[Credit.]]&gt;Table850[[#This Row],[Debit\]]),Table850[[#This Row],[Credit.]]-Table850[[#This Row],[Debit\]],""),"")</f>
        <v/>
      </c>
      <c r="AF57" s="34"/>
      <c r="AG57" s="34" t="str">
        <f>IFERROR(IF(AND(Table850[[#This Row],[Classification]]="Assets",Table850[[#This Row],[Debit\]]-Table850[[#This Row],[Credit.]]),Table850[[#This Row],[Debit\]]-Table850[[#This Row],[Credit.]],""),"")</f>
        <v/>
      </c>
      <c r="AH57" s="34" t="str">
        <f>IFERROR(IF(AND(OR(Table850[[#This Row],[Classification]]="Liabilities",Table850[[#This Row],[Classification]]="Owner´s Equity"),Table850[[#This Row],[Credit.]]&gt;Table850[[#This Row],[Debit\]]),Table850[[#This Row],[Credit.]]-Table850[[#This Row],[Debit\]],""),"")</f>
        <v/>
      </c>
    </row>
    <row r="58" spans="2:34" hidden="1" x14ac:dyDescent="0.25">
      <c r="B58" s="34"/>
      <c r="C58" s="37" t="s">
        <v>112</v>
      </c>
      <c r="D58" s="34">
        <v>20412.8</v>
      </c>
      <c r="E58" s="34"/>
      <c r="G58" s="39"/>
      <c r="H58" s="40"/>
      <c r="I58" s="41"/>
      <c r="J58" s="41"/>
      <c r="L58" s="34">
        <v>51</v>
      </c>
      <c r="M58" s="35" t="s">
        <v>158</v>
      </c>
      <c r="N58" s="35" t="s">
        <v>113</v>
      </c>
      <c r="O58" s="34">
        <f>IFERROR(SUMIF(Table447[,],Table649[[#This Row],[Accounts Name]],Table447[,3]),"")</f>
        <v>416467.20000000001</v>
      </c>
      <c r="P58" s="34">
        <f>IFERROR(SUMIF(Table447[,],Table649[[#This Row],[Accounts Name]],Table447[,2]),"")</f>
        <v>0</v>
      </c>
      <c r="S58" s="36">
        <f t="shared" si="0"/>
        <v>51</v>
      </c>
      <c r="T58" s="34" t="s">
        <v>61</v>
      </c>
      <c r="U58" s="37" t="s">
        <v>221</v>
      </c>
      <c r="V58" s="34">
        <f>IFERROR(SUMIF(Table649[Sub-Accounts],Table850[[#This Row],[Update your chart of accounts here]],Table649[Debit]),"")</f>
        <v>0</v>
      </c>
      <c r="W58" s="34">
        <f>IFERROR(SUMIF(Table649[Sub-Accounts],Table850[[#This Row],[Update your chart of accounts here]],Table649[Credit]),"")</f>
        <v>0</v>
      </c>
      <c r="X58" s="34"/>
      <c r="Y58" s="34"/>
      <c r="Z58" s="34"/>
      <c r="AA58" s="34"/>
      <c r="AB58" s="34">
        <f>MAX(Table850[[#This Row],[Debit]]+Table850[[#This Row],[Debit -]]-Table850[[#This Row],[Credit]]-Table850[[#This Row],[Credit +]],0)</f>
        <v>0</v>
      </c>
      <c r="AC58" s="34">
        <f>MAX(Table850[[#This Row],[Credit]]-Table850[[#This Row],[Debit]]+Table850[[#This Row],[Credit +]]-Table850[[#This Row],[Debit -]],0)</f>
        <v>0</v>
      </c>
      <c r="AD58" s="34" t="str">
        <f>IFERROR(IF(AND(OR(Table850[[#This Row],[Classification]]="Expense",Table850[[#This Row],[Classification]]="Cost of Goods Sold"),Table850[[#This Row],[Debit\]]&gt;Table850[[#This Row],[Credit.]]),Table850[[#This Row],[Debit\]]-Table850[[#This Row],[Credit.]],""),"")</f>
        <v/>
      </c>
      <c r="AE58" s="34" t="str">
        <f>IFERROR(IF(AND(OR(Table850[[#This Row],[Classification]]="Income",Table850[[#This Row],[Classification]]="Cost of Goods Sold"),Table850[[#This Row],[Credit.]]&gt;Table850[[#This Row],[Debit\]]),Table850[[#This Row],[Credit.]]-Table850[[#This Row],[Debit\]],""),"")</f>
        <v/>
      </c>
      <c r="AF58" s="34"/>
      <c r="AG58" s="34" t="str">
        <f>IFERROR(IF(AND(Table850[[#This Row],[Classification]]="Assets",Table850[[#This Row],[Debit\]]-Table850[[#This Row],[Credit.]]),Table850[[#This Row],[Debit\]]-Table850[[#This Row],[Credit.]],""),"")</f>
        <v/>
      </c>
      <c r="AH58" s="34" t="str">
        <f>IFERROR(IF(AND(OR(Table850[[#This Row],[Classification]]="Liabilities",Table850[[#This Row],[Classification]]="Owner´s Equity"),Table850[[#This Row],[Credit.]]&gt;Table850[[#This Row],[Debit\]]),Table850[[#This Row],[Credit.]]-Table850[[#This Row],[Debit\]],""),"")</f>
        <v/>
      </c>
    </row>
    <row r="59" spans="2:34" hidden="1" x14ac:dyDescent="0.25">
      <c r="B59" s="34"/>
      <c r="C59" s="37" t="s">
        <v>113</v>
      </c>
      <c r="D59" s="34">
        <v>416467.20000000001</v>
      </c>
      <c r="E59" s="34"/>
      <c r="G59" s="39"/>
      <c r="H59" s="43"/>
      <c r="I59" s="41"/>
      <c r="J59" s="41"/>
      <c r="L59" s="34">
        <v>52</v>
      </c>
      <c r="M59" s="35" t="s">
        <v>159</v>
      </c>
      <c r="N59" s="35" t="s">
        <v>114</v>
      </c>
      <c r="O59" s="34">
        <f>IFERROR(SUMIF(Table447[,],Table649[[#This Row],[Accounts Name]],Table447[,3]),"")</f>
        <v>27500</v>
      </c>
      <c r="P59" s="34">
        <f>IFERROR(SUMIF(Table447[,],Table649[[#This Row],[Accounts Name]],Table447[,2]),"")</f>
        <v>0</v>
      </c>
      <c r="S59" s="36">
        <f t="shared" si="0"/>
        <v>52</v>
      </c>
      <c r="T59" s="34" t="s">
        <v>61</v>
      </c>
      <c r="U59" s="37" t="s">
        <v>222</v>
      </c>
      <c r="V59" s="34">
        <f>IFERROR(SUMIF(Table649[Sub-Accounts],Table850[[#This Row],[Update your chart of accounts here]],Table649[Debit]),"")</f>
        <v>0</v>
      </c>
      <c r="W59" s="34">
        <f>IFERROR(SUMIF(Table649[Sub-Accounts],Table850[[#This Row],[Update your chart of accounts here]],Table649[Credit]),"")</f>
        <v>0</v>
      </c>
      <c r="X59" s="34"/>
      <c r="Y59" s="34"/>
      <c r="Z59" s="34"/>
      <c r="AA59" s="34"/>
      <c r="AB59" s="34">
        <f>MAX(Table850[[#This Row],[Debit]]+Table850[[#This Row],[Debit -]]-Table850[[#This Row],[Credit]]-Table850[[#This Row],[Credit +]],0)</f>
        <v>0</v>
      </c>
      <c r="AC59" s="34">
        <f>MAX(Table850[[#This Row],[Credit]]-Table850[[#This Row],[Debit]]+Table850[[#This Row],[Credit +]]-Table850[[#This Row],[Debit -]],0)</f>
        <v>0</v>
      </c>
      <c r="AD59" s="34" t="str">
        <f>IFERROR(IF(AND(OR(Table850[[#This Row],[Classification]]="Expense",Table850[[#This Row],[Classification]]="Cost of Goods Sold"),Table850[[#This Row],[Debit\]]&gt;Table850[[#This Row],[Credit.]]),Table850[[#This Row],[Debit\]]-Table850[[#This Row],[Credit.]],""),"")</f>
        <v/>
      </c>
      <c r="AE59" s="34" t="str">
        <f>IFERROR(IF(AND(OR(Table850[[#This Row],[Classification]]="Income",Table850[[#This Row],[Classification]]="Cost of Goods Sold"),Table850[[#This Row],[Credit.]]&gt;Table850[[#This Row],[Debit\]]),Table850[[#This Row],[Credit.]]-Table850[[#This Row],[Debit\]],""),"")</f>
        <v/>
      </c>
      <c r="AF59" s="34"/>
      <c r="AG59" s="34" t="str">
        <f>IFERROR(IF(AND(Table850[[#This Row],[Classification]]="Assets",Table850[[#This Row],[Debit\]]-Table850[[#This Row],[Credit.]]),Table850[[#This Row],[Debit\]]-Table850[[#This Row],[Credit.]],""),"")</f>
        <v/>
      </c>
      <c r="AH59" s="34" t="str">
        <f>IFERROR(IF(AND(OR(Table850[[#This Row],[Classification]]="Liabilities",Table850[[#This Row],[Classification]]="Owner´s Equity"),Table850[[#This Row],[Credit.]]&gt;Table850[[#This Row],[Debit\]]),Table850[[#This Row],[Credit.]]-Table850[[#This Row],[Debit\]],""),"")</f>
        <v/>
      </c>
    </row>
    <row r="60" spans="2:34" x14ac:dyDescent="0.25">
      <c r="B60" s="34"/>
      <c r="C60" s="37" t="s">
        <v>114</v>
      </c>
      <c r="D60" s="34">
        <v>27500</v>
      </c>
      <c r="E60" s="34"/>
      <c r="G60" s="39"/>
      <c r="H60" s="40"/>
      <c r="I60" s="41"/>
      <c r="J60" s="41"/>
      <c r="L60" s="34">
        <v>53</v>
      </c>
      <c r="M60" s="35" t="s">
        <v>160</v>
      </c>
      <c r="N60" s="35" t="s">
        <v>115</v>
      </c>
      <c r="O60" s="34">
        <f>IFERROR(SUMIF(Table447[,],Table649[[#This Row],[Accounts Name]],Table447[,3]),"")</f>
        <v>30000</v>
      </c>
      <c r="P60" s="34">
        <f>IFERROR(SUMIF(Table447[,],Table649[[#This Row],[Accounts Name]],Table447[,2]),"")</f>
        <v>0</v>
      </c>
      <c r="S60" s="36">
        <f t="shared" si="0"/>
        <v>53</v>
      </c>
      <c r="T60" s="34" t="s">
        <v>11</v>
      </c>
      <c r="U60" s="37" t="s">
        <v>229</v>
      </c>
      <c r="V60" s="34">
        <f>IFERROR(SUMIF(Table649[Sub-Accounts],Table850[[#This Row],[Update your chart of accounts here]],Table649[Debit]),"")</f>
        <v>0</v>
      </c>
      <c r="W60" s="34">
        <f>IFERROR(SUMIF(Table649[Sub-Accounts],Table850[[#This Row],[Update your chart of accounts here]],Table649[Credit]),"")</f>
        <v>0</v>
      </c>
      <c r="X60" s="34"/>
      <c r="Y60" s="34"/>
      <c r="Z60" s="34">
        <f>AA62</f>
        <v>10003059</v>
      </c>
      <c r="AA60" s="34"/>
      <c r="AB60" s="34">
        <f>MAX(Table850[[#This Row],[Debit]]+Table850[[#This Row],[Debit -]]-Table850[[#This Row],[Credit]]-Table850[[#This Row],[Credit +]],0)</f>
        <v>10003059</v>
      </c>
      <c r="AC60" s="34">
        <f>MAX(Table850[[#This Row],[Credit]]-Table850[[#This Row],[Debit]]+Table850[[#This Row],[Credit +]]-Table850[[#This Row],[Debit -]],0)</f>
        <v>0</v>
      </c>
      <c r="AD60" s="34" t="str">
        <f>IFERROR(IF(AND(OR(Table850[[#This Row],[Classification]]="Expense",Table850[[#This Row],[Classification]]="Cost of Goods Sold"),Table850[[#This Row],[Debit\]]&gt;Table850[[#This Row],[Credit.]]),Table850[[#This Row],[Debit\]]-Table850[[#This Row],[Credit.]],""),"")</f>
        <v/>
      </c>
      <c r="AE60" s="34" t="str">
        <f>IFERROR(IF(AND(OR(Table850[[#This Row],[Classification]]="Income",Table850[[#This Row],[Classification]]="Cost of Goods Sold"),Table850[[#This Row],[Credit.]]&gt;Table850[[#This Row],[Debit\]]),Table850[[#This Row],[Credit.]]-Table850[[#This Row],[Debit\]],""),"")</f>
        <v/>
      </c>
      <c r="AF60" s="34"/>
      <c r="AG60" s="34">
        <f>IFERROR(IF(AND(Table850[[#This Row],[Classification]]="Assets",Table850[[#This Row],[Debit\]]-Table850[[#This Row],[Credit.]]),Table850[[#This Row],[Debit\]]-Table850[[#This Row],[Credit.]],""),"")</f>
        <v>10003059</v>
      </c>
      <c r="AH60" s="34" t="str">
        <f>IFERROR(IF(AND(OR(Table850[[#This Row],[Classification]]="Liabilities",Table850[[#This Row],[Classification]]="Owner´s Equity"),Table850[[#This Row],[Credit.]]&gt;Table850[[#This Row],[Debit\]]),Table850[[#This Row],[Credit.]]-Table850[[#This Row],[Debit\]],""),"")</f>
        <v/>
      </c>
    </row>
    <row r="61" spans="2:34" x14ac:dyDescent="0.25">
      <c r="B61" s="34"/>
      <c r="C61" s="37" t="s">
        <v>115</v>
      </c>
      <c r="D61" s="34">
        <v>30000</v>
      </c>
      <c r="E61" s="34"/>
      <c r="G61" s="39"/>
      <c r="H61" s="40"/>
      <c r="I61" s="41"/>
      <c r="J61" s="41"/>
      <c r="L61" s="34">
        <v>54</v>
      </c>
      <c r="M61" s="35" t="s">
        <v>161</v>
      </c>
      <c r="N61" s="35" t="s">
        <v>116</v>
      </c>
      <c r="O61" s="34">
        <f>IFERROR(SUMIF(Table447[,],Table649[[#This Row],[Accounts Name]],Table447[,3]),"")</f>
        <v>77850</v>
      </c>
      <c r="P61" s="34">
        <f>IFERROR(SUMIF(Table447[,],Table649[[#This Row],[Accounts Name]],Table447[,2]),"")</f>
        <v>0</v>
      </c>
      <c r="S61" s="36">
        <f t="shared" si="0"/>
        <v>54</v>
      </c>
      <c r="T61" s="34" t="s">
        <v>48</v>
      </c>
      <c r="U61" s="37" t="s">
        <v>207</v>
      </c>
      <c r="V61" s="34">
        <f>IFERROR(SUMIF(Table649[Sub-Accounts],Table850[[#This Row],[Update your chart of accounts here]],Table649[Debit]),"")</f>
        <v>0</v>
      </c>
      <c r="W61" s="34">
        <f>IFERROR(SUMIF(Table649[Sub-Accounts],Table850[[#This Row],[Update your chart of accounts here]],Table649[Credit]),"")</f>
        <v>0</v>
      </c>
      <c r="X61" s="34"/>
      <c r="Y61" s="34"/>
      <c r="Z61" s="34"/>
      <c r="AA61" s="34">
        <f>Z12</f>
        <v>8341041.1232255697</v>
      </c>
      <c r="AB61" s="34">
        <f>MAX(Table850[[#This Row],[Debit]]+Table850[[#This Row],[Debit -]]-Table850[[#This Row],[Credit]]-Table850[[#This Row],[Credit +]],0)</f>
        <v>0</v>
      </c>
      <c r="AC61" s="34">
        <f>MAX(Table850[[#This Row],[Credit]]-Table850[[#This Row],[Debit]]+Table850[[#This Row],[Credit +]]-Table850[[#This Row],[Debit -]],0)</f>
        <v>8341041.1232255697</v>
      </c>
      <c r="AD61" s="34" t="str">
        <f>IFERROR(IF(AND(OR(Table850[[#This Row],[Classification]]="Expense",Table850[[#This Row],[Classification]]="Cost of Goods Sold"),Table850[[#This Row],[Debit\]]&gt;Table850[[#This Row],[Credit.]]),Table850[[#This Row],[Debit\]]-Table850[[#This Row],[Credit.]],""),"")</f>
        <v/>
      </c>
      <c r="AE61" s="34" t="str">
        <f>IFERROR(IF(AND(OR(Table850[[#This Row],[Classification]]="Income",Table850[[#This Row],[Classification]]="Cost of Goods Sold"),Table850[[#This Row],[Credit.]]&gt;Table850[[#This Row],[Debit\]]),Table850[[#This Row],[Credit.]]-Table850[[#This Row],[Debit\]],""),"")</f>
        <v/>
      </c>
      <c r="AF61" s="34"/>
      <c r="AG61" s="34" t="str">
        <f>IFERROR(IF(AND(Table850[[#This Row],[Classification]]="Assets",Table850[[#This Row],[Debit\]]-Table850[[#This Row],[Credit.]]),Table850[[#This Row],[Debit\]]-Table850[[#This Row],[Credit.]],""),"")</f>
        <v/>
      </c>
      <c r="AH61" s="34">
        <f>IFERROR(IF(AND(OR(Table850[[#This Row],[Classification]]="Liabilities",Table850[[#This Row],[Classification]]="Owner´s Equity"),Table850[[#This Row],[Credit.]]&gt;Table850[[#This Row],[Debit\]]),Table850[[#This Row],[Credit.]]-Table850[[#This Row],[Debit\]],""),"")</f>
        <v>8341041.1232255697</v>
      </c>
    </row>
    <row r="62" spans="2:34" hidden="1" x14ac:dyDescent="0.25">
      <c r="B62" s="34"/>
      <c r="C62" s="37" t="s">
        <v>116</v>
      </c>
      <c r="D62" s="34">
        <v>77850</v>
      </c>
      <c r="E62" s="34"/>
      <c r="G62" s="39"/>
      <c r="H62" s="43"/>
      <c r="I62" s="41"/>
      <c r="J62" s="41"/>
      <c r="L62" s="34">
        <v>55</v>
      </c>
      <c r="M62" s="35" t="s">
        <v>162</v>
      </c>
      <c r="N62" s="35" t="s">
        <v>117</v>
      </c>
      <c r="O62" s="34">
        <f>IFERROR(SUMIF(Table447[,],Table649[[#This Row],[Accounts Name]],Table447[,3]),"")</f>
        <v>129108.59</v>
      </c>
      <c r="P62" s="34">
        <f>IFERROR(SUMIF(Table447[,],Table649[[#This Row],[Accounts Name]],Table447[,2]),"")</f>
        <v>0</v>
      </c>
      <c r="S62" s="36">
        <f t="shared" si="0"/>
        <v>55</v>
      </c>
      <c r="T62" s="34" t="s">
        <v>62</v>
      </c>
      <c r="U62" s="37" t="s">
        <v>229</v>
      </c>
      <c r="V62" s="34">
        <f>IFERROR(SUMIF(Table649[Sub-Accounts],Table850[[#This Row],[Update your chart of accounts here]],Table649[Debit]),"")</f>
        <v>0</v>
      </c>
      <c r="W62" s="34">
        <f>IFERROR(SUMIF(Table649[Sub-Accounts],Table850[[#This Row],[Update your chart of accounts here]],Table649[Credit]),"")</f>
        <v>0</v>
      </c>
      <c r="X62" s="34"/>
      <c r="Y62" s="34"/>
      <c r="Z62" s="34"/>
      <c r="AA62" s="34">
        <v>10003059</v>
      </c>
      <c r="AB62" s="34">
        <f>MAX(Table850[[#This Row],[Debit]]+Table850[[#This Row],[Debit -]]-Table850[[#This Row],[Credit]]-Table850[[#This Row],[Credit +]],0)</f>
        <v>0</v>
      </c>
      <c r="AC62" s="34">
        <f>MAX(Table850[[#This Row],[Credit]]-Table850[[#This Row],[Debit]]+Table850[[#This Row],[Credit +]]-Table850[[#This Row],[Debit -]],0)</f>
        <v>10003059</v>
      </c>
      <c r="AD62" s="34" t="str">
        <f>IFERROR(IF(AND(OR(Table850[[#This Row],[Classification]]="Expense",Table850[[#This Row],[Classification]]="Cost of Goods Sold"),Table850[[#This Row],[Debit\]]&gt;Table850[[#This Row],[Credit.]]),Table850[[#This Row],[Debit\]]-Table850[[#This Row],[Credit.]],""),"")</f>
        <v/>
      </c>
      <c r="AE62" s="34">
        <f>IFERROR(IF(AND(OR(Table850[[#This Row],[Classification]]="Income",Table850[[#This Row],[Classification]]="Cost of Goods Sold"),Table850[[#This Row],[Credit.]]&gt;Table850[[#This Row],[Debit\]]),Table850[[#This Row],[Credit.]]-Table850[[#This Row],[Debit\]],""),"")</f>
        <v>10003059</v>
      </c>
      <c r="AF62" s="34"/>
      <c r="AG62" s="34" t="str">
        <f>IFERROR(IF(AND(Table850[[#This Row],[Classification]]="Assets",Table850[[#This Row],[Debit\]]-Table850[[#This Row],[Credit.]]),Table850[[#This Row],[Debit\]]-Table850[[#This Row],[Credit.]],""),"")</f>
        <v/>
      </c>
      <c r="AH62" s="34" t="str">
        <f>IFERROR(IF(AND(OR(Table850[[#This Row],[Classification]]="Liabilities",Table850[[#This Row],[Classification]]="Owner´s Equity"),Table850[[#This Row],[Credit.]]&gt;Table850[[#This Row],[Debit\]]),Table850[[#This Row],[Credit.]]-Table850[[#This Row],[Debit\]],""),"")</f>
        <v/>
      </c>
    </row>
    <row r="63" spans="2:34" x14ac:dyDescent="0.25">
      <c r="B63" s="34"/>
      <c r="C63" s="37" t="s">
        <v>117</v>
      </c>
      <c r="D63" s="34">
        <v>129108.59</v>
      </c>
      <c r="E63" s="34"/>
      <c r="G63" s="39"/>
      <c r="H63" s="40"/>
      <c r="I63" s="41"/>
      <c r="J63" s="41"/>
      <c r="L63" s="34">
        <v>56</v>
      </c>
      <c r="M63" s="35" t="s">
        <v>156</v>
      </c>
      <c r="N63" s="35" t="s">
        <v>118</v>
      </c>
      <c r="O63" s="34">
        <f>IFERROR(SUMIF(Table447[,],Table649[[#This Row],[Accounts Name]],Table447[,3]),"")</f>
        <v>131390</v>
      </c>
      <c r="P63" s="34">
        <f>IFERROR(SUMIF(Table447[,],Table649[[#This Row],[Accounts Name]],Table447[,2]),"")</f>
        <v>0</v>
      </c>
      <c r="S63" s="36">
        <f t="shared" si="0"/>
        <v>56</v>
      </c>
      <c r="T63" s="34" t="s">
        <v>11</v>
      </c>
      <c r="U63" s="37" t="s">
        <v>232</v>
      </c>
      <c r="V63" s="34">
        <f>IFERROR(SUMIF(Table649[Sub-Accounts],Table850[[#This Row],[Update your chart of accounts here]],Table649[Debit]),"")</f>
        <v>0</v>
      </c>
      <c r="W63" s="34">
        <f>IFERROR(SUMIF(Table649[Sub-Accounts],Table850[[#This Row],[Update your chart of accounts here]],Table649[Credit]),"")</f>
        <v>0</v>
      </c>
      <c r="X63" s="34"/>
      <c r="Y63" s="34" t="s">
        <v>233</v>
      </c>
      <c r="Z63" s="34">
        <f>I21</f>
        <v>115200</v>
      </c>
      <c r="AA63" s="34"/>
      <c r="AB63" s="34">
        <f>MAX(Table850[[#This Row],[Debit]]+Table850[[#This Row],[Debit -]]-Table850[[#This Row],[Credit]]-Table850[[#This Row],[Credit +]],0)</f>
        <v>115200</v>
      </c>
      <c r="AC63" s="34">
        <f>MAX(Table850[[#This Row],[Credit]]-Table850[[#This Row],[Debit]]+Table850[[#This Row],[Credit +]]-Table850[[#This Row],[Debit -]],0)</f>
        <v>0</v>
      </c>
      <c r="AD63" s="34" t="str">
        <f>IFERROR(IF(AND(OR(Table850[[#This Row],[Classification]]="Expense",Table850[[#This Row],[Classification]]="Cost of Goods Sold"),Table850[[#This Row],[Debit\]]&gt;Table850[[#This Row],[Credit.]]),Table850[[#This Row],[Debit\]]-Table850[[#This Row],[Credit.]],""),"")</f>
        <v/>
      </c>
      <c r="AE63" s="34" t="str">
        <f>IFERROR(IF(AND(OR(Table850[[#This Row],[Classification]]="Income",Table850[[#This Row],[Classification]]="Cost of Goods Sold"),Table850[[#This Row],[Credit.]]&gt;Table850[[#This Row],[Debit\]]),Table850[[#This Row],[Credit.]]-Table850[[#This Row],[Debit\]],""),"")</f>
        <v/>
      </c>
      <c r="AF63" s="34"/>
      <c r="AG63" s="34">
        <f>IFERROR(IF(AND(Table850[[#This Row],[Classification]]="Assets",Table850[[#This Row],[Debit\]]-Table850[[#This Row],[Credit.]]),Table850[[#This Row],[Debit\]]-Table850[[#This Row],[Credit.]],""),"")</f>
        <v>115200</v>
      </c>
      <c r="AH63" s="34" t="str">
        <f>IFERROR(IF(AND(OR(Table850[[#This Row],[Classification]]="Liabilities",Table850[[#This Row],[Classification]]="Owner´s Equity"),Table850[[#This Row],[Credit.]]&gt;Table850[[#This Row],[Debit\]]),Table850[[#This Row],[Credit.]]-Table850[[#This Row],[Debit\]],""),"")</f>
        <v/>
      </c>
    </row>
    <row r="64" spans="2:34" hidden="1" x14ac:dyDescent="0.25">
      <c r="B64" s="34"/>
      <c r="C64" s="37" t="s">
        <v>118</v>
      </c>
      <c r="D64" s="34">
        <v>131390</v>
      </c>
      <c r="E64" s="34"/>
      <c r="G64" s="39"/>
      <c r="H64" s="40"/>
      <c r="I64" s="41"/>
      <c r="J64" s="41"/>
      <c r="L64" s="34">
        <v>57</v>
      </c>
      <c r="M64" s="35" t="s">
        <v>163</v>
      </c>
      <c r="N64" s="35" t="s">
        <v>119</v>
      </c>
      <c r="O64" s="34">
        <f>IFERROR(SUMIF(Table447[,],Table649[[#This Row],[Accounts Name]],Table447[,3]),"")</f>
        <v>300</v>
      </c>
      <c r="P64" s="34">
        <f>IFERROR(SUMIF(Table447[,],Table649[[#This Row],[Accounts Name]],Table447[,2]),"")</f>
        <v>0</v>
      </c>
      <c r="S64" s="36">
        <f t="shared" si="0"/>
        <v>57</v>
      </c>
      <c r="T64" s="34"/>
      <c r="U64" s="37"/>
      <c r="V64" s="34">
        <f>IFERROR(SUMIF(Table649[Sub-Accounts],Table850[[#This Row],[Update your chart of accounts here]],Table649[Debit]),"")</f>
        <v>0</v>
      </c>
      <c r="W64" s="34">
        <f>IFERROR(SUMIF(Table649[Sub-Accounts],Table850[[#This Row],[Update your chart of accounts here]],Table649[Credit]),"")</f>
        <v>0</v>
      </c>
      <c r="X64" s="34"/>
      <c r="Y64" s="34"/>
      <c r="Z64" s="34"/>
      <c r="AA64" s="34"/>
      <c r="AB64" s="34">
        <f>MAX(Table850[[#This Row],[Debit]]+Table850[[#This Row],[Debit -]]-Table850[[#This Row],[Credit]]-Table850[[#This Row],[Credit +]],0)</f>
        <v>0</v>
      </c>
      <c r="AC64" s="34">
        <f>MAX(Table850[[#This Row],[Credit]]-Table850[[#This Row],[Debit]]+Table850[[#This Row],[Credit +]]-Table850[[#This Row],[Debit -]],0)</f>
        <v>0</v>
      </c>
      <c r="AD64" s="34" t="str">
        <f>IFERROR(IF(AND(OR(Table850[[#This Row],[Classification]]="Expense",Table850[[#This Row],[Classification]]="Cost of Goods Sold"),Table850[[#This Row],[Debit\]]&gt;Table850[[#This Row],[Credit.]]),Table850[[#This Row],[Debit\]]-Table850[[#This Row],[Credit.]],""),"")</f>
        <v/>
      </c>
      <c r="AE64" s="34" t="str">
        <f>IFERROR(IF(AND(OR(Table850[[#This Row],[Classification]]="Income",Table850[[#This Row],[Classification]]="Cost of Goods Sold"),Table850[[#This Row],[Credit.]]&gt;Table850[[#This Row],[Debit\]]),Table850[[#This Row],[Credit.]]-Table850[[#This Row],[Debit\]],""),"")</f>
        <v/>
      </c>
      <c r="AF64" s="34"/>
      <c r="AG64" s="34" t="str">
        <f>IFERROR(IF(AND(Table850[[#This Row],[Classification]]="Assets",Table850[[#This Row],[Debit\]]-Table850[[#This Row],[Credit.]]),Table850[[#This Row],[Debit\]]-Table850[[#This Row],[Credit.]],""),"")</f>
        <v/>
      </c>
      <c r="AH64" s="34" t="str">
        <f>IFERROR(IF(AND(OR(Table850[[#This Row],[Classification]]="Liabilities",Table850[[#This Row],[Classification]]="Owner´s Equity"),Table850[[#This Row],[Credit.]]&gt;Table850[[#This Row],[Debit\]]),Table850[[#This Row],[Credit.]]-Table850[[#This Row],[Debit\]],""),"")</f>
        <v/>
      </c>
    </row>
    <row r="65" spans="2:34" hidden="1" x14ac:dyDescent="0.25">
      <c r="B65" s="34"/>
      <c r="C65" s="37" t="s">
        <v>119</v>
      </c>
      <c r="D65" s="34">
        <v>300</v>
      </c>
      <c r="E65" s="34"/>
      <c r="G65" s="39"/>
      <c r="H65" s="43"/>
      <c r="I65" s="41"/>
      <c r="J65" s="41"/>
      <c r="L65" s="34">
        <v>58</v>
      </c>
      <c r="M65" s="35" t="s">
        <v>164</v>
      </c>
      <c r="N65" s="35" t="s">
        <v>120</v>
      </c>
      <c r="O65" s="34">
        <f>IFERROR(SUMIF(Table447[,],Table649[[#This Row],[Accounts Name]],Table447[,3]),"")</f>
        <v>436840.42</v>
      </c>
      <c r="P65" s="34">
        <f>IFERROR(SUMIF(Table447[,],Table649[[#This Row],[Accounts Name]],Table447[,2]),"")</f>
        <v>0</v>
      </c>
      <c r="S65" s="36">
        <f t="shared" si="0"/>
        <v>58</v>
      </c>
      <c r="T65" s="34"/>
      <c r="U65" s="37"/>
      <c r="V65" s="34">
        <f>IFERROR(SUMIF(Table649[Sub-Accounts],Table850[[#This Row],[Update your chart of accounts here]],Table649[Debit]),"")</f>
        <v>0</v>
      </c>
      <c r="W65" s="34">
        <f>IFERROR(SUMIF(Table649[Sub-Accounts],Table850[[#This Row],[Update your chart of accounts here]],Table649[Credit]),"")</f>
        <v>0</v>
      </c>
      <c r="X65" s="34"/>
      <c r="Y65" s="34"/>
      <c r="Z65" s="34"/>
      <c r="AA65" s="34"/>
      <c r="AB65" s="34">
        <f>MAX(Table850[[#This Row],[Debit]]+Table850[[#This Row],[Debit -]]-Table850[[#This Row],[Credit]]-Table850[[#This Row],[Credit +]],0)</f>
        <v>0</v>
      </c>
      <c r="AC65" s="34">
        <f>MAX(Table850[[#This Row],[Credit]]-Table850[[#This Row],[Debit]]+Table850[[#This Row],[Credit +]]-Table850[[#This Row],[Debit -]],0)</f>
        <v>0</v>
      </c>
      <c r="AD65" s="34" t="str">
        <f>IFERROR(IF(AND(OR(Table850[[#This Row],[Classification]]="Expense",Table850[[#This Row],[Classification]]="Cost of Goods Sold"),Table850[[#This Row],[Debit\]]&gt;Table850[[#This Row],[Credit.]]),Table850[[#This Row],[Debit\]]-Table850[[#This Row],[Credit.]],""),"")</f>
        <v/>
      </c>
      <c r="AE65" s="34" t="str">
        <f>IFERROR(IF(AND(OR(Table850[[#This Row],[Classification]]="Income",Table850[[#This Row],[Classification]]="Cost of Goods Sold"),Table850[[#This Row],[Credit.]]&gt;Table850[[#This Row],[Debit\]]),Table850[[#This Row],[Credit.]]-Table850[[#This Row],[Debit\]],""),"")</f>
        <v/>
      </c>
      <c r="AF65" s="34"/>
      <c r="AG65" s="34" t="str">
        <f>IFERROR(IF(AND(Table850[[#This Row],[Classification]]="Assets",Table850[[#This Row],[Debit\]]-Table850[[#This Row],[Credit.]]),Table850[[#This Row],[Debit\]]-Table850[[#This Row],[Credit.]],""),"")</f>
        <v/>
      </c>
      <c r="AH65" s="34" t="str">
        <f>IFERROR(IF(AND(OR(Table850[[#This Row],[Classification]]="Liabilities",Table850[[#This Row],[Classification]]="Owner´s Equity"),Table850[[#This Row],[Credit.]]&gt;Table850[[#This Row],[Debit\]]),Table850[[#This Row],[Credit.]]-Table850[[#This Row],[Debit\]],""),"")</f>
        <v/>
      </c>
    </row>
    <row r="66" spans="2:34" hidden="1" x14ac:dyDescent="0.25">
      <c r="B66" s="34"/>
      <c r="C66" s="37" t="s">
        <v>120</v>
      </c>
      <c r="D66" s="34">
        <v>436840.42</v>
      </c>
      <c r="E66" s="34"/>
      <c r="G66" s="39"/>
      <c r="H66" s="40"/>
      <c r="I66" s="41"/>
      <c r="J66" s="41"/>
      <c r="L66" s="34">
        <v>59</v>
      </c>
      <c r="M66" s="35" t="s">
        <v>151</v>
      </c>
      <c r="N66" s="35" t="s">
        <v>121</v>
      </c>
      <c r="O66" s="34">
        <f>IFERROR(SUMIF(Table447[,],Table649[[#This Row],[Accounts Name]],Table447[,3]),"")</f>
        <v>102350</v>
      </c>
      <c r="P66" s="34">
        <f>IFERROR(SUMIF(Table447[,],Table649[[#This Row],[Accounts Name]],Table447[,2]),"")</f>
        <v>0</v>
      </c>
      <c r="S66" s="36">
        <f t="shared" si="0"/>
        <v>59</v>
      </c>
      <c r="T66" s="34"/>
      <c r="U66" s="37"/>
      <c r="V66" s="34">
        <f>IFERROR(SUMIF(Table649[Sub-Accounts],Table850[[#This Row],[Update your chart of accounts here]],Table649[Debit]),"")</f>
        <v>0</v>
      </c>
      <c r="W66" s="34">
        <f>IFERROR(SUMIF(Table649[Sub-Accounts],Table850[[#This Row],[Update your chart of accounts here]],Table649[Credit]),"")</f>
        <v>0</v>
      </c>
      <c r="X66" s="34"/>
      <c r="Y66" s="34"/>
      <c r="Z66" s="34"/>
      <c r="AA66" s="34"/>
      <c r="AB66" s="34">
        <f>MAX(Table850[[#This Row],[Debit]]+Table850[[#This Row],[Debit -]]-Table850[[#This Row],[Credit]]-Table850[[#This Row],[Credit +]],0)</f>
        <v>0</v>
      </c>
      <c r="AC66" s="34">
        <f>MAX(Table850[[#This Row],[Credit]]-Table850[[#This Row],[Debit]]+Table850[[#This Row],[Credit +]]-Table850[[#This Row],[Debit -]],0)</f>
        <v>0</v>
      </c>
      <c r="AD66" s="34" t="str">
        <f>IFERROR(IF(AND(OR(Table850[[#This Row],[Classification]]="Expense",Table850[[#This Row],[Classification]]="Cost of Goods Sold"),Table850[[#This Row],[Debit\]]&gt;Table850[[#This Row],[Credit.]]),Table850[[#This Row],[Debit\]]-Table850[[#This Row],[Credit.]],""),"")</f>
        <v/>
      </c>
      <c r="AE66" s="34" t="str">
        <f>IFERROR(IF(AND(OR(Table850[[#This Row],[Classification]]="Income",Table850[[#This Row],[Classification]]="Cost of Goods Sold"),Table850[[#This Row],[Credit.]]&gt;Table850[[#This Row],[Debit\]]),Table850[[#This Row],[Credit.]]-Table850[[#This Row],[Debit\]],""),"")</f>
        <v/>
      </c>
      <c r="AF66" s="34"/>
      <c r="AG66" s="34" t="str">
        <f>IFERROR(IF(AND(Table850[[#This Row],[Classification]]="Assets",Table850[[#This Row],[Debit\]]-Table850[[#This Row],[Credit.]]),Table850[[#This Row],[Debit\]]-Table850[[#This Row],[Credit.]],""),"")</f>
        <v/>
      </c>
      <c r="AH66" s="34" t="str">
        <f>IFERROR(IF(AND(OR(Table850[[#This Row],[Classification]]="Liabilities",Table850[[#This Row],[Classification]]="Owner´s Equity"),Table850[[#This Row],[Credit.]]&gt;Table850[[#This Row],[Debit\]]),Table850[[#This Row],[Credit.]]-Table850[[#This Row],[Debit\]],""),"")</f>
        <v/>
      </c>
    </row>
    <row r="67" spans="2:34" hidden="1" x14ac:dyDescent="0.25">
      <c r="B67" s="34"/>
      <c r="C67" s="37" t="s">
        <v>121</v>
      </c>
      <c r="D67" s="34">
        <v>102350</v>
      </c>
      <c r="E67" s="34"/>
      <c r="G67" s="39"/>
      <c r="H67" s="40"/>
      <c r="I67" s="41"/>
      <c r="J67" s="41"/>
      <c r="L67" s="34">
        <v>60</v>
      </c>
      <c r="M67" s="35" t="s">
        <v>151</v>
      </c>
      <c r="N67" s="35" t="s">
        <v>122</v>
      </c>
      <c r="O67" s="34">
        <f>IFERROR(SUMIF(Table447[,],Table649[[#This Row],[Accounts Name]],Table447[,3]),"")</f>
        <v>62000</v>
      </c>
      <c r="P67" s="34">
        <f>IFERROR(SUMIF(Table447[,],Table649[[#This Row],[Accounts Name]],Table447[,2]),"")</f>
        <v>0</v>
      </c>
      <c r="S67" s="36">
        <f t="shared" si="0"/>
        <v>60</v>
      </c>
      <c r="T67" s="34"/>
      <c r="U67" s="37"/>
      <c r="V67" s="34">
        <f>IFERROR(SUMIF(Table649[Sub-Accounts],Table850[[#This Row],[Update your chart of accounts here]],Table649[Debit]),"")</f>
        <v>0</v>
      </c>
      <c r="W67" s="34">
        <f>IFERROR(SUMIF(Table649[Sub-Accounts],Table850[[#This Row],[Update your chart of accounts here]],Table649[Credit]),"")</f>
        <v>0</v>
      </c>
      <c r="X67" s="34"/>
      <c r="Y67" s="34"/>
      <c r="Z67" s="34"/>
      <c r="AA67" s="34"/>
      <c r="AB67" s="34">
        <f>MAX(Table850[[#This Row],[Debit]]+Table850[[#This Row],[Debit -]]-Table850[[#This Row],[Credit]]-Table850[[#This Row],[Credit +]],0)</f>
        <v>0</v>
      </c>
      <c r="AC67" s="34">
        <f>MAX(Table850[[#This Row],[Credit]]-Table850[[#This Row],[Debit]]+Table850[[#This Row],[Credit +]]-Table850[[#This Row],[Debit -]],0)</f>
        <v>0</v>
      </c>
      <c r="AD67" s="34" t="str">
        <f>IFERROR(IF(AND(OR(Table850[[#This Row],[Classification]]="Expense",Table850[[#This Row],[Classification]]="Cost of Goods Sold"),Table850[[#This Row],[Debit\]]&gt;Table850[[#This Row],[Credit.]]),Table850[[#This Row],[Debit\]]-Table850[[#This Row],[Credit.]],""),"")</f>
        <v/>
      </c>
      <c r="AE67" s="34" t="str">
        <f>IFERROR(IF(AND(OR(Table850[[#This Row],[Classification]]="Income",Table850[[#This Row],[Classification]]="Cost of Goods Sold"),Table850[[#This Row],[Credit.]]&gt;Table850[[#This Row],[Debit\]]),Table850[[#This Row],[Credit.]]-Table850[[#This Row],[Debit\]],""),"")</f>
        <v/>
      </c>
      <c r="AF67" s="34"/>
      <c r="AG67" s="34" t="str">
        <f>IFERROR(IF(AND(Table850[[#This Row],[Classification]]="Assets",Table850[[#This Row],[Debit\]]-Table850[[#This Row],[Credit.]]),Table850[[#This Row],[Debit\]]-Table850[[#This Row],[Credit.]],""),"")</f>
        <v/>
      </c>
      <c r="AH67" s="34" t="str">
        <f>IFERROR(IF(AND(OR(Table850[[#This Row],[Classification]]="Liabilities",Table850[[#This Row],[Classification]]="Owner´s Equity"),Table850[[#This Row],[Credit.]]&gt;Table850[[#This Row],[Debit\]]),Table850[[#This Row],[Credit.]]-Table850[[#This Row],[Debit\]],""),"")</f>
        <v/>
      </c>
    </row>
    <row r="68" spans="2:34" hidden="1" x14ac:dyDescent="0.25">
      <c r="B68" s="34"/>
      <c r="C68" s="37" t="s">
        <v>122</v>
      </c>
      <c r="D68" s="34">
        <v>62000</v>
      </c>
      <c r="E68" s="34"/>
      <c r="G68" s="39"/>
      <c r="H68" s="43"/>
      <c r="I68" s="41"/>
      <c r="J68" s="41"/>
      <c r="L68" s="34">
        <v>61</v>
      </c>
      <c r="M68" s="35" t="s">
        <v>151</v>
      </c>
      <c r="N68" s="35" t="s">
        <v>123</v>
      </c>
      <c r="O68" s="34">
        <f>IFERROR(SUMIF(Table447[,],Table649[[#This Row],[Accounts Name]],Table447[,3]),"")</f>
        <v>278343</v>
      </c>
      <c r="P68" s="34">
        <f>IFERROR(SUMIF(Table447[,],Table649[[#This Row],[Accounts Name]],Table447[,2]),"")</f>
        <v>0</v>
      </c>
      <c r="S68" s="36">
        <f t="shared" si="0"/>
        <v>61</v>
      </c>
      <c r="T68" s="34"/>
      <c r="U68" s="37"/>
      <c r="V68" s="34">
        <f>IFERROR(SUMIF(Table649[Sub-Accounts],Table850[[#This Row],[Update your chart of accounts here]],Table649[Debit]),"")</f>
        <v>0</v>
      </c>
      <c r="W68" s="34">
        <f>IFERROR(SUMIF(Table649[Sub-Accounts],Table850[[#This Row],[Update your chart of accounts here]],Table649[Credit]),"")</f>
        <v>0</v>
      </c>
      <c r="X68" s="34"/>
      <c r="Y68" s="34"/>
      <c r="Z68" s="34"/>
      <c r="AA68" s="34"/>
      <c r="AB68" s="34">
        <f>MAX(Table850[[#This Row],[Debit]]+Table850[[#This Row],[Debit -]]-Table850[[#This Row],[Credit]]-Table850[[#This Row],[Credit +]],0)</f>
        <v>0</v>
      </c>
      <c r="AC68" s="34">
        <f>MAX(Table850[[#This Row],[Credit]]-Table850[[#This Row],[Debit]]+Table850[[#This Row],[Credit +]]-Table850[[#This Row],[Debit -]],0)</f>
        <v>0</v>
      </c>
      <c r="AD68" s="34" t="str">
        <f>IFERROR(IF(AND(OR(Table850[[#This Row],[Classification]]="Expense",Table850[[#This Row],[Classification]]="Cost of Goods Sold"),Table850[[#This Row],[Debit\]]&gt;Table850[[#This Row],[Credit.]]),Table850[[#This Row],[Debit\]]-Table850[[#This Row],[Credit.]],""),"")</f>
        <v/>
      </c>
      <c r="AE68" s="34" t="str">
        <f>IFERROR(IF(AND(OR(Table850[[#This Row],[Classification]]="Income",Table850[[#This Row],[Classification]]="Cost of Goods Sold"),Table850[[#This Row],[Credit.]]&gt;Table850[[#This Row],[Debit\]]),Table850[[#This Row],[Credit.]]-Table850[[#This Row],[Debit\]],""),"")</f>
        <v/>
      </c>
      <c r="AF68" s="34"/>
      <c r="AG68" s="34" t="str">
        <f>IFERROR(IF(AND(Table850[[#This Row],[Classification]]="Assets",Table850[[#This Row],[Debit\]]-Table850[[#This Row],[Credit.]]),Table850[[#This Row],[Debit\]]-Table850[[#This Row],[Credit.]],""),"")</f>
        <v/>
      </c>
      <c r="AH68" s="34" t="str">
        <f>IFERROR(IF(AND(OR(Table850[[#This Row],[Classification]]="Liabilities",Table850[[#This Row],[Classification]]="Owner´s Equity"),Table850[[#This Row],[Credit.]]&gt;Table850[[#This Row],[Debit\]]),Table850[[#This Row],[Credit.]]-Table850[[#This Row],[Debit\]],""),"")</f>
        <v/>
      </c>
    </row>
    <row r="69" spans="2:34" hidden="1" x14ac:dyDescent="0.25">
      <c r="B69" s="34"/>
      <c r="C69" s="37" t="s">
        <v>123</v>
      </c>
      <c r="D69" s="34">
        <v>278343</v>
      </c>
      <c r="E69" s="34"/>
      <c r="G69" s="39"/>
      <c r="H69" s="40"/>
      <c r="I69" s="41"/>
      <c r="J69" s="41"/>
      <c r="L69" s="34">
        <v>62</v>
      </c>
      <c r="M69" s="35" t="s">
        <v>159</v>
      </c>
      <c r="N69" s="35" t="s">
        <v>124</v>
      </c>
      <c r="O69" s="34">
        <f>IFERROR(SUMIF(Table447[,],Table649[[#This Row],[Accounts Name]],Table447[,3]),"")</f>
        <v>181078.65</v>
      </c>
      <c r="P69" s="34">
        <f>IFERROR(SUMIF(Table447[,],Table649[[#This Row],[Accounts Name]],Table447[,2]),"")</f>
        <v>0</v>
      </c>
      <c r="S69" s="36">
        <f t="shared" si="0"/>
        <v>62</v>
      </c>
      <c r="T69" s="34"/>
      <c r="U69" s="37"/>
      <c r="V69" s="34">
        <f>IFERROR(SUMIF(Table649[Sub-Accounts],Table850[[#This Row],[Update your chart of accounts here]],Table649[Debit]),"")</f>
        <v>0</v>
      </c>
      <c r="W69" s="34">
        <f>IFERROR(SUMIF(Table649[Sub-Accounts],Table850[[#This Row],[Update your chart of accounts here]],Table649[Credit]),"")</f>
        <v>0</v>
      </c>
      <c r="X69" s="34"/>
      <c r="Y69" s="34"/>
      <c r="Z69" s="34"/>
      <c r="AA69" s="34"/>
      <c r="AB69" s="34">
        <f>MAX(Table850[[#This Row],[Debit]]+Table850[[#This Row],[Debit -]]-Table850[[#This Row],[Credit]]-Table850[[#This Row],[Credit +]],0)</f>
        <v>0</v>
      </c>
      <c r="AC69" s="34">
        <f>MAX(Table850[[#This Row],[Credit]]-Table850[[#This Row],[Debit]]+Table850[[#This Row],[Credit +]]-Table850[[#This Row],[Debit -]],0)</f>
        <v>0</v>
      </c>
      <c r="AD69" s="34" t="str">
        <f>IFERROR(IF(AND(OR(Table850[[#This Row],[Classification]]="Expense",Table850[[#This Row],[Classification]]="Cost of Goods Sold"),Table850[[#This Row],[Debit\]]&gt;Table850[[#This Row],[Credit.]]),Table850[[#This Row],[Debit\]]-Table850[[#This Row],[Credit.]],""),"")</f>
        <v/>
      </c>
      <c r="AE69" s="34" t="str">
        <f>IFERROR(IF(AND(OR(Table850[[#This Row],[Classification]]="Income",Table850[[#This Row],[Classification]]="Cost of Goods Sold"),Table850[[#This Row],[Credit.]]&gt;Table850[[#This Row],[Debit\]]),Table850[[#This Row],[Credit.]]-Table850[[#This Row],[Debit\]],""),"")</f>
        <v/>
      </c>
      <c r="AF69" s="34"/>
      <c r="AG69" s="34" t="str">
        <f>IFERROR(IF(AND(Table850[[#This Row],[Classification]]="Assets",Table850[[#This Row],[Debit\]]-Table850[[#This Row],[Credit.]]),Table850[[#This Row],[Debit\]]-Table850[[#This Row],[Credit.]],""),"")</f>
        <v/>
      </c>
      <c r="AH69" s="34" t="str">
        <f>IFERROR(IF(AND(OR(Table850[[#This Row],[Classification]]="Liabilities",Table850[[#This Row],[Classification]]="Owner´s Equity"),Table850[[#This Row],[Credit.]]&gt;Table850[[#This Row],[Debit\]]),Table850[[#This Row],[Credit.]]-Table850[[#This Row],[Debit\]],""),"")</f>
        <v/>
      </c>
    </row>
    <row r="70" spans="2:34" hidden="1" x14ac:dyDescent="0.25">
      <c r="B70" s="34"/>
      <c r="C70" s="37" t="s">
        <v>124</v>
      </c>
      <c r="D70" s="34">
        <v>181078.65</v>
      </c>
      <c r="E70" s="34"/>
      <c r="G70" s="39"/>
      <c r="H70" s="40"/>
      <c r="I70" s="41"/>
      <c r="J70" s="41"/>
      <c r="L70" s="34">
        <v>63</v>
      </c>
      <c r="M70" s="35" t="s">
        <v>165</v>
      </c>
      <c r="N70" s="35" t="s">
        <v>125</v>
      </c>
      <c r="O70" s="34">
        <f>IFERROR(SUMIF(Table447[,],Table649[[#This Row],[Accounts Name]],Table447[,3]),"")</f>
        <v>653656.38</v>
      </c>
      <c r="P70" s="34">
        <f>IFERROR(SUMIF(Table447[,],Table649[[#This Row],[Accounts Name]],Table447[,2]),"")</f>
        <v>0</v>
      </c>
      <c r="S70" s="36">
        <f t="shared" si="0"/>
        <v>63</v>
      </c>
      <c r="T70" s="34"/>
      <c r="U70" s="37"/>
      <c r="V70" s="34">
        <f>IFERROR(SUMIF(Table649[Sub-Accounts],Table850[[#This Row],[Update your chart of accounts here]],Table649[Debit]),"")</f>
        <v>0</v>
      </c>
      <c r="W70" s="34">
        <f>IFERROR(SUMIF(Table649[Sub-Accounts],Table850[[#This Row],[Update your chart of accounts here]],Table649[Credit]),"")</f>
        <v>0</v>
      </c>
      <c r="X70" s="34"/>
      <c r="Y70" s="34"/>
      <c r="Z70" s="34"/>
      <c r="AA70" s="34"/>
      <c r="AB70" s="34">
        <f>MAX(Table850[[#This Row],[Debit]]+Table850[[#This Row],[Debit -]]-Table850[[#This Row],[Credit]]-Table850[[#This Row],[Credit +]],0)</f>
        <v>0</v>
      </c>
      <c r="AC70" s="34">
        <f>MAX(Table850[[#This Row],[Credit]]-Table850[[#This Row],[Debit]]+Table850[[#This Row],[Credit +]]-Table850[[#This Row],[Debit -]],0)</f>
        <v>0</v>
      </c>
      <c r="AD70" s="34" t="str">
        <f>IFERROR(IF(AND(OR(Table850[[#This Row],[Classification]]="Expense",Table850[[#This Row],[Classification]]="Cost of Goods Sold"),Table850[[#This Row],[Debit\]]&gt;Table850[[#This Row],[Credit.]]),Table850[[#This Row],[Debit\]]-Table850[[#This Row],[Credit.]],""),"")</f>
        <v/>
      </c>
      <c r="AE70" s="34" t="str">
        <f>IFERROR(IF(AND(OR(Table850[[#This Row],[Classification]]="Income",Table850[[#This Row],[Classification]]="Cost of Goods Sold"),Table850[[#This Row],[Credit.]]&gt;Table850[[#This Row],[Debit\]]),Table850[[#This Row],[Credit.]]-Table850[[#This Row],[Debit\]],""),"")</f>
        <v/>
      </c>
      <c r="AF70" s="34"/>
      <c r="AG70" s="34" t="str">
        <f>IFERROR(IF(AND(Table850[[#This Row],[Classification]]="Assets",Table850[[#This Row],[Debit\]]-Table850[[#This Row],[Credit.]]),Table850[[#This Row],[Debit\]]-Table850[[#This Row],[Credit.]],""),"")</f>
        <v/>
      </c>
      <c r="AH70" s="34" t="str">
        <f>IFERROR(IF(AND(OR(Table850[[#This Row],[Classification]]="Liabilities",Table850[[#This Row],[Classification]]="Owner´s Equity"),Table850[[#This Row],[Credit.]]&gt;Table850[[#This Row],[Debit\]]),Table850[[#This Row],[Credit.]]-Table850[[#This Row],[Debit\]],""),"")</f>
        <v/>
      </c>
    </row>
    <row r="71" spans="2:34" hidden="1" x14ac:dyDescent="0.25">
      <c r="B71" s="34"/>
      <c r="C71" s="37" t="s">
        <v>125</v>
      </c>
      <c r="D71" s="34">
        <v>653656.38</v>
      </c>
      <c r="E71" s="34"/>
      <c r="G71" s="39"/>
      <c r="H71" s="43"/>
      <c r="I71" s="41"/>
      <c r="J71" s="41"/>
      <c r="L71" s="34">
        <v>64</v>
      </c>
      <c r="M71" s="35" t="s">
        <v>160</v>
      </c>
      <c r="N71" s="35" t="s">
        <v>126</v>
      </c>
      <c r="O71" s="34">
        <f>IFERROR(SUMIF(Table447[,],Table649[[#This Row],[Accounts Name]],Table447[,3]),"")</f>
        <v>115440</v>
      </c>
      <c r="P71" s="34">
        <f>IFERROR(SUMIF(Table447[,],Table649[[#This Row],[Accounts Name]],Table447[,2]),"")</f>
        <v>0</v>
      </c>
      <c r="S71" s="36">
        <f t="shared" si="0"/>
        <v>64</v>
      </c>
      <c r="T71" s="34"/>
      <c r="U71" s="37"/>
      <c r="V71" s="34">
        <f>IFERROR(SUMIF(Table649[Sub-Accounts],Table850[[#This Row],[Update your chart of accounts here]],Table649[Debit]),"")</f>
        <v>0</v>
      </c>
      <c r="W71" s="34">
        <f>IFERROR(SUMIF(Table649[Sub-Accounts],Table850[[#This Row],[Update your chart of accounts here]],Table649[Credit]),"")</f>
        <v>0</v>
      </c>
      <c r="X71" s="34"/>
      <c r="Y71" s="34"/>
      <c r="Z71" s="34"/>
      <c r="AA71" s="34"/>
      <c r="AB71" s="34">
        <f>MAX(Table850[[#This Row],[Debit]]+Table850[[#This Row],[Debit -]]-Table850[[#This Row],[Credit]]-Table850[[#This Row],[Credit +]],0)</f>
        <v>0</v>
      </c>
      <c r="AC71" s="34">
        <f>MAX(Table850[[#This Row],[Credit]]-Table850[[#This Row],[Debit]]+Table850[[#This Row],[Credit +]]-Table850[[#This Row],[Debit -]],0)</f>
        <v>0</v>
      </c>
      <c r="AD71" s="34" t="str">
        <f>IFERROR(IF(AND(OR(Table850[[#This Row],[Classification]]="Expense",Table850[[#This Row],[Classification]]="Cost of Goods Sold"),Table850[[#This Row],[Debit\]]&gt;Table850[[#This Row],[Credit.]]),Table850[[#This Row],[Debit\]]-Table850[[#This Row],[Credit.]],""),"")</f>
        <v/>
      </c>
      <c r="AE71" s="34" t="str">
        <f>IFERROR(IF(AND(OR(Table850[[#This Row],[Classification]]="Income",Table850[[#This Row],[Classification]]="Cost of Goods Sold"),Table850[[#This Row],[Credit.]]&gt;Table850[[#This Row],[Debit\]]),Table850[[#This Row],[Credit.]]-Table850[[#This Row],[Debit\]],""),"")</f>
        <v/>
      </c>
      <c r="AF71" s="34"/>
      <c r="AG71" s="34" t="str">
        <f>IFERROR(IF(AND(Table850[[#This Row],[Classification]]="Assets",Table850[[#This Row],[Debit\]]-Table850[[#This Row],[Credit.]]),Table850[[#This Row],[Debit\]]-Table850[[#This Row],[Credit.]],""),"")</f>
        <v/>
      </c>
      <c r="AH71" s="34" t="str">
        <f>IFERROR(IF(AND(OR(Table850[[#This Row],[Classification]]="Liabilities",Table850[[#This Row],[Classification]]="Owner´s Equity"),Table850[[#This Row],[Credit.]]&gt;Table850[[#This Row],[Debit\]]),Table850[[#This Row],[Credit.]]-Table850[[#This Row],[Debit\]],""),"")</f>
        <v/>
      </c>
    </row>
    <row r="72" spans="2:34" hidden="1" x14ac:dyDescent="0.25">
      <c r="B72" s="34"/>
      <c r="C72" s="37" t="s">
        <v>126</v>
      </c>
      <c r="D72" s="34">
        <v>115440</v>
      </c>
      <c r="E72" s="34"/>
      <c r="G72" s="39"/>
      <c r="H72" s="40"/>
      <c r="I72" s="41"/>
      <c r="J72" s="41"/>
      <c r="L72" s="34">
        <v>65</v>
      </c>
      <c r="M72" s="35" t="s">
        <v>166</v>
      </c>
      <c r="N72" s="35" t="s">
        <v>127</v>
      </c>
      <c r="O72" s="34">
        <f>IFERROR(SUMIF(Table447[,],Table649[[#This Row],[Accounts Name]],Table447[,3]),"")</f>
        <v>1409746.56</v>
      </c>
      <c r="P72" s="34">
        <f>IFERROR(SUMIF(Table447[,],Table649[[#This Row],[Accounts Name]],Table447[,2]),"")</f>
        <v>0</v>
      </c>
      <c r="S72" s="36">
        <f t="shared" si="0"/>
        <v>65</v>
      </c>
      <c r="T72" s="34"/>
      <c r="U72" s="37"/>
      <c r="V72" s="34">
        <f>IFERROR(SUMIF(Table649[Sub-Accounts],Table850[[#This Row],[Update your chart of accounts here]],Table649[Debit]),"")</f>
        <v>0</v>
      </c>
      <c r="W72" s="34">
        <f>IFERROR(SUMIF(Table649[Sub-Accounts],Table850[[#This Row],[Update your chart of accounts here]],Table649[Credit]),"")</f>
        <v>0</v>
      </c>
      <c r="X72" s="34"/>
      <c r="Y72" s="34"/>
      <c r="Z72" s="34"/>
      <c r="AA72" s="34"/>
      <c r="AB72" s="34">
        <f>MAX(Table850[[#This Row],[Debit]]+Table850[[#This Row],[Debit -]]-Table850[[#This Row],[Credit]]-Table850[[#This Row],[Credit +]],0)</f>
        <v>0</v>
      </c>
      <c r="AC72" s="34">
        <f>MAX(Table850[[#This Row],[Credit]]-Table850[[#This Row],[Debit]]+Table850[[#This Row],[Credit +]]-Table850[[#This Row],[Debit -]],0)</f>
        <v>0</v>
      </c>
      <c r="AD72" s="34" t="str">
        <f>IFERROR(IF(AND(OR(Table850[[#This Row],[Classification]]="Expense",Table850[[#This Row],[Classification]]="Cost of Goods Sold"),Table850[[#This Row],[Debit\]]&gt;Table850[[#This Row],[Credit.]]),Table850[[#This Row],[Debit\]]-Table850[[#This Row],[Credit.]],""),"")</f>
        <v/>
      </c>
      <c r="AE72" s="34" t="str">
        <f>IFERROR(IF(AND(OR(Table850[[#This Row],[Classification]]="Income",Table850[[#This Row],[Classification]]="Cost of Goods Sold"),Table850[[#This Row],[Credit.]]&gt;Table850[[#This Row],[Debit\]]),Table850[[#This Row],[Credit.]]-Table850[[#This Row],[Debit\]],""),"")</f>
        <v/>
      </c>
      <c r="AF72" s="34"/>
      <c r="AG72" s="34" t="str">
        <f>IFERROR(IF(AND(Table850[[#This Row],[Classification]]="Assets",Table850[[#This Row],[Debit\]]-Table850[[#This Row],[Credit.]]),Table850[[#This Row],[Debit\]]-Table850[[#This Row],[Credit.]],""),"")</f>
        <v/>
      </c>
      <c r="AH72" s="34" t="str">
        <f>IFERROR(IF(AND(OR(Table850[[#This Row],[Classification]]="Liabilities",Table850[[#This Row],[Classification]]="Owner´s Equity"),Table850[[#This Row],[Credit.]]&gt;Table850[[#This Row],[Debit\]]),Table850[[#This Row],[Credit.]]-Table850[[#This Row],[Debit\]],""),"")</f>
        <v/>
      </c>
    </row>
    <row r="73" spans="2:34" hidden="1" x14ac:dyDescent="0.25">
      <c r="B73" s="34"/>
      <c r="C73" s="37" t="s">
        <v>127</v>
      </c>
      <c r="D73" s="34">
        <v>1409746.56</v>
      </c>
      <c r="E73" s="34"/>
      <c r="G73" s="39"/>
      <c r="H73" s="40"/>
      <c r="I73" s="41"/>
      <c r="J73" s="41"/>
      <c r="L73" s="34">
        <v>66</v>
      </c>
      <c r="M73" s="35" t="s">
        <v>152</v>
      </c>
      <c r="N73" s="35" t="s">
        <v>128</v>
      </c>
      <c r="O73" s="34">
        <f>IFERROR(SUMIF(Table447[,],Table649[[#This Row],[Accounts Name]],Table447[,3]),"")</f>
        <v>1758</v>
      </c>
      <c r="P73" s="34">
        <f>IFERROR(SUMIF(Table447[,],Table649[[#This Row],[Accounts Name]],Table447[,2]),"")</f>
        <v>0</v>
      </c>
      <c r="S73" s="36">
        <f t="shared" si="0"/>
        <v>66</v>
      </c>
      <c r="T73" s="34"/>
      <c r="U73" s="37"/>
      <c r="V73" s="34">
        <f>IFERROR(SUMIF(Table649[Sub-Accounts],Table850[[#This Row],[Update your chart of accounts here]],Table649[Debit]),"")</f>
        <v>0</v>
      </c>
      <c r="W73" s="34">
        <f>IFERROR(SUMIF(Table649[Sub-Accounts],Table850[[#This Row],[Update your chart of accounts here]],Table649[Credit]),"")</f>
        <v>0</v>
      </c>
      <c r="X73" s="34"/>
      <c r="Y73" s="34"/>
      <c r="Z73" s="34"/>
      <c r="AA73" s="34"/>
      <c r="AB73" s="34">
        <f>MAX(Table850[[#This Row],[Debit]]+Table850[[#This Row],[Debit -]]-Table850[[#This Row],[Credit]]-Table850[[#This Row],[Credit +]],0)</f>
        <v>0</v>
      </c>
      <c r="AC73" s="34">
        <f>MAX(Table850[[#This Row],[Credit]]-Table850[[#This Row],[Debit]]+Table850[[#This Row],[Credit +]]-Table850[[#This Row],[Debit -]],0)</f>
        <v>0</v>
      </c>
      <c r="AD73" s="34" t="str">
        <f>IFERROR(IF(AND(OR(Table850[[#This Row],[Classification]]="Expense",Table850[[#This Row],[Classification]]="Cost of Goods Sold"),Table850[[#This Row],[Debit\]]&gt;Table850[[#This Row],[Credit.]]),Table850[[#This Row],[Debit\]]-Table850[[#This Row],[Credit.]],""),"")</f>
        <v/>
      </c>
      <c r="AE73" s="34" t="str">
        <f>IFERROR(IF(AND(OR(Table850[[#This Row],[Classification]]="Income",Table850[[#This Row],[Classification]]="Cost of Goods Sold"),Table850[[#This Row],[Credit.]]&gt;Table850[[#This Row],[Debit\]]),Table850[[#This Row],[Credit.]]-Table850[[#This Row],[Debit\]],""),"")</f>
        <v/>
      </c>
      <c r="AF73" s="34"/>
      <c r="AG73" s="34" t="str">
        <f>IFERROR(IF(AND(Table850[[#This Row],[Classification]]="Assets",Table850[[#This Row],[Debit\]]-Table850[[#This Row],[Credit.]]),Table850[[#This Row],[Debit\]]-Table850[[#This Row],[Credit.]],""),"")</f>
        <v/>
      </c>
      <c r="AH73" s="34" t="str">
        <f>IFERROR(IF(AND(OR(Table850[[#This Row],[Classification]]="Liabilities",Table850[[#This Row],[Classification]]="Owner´s Equity"),Table850[[#This Row],[Credit.]]&gt;Table850[[#This Row],[Debit\]]),Table850[[#This Row],[Credit.]]-Table850[[#This Row],[Debit\]],""),"")</f>
        <v/>
      </c>
    </row>
    <row r="74" spans="2:34" hidden="1" x14ac:dyDescent="0.25">
      <c r="B74" s="34"/>
      <c r="C74" s="37" t="s">
        <v>128</v>
      </c>
      <c r="D74" s="34">
        <v>1758</v>
      </c>
      <c r="E74" s="34"/>
      <c r="G74" s="39"/>
      <c r="H74" s="43"/>
      <c r="I74" s="41"/>
      <c r="J74" s="41"/>
      <c r="L74" s="34">
        <v>67</v>
      </c>
      <c r="M74" s="35" t="s">
        <v>167</v>
      </c>
      <c r="N74" s="35" t="s">
        <v>129</v>
      </c>
      <c r="O74" s="34">
        <f>IFERROR(SUMIF(Table447[,],Table649[[#This Row],[Accounts Name]],Table447[,3]),"")</f>
        <v>196582.42</v>
      </c>
      <c r="P74" s="34">
        <f>IFERROR(SUMIF(Table447[,],Table649[[#This Row],[Accounts Name]],Table447[,2]),"")</f>
        <v>0</v>
      </c>
      <c r="S74" s="36">
        <f t="shared" ref="S74:S137" si="1">S73+1</f>
        <v>67</v>
      </c>
      <c r="T74" s="34"/>
      <c r="U74" s="37"/>
      <c r="V74" s="34">
        <f>IFERROR(SUMIF(Table649[Sub-Accounts],Table850[[#This Row],[Update your chart of accounts here]],Table649[Debit]),"")</f>
        <v>0</v>
      </c>
      <c r="W74" s="34">
        <f>IFERROR(SUMIF(Table649[Sub-Accounts],Table850[[#This Row],[Update your chart of accounts here]],Table649[Credit]),"")</f>
        <v>0</v>
      </c>
      <c r="X74" s="34"/>
      <c r="Y74" s="34"/>
      <c r="Z74" s="34"/>
      <c r="AA74" s="34"/>
      <c r="AB74" s="34">
        <f>MAX(Table850[[#This Row],[Debit]]+Table850[[#This Row],[Debit -]]-Table850[[#This Row],[Credit]]-Table850[[#This Row],[Credit +]],0)</f>
        <v>0</v>
      </c>
      <c r="AC74" s="34">
        <f>MAX(Table850[[#This Row],[Credit]]-Table850[[#This Row],[Debit]]+Table850[[#This Row],[Credit +]]-Table850[[#This Row],[Debit -]],0)</f>
        <v>0</v>
      </c>
      <c r="AD74" s="34" t="str">
        <f>IFERROR(IF(AND(OR(Table850[[#This Row],[Classification]]="Expense",Table850[[#This Row],[Classification]]="Cost of Goods Sold"),Table850[[#This Row],[Debit\]]&gt;Table850[[#This Row],[Credit.]]),Table850[[#This Row],[Debit\]]-Table850[[#This Row],[Credit.]],""),"")</f>
        <v/>
      </c>
      <c r="AE74" s="34" t="str">
        <f>IFERROR(IF(AND(OR(Table850[[#This Row],[Classification]]="Income",Table850[[#This Row],[Classification]]="Cost of Goods Sold"),Table850[[#This Row],[Credit.]]&gt;Table850[[#This Row],[Debit\]]),Table850[[#This Row],[Credit.]]-Table850[[#This Row],[Debit\]],""),"")</f>
        <v/>
      </c>
      <c r="AF74" s="34"/>
      <c r="AG74" s="34" t="str">
        <f>IFERROR(IF(AND(Table850[[#This Row],[Classification]]="Assets",Table850[[#This Row],[Debit\]]-Table850[[#This Row],[Credit.]]),Table850[[#This Row],[Debit\]]-Table850[[#This Row],[Credit.]],""),"")</f>
        <v/>
      </c>
      <c r="AH74" s="34" t="str">
        <f>IFERROR(IF(AND(OR(Table850[[#This Row],[Classification]]="Liabilities",Table850[[#This Row],[Classification]]="Owner´s Equity"),Table850[[#This Row],[Credit.]]&gt;Table850[[#This Row],[Debit\]]),Table850[[#This Row],[Credit.]]-Table850[[#This Row],[Debit\]],""),"")</f>
        <v/>
      </c>
    </row>
    <row r="75" spans="2:34" hidden="1" x14ac:dyDescent="0.25">
      <c r="B75" s="34"/>
      <c r="C75" s="37" t="s">
        <v>129</v>
      </c>
      <c r="D75" s="34">
        <v>196582.42</v>
      </c>
      <c r="E75" s="34"/>
      <c r="G75" s="39"/>
      <c r="H75" s="40"/>
      <c r="I75" s="41"/>
      <c r="J75" s="41"/>
      <c r="L75" s="34">
        <v>68</v>
      </c>
      <c r="M75" s="35" t="s">
        <v>151</v>
      </c>
      <c r="N75" s="35" t="s">
        <v>130</v>
      </c>
      <c r="O75" s="34">
        <f>IFERROR(SUMIF(Table447[,],Table649[[#This Row],[Accounts Name]],Table447[,3]),"")</f>
        <v>3069792</v>
      </c>
      <c r="P75" s="34">
        <f>IFERROR(SUMIF(Table447[,],Table649[[#This Row],[Accounts Name]],Table447[,2]),"")</f>
        <v>0</v>
      </c>
      <c r="S75" s="36">
        <f t="shared" si="1"/>
        <v>68</v>
      </c>
      <c r="T75" s="34"/>
      <c r="U75" s="37"/>
      <c r="V75" s="34">
        <f>IFERROR(SUMIF(Table649[Sub-Accounts],Table850[[#This Row],[Update your chart of accounts here]],Table649[Debit]),"")</f>
        <v>0</v>
      </c>
      <c r="W75" s="34">
        <f>IFERROR(SUMIF(Table649[Sub-Accounts],Table850[[#This Row],[Update your chart of accounts here]],Table649[Credit]),"")</f>
        <v>0</v>
      </c>
      <c r="X75" s="34"/>
      <c r="Y75" s="34"/>
      <c r="Z75" s="34"/>
      <c r="AA75" s="34"/>
      <c r="AB75" s="34">
        <f>MAX(Table850[[#This Row],[Debit]]+Table850[[#This Row],[Debit -]]-Table850[[#This Row],[Credit]]-Table850[[#This Row],[Credit +]],0)</f>
        <v>0</v>
      </c>
      <c r="AC75" s="34">
        <f>MAX(Table850[[#This Row],[Credit]]-Table850[[#This Row],[Debit]]+Table850[[#This Row],[Credit +]]-Table850[[#This Row],[Debit -]],0)</f>
        <v>0</v>
      </c>
      <c r="AD75" s="34" t="str">
        <f>IFERROR(IF(AND(OR(Table850[[#This Row],[Classification]]="Expense",Table850[[#This Row],[Classification]]="Cost of Goods Sold"),Table850[[#This Row],[Debit\]]&gt;Table850[[#This Row],[Credit.]]),Table850[[#This Row],[Debit\]]-Table850[[#This Row],[Credit.]],""),"")</f>
        <v/>
      </c>
      <c r="AE75" s="34" t="str">
        <f>IFERROR(IF(AND(OR(Table850[[#This Row],[Classification]]="Income",Table850[[#This Row],[Classification]]="Cost of Goods Sold"),Table850[[#This Row],[Credit.]]&gt;Table850[[#This Row],[Debit\]]),Table850[[#This Row],[Credit.]]-Table850[[#This Row],[Debit\]],""),"")</f>
        <v/>
      </c>
      <c r="AF75" s="34"/>
      <c r="AG75" s="34" t="str">
        <f>IFERROR(IF(AND(Table850[[#This Row],[Classification]]="Assets",Table850[[#This Row],[Debit\]]-Table850[[#This Row],[Credit.]]),Table850[[#This Row],[Debit\]]-Table850[[#This Row],[Credit.]],""),"")</f>
        <v/>
      </c>
      <c r="AH75" s="34" t="str">
        <f>IFERROR(IF(AND(OR(Table850[[#This Row],[Classification]]="Liabilities",Table850[[#This Row],[Classification]]="Owner´s Equity"),Table850[[#This Row],[Credit.]]&gt;Table850[[#This Row],[Debit\]]),Table850[[#This Row],[Credit.]]-Table850[[#This Row],[Debit\]],""),"")</f>
        <v/>
      </c>
    </row>
    <row r="76" spans="2:34" hidden="1" x14ac:dyDescent="0.25">
      <c r="B76" s="34"/>
      <c r="C76" s="37" t="s">
        <v>130</v>
      </c>
      <c r="D76" s="34">
        <v>3069792</v>
      </c>
      <c r="E76" s="34"/>
      <c r="G76" s="39"/>
      <c r="H76" s="40"/>
      <c r="I76" s="41"/>
      <c r="J76" s="41"/>
      <c r="L76" s="34">
        <v>69</v>
      </c>
      <c r="M76" s="35" t="s">
        <v>168</v>
      </c>
      <c r="N76" s="35" t="s">
        <v>131</v>
      </c>
      <c r="O76" s="34">
        <f>IFERROR(SUMIF(Table447[,],Table649[[#This Row],[Accounts Name]],Table447[,3]),"")</f>
        <v>302989.64</v>
      </c>
      <c r="P76" s="34">
        <f>IFERROR(SUMIF(Table447[,],Table649[[#This Row],[Accounts Name]],Table447[,2]),"")</f>
        <v>0</v>
      </c>
      <c r="S76" s="36">
        <f t="shared" si="1"/>
        <v>69</v>
      </c>
      <c r="T76" s="34"/>
      <c r="U76" s="37"/>
      <c r="V76" s="34">
        <f>IFERROR(SUMIF(Table649[Sub-Accounts],Table850[[#This Row],[Update your chart of accounts here]],Table649[Debit]),"")</f>
        <v>0</v>
      </c>
      <c r="W76" s="34">
        <f>IFERROR(SUMIF(Table649[Sub-Accounts],Table850[[#This Row],[Update your chart of accounts here]],Table649[Credit]),"")</f>
        <v>0</v>
      </c>
      <c r="X76" s="34"/>
      <c r="Y76" s="34"/>
      <c r="Z76" s="34"/>
      <c r="AA76" s="34"/>
      <c r="AB76" s="34">
        <f>MAX(Table850[[#This Row],[Debit]]+Table850[[#This Row],[Debit -]]-Table850[[#This Row],[Credit]]-Table850[[#This Row],[Credit +]],0)</f>
        <v>0</v>
      </c>
      <c r="AC76" s="34">
        <f>MAX(Table850[[#This Row],[Credit]]-Table850[[#This Row],[Debit]]+Table850[[#This Row],[Credit +]]-Table850[[#This Row],[Debit -]],0)</f>
        <v>0</v>
      </c>
      <c r="AD76" s="34" t="str">
        <f>IFERROR(IF(AND(OR(Table850[[#This Row],[Classification]]="Expense",Table850[[#This Row],[Classification]]="Cost of Goods Sold"),Table850[[#This Row],[Debit\]]&gt;Table850[[#This Row],[Credit.]]),Table850[[#This Row],[Debit\]]-Table850[[#This Row],[Credit.]],""),"")</f>
        <v/>
      </c>
      <c r="AE76" s="34" t="str">
        <f>IFERROR(IF(AND(OR(Table850[[#This Row],[Classification]]="Income",Table850[[#This Row],[Classification]]="Cost of Goods Sold"),Table850[[#This Row],[Credit.]]&gt;Table850[[#This Row],[Debit\]]),Table850[[#This Row],[Credit.]]-Table850[[#This Row],[Debit\]],""),"")</f>
        <v/>
      </c>
      <c r="AF76" s="34"/>
      <c r="AG76" s="34" t="str">
        <f>IFERROR(IF(AND(Table850[[#This Row],[Classification]]="Assets",Table850[[#This Row],[Debit\]]-Table850[[#This Row],[Credit.]]),Table850[[#This Row],[Debit\]]-Table850[[#This Row],[Credit.]],""),"")</f>
        <v/>
      </c>
      <c r="AH76" s="34" t="str">
        <f>IFERROR(IF(AND(OR(Table850[[#This Row],[Classification]]="Liabilities",Table850[[#This Row],[Classification]]="Owner´s Equity"),Table850[[#This Row],[Credit.]]&gt;Table850[[#This Row],[Debit\]]),Table850[[#This Row],[Credit.]]-Table850[[#This Row],[Debit\]],""),"")</f>
        <v/>
      </c>
    </row>
    <row r="77" spans="2:34" hidden="1" x14ac:dyDescent="0.25">
      <c r="B77" s="34"/>
      <c r="C77" s="37" t="s">
        <v>131</v>
      </c>
      <c r="D77" s="34">
        <v>302989.64</v>
      </c>
      <c r="E77" s="34"/>
      <c r="G77" s="39"/>
      <c r="H77" s="43"/>
      <c r="I77" s="41"/>
      <c r="J77" s="41"/>
      <c r="L77" s="34">
        <v>70</v>
      </c>
      <c r="M77" s="35" t="s">
        <v>167</v>
      </c>
      <c r="N77" s="35" t="s">
        <v>132</v>
      </c>
      <c r="O77" s="34">
        <f>IFERROR(SUMIF(Table447[,],Table649[[#This Row],[Accounts Name]],Table447[,3]),"")</f>
        <v>35000</v>
      </c>
      <c r="P77" s="34">
        <f>IFERROR(SUMIF(Table447[,],Table649[[#This Row],[Accounts Name]],Table447[,2]),"")</f>
        <v>0</v>
      </c>
      <c r="S77" s="36">
        <f t="shared" si="1"/>
        <v>70</v>
      </c>
      <c r="T77" s="34"/>
      <c r="U77" s="37"/>
      <c r="V77" s="34">
        <f>IFERROR(SUMIF(Table649[Sub-Accounts],Table850[[#This Row],[Update your chart of accounts here]],Table649[Debit]),"")</f>
        <v>0</v>
      </c>
      <c r="W77" s="34">
        <f>IFERROR(SUMIF(Table649[Sub-Accounts],Table850[[#This Row],[Update your chart of accounts here]],Table649[Credit]),"")</f>
        <v>0</v>
      </c>
      <c r="X77" s="34"/>
      <c r="Y77" s="34"/>
      <c r="Z77" s="34"/>
      <c r="AA77" s="34"/>
      <c r="AB77" s="34">
        <f>MAX(Table850[[#This Row],[Debit]]+Table850[[#This Row],[Debit -]]-Table850[[#This Row],[Credit]]-Table850[[#This Row],[Credit +]],0)</f>
        <v>0</v>
      </c>
      <c r="AC77" s="34">
        <f>MAX(Table850[[#This Row],[Credit]]-Table850[[#This Row],[Debit]]+Table850[[#This Row],[Credit +]]-Table850[[#This Row],[Debit -]],0)</f>
        <v>0</v>
      </c>
      <c r="AD77" s="34" t="str">
        <f>IFERROR(IF(AND(OR(Table850[[#This Row],[Classification]]="Expense",Table850[[#This Row],[Classification]]="Cost of Goods Sold"),Table850[[#This Row],[Debit\]]&gt;Table850[[#This Row],[Credit.]]),Table850[[#This Row],[Debit\]]-Table850[[#This Row],[Credit.]],""),"")</f>
        <v/>
      </c>
      <c r="AE77" s="34" t="str">
        <f>IFERROR(IF(AND(OR(Table850[[#This Row],[Classification]]="Income",Table850[[#This Row],[Classification]]="Cost of Goods Sold"),Table850[[#This Row],[Credit.]]&gt;Table850[[#This Row],[Debit\]]),Table850[[#This Row],[Credit.]]-Table850[[#This Row],[Debit\]],""),"")</f>
        <v/>
      </c>
      <c r="AF77" s="34"/>
      <c r="AG77" s="34" t="str">
        <f>IFERROR(IF(AND(Table850[[#This Row],[Classification]]="Assets",Table850[[#This Row],[Debit\]]-Table850[[#This Row],[Credit.]]),Table850[[#This Row],[Debit\]]-Table850[[#This Row],[Credit.]],""),"")</f>
        <v/>
      </c>
      <c r="AH77" s="34" t="str">
        <f>IFERROR(IF(AND(OR(Table850[[#This Row],[Classification]]="Liabilities",Table850[[#This Row],[Classification]]="Owner´s Equity"),Table850[[#This Row],[Credit.]]&gt;Table850[[#This Row],[Debit\]]),Table850[[#This Row],[Credit.]]-Table850[[#This Row],[Debit\]],""),"")</f>
        <v/>
      </c>
    </row>
    <row r="78" spans="2:34" hidden="1" x14ac:dyDescent="0.25">
      <c r="B78" s="34"/>
      <c r="C78" s="37" t="s">
        <v>132</v>
      </c>
      <c r="D78" s="34">
        <v>35000</v>
      </c>
      <c r="E78" s="34"/>
      <c r="G78" s="39"/>
      <c r="H78" s="40"/>
      <c r="I78" s="41"/>
      <c r="J78" s="41"/>
      <c r="L78" s="34">
        <v>71</v>
      </c>
      <c r="M78" s="35" t="s">
        <v>167</v>
      </c>
      <c r="N78" s="35" t="s">
        <v>133</v>
      </c>
      <c r="O78" s="34">
        <f>IFERROR(SUMIF(Table447[,],Table649[[#This Row],[Accounts Name]],Table447[,3]),"")</f>
        <v>164240.34</v>
      </c>
      <c r="P78" s="34">
        <f>IFERROR(SUMIF(Table447[,],Table649[[#This Row],[Accounts Name]],Table447[,2]),"")</f>
        <v>0</v>
      </c>
      <c r="S78" s="36">
        <f t="shared" si="1"/>
        <v>71</v>
      </c>
      <c r="T78" s="34"/>
      <c r="U78" s="37"/>
      <c r="V78" s="34">
        <f>IFERROR(SUMIF(Table649[Sub-Accounts],Table850[[#This Row],[Update your chart of accounts here]],Table649[Debit]),"")</f>
        <v>0</v>
      </c>
      <c r="W78" s="34">
        <f>IFERROR(SUMIF(Table649[Sub-Accounts],Table850[[#This Row],[Update your chart of accounts here]],Table649[Credit]),"")</f>
        <v>0</v>
      </c>
      <c r="X78" s="34"/>
      <c r="Y78" s="34"/>
      <c r="Z78" s="34"/>
      <c r="AA78" s="34"/>
      <c r="AB78" s="34">
        <f>MAX(Table850[[#This Row],[Debit]]+Table850[[#This Row],[Debit -]]-Table850[[#This Row],[Credit]]-Table850[[#This Row],[Credit +]],0)</f>
        <v>0</v>
      </c>
      <c r="AC78" s="34">
        <f>MAX(Table850[[#This Row],[Credit]]-Table850[[#This Row],[Debit]]+Table850[[#This Row],[Credit +]]-Table850[[#This Row],[Debit -]],0)</f>
        <v>0</v>
      </c>
      <c r="AD78" s="34" t="str">
        <f>IFERROR(IF(AND(OR(Table850[[#This Row],[Classification]]="Expense",Table850[[#This Row],[Classification]]="Cost of Goods Sold"),Table850[[#This Row],[Debit\]]&gt;Table850[[#This Row],[Credit.]]),Table850[[#This Row],[Debit\]]-Table850[[#This Row],[Credit.]],""),"")</f>
        <v/>
      </c>
      <c r="AE78" s="34" t="str">
        <f>IFERROR(IF(AND(OR(Table850[[#This Row],[Classification]]="Income",Table850[[#This Row],[Classification]]="Cost of Goods Sold"),Table850[[#This Row],[Credit.]]&gt;Table850[[#This Row],[Debit\]]),Table850[[#This Row],[Credit.]]-Table850[[#This Row],[Debit\]],""),"")</f>
        <v/>
      </c>
      <c r="AF78" s="34"/>
      <c r="AG78" s="34" t="str">
        <f>IFERROR(IF(AND(Table850[[#This Row],[Classification]]="Assets",Table850[[#This Row],[Debit\]]-Table850[[#This Row],[Credit.]]),Table850[[#This Row],[Debit\]]-Table850[[#This Row],[Credit.]],""),"")</f>
        <v/>
      </c>
      <c r="AH78" s="34" t="str">
        <f>IFERROR(IF(AND(OR(Table850[[#This Row],[Classification]]="Liabilities",Table850[[#This Row],[Classification]]="Owner´s Equity"),Table850[[#This Row],[Credit.]]&gt;Table850[[#This Row],[Debit\]]),Table850[[#This Row],[Credit.]]-Table850[[#This Row],[Debit\]],""),"")</f>
        <v/>
      </c>
    </row>
    <row r="79" spans="2:34" hidden="1" x14ac:dyDescent="0.25">
      <c r="B79" s="34"/>
      <c r="C79" s="37" t="s">
        <v>133</v>
      </c>
      <c r="D79" s="34">
        <v>164240.34</v>
      </c>
      <c r="E79" s="34"/>
      <c r="G79" s="39"/>
      <c r="H79" s="40"/>
      <c r="I79" s="41"/>
      <c r="J79" s="41"/>
      <c r="L79" s="34">
        <v>72</v>
      </c>
      <c r="M79" s="35" t="s">
        <v>169</v>
      </c>
      <c r="N79" s="35" t="s">
        <v>134</v>
      </c>
      <c r="O79" s="34">
        <f>IFERROR(SUMIF(Table447[,],Table649[[#This Row],[Accounts Name]],Table447[,3]),"")</f>
        <v>2000</v>
      </c>
      <c r="P79" s="34">
        <f>IFERROR(SUMIF(Table447[,],Table649[[#This Row],[Accounts Name]],Table447[,2]),"")</f>
        <v>0</v>
      </c>
      <c r="S79" s="36">
        <f t="shared" si="1"/>
        <v>72</v>
      </c>
      <c r="T79" s="34"/>
      <c r="U79" s="37"/>
      <c r="V79" s="34">
        <f>IFERROR(SUMIF(Table649[Sub-Accounts],Table850[[#This Row],[Update your chart of accounts here]],Table649[Debit]),"")</f>
        <v>0</v>
      </c>
      <c r="W79" s="34">
        <f>IFERROR(SUMIF(Table649[Sub-Accounts],Table850[[#This Row],[Update your chart of accounts here]],Table649[Credit]),"")</f>
        <v>0</v>
      </c>
      <c r="X79" s="34"/>
      <c r="Y79" s="34"/>
      <c r="Z79" s="34"/>
      <c r="AA79" s="34"/>
      <c r="AB79" s="34">
        <f>MAX(Table850[[#This Row],[Debit]]+Table850[[#This Row],[Debit -]]-Table850[[#This Row],[Credit]]-Table850[[#This Row],[Credit +]],0)</f>
        <v>0</v>
      </c>
      <c r="AC79" s="34">
        <f>MAX(Table850[[#This Row],[Credit]]-Table850[[#This Row],[Debit]]+Table850[[#This Row],[Credit +]]-Table850[[#This Row],[Debit -]],0)</f>
        <v>0</v>
      </c>
      <c r="AD79" s="34" t="str">
        <f>IFERROR(IF(AND(OR(Table850[[#This Row],[Classification]]="Expense",Table850[[#This Row],[Classification]]="Cost of Goods Sold"),Table850[[#This Row],[Debit\]]&gt;Table850[[#This Row],[Credit.]]),Table850[[#This Row],[Debit\]]-Table850[[#This Row],[Credit.]],""),"")</f>
        <v/>
      </c>
      <c r="AE79" s="34" t="str">
        <f>IFERROR(IF(AND(OR(Table850[[#This Row],[Classification]]="Income",Table850[[#This Row],[Classification]]="Cost of Goods Sold"),Table850[[#This Row],[Credit.]]&gt;Table850[[#This Row],[Debit\]]),Table850[[#This Row],[Credit.]]-Table850[[#This Row],[Debit\]],""),"")</f>
        <v/>
      </c>
      <c r="AF79" s="34"/>
      <c r="AG79" s="34" t="str">
        <f>IFERROR(IF(AND(Table850[[#This Row],[Classification]]="Assets",Table850[[#This Row],[Debit\]]-Table850[[#This Row],[Credit.]]),Table850[[#This Row],[Debit\]]-Table850[[#This Row],[Credit.]],""),"")</f>
        <v/>
      </c>
      <c r="AH79" s="34" t="str">
        <f>IFERROR(IF(AND(OR(Table850[[#This Row],[Classification]]="Liabilities",Table850[[#This Row],[Classification]]="Owner´s Equity"),Table850[[#This Row],[Credit.]]&gt;Table850[[#This Row],[Debit\]]),Table850[[#This Row],[Credit.]]-Table850[[#This Row],[Debit\]],""),"")</f>
        <v/>
      </c>
    </row>
    <row r="80" spans="2:34" hidden="1" x14ac:dyDescent="0.25">
      <c r="B80" s="34"/>
      <c r="C80" s="37" t="s">
        <v>134</v>
      </c>
      <c r="D80" s="34">
        <v>2000</v>
      </c>
      <c r="E80" s="34"/>
      <c r="G80" s="39"/>
      <c r="H80" s="43"/>
      <c r="I80" s="41"/>
      <c r="J80" s="41"/>
      <c r="L80" s="34">
        <v>73</v>
      </c>
      <c r="M80" s="35" t="s">
        <v>170</v>
      </c>
      <c r="N80" s="35" t="s">
        <v>135</v>
      </c>
      <c r="O80" s="34">
        <f>IFERROR(SUMIF(Table447[,],Table649[[#This Row],[Accounts Name]],Table447[,3]),"")</f>
        <v>13250</v>
      </c>
      <c r="P80" s="34">
        <f>IFERROR(SUMIF(Table447[,],Table649[[#This Row],[Accounts Name]],Table447[,2]),"")</f>
        <v>0</v>
      </c>
      <c r="S80" s="36">
        <f t="shared" si="1"/>
        <v>73</v>
      </c>
      <c r="T80" s="34"/>
      <c r="U80" s="37"/>
      <c r="V80" s="34">
        <f>IFERROR(SUMIF(Table649[Sub-Accounts],Table850[[#This Row],[Update your chart of accounts here]],Table649[Debit]),"")</f>
        <v>0</v>
      </c>
      <c r="W80" s="34">
        <f>IFERROR(SUMIF(Table649[Sub-Accounts],Table850[[#This Row],[Update your chart of accounts here]],Table649[Credit]),"")</f>
        <v>0</v>
      </c>
      <c r="X80" s="34"/>
      <c r="Y80" s="34"/>
      <c r="Z80" s="34"/>
      <c r="AA80" s="34"/>
      <c r="AB80" s="34">
        <f>MAX(Table850[[#This Row],[Debit]]+Table850[[#This Row],[Debit -]]-Table850[[#This Row],[Credit]]-Table850[[#This Row],[Credit +]],0)</f>
        <v>0</v>
      </c>
      <c r="AC80" s="34">
        <f>MAX(Table850[[#This Row],[Credit]]-Table850[[#This Row],[Debit]]+Table850[[#This Row],[Credit +]]-Table850[[#This Row],[Debit -]],0)</f>
        <v>0</v>
      </c>
      <c r="AD80" s="34" t="str">
        <f>IFERROR(IF(AND(OR(Table850[[#This Row],[Classification]]="Expense",Table850[[#This Row],[Classification]]="Cost of Goods Sold"),Table850[[#This Row],[Debit\]]&gt;Table850[[#This Row],[Credit.]]),Table850[[#This Row],[Debit\]]-Table850[[#This Row],[Credit.]],""),"")</f>
        <v/>
      </c>
      <c r="AE80" s="34" t="str">
        <f>IFERROR(IF(AND(OR(Table850[[#This Row],[Classification]]="Income",Table850[[#This Row],[Classification]]="Cost of Goods Sold"),Table850[[#This Row],[Credit.]]&gt;Table850[[#This Row],[Debit\]]),Table850[[#This Row],[Credit.]]-Table850[[#This Row],[Debit\]],""),"")</f>
        <v/>
      </c>
      <c r="AF80" s="34"/>
      <c r="AG80" s="34" t="str">
        <f>IFERROR(IF(AND(Table850[[#This Row],[Classification]]="Assets",Table850[[#This Row],[Debit\]]-Table850[[#This Row],[Credit.]]),Table850[[#This Row],[Debit\]]-Table850[[#This Row],[Credit.]],""),"")</f>
        <v/>
      </c>
      <c r="AH80" s="34" t="str">
        <f>IFERROR(IF(AND(OR(Table850[[#This Row],[Classification]]="Liabilities",Table850[[#This Row],[Classification]]="Owner´s Equity"),Table850[[#This Row],[Credit.]]&gt;Table850[[#This Row],[Debit\]]),Table850[[#This Row],[Credit.]]-Table850[[#This Row],[Debit\]],""),"")</f>
        <v/>
      </c>
    </row>
    <row r="81" spans="2:34" hidden="1" x14ac:dyDescent="0.25">
      <c r="B81" s="34"/>
      <c r="C81" s="37" t="s">
        <v>135</v>
      </c>
      <c r="D81" s="34">
        <v>13250</v>
      </c>
      <c r="E81" s="34"/>
      <c r="G81" s="39"/>
      <c r="H81" s="40"/>
      <c r="I81" s="41"/>
      <c r="J81" s="41"/>
      <c r="L81" s="34">
        <v>74</v>
      </c>
      <c r="M81" s="35" t="s">
        <v>156</v>
      </c>
      <c r="N81" s="35" t="s">
        <v>136</v>
      </c>
      <c r="O81" s="34">
        <f>IFERROR(SUMIF(Table447[,],Table649[[#This Row],[Accounts Name]],Table447[,3]),"")</f>
        <v>87416</v>
      </c>
      <c r="P81" s="34">
        <f>IFERROR(SUMIF(Table447[,],Table649[[#This Row],[Accounts Name]],Table447[,2]),"")</f>
        <v>0</v>
      </c>
      <c r="S81" s="36">
        <f t="shared" si="1"/>
        <v>74</v>
      </c>
      <c r="T81" s="34"/>
      <c r="U81" s="37"/>
      <c r="V81" s="34">
        <f>IFERROR(SUMIF(Table649[Sub-Accounts],Table850[[#This Row],[Update your chart of accounts here]],Table649[Debit]),"")</f>
        <v>0</v>
      </c>
      <c r="W81" s="34">
        <f>IFERROR(SUMIF(Table649[Sub-Accounts],Table850[[#This Row],[Update your chart of accounts here]],Table649[Credit]),"")</f>
        <v>0</v>
      </c>
      <c r="X81" s="34"/>
      <c r="Y81" s="34"/>
      <c r="Z81" s="34"/>
      <c r="AA81" s="34"/>
      <c r="AB81" s="34">
        <f>MAX(Table850[[#This Row],[Debit]]+Table850[[#This Row],[Debit -]]-Table850[[#This Row],[Credit]]-Table850[[#This Row],[Credit +]],0)</f>
        <v>0</v>
      </c>
      <c r="AC81" s="34">
        <f>MAX(Table850[[#This Row],[Credit]]-Table850[[#This Row],[Debit]]+Table850[[#This Row],[Credit +]]-Table850[[#This Row],[Debit -]],0)</f>
        <v>0</v>
      </c>
      <c r="AD81" s="34" t="str">
        <f>IFERROR(IF(AND(OR(Table850[[#This Row],[Classification]]="Expense",Table850[[#This Row],[Classification]]="Cost of Goods Sold"),Table850[[#This Row],[Debit\]]&gt;Table850[[#This Row],[Credit.]]),Table850[[#This Row],[Debit\]]-Table850[[#This Row],[Credit.]],""),"")</f>
        <v/>
      </c>
      <c r="AE81" s="34" t="str">
        <f>IFERROR(IF(AND(OR(Table850[[#This Row],[Classification]]="Income",Table850[[#This Row],[Classification]]="Cost of Goods Sold"),Table850[[#This Row],[Credit.]]&gt;Table850[[#This Row],[Debit\]]),Table850[[#This Row],[Credit.]]-Table850[[#This Row],[Debit\]],""),"")</f>
        <v/>
      </c>
      <c r="AF81" s="34"/>
      <c r="AG81" s="34" t="str">
        <f>IFERROR(IF(AND(Table850[[#This Row],[Classification]]="Assets",Table850[[#This Row],[Debit\]]-Table850[[#This Row],[Credit.]]),Table850[[#This Row],[Debit\]]-Table850[[#This Row],[Credit.]],""),"")</f>
        <v/>
      </c>
      <c r="AH81" s="34" t="str">
        <f>IFERROR(IF(AND(OR(Table850[[#This Row],[Classification]]="Liabilities",Table850[[#This Row],[Classification]]="Owner´s Equity"),Table850[[#This Row],[Credit.]]&gt;Table850[[#This Row],[Debit\]]),Table850[[#This Row],[Credit.]]-Table850[[#This Row],[Debit\]],""),"")</f>
        <v/>
      </c>
    </row>
    <row r="82" spans="2:34" hidden="1" x14ac:dyDescent="0.25">
      <c r="B82" s="34"/>
      <c r="C82" s="37" t="s">
        <v>136</v>
      </c>
      <c r="D82" s="34">
        <v>87416</v>
      </c>
      <c r="E82" s="34"/>
      <c r="G82" s="39"/>
      <c r="H82" s="40"/>
      <c r="I82" s="41"/>
      <c r="J82" s="41"/>
      <c r="L82" s="34">
        <v>75</v>
      </c>
      <c r="M82" s="35" t="s">
        <v>162</v>
      </c>
      <c r="N82" s="35" t="s">
        <v>137</v>
      </c>
      <c r="O82" s="34">
        <f>IFERROR(SUMIF(Table447[,],Table649[[#This Row],[Accounts Name]],Table447[,3]),"")</f>
        <v>139074.48000000001</v>
      </c>
      <c r="P82" s="34">
        <f>IFERROR(SUMIF(Table447[,],Table649[[#This Row],[Accounts Name]],Table447[,2]),"")</f>
        <v>0</v>
      </c>
      <c r="S82" s="36">
        <f t="shared" si="1"/>
        <v>75</v>
      </c>
      <c r="T82" s="34"/>
      <c r="U82" s="37"/>
      <c r="V82" s="34">
        <f>IFERROR(SUMIF(Table649[Sub-Accounts],Table850[[#This Row],[Update your chart of accounts here]],Table649[Debit]),"")</f>
        <v>0</v>
      </c>
      <c r="W82" s="34">
        <f>IFERROR(SUMIF(Table649[Sub-Accounts],Table850[[#This Row],[Update your chart of accounts here]],Table649[Credit]),"")</f>
        <v>0</v>
      </c>
      <c r="X82" s="34"/>
      <c r="Y82" s="34"/>
      <c r="Z82" s="34"/>
      <c r="AA82" s="34"/>
      <c r="AB82" s="34">
        <f>MAX(Table850[[#This Row],[Debit]]+Table850[[#This Row],[Debit -]]-Table850[[#This Row],[Credit]]-Table850[[#This Row],[Credit +]],0)</f>
        <v>0</v>
      </c>
      <c r="AC82" s="34">
        <f>MAX(Table850[[#This Row],[Credit]]-Table850[[#This Row],[Debit]]+Table850[[#This Row],[Credit +]]-Table850[[#This Row],[Debit -]],0)</f>
        <v>0</v>
      </c>
      <c r="AD82" s="34" t="str">
        <f>IFERROR(IF(AND(OR(Table850[[#This Row],[Classification]]="Expense",Table850[[#This Row],[Classification]]="Cost of Goods Sold"),Table850[[#This Row],[Debit\]]&gt;Table850[[#This Row],[Credit.]]),Table850[[#This Row],[Debit\]]-Table850[[#This Row],[Credit.]],""),"")</f>
        <v/>
      </c>
      <c r="AE82" s="34" t="str">
        <f>IFERROR(IF(AND(OR(Table850[[#This Row],[Classification]]="Income",Table850[[#This Row],[Classification]]="Cost of Goods Sold"),Table850[[#This Row],[Credit.]]&gt;Table850[[#This Row],[Debit\]]),Table850[[#This Row],[Credit.]]-Table850[[#This Row],[Debit\]],""),"")</f>
        <v/>
      </c>
      <c r="AF82" s="34"/>
      <c r="AG82" s="34" t="str">
        <f>IFERROR(IF(AND(Table850[[#This Row],[Classification]]="Assets",Table850[[#This Row],[Debit\]]-Table850[[#This Row],[Credit.]]),Table850[[#This Row],[Debit\]]-Table850[[#This Row],[Credit.]],""),"")</f>
        <v/>
      </c>
      <c r="AH82" s="34" t="str">
        <f>IFERROR(IF(AND(OR(Table850[[#This Row],[Classification]]="Liabilities",Table850[[#This Row],[Classification]]="Owner´s Equity"),Table850[[#This Row],[Credit.]]&gt;Table850[[#This Row],[Debit\]]),Table850[[#This Row],[Credit.]]-Table850[[#This Row],[Debit\]],""),"")</f>
        <v/>
      </c>
    </row>
    <row r="83" spans="2:34" hidden="1" x14ac:dyDescent="0.25">
      <c r="B83" s="34"/>
      <c r="C83" s="37" t="s">
        <v>137</v>
      </c>
      <c r="D83" s="34">
        <v>139074.48000000001</v>
      </c>
      <c r="E83" s="34"/>
      <c r="G83" s="39"/>
      <c r="H83" s="43"/>
      <c r="I83" s="41"/>
      <c r="J83" s="41"/>
      <c r="L83" s="34">
        <v>76</v>
      </c>
      <c r="M83" s="35"/>
      <c r="N83" s="35"/>
      <c r="O83" s="34">
        <f>IFERROR(SUMIF(Table447[,],Table649[[#This Row],[Accounts Name]],Table447[,3]),"")</f>
        <v>0</v>
      </c>
      <c r="P83" s="34">
        <f>IFERROR(SUMIF(Table447[,],Table649[[#This Row],[Accounts Name]],Table447[,2]),"")</f>
        <v>0</v>
      </c>
      <c r="S83" s="36">
        <f t="shared" si="1"/>
        <v>76</v>
      </c>
      <c r="T83" s="34"/>
      <c r="U83" s="37"/>
      <c r="V83" s="34">
        <f>IFERROR(SUMIF(Table649[Sub-Accounts],Table850[[#This Row],[Update your chart of accounts here]],Table649[Debit]),"")</f>
        <v>0</v>
      </c>
      <c r="W83" s="34">
        <f>IFERROR(SUMIF(Table649[Sub-Accounts],Table850[[#This Row],[Update your chart of accounts here]],Table649[Credit]),"")</f>
        <v>0</v>
      </c>
      <c r="X83" s="34"/>
      <c r="Y83" s="34"/>
      <c r="Z83" s="34"/>
      <c r="AA83" s="34"/>
      <c r="AB83" s="34">
        <f>MAX(Table850[[#This Row],[Debit]]+Table850[[#This Row],[Debit -]]-Table850[[#This Row],[Credit]]-Table850[[#This Row],[Credit +]],0)</f>
        <v>0</v>
      </c>
      <c r="AC83" s="34">
        <f>MAX(Table850[[#This Row],[Credit]]-Table850[[#This Row],[Debit]]+Table850[[#This Row],[Credit +]]-Table850[[#This Row],[Debit -]],0)</f>
        <v>0</v>
      </c>
      <c r="AD83" s="34" t="str">
        <f>IFERROR(IF(AND(OR(Table850[[#This Row],[Classification]]="Expense",Table850[[#This Row],[Classification]]="Cost of Goods Sold"),Table850[[#This Row],[Debit\]]&gt;Table850[[#This Row],[Credit.]]),Table850[[#This Row],[Debit\]]-Table850[[#This Row],[Credit.]],""),"")</f>
        <v/>
      </c>
      <c r="AE83" s="34" t="str">
        <f>IFERROR(IF(AND(OR(Table850[[#This Row],[Classification]]="Income",Table850[[#This Row],[Classification]]="Cost of Goods Sold"),Table850[[#This Row],[Credit.]]&gt;Table850[[#This Row],[Debit\]]),Table850[[#This Row],[Credit.]]-Table850[[#This Row],[Debit\]],""),"")</f>
        <v/>
      </c>
      <c r="AF83" s="34"/>
      <c r="AG83" s="34" t="str">
        <f>IFERROR(IF(AND(Table850[[#This Row],[Classification]]="Assets",Table850[[#This Row],[Debit\]]-Table850[[#This Row],[Credit.]]),Table850[[#This Row],[Debit\]]-Table850[[#This Row],[Credit.]],""),"")</f>
        <v/>
      </c>
      <c r="AH83" s="34" t="str">
        <f>IFERROR(IF(AND(OR(Table850[[#This Row],[Classification]]="Liabilities",Table850[[#This Row],[Classification]]="Owner´s Equity"),Table850[[#This Row],[Credit.]]&gt;Table850[[#This Row],[Debit\]]),Table850[[#This Row],[Credit.]]-Table850[[#This Row],[Debit\]],""),"")</f>
        <v/>
      </c>
    </row>
    <row r="84" spans="2:34" hidden="1" x14ac:dyDescent="0.25">
      <c r="B84" s="34"/>
      <c r="C84" s="37"/>
      <c r="D84" s="34"/>
      <c r="E84" s="34"/>
      <c r="G84" s="39"/>
      <c r="H84" s="40"/>
      <c r="I84" s="41"/>
      <c r="J84" s="41"/>
      <c r="L84" s="34">
        <v>77</v>
      </c>
      <c r="M84" s="35"/>
      <c r="N84" s="35"/>
      <c r="O84" s="34">
        <f>IFERROR(SUMIF(Table447[,],Table649[[#This Row],[Accounts Name]],Table447[,3]),"")</f>
        <v>0</v>
      </c>
      <c r="P84" s="34">
        <f>IFERROR(SUMIF(Table447[,],Table649[[#This Row],[Accounts Name]],Table447[,2]),"")</f>
        <v>0</v>
      </c>
      <c r="S84" s="36">
        <f t="shared" si="1"/>
        <v>77</v>
      </c>
      <c r="T84" s="34"/>
      <c r="U84" s="37"/>
      <c r="V84" s="34">
        <f>IFERROR(SUMIF(Table649[Sub-Accounts],Table850[[#This Row],[Update your chart of accounts here]],Table649[Debit]),"")</f>
        <v>0</v>
      </c>
      <c r="W84" s="34">
        <f>IFERROR(SUMIF(Table649[Sub-Accounts],Table850[[#This Row],[Update your chart of accounts here]],Table649[Credit]),"")</f>
        <v>0</v>
      </c>
      <c r="X84" s="34"/>
      <c r="Y84" s="34"/>
      <c r="Z84" s="34"/>
      <c r="AA84" s="34"/>
      <c r="AB84" s="34">
        <f>MAX(Table850[[#This Row],[Debit]]+Table850[[#This Row],[Debit -]]-Table850[[#This Row],[Credit]]-Table850[[#This Row],[Credit +]],0)</f>
        <v>0</v>
      </c>
      <c r="AC84" s="34">
        <f>MAX(Table850[[#This Row],[Credit]]-Table850[[#This Row],[Debit]]+Table850[[#This Row],[Credit +]]-Table850[[#This Row],[Debit -]],0)</f>
        <v>0</v>
      </c>
      <c r="AD84" s="34" t="str">
        <f>IFERROR(IF(AND(OR(Table850[[#This Row],[Classification]]="Expense",Table850[[#This Row],[Classification]]="Cost of Goods Sold"),Table850[[#This Row],[Debit\]]&gt;Table850[[#This Row],[Credit.]]),Table850[[#This Row],[Debit\]]-Table850[[#This Row],[Credit.]],""),"")</f>
        <v/>
      </c>
      <c r="AE84" s="34" t="str">
        <f>IFERROR(IF(AND(OR(Table850[[#This Row],[Classification]]="Income",Table850[[#This Row],[Classification]]="Cost of Goods Sold"),Table850[[#This Row],[Credit.]]&gt;Table850[[#This Row],[Debit\]]),Table850[[#This Row],[Credit.]]-Table850[[#This Row],[Debit\]],""),"")</f>
        <v/>
      </c>
      <c r="AF84" s="34"/>
      <c r="AG84" s="34" t="str">
        <f>IFERROR(IF(AND(Table850[[#This Row],[Classification]]="Assets",Table850[[#This Row],[Debit\]]-Table850[[#This Row],[Credit.]]),Table850[[#This Row],[Debit\]]-Table850[[#This Row],[Credit.]],""),"")</f>
        <v/>
      </c>
      <c r="AH84" s="34" t="str">
        <f>IFERROR(IF(AND(OR(Table850[[#This Row],[Classification]]="Liabilities",Table850[[#This Row],[Classification]]="Owner´s Equity"),Table850[[#This Row],[Credit.]]&gt;Table850[[#This Row],[Debit\]]),Table850[[#This Row],[Credit.]]-Table850[[#This Row],[Debit\]],""),"")</f>
        <v/>
      </c>
    </row>
    <row r="85" spans="2:34" hidden="1" x14ac:dyDescent="0.25">
      <c r="B85" s="34"/>
      <c r="C85" s="37"/>
      <c r="D85" s="34"/>
      <c r="E85" s="34"/>
      <c r="G85" s="39"/>
      <c r="H85" s="40"/>
      <c r="I85" s="41"/>
      <c r="J85" s="41"/>
      <c r="L85" s="34">
        <v>78</v>
      </c>
      <c r="M85" s="35"/>
      <c r="N85" s="35"/>
      <c r="O85" s="34">
        <f>IFERROR(SUMIF(Table447[,],Table649[[#This Row],[Accounts Name]],Table447[,3]),"")</f>
        <v>0</v>
      </c>
      <c r="P85" s="34">
        <f>IFERROR(SUMIF(Table447[,],Table649[[#This Row],[Accounts Name]],Table447[,2]),"")</f>
        <v>0</v>
      </c>
      <c r="S85" s="36">
        <f t="shared" si="1"/>
        <v>78</v>
      </c>
      <c r="T85" s="34"/>
      <c r="U85" s="37"/>
      <c r="V85" s="34">
        <f>IFERROR(SUMIF(Table649[Sub-Accounts],Table850[[#This Row],[Update your chart of accounts here]],Table649[Debit]),"")</f>
        <v>0</v>
      </c>
      <c r="W85" s="34">
        <f>IFERROR(SUMIF(Table649[Sub-Accounts],Table850[[#This Row],[Update your chart of accounts here]],Table649[Credit]),"")</f>
        <v>0</v>
      </c>
      <c r="X85" s="34"/>
      <c r="Y85" s="34"/>
      <c r="Z85" s="34"/>
      <c r="AA85" s="34"/>
      <c r="AB85" s="34">
        <f>MAX(Table850[[#This Row],[Debit]]+Table850[[#This Row],[Debit -]]-Table850[[#This Row],[Credit]]-Table850[[#This Row],[Credit +]],0)</f>
        <v>0</v>
      </c>
      <c r="AC85" s="34">
        <f>MAX(Table850[[#This Row],[Credit]]-Table850[[#This Row],[Debit]]+Table850[[#This Row],[Credit +]]-Table850[[#This Row],[Debit -]],0)</f>
        <v>0</v>
      </c>
      <c r="AD85" s="34" t="str">
        <f>IFERROR(IF(AND(OR(Table850[[#This Row],[Classification]]="Expense",Table850[[#This Row],[Classification]]="Cost of Goods Sold"),Table850[[#This Row],[Debit\]]&gt;Table850[[#This Row],[Credit.]]),Table850[[#This Row],[Debit\]]-Table850[[#This Row],[Credit.]],""),"")</f>
        <v/>
      </c>
      <c r="AE85" s="34" t="str">
        <f>IFERROR(IF(AND(OR(Table850[[#This Row],[Classification]]="Income",Table850[[#This Row],[Classification]]="Cost of Goods Sold"),Table850[[#This Row],[Credit.]]&gt;Table850[[#This Row],[Debit\]]),Table850[[#This Row],[Credit.]]-Table850[[#This Row],[Debit\]],""),"")</f>
        <v/>
      </c>
      <c r="AF85" s="34"/>
      <c r="AG85" s="34" t="str">
        <f>IFERROR(IF(AND(Table850[[#This Row],[Classification]]="Assets",Table850[[#This Row],[Debit\]]-Table850[[#This Row],[Credit.]]),Table850[[#This Row],[Debit\]]-Table850[[#This Row],[Credit.]],""),"")</f>
        <v/>
      </c>
      <c r="AH85" s="34" t="str">
        <f>IFERROR(IF(AND(OR(Table850[[#This Row],[Classification]]="Liabilities",Table850[[#This Row],[Classification]]="Owner´s Equity"),Table850[[#This Row],[Credit.]]&gt;Table850[[#This Row],[Debit\]]),Table850[[#This Row],[Credit.]]-Table850[[#This Row],[Debit\]],""),"")</f>
        <v/>
      </c>
    </row>
    <row r="86" spans="2:34" hidden="1" x14ac:dyDescent="0.25">
      <c r="B86" s="34"/>
      <c r="C86" s="37"/>
      <c r="D86" s="34"/>
      <c r="E86" s="34"/>
      <c r="G86" s="39"/>
      <c r="H86" s="43"/>
      <c r="I86" s="41"/>
      <c r="J86" s="41"/>
      <c r="L86" s="34">
        <v>79</v>
      </c>
      <c r="M86" s="35"/>
      <c r="N86" s="35"/>
      <c r="O86" s="34">
        <f>IFERROR(SUMIF(Table447[,],Table649[[#This Row],[Accounts Name]],Table447[,3]),"")</f>
        <v>0</v>
      </c>
      <c r="P86" s="34">
        <f>IFERROR(SUMIF(Table447[,],Table649[[#This Row],[Accounts Name]],Table447[,2]),"")</f>
        <v>0</v>
      </c>
      <c r="S86" s="36">
        <f t="shared" si="1"/>
        <v>79</v>
      </c>
      <c r="T86" s="34"/>
      <c r="U86" s="37"/>
      <c r="V86" s="34">
        <f>IFERROR(SUMIF(Table649[Sub-Accounts],Table850[[#This Row],[Update your chart of accounts here]],Table649[Debit]),"")</f>
        <v>0</v>
      </c>
      <c r="W86" s="34">
        <f>IFERROR(SUMIF(Table649[Sub-Accounts],Table850[[#This Row],[Update your chart of accounts here]],Table649[Credit]),"")</f>
        <v>0</v>
      </c>
      <c r="X86" s="34"/>
      <c r="Y86" s="34"/>
      <c r="Z86" s="34"/>
      <c r="AA86" s="34"/>
      <c r="AB86" s="34">
        <f>MAX(Table850[[#This Row],[Debit]]+Table850[[#This Row],[Debit -]]-Table850[[#This Row],[Credit]]-Table850[[#This Row],[Credit +]],0)</f>
        <v>0</v>
      </c>
      <c r="AC86" s="34">
        <f>MAX(Table850[[#This Row],[Credit]]-Table850[[#This Row],[Debit]]+Table850[[#This Row],[Credit +]]-Table850[[#This Row],[Debit -]],0)</f>
        <v>0</v>
      </c>
      <c r="AD86" s="34" t="str">
        <f>IFERROR(IF(AND(OR(Table850[[#This Row],[Classification]]="Expense",Table850[[#This Row],[Classification]]="Cost of Goods Sold"),Table850[[#This Row],[Debit\]]&gt;Table850[[#This Row],[Credit.]]),Table850[[#This Row],[Debit\]]-Table850[[#This Row],[Credit.]],""),"")</f>
        <v/>
      </c>
      <c r="AE86" s="34" t="str">
        <f>IFERROR(IF(AND(OR(Table850[[#This Row],[Classification]]="Income",Table850[[#This Row],[Classification]]="Cost of Goods Sold"),Table850[[#This Row],[Credit.]]&gt;Table850[[#This Row],[Debit\]]),Table850[[#This Row],[Credit.]]-Table850[[#This Row],[Debit\]],""),"")</f>
        <v/>
      </c>
      <c r="AF86" s="34"/>
      <c r="AG86" s="34" t="str">
        <f>IFERROR(IF(AND(Table850[[#This Row],[Classification]]="Assets",Table850[[#This Row],[Debit\]]-Table850[[#This Row],[Credit.]]),Table850[[#This Row],[Debit\]]-Table850[[#This Row],[Credit.]],""),"")</f>
        <v/>
      </c>
      <c r="AH86" s="34" t="str">
        <f>IFERROR(IF(AND(OR(Table850[[#This Row],[Classification]]="Liabilities",Table850[[#This Row],[Classification]]="Owner´s Equity"),Table850[[#This Row],[Credit.]]&gt;Table850[[#This Row],[Debit\]]),Table850[[#This Row],[Credit.]]-Table850[[#This Row],[Debit\]],""),"")</f>
        <v/>
      </c>
    </row>
    <row r="87" spans="2:34" hidden="1" x14ac:dyDescent="0.25">
      <c r="B87" s="34"/>
      <c r="C87" s="37"/>
      <c r="D87" s="34"/>
      <c r="E87" s="34"/>
      <c r="G87" s="39"/>
      <c r="H87" s="40"/>
      <c r="I87" s="41"/>
      <c r="J87" s="41"/>
      <c r="L87" s="34">
        <v>80</v>
      </c>
      <c r="M87" s="35"/>
      <c r="N87" s="35"/>
      <c r="O87" s="34">
        <f>IFERROR(SUMIF(Table447[,],Table649[[#This Row],[Accounts Name]],Table447[,3]),"")</f>
        <v>0</v>
      </c>
      <c r="P87" s="34">
        <f>IFERROR(SUMIF(Table447[,],Table649[[#This Row],[Accounts Name]],Table447[,2]),"")</f>
        <v>0</v>
      </c>
      <c r="S87" s="36">
        <f t="shared" si="1"/>
        <v>80</v>
      </c>
      <c r="T87" s="34"/>
      <c r="U87" s="37"/>
      <c r="V87" s="34">
        <f>IFERROR(SUMIF(Table649[Sub-Accounts],Table850[[#This Row],[Update your chart of accounts here]],Table649[Debit]),"")</f>
        <v>0</v>
      </c>
      <c r="W87" s="34">
        <f>IFERROR(SUMIF(Table649[Sub-Accounts],Table850[[#This Row],[Update your chart of accounts here]],Table649[Credit]),"")</f>
        <v>0</v>
      </c>
      <c r="X87" s="34"/>
      <c r="Y87" s="34"/>
      <c r="Z87" s="34"/>
      <c r="AA87" s="34"/>
      <c r="AB87" s="34">
        <f>MAX(Table850[[#This Row],[Debit]]+Table850[[#This Row],[Debit -]]-Table850[[#This Row],[Credit]]-Table850[[#This Row],[Credit +]],0)</f>
        <v>0</v>
      </c>
      <c r="AC87" s="34">
        <f>MAX(Table850[[#This Row],[Credit]]-Table850[[#This Row],[Debit]]+Table850[[#This Row],[Credit +]]-Table850[[#This Row],[Debit -]],0)</f>
        <v>0</v>
      </c>
      <c r="AD87" s="34" t="str">
        <f>IFERROR(IF(AND(OR(Table850[[#This Row],[Classification]]="Expense",Table850[[#This Row],[Classification]]="Cost of Goods Sold"),Table850[[#This Row],[Debit\]]&gt;Table850[[#This Row],[Credit.]]),Table850[[#This Row],[Debit\]]-Table850[[#This Row],[Credit.]],""),"")</f>
        <v/>
      </c>
      <c r="AE87" s="34" t="str">
        <f>IFERROR(IF(AND(OR(Table850[[#This Row],[Classification]]="Income",Table850[[#This Row],[Classification]]="Cost of Goods Sold"),Table850[[#This Row],[Credit.]]&gt;Table850[[#This Row],[Debit\]]),Table850[[#This Row],[Credit.]]-Table850[[#This Row],[Debit\]],""),"")</f>
        <v/>
      </c>
      <c r="AF87" s="34"/>
      <c r="AG87" s="34" t="str">
        <f>IFERROR(IF(AND(Table850[[#This Row],[Classification]]="Assets",Table850[[#This Row],[Debit\]]-Table850[[#This Row],[Credit.]]),Table850[[#This Row],[Debit\]]-Table850[[#This Row],[Credit.]],""),"")</f>
        <v/>
      </c>
      <c r="AH87" s="34" t="str">
        <f>IFERROR(IF(AND(OR(Table850[[#This Row],[Classification]]="Liabilities",Table850[[#This Row],[Classification]]="Owner´s Equity"),Table850[[#This Row],[Credit.]]&gt;Table850[[#This Row],[Debit\]]),Table850[[#This Row],[Credit.]]-Table850[[#This Row],[Debit\]],""),"")</f>
        <v/>
      </c>
    </row>
    <row r="88" spans="2:34" hidden="1" x14ac:dyDescent="0.25">
      <c r="B88" s="34"/>
      <c r="C88" s="37"/>
      <c r="D88" s="34"/>
      <c r="E88" s="34"/>
      <c r="G88" s="39"/>
      <c r="H88" s="40"/>
      <c r="I88" s="41"/>
      <c r="J88" s="41"/>
      <c r="L88" s="34">
        <v>81</v>
      </c>
      <c r="M88" s="35"/>
      <c r="N88" s="35"/>
      <c r="O88" s="34">
        <f>IFERROR(SUMIF(Table447[,],Table649[[#This Row],[Accounts Name]],Table447[,3]),"")</f>
        <v>0</v>
      </c>
      <c r="P88" s="34">
        <f>IFERROR(SUMIF(Table447[,],Table649[[#This Row],[Accounts Name]],Table447[,2]),"")</f>
        <v>0</v>
      </c>
      <c r="S88" s="36">
        <f t="shared" si="1"/>
        <v>81</v>
      </c>
      <c r="T88" s="34"/>
      <c r="U88" s="37"/>
      <c r="V88" s="34">
        <f>IFERROR(SUMIF(Table649[Sub-Accounts],Table850[[#This Row],[Update your chart of accounts here]],Table649[Debit]),"")</f>
        <v>0</v>
      </c>
      <c r="W88" s="34">
        <f>IFERROR(SUMIF(Table649[Sub-Accounts],Table850[[#This Row],[Update your chart of accounts here]],Table649[Credit]),"")</f>
        <v>0</v>
      </c>
      <c r="X88" s="34"/>
      <c r="Y88" s="34"/>
      <c r="Z88" s="34"/>
      <c r="AA88" s="34"/>
      <c r="AB88" s="34">
        <f>MAX(Table850[[#This Row],[Debit]]+Table850[[#This Row],[Debit -]]-Table850[[#This Row],[Credit]]-Table850[[#This Row],[Credit +]],0)</f>
        <v>0</v>
      </c>
      <c r="AC88" s="34">
        <f>MAX(Table850[[#This Row],[Credit]]-Table850[[#This Row],[Debit]]+Table850[[#This Row],[Credit +]]-Table850[[#This Row],[Debit -]],0)</f>
        <v>0</v>
      </c>
      <c r="AD88" s="34" t="str">
        <f>IFERROR(IF(AND(OR(Table850[[#This Row],[Classification]]="Expense",Table850[[#This Row],[Classification]]="Cost of Goods Sold"),Table850[[#This Row],[Debit\]]&gt;Table850[[#This Row],[Credit.]]),Table850[[#This Row],[Debit\]]-Table850[[#This Row],[Credit.]],""),"")</f>
        <v/>
      </c>
      <c r="AE88" s="34" t="str">
        <f>IFERROR(IF(AND(OR(Table850[[#This Row],[Classification]]="Income",Table850[[#This Row],[Classification]]="Cost of Goods Sold"),Table850[[#This Row],[Credit.]]&gt;Table850[[#This Row],[Debit\]]),Table850[[#This Row],[Credit.]]-Table850[[#This Row],[Debit\]],""),"")</f>
        <v/>
      </c>
      <c r="AF88" s="34"/>
      <c r="AG88" s="34" t="str">
        <f>IFERROR(IF(AND(Table850[[#This Row],[Classification]]="Assets",Table850[[#This Row],[Debit\]]-Table850[[#This Row],[Credit.]]),Table850[[#This Row],[Debit\]]-Table850[[#This Row],[Credit.]],""),"")</f>
        <v/>
      </c>
      <c r="AH88" s="34" t="str">
        <f>IFERROR(IF(AND(OR(Table850[[#This Row],[Classification]]="Liabilities",Table850[[#This Row],[Classification]]="Owner´s Equity"),Table850[[#This Row],[Credit.]]&gt;Table850[[#This Row],[Debit\]]),Table850[[#This Row],[Credit.]]-Table850[[#This Row],[Debit\]],""),"")</f>
        <v/>
      </c>
    </row>
    <row r="89" spans="2:34" hidden="1" x14ac:dyDescent="0.25">
      <c r="B89" s="34"/>
      <c r="C89" s="37"/>
      <c r="D89" s="34"/>
      <c r="E89" s="34"/>
      <c r="G89" s="39"/>
      <c r="H89" s="43"/>
      <c r="I89" s="41"/>
      <c r="J89" s="41"/>
      <c r="L89" s="34">
        <v>82</v>
      </c>
      <c r="M89" s="35"/>
      <c r="N89" s="35"/>
      <c r="O89" s="34">
        <f>IFERROR(SUMIF(Table447[,],Table649[[#This Row],[Accounts Name]],Table447[,3]),"")</f>
        <v>0</v>
      </c>
      <c r="P89" s="34">
        <f>IFERROR(SUMIF(Table447[,],Table649[[#This Row],[Accounts Name]],Table447[,2]),"")</f>
        <v>0</v>
      </c>
      <c r="S89" s="36">
        <f t="shared" si="1"/>
        <v>82</v>
      </c>
      <c r="T89" s="34"/>
      <c r="U89" s="37"/>
      <c r="V89" s="34">
        <f>IFERROR(SUMIF(Table649[Sub-Accounts],Table850[[#This Row],[Update your chart of accounts here]],Table649[Debit]),"")</f>
        <v>0</v>
      </c>
      <c r="W89" s="34">
        <f>IFERROR(SUMIF(Table649[Sub-Accounts],Table850[[#This Row],[Update your chart of accounts here]],Table649[Credit]),"")</f>
        <v>0</v>
      </c>
      <c r="X89" s="34"/>
      <c r="Y89" s="34"/>
      <c r="Z89" s="34"/>
      <c r="AA89" s="34"/>
      <c r="AB89" s="34">
        <f>MAX(Table850[[#This Row],[Debit]]+Table850[[#This Row],[Debit -]]-Table850[[#This Row],[Credit]]-Table850[[#This Row],[Credit +]],0)</f>
        <v>0</v>
      </c>
      <c r="AC89" s="34">
        <f>MAX(Table850[[#This Row],[Credit]]-Table850[[#This Row],[Debit]]+Table850[[#This Row],[Credit +]]-Table850[[#This Row],[Debit -]],0)</f>
        <v>0</v>
      </c>
      <c r="AD89" s="34" t="str">
        <f>IFERROR(IF(AND(OR(Table850[[#This Row],[Classification]]="Expense",Table850[[#This Row],[Classification]]="Cost of Goods Sold"),Table850[[#This Row],[Debit\]]&gt;Table850[[#This Row],[Credit.]]),Table850[[#This Row],[Debit\]]-Table850[[#This Row],[Credit.]],""),"")</f>
        <v/>
      </c>
      <c r="AE89" s="34" t="str">
        <f>IFERROR(IF(AND(OR(Table850[[#This Row],[Classification]]="Income",Table850[[#This Row],[Classification]]="Cost of Goods Sold"),Table850[[#This Row],[Credit.]]&gt;Table850[[#This Row],[Debit\]]),Table850[[#This Row],[Credit.]]-Table850[[#This Row],[Debit\]],""),"")</f>
        <v/>
      </c>
      <c r="AF89" s="34"/>
      <c r="AG89" s="34" t="str">
        <f>IFERROR(IF(AND(Table850[[#This Row],[Classification]]="Assets",Table850[[#This Row],[Debit\]]-Table850[[#This Row],[Credit.]]),Table850[[#This Row],[Debit\]]-Table850[[#This Row],[Credit.]],""),"")</f>
        <v/>
      </c>
      <c r="AH89" s="34" t="str">
        <f>IFERROR(IF(AND(OR(Table850[[#This Row],[Classification]]="Liabilities",Table850[[#This Row],[Classification]]="Owner´s Equity"),Table850[[#This Row],[Credit.]]&gt;Table850[[#This Row],[Debit\]]),Table850[[#This Row],[Credit.]]-Table850[[#This Row],[Debit\]],""),"")</f>
        <v/>
      </c>
    </row>
    <row r="90" spans="2:34" hidden="1" x14ac:dyDescent="0.25">
      <c r="B90" s="34"/>
      <c r="C90" s="45"/>
      <c r="D90" s="34"/>
      <c r="E90" s="34"/>
      <c r="G90" s="39"/>
      <c r="H90" s="40"/>
      <c r="I90" s="41"/>
      <c r="J90" s="41"/>
      <c r="L90" s="34">
        <v>83</v>
      </c>
      <c r="M90" s="35"/>
      <c r="N90" s="35"/>
      <c r="O90" s="34">
        <f>IFERROR(SUMIF(Table447[,],Table649[[#This Row],[Accounts Name]],Table447[,3]),"")</f>
        <v>0</v>
      </c>
      <c r="P90" s="34">
        <f>IFERROR(SUMIF(Table447[,],Table649[[#This Row],[Accounts Name]],Table447[,2]),"")</f>
        <v>0</v>
      </c>
      <c r="S90" s="36">
        <f t="shared" si="1"/>
        <v>83</v>
      </c>
      <c r="T90" s="34"/>
      <c r="U90" s="37"/>
      <c r="V90" s="34">
        <f>IFERROR(SUMIF(Table649[Sub-Accounts],Table850[[#This Row],[Update your chart of accounts here]],Table649[Debit]),"")</f>
        <v>0</v>
      </c>
      <c r="W90" s="34">
        <f>IFERROR(SUMIF(Table649[Sub-Accounts],Table850[[#This Row],[Update your chart of accounts here]],Table649[Credit]),"")</f>
        <v>0</v>
      </c>
      <c r="X90" s="34"/>
      <c r="Y90" s="34"/>
      <c r="Z90" s="34"/>
      <c r="AA90" s="34"/>
      <c r="AB90" s="34">
        <f>MAX(Table850[[#This Row],[Debit]]+Table850[[#This Row],[Debit -]]-Table850[[#This Row],[Credit]]-Table850[[#This Row],[Credit +]],0)</f>
        <v>0</v>
      </c>
      <c r="AC90" s="34">
        <f>MAX(Table850[[#This Row],[Credit]]-Table850[[#This Row],[Debit]]+Table850[[#This Row],[Credit +]]-Table850[[#This Row],[Debit -]],0)</f>
        <v>0</v>
      </c>
      <c r="AD90" s="34" t="str">
        <f>IFERROR(IF(AND(OR(Table850[[#This Row],[Classification]]="Expense",Table850[[#This Row],[Classification]]="Cost of Goods Sold"),Table850[[#This Row],[Debit\]]&gt;Table850[[#This Row],[Credit.]]),Table850[[#This Row],[Debit\]]-Table850[[#This Row],[Credit.]],""),"")</f>
        <v/>
      </c>
      <c r="AE90" s="34" t="str">
        <f>IFERROR(IF(AND(OR(Table850[[#This Row],[Classification]]="Income",Table850[[#This Row],[Classification]]="Cost of Goods Sold"),Table850[[#This Row],[Credit.]]&gt;Table850[[#This Row],[Debit\]]),Table850[[#This Row],[Credit.]]-Table850[[#This Row],[Debit\]],""),"")</f>
        <v/>
      </c>
      <c r="AF90" s="34"/>
      <c r="AG90" s="34" t="str">
        <f>IFERROR(IF(AND(Table850[[#This Row],[Classification]]="Assets",Table850[[#This Row],[Debit\]]-Table850[[#This Row],[Credit.]]),Table850[[#This Row],[Debit\]]-Table850[[#This Row],[Credit.]],""),"")</f>
        <v/>
      </c>
      <c r="AH90" s="34" t="str">
        <f>IFERROR(IF(AND(OR(Table850[[#This Row],[Classification]]="Liabilities",Table850[[#This Row],[Classification]]="Owner´s Equity"),Table850[[#This Row],[Credit.]]&gt;Table850[[#This Row],[Debit\]]),Table850[[#This Row],[Credit.]]-Table850[[#This Row],[Debit\]],""),"")</f>
        <v/>
      </c>
    </row>
    <row r="91" spans="2:34" hidden="1" x14ac:dyDescent="0.25">
      <c r="B91" s="34"/>
      <c r="C91" s="45"/>
      <c r="D91" s="34"/>
      <c r="E91" s="34"/>
      <c r="G91" s="39"/>
      <c r="H91" s="40"/>
      <c r="I91" s="41"/>
      <c r="J91" s="41"/>
      <c r="L91" s="34">
        <v>84</v>
      </c>
      <c r="M91" s="35"/>
      <c r="N91" s="35"/>
      <c r="O91" s="34">
        <f>IFERROR(SUMIF(Table447[,],Table649[[#This Row],[Accounts Name]],Table447[,3]),"")</f>
        <v>0</v>
      </c>
      <c r="P91" s="34">
        <f>IFERROR(SUMIF(Table447[,],Table649[[#This Row],[Accounts Name]],Table447[,2]),"")</f>
        <v>0</v>
      </c>
      <c r="S91" s="36">
        <f t="shared" si="1"/>
        <v>84</v>
      </c>
      <c r="T91" s="34"/>
      <c r="U91" s="37"/>
      <c r="V91" s="34">
        <f>IFERROR(SUMIF(Table649[Sub-Accounts],Table850[[#This Row],[Update your chart of accounts here]],Table649[Debit]),"")</f>
        <v>0</v>
      </c>
      <c r="W91" s="34">
        <f>IFERROR(SUMIF(Table649[Sub-Accounts],Table850[[#This Row],[Update your chart of accounts here]],Table649[Credit]),"")</f>
        <v>0</v>
      </c>
      <c r="X91" s="34"/>
      <c r="Y91" s="34"/>
      <c r="Z91" s="34"/>
      <c r="AA91" s="34"/>
      <c r="AB91" s="34">
        <f>MAX(Table850[[#This Row],[Debit]]+Table850[[#This Row],[Debit -]]-Table850[[#This Row],[Credit]]-Table850[[#This Row],[Credit +]],0)</f>
        <v>0</v>
      </c>
      <c r="AC91" s="34">
        <f>MAX(Table850[[#This Row],[Credit]]-Table850[[#This Row],[Debit]]+Table850[[#This Row],[Credit +]]-Table850[[#This Row],[Debit -]],0)</f>
        <v>0</v>
      </c>
      <c r="AD91" s="34" t="str">
        <f>IFERROR(IF(AND(OR(Table850[[#This Row],[Classification]]="Expense",Table850[[#This Row],[Classification]]="Cost of Goods Sold"),Table850[[#This Row],[Debit\]]&gt;Table850[[#This Row],[Credit.]]),Table850[[#This Row],[Debit\]]-Table850[[#This Row],[Credit.]],""),"")</f>
        <v/>
      </c>
      <c r="AE91" s="34" t="str">
        <f>IFERROR(IF(AND(OR(Table850[[#This Row],[Classification]]="Income",Table850[[#This Row],[Classification]]="Cost of Goods Sold"),Table850[[#This Row],[Credit.]]&gt;Table850[[#This Row],[Debit\]]),Table850[[#This Row],[Credit.]]-Table850[[#This Row],[Debit\]],""),"")</f>
        <v/>
      </c>
      <c r="AF91" s="34"/>
      <c r="AG91" s="34" t="str">
        <f>IFERROR(IF(AND(Table850[[#This Row],[Classification]]="Assets",Table850[[#This Row],[Debit\]]-Table850[[#This Row],[Credit.]]),Table850[[#This Row],[Debit\]]-Table850[[#This Row],[Credit.]],""),"")</f>
        <v/>
      </c>
      <c r="AH91" s="34" t="str">
        <f>IFERROR(IF(AND(OR(Table850[[#This Row],[Classification]]="Liabilities",Table850[[#This Row],[Classification]]="Owner´s Equity"),Table850[[#This Row],[Credit.]]&gt;Table850[[#This Row],[Debit\]]),Table850[[#This Row],[Credit.]]-Table850[[#This Row],[Debit\]],""),"")</f>
        <v/>
      </c>
    </row>
    <row r="92" spans="2:34" hidden="1" x14ac:dyDescent="0.25">
      <c r="B92" s="34"/>
      <c r="C92" s="45"/>
      <c r="D92" s="34"/>
      <c r="E92" s="34"/>
      <c r="G92" s="39"/>
      <c r="H92" s="43"/>
      <c r="I92" s="41"/>
      <c r="J92" s="41"/>
      <c r="L92" s="34">
        <v>85</v>
      </c>
      <c r="M92" s="35"/>
      <c r="N92" s="35"/>
      <c r="O92" s="34">
        <f>IFERROR(SUMIF(Table447[,],Table649[[#This Row],[Accounts Name]],Table447[,3]),"")</f>
        <v>0</v>
      </c>
      <c r="P92" s="34">
        <f>IFERROR(SUMIF(Table447[,],Table649[[#This Row],[Accounts Name]],Table447[,2]),"")</f>
        <v>0</v>
      </c>
      <c r="S92" s="36">
        <f t="shared" si="1"/>
        <v>85</v>
      </c>
      <c r="T92" s="34"/>
      <c r="U92" s="37"/>
      <c r="V92" s="34">
        <f>IFERROR(SUMIF(Table649[Sub-Accounts],Table850[[#This Row],[Update your chart of accounts here]],Table649[Debit]),"")</f>
        <v>0</v>
      </c>
      <c r="W92" s="34">
        <f>IFERROR(SUMIF(Table649[Sub-Accounts],Table850[[#This Row],[Update your chart of accounts here]],Table649[Credit]),"")</f>
        <v>0</v>
      </c>
      <c r="X92" s="34"/>
      <c r="Y92" s="34"/>
      <c r="Z92" s="34"/>
      <c r="AA92" s="34"/>
      <c r="AB92" s="34">
        <f>MAX(Table850[[#This Row],[Debit]]+Table850[[#This Row],[Debit -]]-Table850[[#This Row],[Credit]]-Table850[[#This Row],[Credit +]],0)</f>
        <v>0</v>
      </c>
      <c r="AC92" s="34">
        <f>MAX(Table850[[#This Row],[Credit]]-Table850[[#This Row],[Debit]]+Table850[[#This Row],[Credit +]]-Table850[[#This Row],[Debit -]],0)</f>
        <v>0</v>
      </c>
      <c r="AD92" s="34" t="str">
        <f>IFERROR(IF(AND(OR(Table850[[#This Row],[Classification]]="Expense",Table850[[#This Row],[Classification]]="Cost of Goods Sold"),Table850[[#This Row],[Debit\]]&gt;Table850[[#This Row],[Credit.]]),Table850[[#This Row],[Debit\]]-Table850[[#This Row],[Credit.]],""),"")</f>
        <v/>
      </c>
      <c r="AE92" s="34" t="str">
        <f>IFERROR(IF(AND(OR(Table850[[#This Row],[Classification]]="Income",Table850[[#This Row],[Classification]]="Cost of Goods Sold"),Table850[[#This Row],[Credit.]]&gt;Table850[[#This Row],[Debit\]]),Table850[[#This Row],[Credit.]]-Table850[[#This Row],[Debit\]],""),"")</f>
        <v/>
      </c>
      <c r="AF92" s="34"/>
      <c r="AG92" s="34" t="str">
        <f>IFERROR(IF(AND(Table850[[#This Row],[Classification]]="Assets",Table850[[#This Row],[Debit\]]-Table850[[#This Row],[Credit.]]),Table850[[#This Row],[Debit\]]-Table850[[#This Row],[Credit.]],""),"")</f>
        <v/>
      </c>
      <c r="AH92" s="34" t="str">
        <f>IFERROR(IF(AND(OR(Table850[[#This Row],[Classification]]="Liabilities",Table850[[#This Row],[Classification]]="Owner´s Equity"),Table850[[#This Row],[Credit.]]&gt;Table850[[#This Row],[Debit\]]),Table850[[#This Row],[Credit.]]-Table850[[#This Row],[Debit\]],""),"")</f>
        <v/>
      </c>
    </row>
    <row r="93" spans="2:34" hidden="1" x14ac:dyDescent="0.25">
      <c r="B93" s="34"/>
      <c r="C93" s="45"/>
      <c r="D93" s="34"/>
      <c r="E93" s="34"/>
      <c r="G93" s="39"/>
      <c r="H93" s="40"/>
      <c r="I93" s="41"/>
      <c r="J93" s="41"/>
      <c r="L93" s="34">
        <v>86</v>
      </c>
      <c r="M93" s="35"/>
      <c r="N93" s="35"/>
      <c r="O93" s="34">
        <f>IFERROR(SUMIF(Table447[,],Table649[[#This Row],[Accounts Name]],Table447[,3]),"")</f>
        <v>0</v>
      </c>
      <c r="P93" s="34">
        <f>IFERROR(SUMIF(Table447[,],Table649[[#This Row],[Accounts Name]],Table447[,2]),"")</f>
        <v>0</v>
      </c>
      <c r="S93" s="36">
        <f t="shared" si="1"/>
        <v>86</v>
      </c>
      <c r="T93" s="34"/>
      <c r="U93" s="37"/>
      <c r="V93" s="34">
        <f>IFERROR(SUMIF(Table649[Sub-Accounts],Table850[[#This Row],[Update your chart of accounts here]],Table649[Debit]),"")</f>
        <v>0</v>
      </c>
      <c r="W93" s="34">
        <f>IFERROR(SUMIF(Table649[Sub-Accounts],Table850[[#This Row],[Update your chart of accounts here]],Table649[Credit]),"")</f>
        <v>0</v>
      </c>
      <c r="X93" s="34"/>
      <c r="Y93" s="34"/>
      <c r="Z93" s="34"/>
      <c r="AA93" s="34"/>
      <c r="AB93" s="34">
        <f>MAX(Table850[[#This Row],[Debit]]+Table850[[#This Row],[Debit -]]-Table850[[#This Row],[Credit]]-Table850[[#This Row],[Credit +]],0)</f>
        <v>0</v>
      </c>
      <c r="AC93" s="34">
        <f>MAX(Table850[[#This Row],[Credit]]-Table850[[#This Row],[Debit]]+Table850[[#This Row],[Credit +]]-Table850[[#This Row],[Debit -]],0)</f>
        <v>0</v>
      </c>
      <c r="AD93" s="34" t="str">
        <f>IFERROR(IF(AND(OR(Table850[[#This Row],[Classification]]="Expense",Table850[[#This Row],[Classification]]="Cost of Goods Sold"),Table850[[#This Row],[Debit\]]&gt;Table850[[#This Row],[Credit.]]),Table850[[#This Row],[Debit\]]-Table850[[#This Row],[Credit.]],""),"")</f>
        <v/>
      </c>
      <c r="AE93" s="34" t="str">
        <f>IFERROR(IF(AND(OR(Table850[[#This Row],[Classification]]="Income",Table850[[#This Row],[Classification]]="Cost of Goods Sold"),Table850[[#This Row],[Credit.]]&gt;Table850[[#This Row],[Debit\]]),Table850[[#This Row],[Credit.]]-Table850[[#This Row],[Debit\]],""),"")</f>
        <v/>
      </c>
      <c r="AF93" s="34"/>
      <c r="AG93" s="34" t="str">
        <f>IFERROR(IF(AND(Table850[[#This Row],[Classification]]="Assets",Table850[[#This Row],[Debit\]]-Table850[[#This Row],[Credit.]]),Table850[[#This Row],[Debit\]]-Table850[[#This Row],[Credit.]],""),"")</f>
        <v/>
      </c>
      <c r="AH93" s="34" t="str">
        <f>IFERROR(IF(AND(OR(Table850[[#This Row],[Classification]]="Liabilities",Table850[[#This Row],[Classification]]="Owner´s Equity"),Table850[[#This Row],[Credit.]]&gt;Table850[[#This Row],[Debit\]]),Table850[[#This Row],[Credit.]]-Table850[[#This Row],[Debit\]],""),"")</f>
        <v/>
      </c>
    </row>
    <row r="94" spans="2:34" hidden="1" x14ac:dyDescent="0.25">
      <c r="B94" s="34"/>
      <c r="C94" s="45"/>
      <c r="D94" s="34"/>
      <c r="E94" s="34"/>
      <c r="G94" s="39"/>
      <c r="H94" s="40"/>
      <c r="I94" s="41"/>
      <c r="J94" s="41"/>
      <c r="L94" s="34">
        <v>87</v>
      </c>
      <c r="M94" s="35"/>
      <c r="N94" s="35"/>
      <c r="O94" s="34">
        <f>IFERROR(SUMIF(Table447[,],Table649[[#This Row],[Accounts Name]],Table447[,3]),"")</f>
        <v>0</v>
      </c>
      <c r="P94" s="34">
        <f>IFERROR(SUMIF(Table447[,],Table649[[#This Row],[Accounts Name]],Table447[,2]),"")</f>
        <v>0</v>
      </c>
      <c r="S94" s="36">
        <f t="shared" si="1"/>
        <v>87</v>
      </c>
      <c r="T94" s="34"/>
      <c r="U94" s="37"/>
      <c r="V94" s="34">
        <f>IFERROR(SUMIF(Table649[Sub-Accounts],Table850[[#This Row],[Update your chart of accounts here]],Table649[Debit]),"")</f>
        <v>0</v>
      </c>
      <c r="W94" s="34">
        <f>IFERROR(SUMIF(Table649[Sub-Accounts],Table850[[#This Row],[Update your chart of accounts here]],Table649[Credit]),"")</f>
        <v>0</v>
      </c>
      <c r="X94" s="34"/>
      <c r="Y94" s="34"/>
      <c r="Z94" s="34"/>
      <c r="AA94" s="34"/>
      <c r="AB94" s="34">
        <f>MAX(Table850[[#This Row],[Debit]]+Table850[[#This Row],[Debit -]]-Table850[[#This Row],[Credit]]-Table850[[#This Row],[Credit +]],0)</f>
        <v>0</v>
      </c>
      <c r="AC94" s="34">
        <f>MAX(Table850[[#This Row],[Credit]]-Table850[[#This Row],[Debit]]+Table850[[#This Row],[Credit +]]-Table850[[#This Row],[Debit -]],0)</f>
        <v>0</v>
      </c>
      <c r="AD94" s="34" t="str">
        <f>IFERROR(IF(AND(OR(Table850[[#This Row],[Classification]]="Expense",Table850[[#This Row],[Classification]]="Cost of Goods Sold"),Table850[[#This Row],[Debit\]]&gt;Table850[[#This Row],[Credit.]]),Table850[[#This Row],[Debit\]]-Table850[[#This Row],[Credit.]],""),"")</f>
        <v/>
      </c>
      <c r="AE94" s="34" t="str">
        <f>IFERROR(IF(AND(OR(Table850[[#This Row],[Classification]]="Income",Table850[[#This Row],[Classification]]="Cost of Goods Sold"),Table850[[#This Row],[Credit.]]&gt;Table850[[#This Row],[Debit\]]),Table850[[#This Row],[Credit.]]-Table850[[#This Row],[Debit\]],""),"")</f>
        <v/>
      </c>
      <c r="AF94" s="34"/>
      <c r="AG94" s="34" t="str">
        <f>IFERROR(IF(AND(Table850[[#This Row],[Classification]]="Assets",Table850[[#This Row],[Debit\]]-Table850[[#This Row],[Credit.]]),Table850[[#This Row],[Debit\]]-Table850[[#This Row],[Credit.]],""),"")</f>
        <v/>
      </c>
      <c r="AH94" s="34" t="str">
        <f>IFERROR(IF(AND(OR(Table850[[#This Row],[Classification]]="Liabilities",Table850[[#This Row],[Classification]]="Owner´s Equity"),Table850[[#This Row],[Credit.]]&gt;Table850[[#This Row],[Debit\]]),Table850[[#This Row],[Credit.]]-Table850[[#This Row],[Debit\]],""),"")</f>
        <v/>
      </c>
    </row>
    <row r="95" spans="2:34" hidden="1" x14ac:dyDescent="0.25">
      <c r="B95" s="34"/>
      <c r="C95" s="45"/>
      <c r="D95" s="34"/>
      <c r="E95" s="34"/>
      <c r="G95" s="39"/>
      <c r="H95" s="43"/>
      <c r="I95" s="41"/>
      <c r="J95" s="41"/>
      <c r="L95" s="34">
        <v>88</v>
      </c>
      <c r="M95" s="35"/>
      <c r="N95" s="35"/>
      <c r="O95" s="34">
        <f>IFERROR(SUMIF(Table447[,],Table649[[#This Row],[Accounts Name]],Table447[,3]),"")</f>
        <v>0</v>
      </c>
      <c r="P95" s="34">
        <f>IFERROR(SUMIF(Table447[,],Table649[[#This Row],[Accounts Name]],Table447[,2]),"")</f>
        <v>0</v>
      </c>
      <c r="S95" s="36">
        <f t="shared" si="1"/>
        <v>88</v>
      </c>
      <c r="T95" s="34"/>
      <c r="U95" s="37"/>
      <c r="V95" s="34">
        <f>IFERROR(SUMIF(Table649[Sub-Accounts],Table850[[#This Row],[Update your chart of accounts here]],Table649[Debit]),"")</f>
        <v>0</v>
      </c>
      <c r="W95" s="34">
        <f>IFERROR(SUMIF(Table649[Sub-Accounts],Table850[[#This Row],[Update your chart of accounts here]],Table649[Credit]),"")</f>
        <v>0</v>
      </c>
      <c r="X95" s="34"/>
      <c r="Y95" s="34"/>
      <c r="Z95" s="34"/>
      <c r="AA95" s="34"/>
      <c r="AB95" s="34">
        <f>MAX(Table850[[#This Row],[Debit]]+Table850[[#This Row],[Debit -]]-Table850[[#This Row],[Credit]]-Table850[[#This Row],[Credit +]],0)</f>
        <v>0</v>
      </c>
      <c r="AC95" s="34">
        <f>MAX(Table850[[#This Row],[Credit]]-Table850[[#This Row],[Debit]]+Table850[[#This Row],[Credit +]]-Table850[[#This Row],[Debit -]],0)</f>
        <v>0</v>
      </c>
      <c r="AD95" s="34" t="str">
        <f>IFERROR(IF(AND(OR(Table850[[#This Row],[Classification]]="Expense",Table850[[#This Row],[Classification]]="Cost of Goods Sold"),Table850[[#This Row],[Debit\]]&gt;Table850[[#This Row],[Credit.]]),Table850[[#This Row],[Debit\]]-Table850[[#This Row],[Credit.]],""),"")</f>
        <v/>
      </c>
      <c r="AE95" s="34" t="str">
        <f>IFERROR(IF(AND(OR(Table850[[#This Row],[Classification]]="Income",Table850[[#This Row],[Classification]]="Cost of Goods Sold"),Table850[[#This Row],[Credit.]]&gt;Table850[[#This Row],[Debit\]]),Table850[[#This Row],[Credit.]]-Table850[[#This Row],[Debit\]],""),"")</f>
        <v/>
      </c>
      <c r="AF95" s="34"/>
      <c r="AG95" s="34" t="str">
        <f>IFERROR(IF(AND(Table850[[#This Row],[Classification]]="Assets",Table850[[#This Row],[Debit\]]-Table850[[#This Row],[Credit.]]),Table850[[#This Row],[Debit\]]-Table850[[#This Row],[Credit.]],""),"")</f>
        <v/>
      </c>
      <c r="AH95" s="34" t="str">
        <f>IFERROR(IF(AND(OR(Table850[[#This Row],[Classification]]="Liabilities",Table850[[#This Row],[Classification]]="Owner´s Equity"),Table850[[#This Row],[Credit.]]&gt;Table850[[#This Row],[Debit\]]),Table850[[#This Row],[Credit.]]-Table850[[#This Row],[Debit\]],""),"")</f>
        <v/>
      </c>
    </row>
    <row r="96" spans="2:34" hidden="1" x14ac:dyDescent="0.25">
      <c r="B96" s="34"/>
      <c r="C96" s="45"/>
      <c r="D96" s="34"/>
      <c r="E96" s="34"/>
      <c r="G96" s="39"/>
      <c r="H96" s="40"/>
      <c r="I96" s="41"/>
      <c r="J96" s="41"/>
      <c r="L96" s="34">
        <v>89</v>
      </c>
      <c r="M96" s="35"/>
      <c r="N96" s="35"/>
      <c r="O96" s="34">
        <f>IFERROR(SUMIF(Table447[,],Table649[[#This Row],[Accounts Name]],Table447[,3]),"")</f>
        <v>0</v>
      </c>
      <c r="P96" s="34">
        <f>IFERROR(SUMIF(Table447[,],Table649[[#This Row],[Accounts Name]],Table447[,2]),"")</f>
        <v>0</v>
      </c>
      <c r="S96" s="36">
        <f t="shared" si="1"/>
        <v>89</v>
      </c>
      <c r="T96" s="34"/>
      <c r="U96" s="37"/>
      <c r="V96" s="34">
        <f>IFERROR(SUMIF(Table649[Sub-Accounts],Table850[[#This Row],[Update your chart of accounts here]],Table649[Debit]),"")</f>
        <v>0</v>
      </c>
      <c r="W96" s="34">
        <f>IFERROR(SUMIF(Table649[Sub-Accounts],Table850[[#This Row],[Update your chart of accounts here]],Table649[Credit]),"")</f>
        <v>0</v>
      </c>
      <c r="X96" s="34"/>
      <c r="Y96" s="34"/>
      <c r="Z96" s="34"/>
      <c r="AA96" s="34"/>
      <c r="AB96" s="34">
        <f>MAX(Table850[[#This Row],[Debit]]+Table850[[#This Row],[Debit -]]-Table850[[#This Row],[Credit]]-Table850[[#This Row],[Credit +]],0)</f>
        <v>0</v>
      </c>
      <c r="AC96" s="34">
        <f>MAX(Table850[[#This Row],[Credit]]-Table850[[#This Row],[Debit]]+Table850[[#This Row],[Credit +]]-Table850[[#This Row],[Debit -]],0)</f>
        <v>0</v>
      </c>
      <c r="AD96" s="34" t="str">
        <f>IFERROR(IF(AND(OR(Table850[[#This Row],[Classification]]="Expense",Table850[[#This Row],[Classification]]="Cost of Goods Sold"),Table850[[#This Row],[Debit\]]&gt;Table850[[#This Row],[Credit.]]),Table850[[#This Row],[Debit\]]-Table850[[#This Row],[Credit.]],""),"")</f>
        <v/>
      </c>
      <c r="AE96" s="34" t="str">
        <f>IFERROR(IF(AND(OR(Table850[[#This Row],[Classification]]="Income",Table850[[#This Row],[Classification]]="Cost of Goods Sold"),Table850[[#This Row],[Credit.]]&gt;Table850[[#This Row],[Debit\]]),Table850[[#This Row],[Credit.]]-Table850[[#This Row],[Debit\]],""),"")</f>
        <v/>
      </c>
      <c r="AF96" s="34"/>
      <c r="AG96" s="34" t="str">
        <f>IFERROR(IF(AND(Table850[[#This Row],[Classification]]="Assets",Table850[[#This Row],[Debit\]]-Table850[[#This Row],[Credit.]]),Table850[[#This Row],[Debit\]]-Table850[[#This Row],[Credit.]],""),"")</f>
        <v/>
      </c>
      <c r="AH96" s="34" t="str">
        <f>IFERROR(IF(AND(OR(Table850[[#This Row],[Classification]]="Liabilities",Table850[[#This Row],[Classification]]="Owner´s Equity"),Table850[[#This Row],[Credit.]]&gt;Table850[[#This Row],[Debit\]]),Table850[[#This Row],[Credit.]]-Table850[[#This Row],[Debit\]],""),"")</f>
        <v/>
      </c>
    </row>
    <row r="97" spans="2:34" hidden="1" x14ac:dyDescent="0.25">
      <c r="B97" s="34"/>
      <c r="C97" s="45"/>
      <c r="D97" s="34"/>
      <c r="E97" s="34"/>
      <c r="G97" s="39"/>
      <c r="H97" s="40"/>
      <c r="I97" s="41"/>
      <c r="J97" s="41"/>
      <c r="L97" s="34">
        <v>90</v>
      </c>
      <c r="M97" s="35"/>
      <c r="N97" s="35"/>
      <c r="O97" s="34">
        <f>IFERROR(SUMIF(Table447[,],Table649[[#This Row],[Accounts Name]],Table447[,3]),"")</f>
        <v>0</v>
      </c>
      <c r="P97" s="34">
        <f>IFERROR(SUMIF(Table447[,],Table649[[#This Row],[Accounts Name]],Table447[,2]),"")</f>
        <v>0</v>
      </c>
      <c r="S97" s="36">
        <f t="shared" si="1"/>
        <v>90</v>
      </c>
      <c r="T97" s="34"/>
      <c r="U97" s="37"/>
      <c r="V97" s="34">
        <f>IFERROR(SUMIF(Table649[Sub-Accounts],Table850[[#This Row],[Update your chart of accounts here]],Table649[Debit]),"")</f>
        <v>0</v>
      </c>
      <c r="W97" s="34">
        <f>IFERROR(SUMIF(Table649[Sub-Accounts],Table850[[#This Row],[Update your chart of accounts here]],Table649[Credit]),"")</f>
        <v>0</v>
      </c>
      <c r="X97" s="34"/>
      <c r="Y97" s="34"/>
      <c r="Z97" s="34"/>
      <c r="AA97" s="34"/>
      <c r="AB97" s="34">
        <f>MAX(Table850[[#This Row],[Debit]]+Table850[[#This Row],[Debit -]]-Table850[[#This Row],[Credit]]-Table850[[#This Row],[Credit +]],0)</f>
        <v>0</v>
      </c>
      <c r="AC97" s="34">
        <f>MAX(Table850[[#This Row],[Credit]]-Table850[[#This Row],[Debit]]+Table850[[#This Row],[Credit +]]-Table850[[#This Row],[Debit -]],0)</f>
        <v>0</v>
      </c>
      <c r="AD97" s="34" t="str">
        <f>IFERROR(IF(AND(OR(Table850[[#This Row],[Classification]]="Expense",Table850[[#This Row],[Classification]]="Cost of Goods Sold"),Table850[[#This Row],[Debit\]]&gt;Table850[[#This Row],[Credit.]]),Table850[[#This Row],[Debit\]]-Table850[[#This Row],[Credit.]],""),"")</f>
        <v/>
      </c>
      <c r="AE97" s="34" t="str">
        <f>IFERROR(IF(AND(OR(Table850[[#This Row],[Classification]]="Income",Table850[[#This Row],[Classification]]="Cost of Goods Sold"),Table850[[#This Row],[Credit.]]&gt;Table850[[#This Row],[Debit\]]),Table850[[#This Row],[Credit.]]-Table850[[#This Row],[Debit\]],""),"")</f>
        <v/>
      </c>
      <c r="AF97" s="34"/>
      <c r="AG97" s="34" t="str">
        <f>IFERROR(IF(AND(Table850[[#This Row],[Classification]]="Assets",Table850[[#This Row],[Debit\]]-Table850[[#This Row],[Credit.]]),Table850[[#This Row],[Debit\]]-Table850[[#This Row],[Credit.]],""),"")</f>
        <v/>
      </c>
      <c r="AH97" s="34" t="str">
        <f>IFERROR(IF(AND(OR(Table850[[#This Row],[Classification]]="Liabilities",Table850[[#This Row],[Classification]]="Owner´s Equity"),Table850[[#This Row],[Credit.]]&gt;Table850[[#This Row],[Debit\]]),Table850[[#This Row],[Credit.]]-Table850[[#This Row],[Debit\]],""),"")</f>
        <v/>
      </c>
    </row>
    <row r="98" spans="2:34" hidden="1" x14ac:dyDescent="0.25">
      <c r="B98" s="34"/>
      <c r="C98" s="45"/>
      <c r="D98" s="34"/>
      <c r="E98" s="34"/>
      <c r="G98" s="39"/>
      <c r="H98" s="43"/>
      <c r="I98" s="41"/>
      <c r="J98" s="41"/>
      <c r="L98" s="34">
        <v>91</v>
      </c>
      <c r="M98" s="35"/>
      <c r="N98" s="35"/>
      <c r="O98" s="34">
        <f>IFERROR(SUMIF(Table447[,],Table649[[#This Row],[Accounts Name]],Table447[,3]),"")</f>
        <v>0</v>
      </c>
      <c r="P98" s="34">
        <f>IFERROR(SUMIF(Table447[,],Table649[[#This Row],[Accounts Name]],Table447[,2]),"")</f>
        <v>0</v>
      </c>
      <c r="S98" s="36">
        <f t="shared" si="1"/>
        <v>91</v>
      </c>
      <c r="T98" s="34"/>
      <c r="U98" s="37"/>
      <c r="V98" s="34">
        <f>IFERROR(SUMIF(Table649[Sub-Accounts],Table850[[#This Row],[Update your chart of accounts here]],Table649[Debit]),"")</f>
        <v>0</v>
      </c>
      <c r="W98" s="34">
        <f>IFERROR(SUMIF(Table649[Sub-Accounts],Table850[[#This Row],[Update your chart of accounts here]],Table649[Credit]),"")</f>
        <v>0</v>
      </c>
      <c r="X98" s="34"/>
      <c r="Y98" s="34"/>
      <c r="Z98" s="34"/>
      <c r="AA98" s="34"/>
      <c r="AB98" s="34">
        <f>MAX(Table850[[#This Row],[Debit]]+Table850[[#This Row],[Debit -]]-Table850[[#This Row],[Credit]]-Table850[[#This Row],[Credit +]],0)</f>
        <v>0</v>
      </c>
      <c r="AC98" s="34">
        <f>MAX(Table850[[#This Row],[Credit]]-Table850[[#This Row],[Debit]]+Table850[[#This Row],[Credit +]]-Table850[[#This Row],[Debit -]],0)</f>
        <v>0</v>
      </c>
      <c r="AD98" s="34" t="str">
        <f>IFERROR(IF(AND(OR(Table850[[#This Row],[Classification]]="Expense",Table850[[#This Row],[Classification]]="Cost of Goods Sold"),Table850[[#This Row],[Debit\]]&gt;Table850[[#This Row],[Credit.]]),Table850[[#This Row],[Debit\]]-Table850[[#This Row],[Credit.]],""),"")</f>
        <v/>
      </c>
      <c r="AE98" s="34" t="str">
        <f>IFERROR(IF(AND(OR(Table850[[#This Row],[Classification]]="Income",Table850[[#This Row],[Classification]]="Cost of Goods Sold"),Table850[[#This Row],[Credit.]]&gt;Table850[[#This Row],[Debit\]]),Table850[[#This Row],[Credit.]]-Table850[[#This Row],[Debit\]],""),"")</f>
        <v/>
      </c>
      <c r="AF98" s="34"/>
      <c r="AG98" s="34" t="str">
        <f>IFERROR(IF(AND(Table850[[#This Row],[Classification]]="Assets",Table850[[#This Row],[Debit\]]-Table850[[#This Row],[Credit.]]),Table850[[#This Row],[Debit\]]-Table850[[#This Row],[Credit.]],""),"")</f>
        <v/>
      </c>
      <c r="AH98" s="34" t="str">
        <f>IFERROR(IF(AND(OR(Table850[[#This Row],[Classification]]="Liabilities",Table850[[#This Row],[Classification]]="Owner´s Equity"),Table850[[#This Row],[Credit.]]&gt;Table850[[#This Row],[Debit\]]),Table850[[#This Row],[Credit.]]-Table850[[#This Row],[Debit\]],""),"")</f>
        <v/>
      </c>
    </row>
    <row r="99" spans="2:34" hidden="1" x14ac:dyDescent="0.25">
      <c r="B99" s="34"/>
      <c r="C99" s="45"/>
      <c r="D99" s="34"/>
      <c r="E99" s="34"/>
      <c r="G99" s="39"/>
      <c r="H99" s="40"/>
      <c r="I99" s="41"/>
      <c r="J99" s="41"/>
      <c r="L99" s="34">
        <v>92</v>
      </c>
      <c r="M99" s="35"/>
      <c r="N99" s="35"/>
      <c r="O99" s="34">
        <f>IFERROR(SUMIF(Table447[,],Table649[[#This Row],[Accounts Name]],Table447[,3]),"")</f>
        <v>0</v>
      </c>
      <c r="P99" s="34">
        <f>IFERROR(SUMIF(Table447[,],Table649[[#This Row],[Accounts Name]],Table447[,2]),"")</f>
        <v>0</v>
      </c>
      <c r="S99" s="36">
        <f t="shared" si="1"/>
        <v>92</v>
      </c>
      <c r="T99" s="34"/>
      <c r="U99" s="37"/>
      <c r="V99" s="34">
        <f>IFERROR(SUMIF(Table649[Sub-Accounts],Table850[[#This Row],[Update your chart of accounts here]],Table649[Debit]),"")</f>
        <v>0</v>
      </c>
      <c r="W99" s="34">
        <f>IFERROR(SUMIF(Table649[Sub-Accounts],Table850[[#This Row],[Update your chart of accounts here]],Table649[Credit]),"")</f>
        <v>0</v>
      </c>
      <c r="X99" s="34"/>
      <c r="Y99" s="34"/>
      <c r="Z99" s="34"/>
      <c r="AA99" s="34"/>
      <c r="AB99" s="34">
        <f>MAX(Table850[[#This Row],[Debit]]+Table850[[#This Row],[Debit -]]-Table850[[#This Row],[Credit]]-Table850[[#This Row],[Credit +]],0)</f>
        <v>0</v>
      </c>
      <c r="AC99" s="34">
        <f>MAX(Table850[[#This Row],[Credit]]-Table850[[#This Row],[Debit]]+Table850[[#This Row],[Credit +]]-Table850[[#This Row],[Debit -]],0)</f>
        <v>0</v>
      </c>
      <c r="AD99" s="34" t="str">
        <f>IFERROR(IF(AND(OR(Table850[[#This Row],[Classification]]="Expense",Table850[[#This Row],[Classification]]="Cost of Goods Sold"),Table850[[#This Row],[Debit\]]&gt;Table850[[#This Row],[Credit.]]),Table850[[#This Row],[Debit\]]-Table850[[#This Row],[Credit.]],""),"")</f>
        <v/>
      </c>
      <c r="AE99" s="34" t="str">
        <f>IFERROR(IF(AND(OR(Table850[[#This Row],[Classification]]="Income",Table850[[#This Row],[Classification]]="Cost of Goods Sold"),Table850[[#This Row],[Credit.]]&gt;Table850[[#This Row],[Debit\]]),Table850[[#This Row],[Credit.]]-Table850[[#This Row],[Debit\]],""),"")</f>
        <v/>
      </c>
      <c r="AF99" s="34"/>
      <c r="AG99" s="34" t="str">
        <f>IFERROR(IF(AND(Table850[[#This Row],[Classification]]="Assets",Table850[[#This Row],[Debit\]]-Table850[[#This Row],[Credit.]]),Table850[[#This Row],[Debit\]]-Table850[[#This Row],[Credit.]],""),"")</f>
        <v/>
      </c>
      <c r="AH99" s="34" t="str">
        <f>IFERROR(IF(AND(OR(Table850[[#This Row],[Classification]]="Liabilities",Table850[[#This Row],[Classification]]="Owner´s Equity"),Table850[[#This Row],[Credit.]]&gt;Table850[[#This Row],[Debit\]]),Table850[[#This Row],[Credit.]]-Table850[[#This Row],[Debit\]],""),"")</f>
        <v/>
      </c>
    </row>
    <row r="100" spans="2:34" hidden="1" x14ac:dyDescent="0.25">
      <c r="B100" s="34"/>
      <c r="C100" s="45"/>
      <c r="D100" s="34"/>
      <c r="E100" s="34"/>
      <c r="G100" s="39"/>
      <c r="H100" s="40"/>
      <c r="I100" s="41"/>
      <c r="J100" s="41"/>
      <c r="L100" s="34">
        <v>93</v>
      </c>
      <c r="M100" s="35"/>
      <c r="N100" s="35"/>
      <c r="O100" s="34">
        <f>IFERROR(SUMIF(Table447[,],Table649[[#This Row],[Accounts Name]],Table447[,3]),"")</f>
        <v>0</v>
      </c>
      <c r="P100" s="34">
        <f>IFERROR(SUMIF(Table447[,],Table649[[#This Row],[Accounts Name]],Table447[,2]),"")</f>
        <v>0</v>
      </c>
      <c r="S100" s="36">
        <f t="shared" si="1"/>
        <v>93</v>
      </c>
      <c r="T100" s="34"/>
      <c r="U100" s="37"/>
      <c r="V100" s="34">
        <f>IFERROR(SUMIF(Table649[Sub-Accounts],Table850[[#This Row],[Update your chart of accounts here]],Table649[Debit]),"")</f>
        <v>0</v>
      </c>
      <c r="W100" s="34">
        <f>IFERROR(SUMIF(Table649[Sub-Accounts],Table850[[#This Row],[Update your chart of accounts here]],Table649[Credit]),"")</f>
        <v>0</v>
      </c>
      <c r="X100" s="34"/>
      <c r="Y100" s="34"/>
      <c r="Z100" s="34"/>
      <c r="AA100" s="34"/>
      <c r="AB100" s="34">
        <f>MAX(Table850[[#This Row],[Debit]]+Table850[[#This Row],[Debit -]]-Table850[[#This Row],[Credit]]-Table850[[#This Row],[Credit +]],0)</f>
        <v>0</v>
      </c>
      <c r="AC100" s="34">
        <f>MAX(Table850[[#This Row],[Credit]]-Table850[[#This Row],[Debit]]+Table850[[#This Row],[Credit +]]-Table850[[#This Row],[Debit -]],0)</f>
        <v>0</v>
      </c>
      <c r="AD100" s="34" t="str">
        <f>IFERROR(IF(AND(OR(Table850[[#This Row],[Classification]]="Expense",Table850[[#This Row],[Classification]]="Cost of Goods Sold"),Table850[[#This Row],[Debit\]]&gt;Table850[[#This Row],[Credit.]]),Table850[[#This Row],[Debit\]]-Table850[[#This Row],[Credit.]],""),"")</f>
        <v/>
      </c>
      <c r="AE100" s="34" t="str">
        <f>IFERROR(IF(AND(OR(Table850[[#This Row],[Classification]]="Income",Table850[[#This Row],[Classification]]="Cost of Goods Sold"),Table850[[#This Row],[Credit.]]&gt;Table850[[#This Row],[Debit\]]),Table850[[#This Row],[Credit.]]-Table850[[#This Row],[Debit\]],""),"")</f>
        <v/>
      </c>
      <c r="AF100" s="34"/>
      <c r="AG100" s="34" t="str">
        <f>IFERROR(IF(AND(Table850[[#This Row],[Classification]]="Assets",Table850[[#This Row],[Debit\]]-Table850[[#This Row],[Credit.]]),Table850[[#This Row],[Debit\]]-Table850[[#This Row],[Credit.]],""),"")</f>
        <v/>
      </c>
      <c r="AH100" s="34" t="str">
        <f>IFERROR(IF(AND(OR(Table850[[#This Row],[Classification]]="Liabilities",Table850[[#This Row],[Classification]]="Owner´s Equity"),Table850[[#This Row],[Credit.]]&gt;Table850[[#This Row],[Debit\]]),Table850[[#This Row],[Credit.]]-Table850[[#This Row],[Debit\]],""),"")</f>
        <v/>
      </c>
    </row>
    <row r="101" spans="2:34" hidden="1" x14ac:dyDescent="0.25">
      <c r="B101" s="34"/>
      <c r="C101" s="45"/>
      <c r="D101" s="34"/>
      <c r="E101" s="34"/>
      <c r="G101" s="39"/>
      <c r="H101" s="43"/>
      <c r="I101" s="41"/>
      <c r="J101" s="41"/>
      <c r="L101" s="34">
        <v>94</v>
      </c>
      <c r="M101" s="35"/>
      <c r="N101" s="35"/>
      <c r="O101" s="34">
        <f>IFERROR(SUMIF(Table447[,],Table649[[#This Row],[Accounts Name]],Table447[,3]),"")</f>
        <v>0</v>
      </c>
      <c r="P101" s="34">
        <f>IFERROR(SUMIF(Table447[,],Table649[[#This Row],[Accounts Name]],Table447[,2]),"")</f>
        <v>0</v>
      </c>
      <c r="S101" s="36">
        <f t="shared" si="1"/>
        <v>94</v>
      </c>
      <c r="T101" s="34"/>
      <c r="U101" s="37"/>
      <c r="V101" s="34">
        <f>IFERROR(SUMIF(Table649[Sub-Accounts],Table850[[#This Row],[Update your chart of accounts here]],Table649[Debit]),"")</f>
        <v>0</v>
      </c>
      <c r="W101" s="34">
        <f>IFERROR(SUMIF(Table649[Sub-Accounts],Table850[[#This Row],[Update your chart of accounts here]],Table649[Credit]),"")</f>
        <v>0</v>
      </c>
      <c r="X101" s="34"/>
      <c r="Y101" s="34"/>
      <c r="Z101" s="34"/>
      <c r="AA101" s="34"/>
      <c r="AB101" s="34">
        <f>MAX(Table850[[#This Row],[Debit]]+Table850[[#This Row],[Debit -]]-Table850[[#This Row],[Credit]]-Table850[[#This Row],[Credit +]],0)</f>
        <v>0</v>
      </c>
      <c r="AC101" s="34">
        <f>MAX(Table850[[#This Row],[Credit]]-Table850[[#This Row],[Debit]]+Table850[[#This Row],[Credit +]]-Table850[[#This Row],[Debit -]],0)</f>
        <v>0</v>
      </c>
      <c r="AD101" s="34" t="str">
        <f>IFERROR(IF(AND(OR(Table850[[#This Row],[Classification]]="Expense",Table850[[#This Row],[Classification]]="Cost of Goods Sold"),Table850[[#This Row],[Debit\]]&gt;Table850[[#This Row],[Credit.]]),Table850[[#This Row],[Debit\]]-Table850[[#This Row],[Credit.]],""),"")</f>
        <v/>
      </c>
      <c r="AE101" s="34" t="str">
        <f>IFERROR(IF(AND(OR(Table850[[#This Row],[Classification]]="Income",Table850[[#This Row],[Classification]]="Cost of Goods Sold"),Table850[[#This Row],[Credit.]]&gt;Table850[[#This Row],[Debit\]]),Table850[[#This Row],[Credit.]]-Table850[[#This Row],[Debit\]],""),"")</f>
        <v/>
      </c>
      <c r="AF101" s="34"/>
      <c r="AG101" s="34" t="str">
        <f>IFERROR(IF(AND(Table850[[#This Row],[Classification]]="Assets",Table850[[#This Row],[Debit\]]-Table850[[#This Row],[Credit.]]),Table850[[#This Row],[Debit\]]-Table850[[#This Row],[Credit.]],""),"")</f>
        <v/>
      </c>
      <c r="AH101" s="34" t="str">
        <f>IFERROR(IF(AND(OR(Table850[[#This Row],[Classification]]="Liabilities",Table850[[#This Row],[Classification]]="Owner´s Equity"),Table850[[#This Row],[Credit.]]&gt;Table850[[#This Row],[Debit\]]),Table850[[#This Row],[Credit.]]-Table850[[#This Row],[Debit\]],""),"")</f>
        <v/>
      </c>
    </row>
    <row r="102" spans="2:34" hidden="1" x14ac:dyDescent="0.25">
      <c r="B102" s="34"/>
      <c r="C102" s="45"/>
      <c r="D102" s="34"/>
      <c r="E102" s="34"/>
      <c r="G102" s="39"/>
      <c r="H102" s="40"/>
      <c r="I102" s="41"/>
      <c r="J102" s="41"/>
      <c r="L102" s="34">
        <v>95</v>
      </c>
      <c r="M102" s="35"/>
      <c r="N102" s="35"/>
      <c r="O102" s="34">
        <f>IFERROR(SUMIF(Table447[,],Table649[[#This Row],[Accounts Name]],Table447[,3]),"")</f>
        <v>0</v>
      </c>
      <c r="P102" s="34">
        <f>IFERROR(SUMIF(Table447[,],Table649[[#This Row],[Accounts Name]],Table447[,2]),"")</f>
        <v>0</v>
      </c>
      <c r="S102" s="36">
        <f t="shared" si="1"/>
        <v>95</v>
      </c>
      <c r="T102" s="34"/>
      <c r="U102" s="37"/>
      <c r="V102" s="34">
        <f>IFERROR(SUMIF(Table649[Sub-Accounts],Table850[[#This Row],[Update your chart of accounts here]],Table649[Debit]),"")</f>
        <v>0</v>
      </c>
      <c r="W102" s="34">
        <f>IFERROR(SUMIF(Table649[Sub-Accounts],Table850[[#This Row],[Update your chart of accounts here]],Table649[Credit]),"")</f>
        <v>0</v>
      </c>
      <c r="X102" s="34"/>
      <c r="Y102" s="34"/>
      <c r="Z102" s="34"/>
      <c r="AA102" s="34"/>
      <c r="AB102" s="34">
        <f>MAX(Table850[[#This Row],[Debit]]+Table850[[#This Row],[Debit -]]-Table850[[#This Row],[Credit]]-Table850[[#This Row],[Credit +]],0)</f>
        <v>0</v>
      </c>
      <c r="AC102" s="34">
        <f>MAX(Table850[[#This Row],[Credit]]-Table850[[#This Row],[Debit]]+Table850[[#This Row],[Credit +]]-Table850[[#This Row],[Debit -]],0)</f>
        <v>0</v>
      </c>
      <c r="AD102" s="34" t="str">
        <f>IFERROR(IF(AND(OR(Table850[[#This Row],[Classification]]="Expense",Table850[[#This Row],[Classification]]="Cost of Goods Sold"),Table850[[#This Row],[Debit\]]&gt;Table850[[#This Row],[Credit.]]),Table850[[#This Row],[Debit\]]-Table850[[#This Row],[Credit.]],""),"")</f>
        <v/>
      </c>
      <c r="AE102" s="34" t="str">
        <f>IFERROR(IF(AND(OR(Table850[[#This Row],[Classification]]="Income",Table850[[#This Row],[Classification]]="Cost of Goods Sold"),Table850[[#This Row],[Credit.]]&gt;Table850[[#This Row],[Debit\]]),Table850[[#This Row],[Credit.]]-Table850[[#This Row],[Debit\]],""),"")</f>
        <v/>
      </c>
      <c r="AF102" s="34"/>
      <c r="AG102" s="34" t="str">
        <f>IFERROR(IF(AND(Table850[[#This Row],[Classification]]="Assets",Table850[[#This Row],[Debit\]]-Table850[[#This Row],[Credit.]]),Table850[[#This Row],[Debit\]]-Table850[[#This Row],[Credit.]],""),"")</f>
        <v/>
      </c>
      <c r="AH102" s="34" t="str">
        <f>IFERROR(IF(AND(OR(Table850[[#This Row],[Classification]]="Liabilities",Table850[[#This Row],[Classification]]="Owner´s Equity"),Table850[[#This Row],[Credit.]]&gt;Table850[[#This Row],[Debit\]]),Table850[[#This Row],[Credit.]]-Table850[[#This Row],[Debit\]],""),"")</f>
        <v/>
      </c>
    </row>
    <row r="103" spans="2:34" hidden="1" x14ac:dyDescent="0.25">
      <c r="B103" s="34"/>
      <c r="C103" s="45"/>
      <c r="D103" s="34"/>
      <c r="E103" s="34"/>
      <c r="G103" s="39"/>
      <c r="H103" s="40"/>
      <c r="I103" s="41"/>
      <c r="J103" s="41"/>
      <c r="L103" s="34">
        <v>96</v>
      </c>
      <c r="M103" s="35"/>
      <c r="N103" s="35"/>
      <c r="O103" s="34">
        <f>IFERROR(SUMIF(Table447[,],Table649[[#This Row],[Accounts Name]],Table447[,3]),"")</f>
        <v>0</v>
      </c>
      <c r="P103" s="34">
        <f>IFERROR(SUMIF(Table447[,],Table649[[#This Row],[Accounts Name]],Table447[,2]),"")</f>
        <v>0</v>
      </c>
      <c r="S103" s="36">
        <f t="shared" si="1"/>
        <v>96</v>
      </c>
      <c r="T103" s="34"/>
      <c r="U103" s="37"/>
      <c r="V103" s="34">
        <f>IFERROR(SUMIF(Table649[Sub-Accounts],Table850[[#This Row],[Update your chart of accounts here]],Table649[Debit]),"")</f>
        <v>0</v>
      </c>
      <c r="W103" s="34">
        <f>IFERROR(SUMIF(Table649[Sub-Accounts],Table850[[#This Row],[Update your chart of accounts here]],Table649[Credit]),"")</f>
        <v>0</v>
      </c>
      <c r="X103" s="34"/>
      <c r="Y103" s="34"/>
      <c r="Z103" s="34"/>
      <c r="AA103" s="34"/>
      <c r="AB103" s="34">
        <f>MAX(Table850[[#This Row],[Debit]]+Table850[[#This Row],[Debit -]]-Table850[[#This Row],[Credit]]-Table850[[#This Row],[Credit +]],0)</f>
        <v>0</v>
      </c>
      <c r="AC103" s="34">
        <f>MAX(Table850[[#This Row],[Credit]]-Table850[[#This Row],[Debit]]+Table850[[#This Row],[Credit +]]-Table850[[#This Row],[Debit -]],0)</f>
        <v>0</v>
      </c>
      <c r="AD103" s="34" t="str">
        <f>IFERROR(IF(AND(OR(Table850[[#This Row],[Classification]]="Expense",Table850[[#This Row],[Classification]]="Cost of Goods Sold"),Table850[[#This Row],[Debit\]]&gt;Table850[[#This Row],[Credit.]]),Table850[[#This Row],[Debit\]]-Table850[[#This Row],[Credit.]],""),"")</f>
        <v/>
      </c>
      <c r="AE103" s="34" t="str">
        <f>IFERROR(IF(AND(OR(Table850[[#This Row],[Classification]]="Income",Table850[[#This Row],[Classification]]="Cost of Goods Sold"),Table850[[#This Row],[Credit.]]&gt;Table850[[#This Row],[Debit\]]),Table850[[#This Row],[Credit.]]-Table850[[#This Row],[Debit\]],""),"")</f>
        <v/>
      </c>
      <c r="AF103" s="34"/>
      <c r="AG103" s="34" t="str">
        <f>IFERROR(IF(AND(Table850[[#This Row],[Classification]]="Assets",Table850[[#This Row],[Debit\]]-Table850[[#This Row],[Credit.]]),Table850[[#This Row],[Debit\]]-Table850[[#This Row],[Credit.]],""),"")</f>
        <v/>
      </c>
      <c r="AH103" s="34" t="str">
        <f>IFERROR(IF(AND(OR(Table850[[#This Row],[Classification]]="Liabilities",Table850[[#This Row],[Classification]]="Owner´s Equity"),Table850[[#This Row],[Credit.]]&gt;Table850[[#This Row],[Debit\]]),Table850[[#This Row],[Credit.]]-Table850[[#This Row],[Debit\]],""),"")</f>
        <v/>
      </c>
    </row>
    <row r="104" spans="2:34" hidden="1" x14ac:dyDescent="0.25">
      <c r="B104" s="34"/>
      <c r="C104" s="45"/>
      <c r="D104" s="34"/>
      <c r="E104" s="34"/>
      <c r="G104" s="39"/>
      <c r="H104" s="43"/>
      <c r="I104" s="41"/>
      <c r="J104" s="41"/>
      <c r="L104" s="34">
        <v>97</v>
      </c>
      <c r="M104" s="35"/>
      <c r="N104" s="35"/>
      <c r="O104" s="34">
        <f>IFERROR(SUMIF(Table447[,],Table649[[#This Row],[Accounts Name]],Table447[,3]),"")</f>
        <v>0</v>
      </c>
      <c r="P104" s="34">
        <f>IFERROR(SUMIF(Table447[,],Table649[[#This Row],[Accounts Name]],Table447[,2]),"")</f>
        <v>0</v>
      </c>
      <c r="S104" s="36">
        <f t="shared" si="1"/>
        <v>97</v>
      </c>
      <c r="T104" s="34"/>
      <c r="U104" s="37"/>
      <c r="V104" s="34">
        <f>IFERROR(SUMIF(Table649[Sub-Accounts],Table850[[#This Row],[Update your chart of accounts here]],Table649[Debit]),"")</f>
        <v>0</v>
      </c>
      <c r="W104" s="34">
        <f>IFERROR(SUMIF(Table649[Sub-Accounts],Table850[[#This Row],[Update your chart of accounts here]],Table649[Credit]),"")</f>
        <v>0</v>
      </c>
      <c r="X104" s="34"/>
      <c r="Y104" s="34"/>
      <c r="Z104" s="34"/>
      <c r="AA104" s="34"/>
      <c r="AB104" s="34">
        <f>MAX(Table850[[#This Row],[Debit]]+Table850[[#This Row],[Debit -]]-Table850[[#This Row],[Credit]]-Table850[[#This Row],[Credit +]],0)</f>
        <v>0</v>
      </c>
      <c r="AC104" s="34">
        <f>MAX(Table850[[#This Row],[Credit]]-Table850[[#This Row],[Debit]]+Table850[[#This Row],[Credit +]]-Table850[[#This Row],[Debit -]],0)</f>
        <v>0</v>
      </c>
      <c r="AD104" s="34" t="str">
        <f>IFERROR(IF(AND(OR(Table850[[#This Row],[Classification]]="Expense",Table850[[#This Row],[Classification]]="Cost of Goods Sold"),Table850[[#This Row],[Debit\]]&gt;Table850[[#This Row],[Credit.]]),Table850[[#This Row],[Debit\]]-Table850[[#This Row],[Credit.]],""),"")</f>
        <v/>
      </c>
      <c r="AE104" s="34" t="str">
        <f>IFERROR(IF(AND(OR(Table850[[#This Row],[Classification]]="Income",Table850[[#This Row],[Classification]]="Cost of Goods Sold"),Table850[[#This Row],[Credit.]]&gt;Table850[[#This Row],[Debit\]]),Table850[[#This Row],[Credit.]]-Table850[[#This Row],[Debit\]],""),"")</f>
        <v/>
      </c>
      <c r="AF104" s="34"/>
      <c r="AG104" s="34" t="str">
        <f>IFERROR(IF(AND(Table850[[#This Row],[Classification]]="Assets",Table850[[#This Row],[Debit\]]-Table850[[#This Row],[Credit.]]),Table850[[#This Row],[Debit\]]-Table850[[#This Row],[Credit.]],""),"")</f>
        <v/>
      </c>
      <c r="AH104" s="34" t="str">
        <f>IFERROR(IF(AND(OR(Table850[[#This Row],[Classification]]="Liabilities",Table850[[#This Row],[Classification]]="Owner´s Equity"),Table850[[#This Row],[Credit.]]&gt;Table850[[#This Row],[Debit\]]),Table850[[#This Row],[Credit.]]-Table850[[#This Row],[Debit\]],""),"")</f>
        <v/>
      </c>
    </row>
    <row r="105" spans="2:34" hidden="1" x14ac:dyDescent="0.25">
      <c r="B105" s="34"/>
      <c r="C105" s="45"/>
      <c r="D105" s="34"/>
      <c r="E105" s="34"/>
      <c r="G105" s="39"/>
      <c r="H105" s="40"/>
      <c r="I105" s="41"/>
      <c r="J105" s="41"/>
      <c r="L105" s="34">
        <v>98</v>
      </c>
      <c r="M105" s="35"/>
      <c r="N105" s="35"/>
      <c r="O105" s="34">
        <f>IFERROR(SUMIF(Table447[,],Table649[[#This Row],[Accounts Name]],Table447[,3]),"")</f>
        <v>0</v>
      </c>
      <c r="P105" s="34">
        <f>IFERROR(SUMIF(Table447[,],Table649[[#This Row],[Accounts Name]],Table447[,2]),"")</f>
        <v>0</v>
      </c>
      <c r="S105" s="36">
        <f t="shared" si="1"/>
        <v>98</v>
      </c>
      <c r="T105" s="34"/>
      <c r="U105" s="37"/>
      <c r="V105" s="34">
        <f>IFERROR(SUMIF(Table649[Sub-Accounts],Table850[[#This Row],[Update your chart of accounts here]],Table649[Debit]),"")</f>
        <v>0</v>
      </c>
      <c r="W105" s="34">
        <f>IFERROR(SUMIF(Table649[Sub-Accounts],Table850[[#This Row],[Update your chart of accounts here]],Table649[Credit]),"")</f>
        <v>0</v>
      </c>
      <c r="X105" s="34"/>
      <c r="Y105" s="34"/>
      <c r="Z105" s="34"/>
      <c r="AA105" s="34"/>
      <c r="AB105" s="34">
        <f>MAX(Table850[[#This Row],[Debit]]+Table850[[#This Row],[Debit -]]-Table850[[#This Row],[Credit]]-Table850[[#This Row],[Credit +]],0)</f>
        <v>0</v>
      </c>
      <c r="AC105" s="34">
        <f>MAX(Table850[[#This Row],[Credit]]-Table850[[#This Row],[Debit]]+Table850[[#This Row],[Credit +]]-Table850[[#This Row],[Debit -]],0)</f>
        <v>0</v>
      </c>
      <c r="AD105" s="34" t="str">
        <f>IFERROR(IF(AND(OR(Table850[[#This Row],[Classification]]="Expense",Table850[[#This Row],[Classification]]="Cost of Goods Sold"),Table850[[#This Row],[Debit\]]&gt;Table850[[#This Row],[Credit.]]),Table850[[#This Row],[Debit\]]-Table850[[#This Row],[Credit.]],""),"")</f>
        <v/>
      </c>
      <c r="AE105" s="34" t="str">
        <f>IFERROR(IF(AND(OR(Table850[[#This Row],[Classification]]="Income",Table850[[#This Row],[Classification]]="Cost of Goods Sold"),Table850[[#This Row],[Credit.]]&gt;Table850[[#This Row],[Debit\]]),Table850[[#This Row],[Credit.]]-Table850[[#This Row],[Debit\]],""),"")</f>
        <v/>
      </c>
      <c r="AF105" s="34"/>
      <c r="AG105" s="34" t="str">
        <f>IFERROR(IF(AND(Table850[[#This Row],[Classification]]="Assets",Table850[[#This Row],[Debit\]]-Table850[[#This Row],[Credit.]]),Table850[[#This Row],[Debit\]]-Table850[[#This Row],[Credit.]],""),"")</f>
        <v/>
      </c>
      <c r="AH105" s="34" t="str">
        <f>IFERROR(IF(AND(OR(Table850[[#This Row],[Classification]]="Liabilities",Table850[[#This Row],[Classification]]="Owner´s Equity"),Table850[[#This Row],[Credit.]]&gt;Table850[[#This Row],[Debit\]]),Table850[[#This Row],[Credit.]]-Table850[[#This Row],[Debit\]],""),"")</f>
        <v/>
      </c>
    </row>
    <row r="106" spans="2:34" hidden="1" x14ac:dyDescent="0.25">
      <c r="B106" s="34"/>
      <c r="C106" s="45"/>
      <c r="D106" s="34"/>
      <c r="E106" s="34"/>
      <c r="G106" s="39"/>
      <c r="H106" s="40"/>
      <c r="I106" s="41"/>
      <c r="J106" s="41"/>
      <c r="L106" s="34">
        <v>99</v>
      </c>
      <c r="M106" s="35"/>
      <c r="N106" s="35"/>
      <c r="O106" s="34">
        <f>IFERROR(SUMIF(Table447[,],Table649[[#This Row],[Accounts Name]],Table447[,3]),"")</f>
        <v>0</v>
      </c>
      <c r="P106" s="34">
        <f>IFERROR(SUMIF(Table447[,],Table649[[#This Row],[Accounts Name]],Table447[,2]),"")</f>
        <v>0</v>
      </c>
      <c r="S106" s="36">
        <f t="shared" si="1"/>
        <v>99</v>
      </c>
      <c r="T106" s="34"/>
      <c r="U106" s="37"/>
      <c r="V106" s="34">
        <f>IFERROR(SUMIF(Table649[Sub-Accounts],Table850[[#This Row],[Update your chart of accounts here]],Table649[Debit]),"")</f>
        <v>0</v>
      </c>
      <c r="W106" s="34">
        <f>IFERROR(SUMIF(Table649[Sub-Accounts],Table850[[#This Row],[Update your chart of accounts here]],Table649[Credit]),"")</f>
        <v>0</v>
      </c>
      <c r="X106" s="34"/>
      <c r="Y106" s="34"/>
      <c r="Z106" s="34"/>
      <c r="AA106" s="34"/>
      <c r="AB106" s="34">
        <f>MAX(Table850[[#This Row],[Debit]]+Table850[[#This Row],[Debit -]]-Table850[[#This Row],[Credit]]-Table850[[#This Row],[Credit +]],0)</f>
        <v>0</v>
      </c>
      <c r="AC106" s="34">
        <f>MAX(Table850[[#This Row],[Credit]]-Table850[[#This Row],[Debit]]+Table850[[#This Row],[Credit +]]-Table850[[#This Row],[Debit -]],0)</f>
        <v>0</v>
      </c>
      <c r="AD106" s="34" t="str">
        <f>IFERROR(IF(AND(OR(Table850[[#This Row],[Classification]]="Expense",Table850[[#This Row],[Classification]]="Cost of Goods Sold"),Table850[[#This Row],[Debit\]]&gt;Table850[[#This Row],[Credit.]]),Table850[[#This Row],[Debit\]]-Table850[[#This Row],[Credit.]],""),"")</f>
        <v/>
      </c>
      <c r="AE106" s="34" t="str">
        <f>IFERROR(IF(AND(OR(Table850[[#This Row],[Classification]]="Income",Table850[[#This Row],[Classification]]="Cost of Goods Sold"),Table850[[#This Row],[Credit.]]&gt;Table850[[#This Row],[Debit\]]),Table850[[#This Row],[Credit.]]-Table850[[#This Row],[Debit\]],""),"")</f>
        <v/>
      </c>
      <c r="AF106" s="34"/>
      <c r="AG106" s="34" t="str">
        <f>IFERROR(IF(AND(Table850[[#This Row],[Classification]]="Assets",Table850[[#This Row],[Debit\]]-Table850[[#This Row],[Credit.]]),Table850[[#This Row],[Debit\]]-Table850[[#This Row],[Credit.]],""),"")</f>
        <v/>
      </c>
      <c r="AH106" s="34" t="str">
        <f>IFERROR(IF(AND(OR(Table850[[#This Row],[Classification]]="Liabilities",Table850[[#This Row],[Classification]]="Owner´s Equity"),Table850[[#This Row],[Credit.]]&gt;Table850[[#This Row],[Debit\]]),Table850[[#This Row],[Credit.]]-Table850[[#This Row],[Debit\]],""),"")</f>
        <v/>
      </c>
    </row>
    <row r="107" spans="2:34" hidden="1" x14ac:dyDescent="0.25">
      <c r="B107" s="34"/>
      <c r="C107" s="45"/>
      <c r="D107" s="34"/>
      <c r="E107" s="34"/>
      <c r="G107" s="39"/>
      <c r="H107" s="43"/>
      <c r="I107" s="41"/>
      <c r="J107" s="41"/>
      <c r="L107" s="34">
        <v>100</v>
      </c>
      <c r="M107" s="35"/>
      <c r="N107" s="35"/>
      <c r="O107" s="34">
        <f>IFERROR(SUMIF(Table447[,],Table649[[#This Row],[Accounts Name]],Table447[,3]),"")</f>
        <v>0</v>
      </c>
      <c r="P107" s="34">
        <f>IFERROR(SUMIF(Table447[,],Table649[[#This Row],[Accounts Name]],Table447[,2]),"")</f>
        <v>0</v>
      </c>
      <c r="S107" s="36">
        <f t="shared" si="1"/>
        <v>100</v>
      </c>
      <c r="T107" s="34"/>
      <c r="U107" s="37"/>
      <c r="V107" s="34">
        <f>IFERROR(SUMIF(Table649[Sub-Accounts],Table850[[#This Row],[Update your chart of accounts here]],Table649[Debit]),"")</f>
        <v>0</v>
      </c>
      <c r="W107" s="34">
        <f>IFERROR(SUMIF(Table649[Sub-Accounts],Table850[[#This Row],[Update your chart of accounts here]],Table649[Credit]),"")</f>
        <v>0</v>
      </c>
      <c r="X107" s="34"/>
      <c r="Y107" s="34"/>
      <c r="Z107" s="34"/>
      <c r="AA107" s="34"/>
      <c r="AB107" s="34">
        <f>MAX(Table850[[#This Row],[Debit]]+Table850[[#This Row],[Debit -]]-Table850[[#This Row],[Credit]]-Table850[[#This Row],[Credit +]],0)</f>
        <v>0</v>
      </c>
      <c r="AC107" s="34">
        <f>MAX(Table850[[#This Row],[Credit]]-Table850[[#This Row],[Debit]]+Table850[[#This Row],[Credit +]]-Table850[[#This Row],[Debit -]],0)</f>
        <v>0</v>
      </c>
      <c r="AD107" s="34" t="str">
        <f>IFERROR(IF(AND(OR(Table850[[#This Row],[Classification]]="Expense",Table850[[#This Row],[Classification]]="Cost of Goods Sold"),Table850[[#This Row],[Debit\]]&gt;Table850[[#This Row],[Credit.]]),Table850[[#This Row],[Debit\]]-Table850[[#This Row],[Credit.]],""),"")</f>
        <v/>
      </c>
      <c r="AE107" s="34" t="str">
        <f>IFERROR(IF(AND(OR(Table850[[#This Row],[Classification]]="Income",Table850[[#This Row],[Classification]]="Cost of Goods Sold"),Table850[[#This Row],[Credit.]]&gt;Table850[[#This Row],[Debit\]]),Table850[[#This Row],[Credit.]]-Table850[[#This Row],[Debit\]],""),"")</f>
        <v/>
      </c>
      <c r="AF107" s="34"/>
      <c r="AG107" s="34" t="str">
        <f>IFERROR(IF(AND(Table850[[#This Row],[Classification]]="Assets",Table850[[#This Row],[Debit\]]-Table850[[#This Row],[Credit.]]),Table850[[#This Row],[Debit\]]-Table850[[#This Row],[Credit.]],""),"")</f>
        <v/>
      </c>
      <c r="AH107" s="34" t="str">
        <f>IFERROR(IF(AND(OR(Table850[[#This Row],[Classification]]="Liabilities",Table850[[#This Row],[Classification]]="Owner´s Equity"),Table850[[#This Row],[Credit.]]&gt;Table850[[#This Row],[Debit\]]),Table850[[#This Row],[Credit.]]-Table850[[#This Row],[Debit\]],""),"")</f>
        <v/>
      </c>
    </row>
    <row r="108" spans="2:34" hidden="1" x14ac:dyDescent="0.25">
      <c r="B108" s="34"/>
      <c r="C108" s="45"/>
      <c r="D108" s="34"/>
      <c r="E108" s="34"/>
      <c r="G108" s="39"/>
      <c r="H108" s="40"/>
      <c r="I108" s="41"/>
      <c r="J108" s="41"/>
      <c r="L108" s="34">
        <v>101</v>
      </c>
      <c r="M108" s="35"/>
      <c r="N108" s="35"/>
      <c r="O108" s="34">
        <f>IFERROR(SUMIF(Table447[,],Table649[[#This Row],[Accounts Name]],Table447[,3]),"")</f>
        <v>0</v>
      </c>
      <c r="P108" s="34">
        <f>IFERROR(SUMIF(Table447[,],Table649[[#This Row],[Accounts Name]],Table447[,2]),"")</f>
        <v>0</v>
      </c>
      <c r="S108" s="36">
        <f t="shared" si="1"/>
        <v>101</v>
      </c>
      <c r="T108" s="34"/>
      <c r="U108" s="37"/>
      <c r="V108" s="34">
        <f>IFERROR(SUMIF(Table649[Sub-Accounts],Table850[[#This Row],[Update your chart of accounts here]],Table649[Debit]),"")</f>
        <v>0</v>
      </c>
      <c r="W108" s="34">
        <f>IFERROR(SUMIF(Table649[Sub-Accounts],Table850[[#This Row],[Update your chart of accounts here]],Table649[Credit]),"")</f>
        <v>0</v>
      </c>
      <c r="X108" s="34"/>
      <c r="Y108" s="34"/>
      <c r="Z108" s="34"/>
      <c r="AA108" s="34"/>
      <c r="AB108" s="34">
        <f>MAX(Table850[[#This Row],[Debit]]+Table850[[#This Row],[Debit -]]-Table850[[#This Row],[Credit]]-Table850[[#This Row],[Credit +]],0)</f>
        <v>0</v>
      </c>
      <c r="AC108" s="34">
        <f>MAX(Table850[[#This Row],[Credit]]-Table850[[#This Row],[Debit]]+Table850[[#This Row],[Credit +]]-Table850[[#This Row],[Debit -]],0)</f>
        <v>0</v>
      </c>
      <c r="AD108" s="34" t="str">
        <f>IFERROR(IF(AND(OR(Table850[[#This Row],[Classification]]="Expense",Table850[[#This Row],[Classification]]="Cost of Goods Sold"),Table850[[#This Row],[Debit\]]&gt;Table850[[#This Row],[Credit.]]),Table850[[#This Row],[Debit\]]-Table850[[#This Row],[Credit.]],""),"")</f>
        <v/>
      </c>
      <c r="AE108" s="34" t="str">
        <f>IFERROR(IF(AND(OR(Table850[[#This Row],[Classification]]="Income",Table850[[#This Row],[Classification]]="Cost of Goods Sold"),Table850[[#This Row],[Credit.]]&gt;Table850[[#This Row],[Debit\]]),Table850[[#This Row],[Credit.]]-Table850[[#This Row],[Debit\]],""),"")</f>
        <v/>
      </c>
      <c r="AF108" s="34"/>
      <c r="AG108" s="34" t="str">
        <f>IFERROR(IF(AND(Table850[[#This Row],[Classification]]="Assets",Table850[[#This Row],[Debit\]]-Table850[[#This Row],[Credit.]]),Table850[[#This Row],[Debit\]]-Table850[[#This Row],[Credit.]],""),"")</f>
        <v/>
      </c>
      <c r="AH108" s="34" t="str">
        <f>IFERROR(IF(AND(OR(Table850[[#This Row],[Classification]]="Liabilities",Table850[[#This Row],[Classification]]="Owner´s Equity"),Table850[[#This Row],[Credit.]]&gt;Table850[[#This Row],[Debit\]]),Table850[[#This Row],[Credit.]]-Table850[[#This Row],[Debit\]],""),"")</f>
        <v/>
      </c>
    </row>
    <row r="109" spans="2:34" hidden="1" x14ac:dyDescent="0.25">
      <c r="B109" s="34"/>
      <c r="C109" s="45"/>
      <c r="D109" s="34"/>
      <c r="E109" s="34"/>
      <c r="G109" s="39"/>
      <c r="H109" s="40"/>
      <c r="I109" s="41"/>
      <c r="J109" s="41"/>
      <c r="L109" s="34">
        <v>102</v>
      </c>
      <c r="M109" s="35"/>
      <c r="N109" s="35"/>
      <c r="O109" s="34">
        <f>IFERROR(SUMIF(Table447[,],Table649[[#This Row],[Accounts Name]],Table447[,3]),"")</f>
        <v>0</v>
      </c>
      <c r="P109" s="34">
        <f>IFERROR(SUMIF(Table447[,],Table649[[#This Row],[Accounts Name]],Table447[,2]),"")</f>
        <v>0</v>
      </c>
      <c r="S109" s="36">
        <f t="shared" si="1"/>
        <v>102</v>
      </c>
      <c r="T109" s="34"/>
      <c r="U109" s="37"/>
      <c r="V109" s="34">
        <f>IFERROR(SUMIF(Table649[Sub-Accounts],Table850[[#This Row],[Update your chart of accounts here]],Table649[Debit]),"")</f>
        <v>0</v>
      </c>
      <c r="W109" s="34">
        <f>IFERROR(SUMIF(Table649[Sub-Accounts],Table850[[#This Row],[Update your chart of accounts here]],Table649[Credit]),"")</f>
        <v>0</v>
      </c>
      <c r="X109" s="34"/>
      <c r="Y109" s="34"/>
      <c r="Z109" s="34"/>
      <c r="AA109" s="34"/>
      <c r="AB109" s="34">
        <f>MAX(Table850[[#This Row],[Debit]]+Table850[[#This Row],[Debit -]]-Table850[[#This Row],[Credit]]-Table850[[#This Row],[Credit +]],0)</f>
        <v>0</v>
      </c>
      <c r="AC109" s="34">
        <f>MAX(Table850[[#This Row],[Credit]]-Table850[[#This Row],[Debit]]+Table850[[#This Row],[Credit +]]-Table850[[#This Row],[Debit -]],0)</f>
        <v>0</v>
      </c>
      <c r="AD109" s="34" t="str">
        <f>IFERROR(IF(AND(OR(Table850[[#This Row],[Classification]]="Expense",Table850[[#This Row],[Classification]]="Cost of Goods Sold"),Table850[[#This Row],[Debit\]]&gt;Table850[[#This Row],[Credit.]]),Table850[[#This Row],[Debit\]]-Table850[[#This Row],[Credit.]],""),"")</f>
        <v/>
      </c>
      <c r="AE109" s="34" t="str">
        <f>IFERROR(IF(AND(OR(Table850[[#This Row],[Classification]]="Income",Table850[[#This Row],[Classification]]="Cost of Goods Sold"),Table850[[#This Row],[Credit.]]&gt;Table850[[#This Row],[Debit\]]),Table850[[#This Row],[Credit.]]-Table850[[#This Row],[Debit\]],""),"")</f>
        <v/>
      </c>
      <c r="AF109" s="34"/>
      <c r="AG109" s="34" t="str">
        <f>IFERROR(IF(AND(Table850[[#This Row],[Classification]]="Assets",Table850[[#This Row],[Debit\]]-Table850[[#This Row],[Credit.]]),Table850[[#This Row],[Debit\]]-Table850[[#This Row],[Credit.]],""),"")</f>
        <v/>
      </c>
      <c r="AH109" s="34" t="str">
        <f>IFERROR(IF(AND(OR(Table850[[#This Row],[Classification]]="Liabilities",Table850[[#This Row],[Classification]]="Owner´s Equity"),Table850[[#This Row],[Credit.]]&gt;Table850[[#This Row],[Debit\]]),Table850[[#This Row],[Credit.]]-Table850[[#This Row],[Debit\]],""),"")</f>
        <v/>
      </c>
    </row>
    <row r="110" spans="2:34" hidden="1" x14ac:dyDescent="0.25">
      <c r="B110" s="34"/>
      <c r="C110" s="45"/>
      <c r="D110" s="34"/>
      <c r="E110" s="34"/>
      <c r="G110" s="39"/>
      <c r="H110" s="43"/>
      <c r="I110" s="41"/>
      <c r="J110" s="41"/>
      <c r="L110" s="34">
        <v>103</v>
      </c>
      <c r="M110" s="35"/>
      <c r="N110" s="35"/>
      <c r="O110" s="34">
        <f>IFERROR(SUMIF(Table447[,],Table649[[#This Row],[Accounts Name]],Table447[,3]),"")</f>
        <v>0</v>
      </c>
      <c r="P110" s="34">
        <f>IFERROR(SUMIF(Table447[,],Table649[[#This Row],[Accounts Name]],Table447[,2]),"")</f>
        <v>0</v>
      </c>
      <c r="S110" s="36">
        <f t="shared" si="1"/>
        <v>103</v>
      </c>
      <c r="T110" s="34"/>
      <c r="U110" s="37"/>
      <c r="V110" s="34">
        <f>IFERROR(SUMIF(Table649[Sub-Accounts],Table850[[#This Row],[Update your chart of accounts here]],Table649[Debit]),"")</f>
        <v>0</v>
      </c>
      <c r="W110" s="34">
        <f>IFERROR(SUMIF(Table649[Sub-Accounts],Table850[[#This Row],[Update your chart of accounts here]],Table649[Credit]),"")</f>
        <v>0</v>
      </c>
      <c r="X110" s="34"/>
      <c r="Y110" s="34"/>
      <c r="Z110" s="34"/>
      <c r="AA110" s="34"/>
      <c r="AB110" s="34">
        <f>MAX(Table850[[#This Row],[Debit]]+Table850[[#This Row],[Debit -]]-Table850[[#This Row],[Credit]]-Table850[[#This Row],[Credit +]],0)</f>
        <v>0</v>
      </c>
      <c r="AC110" s="34">
        <f>MAX(Table850[[#This Row],[Credit]]-Table850[[#This Row],[Debit]]+Table850[[#This Row],[Credit +]]-Table850[[#This Row],[Debit -]],0)</f>
        <v>0</v>
      </c>
      <c r="AD110" s="34" t="str">
        <f>IFERROR(IF(AND(OR(Table850[[#This Row],[Classification]]="Expense",Table850[[#This Row],[Classification]]="Cost of Goods Sold"),Table850[[#This Row],[Debit\]]&gt;Table850[[#This Row],[Credit.]]),Table850[[#This Row],[Debit\]]-Table850[[#This Row],[Credit.]],""),"")</f>
        <v/>
      </c>
      <c r="AE110" s="34" t="str">
        <f>IFERROR(IF(AND(OR(Table850[[#This Row],[Classification]]="Income",Table850[[#This Row],[Classification]]="Cost of Goods Sold"),Table850[[#This Row],[Credit.]]&gt;Table850[[#This Row],[Debit\]]),Table850[[#This Row],[Credit.]]-Table850[[#This Row],[Debit\]],""),"")</f>
        <v/>
      </c>
      <c r="AF110" s="34"/>
      <c r="AG110" s="34" t="str">
        <f>IFERROR(IF(AND(Table850[[#This Row],[Classification]]="Assets",Table850[[#This Row],[Debit\]]-Table850[[#This Row],[Credit.]]),Table850[[#This Row],[Debit\]]-Table850[[#This Row],[Credit.]],""),"")</f>
        <v/>
      </c>
      <c r="AH110" s="34" t="str">
        <f>IFERROR(IF(AND(OR(Table850[[#This Row],[Classification]]="Liabilities",Table850[[#This Row],[Classification]]="Owner´s Equity"),Table850[[#This Row],[Credit.]]&gt;Table850[[#This Row],[Debit\]]),Table850[[#This Row],[Credit.]]-Table850[[#This Row],[Debit\]],""),"")</f>
        <v/>
      </c>
    </row>
    <row r="111" spans="2:34" hidden="1" x14ac:dyDescent="0.25">
      <c r="B111" s="34"/>
      <c r="C111" s="45"/>
      <c r="D111" s="34"/>
      <c r="E111" s="34"/>
      <c r="G111" s="39"/>
      <c r="H111" s="40"/>
      <c r="I111" s="41"/>
      <c r="J111" s="41"/>
      <c r="L111" s="34">
        <v>104</v>
      </c>
      <c r="M111" s="35"/>
      <c r="N111" s="35"/>
      <c r="O111" s="34">
        <f>IFERROR(SUMIF(Table447[,],Table649[[#This Row],[Accounts Name]],Table447[,3]),"")</f>
        <v>0</v>
      </c>
      <c r="P111" s="34">
        <f>IFERROR(SUMIF(Table447[,],Table649[[#This Row],[Accounts Name]],Table447[,2]),"")</f>
        <v>0</v>
      </c>
      <c r="S111" s="36">
        <f t="shared" si="1"/>
        <v>104</v>
      </c>
      <c r="T111" s="34"/>
      <c r="U111" s="37"/>
      <c r="V111" s="34">
        <f>IFERROR(SUMIF(Table649[Sub-Accounts],Table850[[#This Row],[Update your chart of accounts here]],Table649[Debit]),"")</f>
        <v>0</v>
      </c>
      <c r="W111" s="34">
        <f>IFERROR(SUMIF(Table649[Sub-Accounts],Table850[[#This Row],[Update your chart of accounts here]],Table649[Credit]),"")</f>
        <v>0</v>
      </c>
      <c r="X111" s="34"/>
      <c r="Y111" s="34"/>
      <c r="Z111" s="34"/>
      <c r="AA111" s="34"/>
      <c r="AB111" s="34">
        <f>MAX(Table850[[#This Row],[Debit]]+Table850[[#This Row],[Debit -]]-Table850[[#This Row],[Credit]]-Table850[[#This Row],[Credit +]],0)</f>
        <v>0</v>
      </c>
      <c r="AC111" s="34">
        <f>MAX(Table850[[#This Row],[Credit]]-Table850[[#This Row],[Debit]]+Table850[[#This Row],[Credit +]]-Table850[[#This Row],[Debit -]],0)</f>
        <v>0</v>
      </c>
      <c r="AD111" s="34" t="str">
        <f>IFERROR(IF(AND(OR(Table850[[#This Row],[Classification]]="Expense",Table850[[#This Row],[Classification]]="Cost of Goods Sold"),Table850[[#This Row],[Debit\]]&gt;Table850[[#This Row],[Credit.]]),Table850[[#This Row],[Debit\]]-Table850[[#This Row],[Credit.]],""),"")</f>
        <v/>
      </c>
      <c r="AE111" s="34" t="str">
        <f>IFERROR(IF(AND(OR(Table850[[#This Row],[Classification]]="Income",Table850[[#This Row],[Classification]]="Cost of Goods Sold"),Table850[[#This Row],[Credit.]]&gt;Table850[[#This Row],[Debit\]]),Table850[[#This Row],[Credit.]]-Table850[[#This Row],[Debit\]],""),"")</f>
        <v/>
      </c>
      <c r="AF111" s="34"/>
      <c r="AG111" s="34" t="str">
        <f>IFERROR(IF(AND(Table850[[#This Row],[Classification]]="Assets",Table850[[#This Row],[Debit\]]-Table850[[#This Row],[Credit.]]),Table850[[#This Row],[Debit\]]-Table850[[#This Row],[Credit.]],""),"")</f>
        <v/>
      </c>
      <c r="AH111" s="34" t="str">
        <f>IFERROR(IF(AND(OR(Table850[[#This Row],[Classification]]="Liabilities",Table850[[#This Row],[Classification]]="Owner´s Equity"),Table850[[#This Row],[Credit.]]&gt;Table850[[#This Row],[Debit\]]),Table850[[#This Row],[Credit.]]-Table850[[#This Row],[Debit\]],""),"")</f>
        <v/>
      </c>
    </row>
    <row r="112" spans="2:34" hidden="1" x14ac:dyDescent="0.25">
      <c r="B112" s="34"/>
      <c r="C112" s="45"/>
      <c r="D112" s="34"/>
      <c r="E112" s="34"/>
      <c r="G112" s="39"/>
      <c r="H112" s="40"/>
      <c r="I112" s="41"/>
      <c r="J112" s="41"/>
      <c r="L112" s="34">
        <v>105</v>
      </c>
      <c r="M112" s="35"/>
      <c r="N112" s="35"/>
      <c r="O112" s="34">
        <f>IFERROR(SUMIF(Table447[,],Table649[[#This Row],[Accounts Name]],Table447[,3]),"")</f>
        <v>0</v>
      </c>
      <c r="P112" s="34">
        <f>IFERROR(SUMIF(Table447[,],Table649[[#This Row],[Accounts Name]],Table447[,2]),"")</f>
        <v>0</v>
      </c>
      <c r="S112" s="36">
        <f t="shared" si="1"/>
        <v>105</v>
      </c>
      <c r="T112" s="34"/>
      <c r="U112" s="37"/>
      <c r="V112" s="34">
        <f>IFERROR(SUMIF(Table649[Sub-Accounts],Table850[[#This Row],[Update your chart of accounts here]],Table649[Debit]),"")</f>
        <v>0</v>
      </c>
      <c r="W112" s="34">
        <f>IFERROR(SUMIF(Table649[Sub-Accounts],Table850[[#This Row],[Update your chart of accounts here]],Table649[Credit]),"")</f>
        <v>0</v>
      </c>
      <c r="X112" s="34"/>
      <c r="Y112" s="34"/>
      <c r="Z112" s="34"/>
      <c r="AA112" s="34"/>
      <c r="AB112" s="34">
        <f>MAX(Table850[[#This Row],[Debit]]+Table850[[#This Row],[Debit -]]-Table850[[#This Row],[Credit]]-Table850[[#This Row],[Credit +]],0)</f>
        <v>0</v>
      </c>
      <c r="AC112" s="34">
        <f>MAX(Table850[[#This Row],[Credit]]-Table850[[#This Row],[Debit]]+Table850[[#This Row],[Credit +]]-Table850[[#This Row],[Debit -]],0)</f>
        <v>0</v>
      </c>
      <c r="AD112" s="34" t="str">
        <f>IFERROR(IF(AND(OR(Table850[[#This Row],[Classification]]="Expense",Table850[[#This Row],[Classification]]="Cost of Goods Sold"),Table850[[#This Row],[Debit\]]&gt;Table850[[#This Row],[Credit.]]),Table850[[#This Row],[Debit\]]-Table850[[#This Row],[Credit.]],""),"")</f>
        <v/>
      </c>
      <c r="AE112" s="34" t="str">
        <f>IFERROR(IF(AND(OR(Table850[[#This Row],[Classification]]="Income",Table850[[#This Row],[Classification]]="Cost of Goods Sold"),Table850[[#This Row],[Credit.]]&gt;Table850[[#This Row],[Debit\]]),Table850[[#This Row],[Credit.]]-Table850[[#This Row],[Debit\]],""),"")</f>
        <v/>
      </c>
      <c r="AF112" s="34"/>
      <c r="AG112" s="34" t="str">
        <f>IFERROR(IF(AND(Table850[[#This Row],[Classification]]="Assets",Table850[[#This Row],[Debit\]]-Table850[[#This Row],[Credit.]]),Table850[[#This Row],[Debit\]]-Table850[[#This Row],[Credit.]],""),"")</f>
        <v/>
      </c>
      <c r="AH112" s="34" t="str">
        <f>IFERROR(IF(AND(OR(Table850[[#This Row],[Classification]]="Liabilities",Table850[[#This Row],[Classification]]="Owner´s Equity"),Table850[[#This Row],[Credit.]]&gt;Table850[[#This Row],[Debit\]]),Table850[[#This Row],[Credit.]]-Table850[[#This Row],[Debit\]],""),"")</f>
        <v/>
      </c>
    </row>
    <row r="113" spans="2:34" hidden="1" x14ac:dyDescent="0.25">
      <c r="B113" s="34"/>
      <c r="C113" s="45"/>
      <c r="D113" s="34"/>
      <c r="E113" s="34"/>
      <c r="G113" s="39"/>
      <c r="H113" s="43"/>
      <c r="I113" s="41"/>
      <c r="J113" s="41"/>
      <c r="L113" s="34">
        <v>106</v>
      </c>
      <c r="M113" s="35"/>
      <c r="N113" s="35"/>
      <c r="O113" s="34">
        <f>IFERROR(SUMIF(Table447[,],Table649[[#This Row],[Accounts Name]],Table447[,3]),"")</f>
        <v>0</v>
      </c>
      <c r="P113" s="34">
        <f>IFERROR(SUMIF(Table447[,],Table649[[#This Row],[Accounts Name]],Table447[,2]),"")</f>
        <v>0</v>
      </c>
      <c r="S113" s="36">
        <f t="shared" si="1"/>
        <v>106</v>
      </c>
      <c r="T113" s="34"/>
      <c r="U113" s="37"/>
      <c r="V113" s="34">
        <f>IFERROR(SUMIF(Table649[Sub-Accounts],Table850[[#This Row],[Update your chart of accounts here]],Table649[Debit]),"")</f>
        <v>0</v>
      </c>
      <c r="W113" s="34">
        <f>IFERROR(SUMIF(Table649[Sub-Accounts],Table850[[#This Row],[Update your chart of accounts here]],Table649[Credit]),"")</f>
        <v>0</v>
      </c>
      <c r="X113" s="34"/>
      <c r="Y113" s="34"/>
      <c r="Z113" s="34"/>
      <c r="AA113" s="34"/>
      <c r="AB113" s="34">
        <f>MAX(Table850[[#This Row],[Debit]]+Table850[[#This Row],[Debit -]]-Table850[[#This Row],[Credit]]-Table850[[#This Row],[Credit +]],0)</f>
        <v>0</v>
      </c>
      <c r="AC113" s="34">
        <f>MAX(Table850[[#This Row],[Credit]]-Table850[[#This Row],[Debit]]+Table850[[#This Row],[Credit +]]-Table850[[#This Row],[Debit -]],0)</f>
        <v>0</v>
      </c>
      <c r="AD113" s="34" t="str">
        <f>IFERROR(IF(AND(OR(Table850[[#This Row],[Classification]]="Expense",Table850[[#This Row],[Classification]]="Cost of Goods Sold"),Table850[[#This Row],[Debit\]]&gt;Table850[[#This Row],[Credit.]]),Table850[[#This Row],[Debit\]]-Table850[[#This Row],[Credit.]],""),"")</f>
        <v/>
      </c>
      <c r="AE113" s="34" t="str">
        <f>IFERROR(IF(AND(OR(Table850[[#This Row],[Classification]]="Income",Table850[[#This Row],[Classification]]="Cost of Goods Sold"),Table850[[#This Row],[Credit.]]&gt;Table850[[#This Row],[Debit\]]),Table850[[#This Row],[Credit.]]-Table850[[#This Row],[Debit\]],""),"")</f>
        <v/>
      </c>
      <c r="AF113" s="34"/>
      <c r="AG113" s="34" t="str">
        <f>IFERROR(IF(AND(Table850[[#This Row],[Classification]]="Assets",Table850[[#This Row],[Debit\]]-Table850[[#This Row],[Credit.]]),Table850[[#This Row],[Debit\]]-Table850[[#This Row],[Credit.]],""),"")</f>
        <v/>
      </c>
      <c r="AH113" s="34" t="str">
        <f>IFERROR(IF(AND(OR(Table850[[#This Row],[Classification]]="Liabilities",Table850[[#This Row],[Classification]]="Owner´s Equity"),Table850[[#This Row],[Credit.]]&gt;Table850[[#This Row],[Debit\]]),Table850[[#This Row],[Credit.]]-Table850[[#This Row],[Debit\]],""),"")</f>
        <v/>
      </c>
    </row>
    <row r="114" spans="2:34" hidden="1" x14ac:dyDescent="0.25">
      <c r="B114" s="34"/>
      <c r="C114" s="45"/>
      <c r="D114" s="34"/>
      <c r="E114" s="34"/>
      <c r="G114" s="39"/>
      <c r="H114" s="40"/>
      <c r="I114" s="41"/>
      <c r="J114" s="41"/>
      <c r="L114" s="34">
        <v>107</v>
      </c>
      <c r="M114" s="35"/>
      <c r="N114" s="35"/>
      <c r="O114" s="34">
        <f>IFERROR(SUMIF(Table447[,],Table649[[#This Row],[Accounts Name]],Table447[,3]),"")</f>
        <v>0</v>
      </c>
      <c r="P114" s="34">
        <f>IFERROR(SUMIF(Table447[,],Table649[[#This Row],[Accounts Name]],Table447[,2]),"")</f>
        <v>0</v>
      </c>
      <c r="S114" s="36">
        <f t="shared" si="1"/>
        <v>107</v>
      </c>
      <c r="T114" s="34"/>
      <c r="U114" s="37"/>
      <c r="V114" s="34">
        <f>IFERROR(SUMIF(Table649[Sub-Accounts],Table850[[#This Row],[Update your chart of accounts here]],Table649[Debit]),"")</f>
        <v>0</v>
      </c>
      <c r="W114" s="34">
        <f>IFERROR(SUMIF(Table649[Sub-Accounts],Table850[[#This Row],[Update your chart of accounts here]],Table649[Credit]),"")</f>
        <v>0</v>
      </c>
      <c r="X114" s="34"/>
      <c r="Y114" s="34"/>
      <c r="Z114" s="34"/>
      <c r="AA114" s="34"/>
      <c r="AB114" s="34">
        <f>MAX(Table850[[#This Row],[Debit]]+Table850[[#This Row],[Debit -]]-Table850[[#This Row],[Credit]]-Table850[[#This Row],[Credit +]],0)</f>
        <v>0</v>
      </c>
      <c r="AC114" s="34">
        <f>MAX(Table850[[#This Row],[Credit]]-Table850[[#This Row],[Debit]]+Table850[[#This Row],[Credit +]]-Table850[[#This Row],[Debit -]],0)</f>
        <v>0</v>
      </c>
      <c r="AD114" s="34" t="str">
        <f>IFERROR(IF(AND(OR(Table850[[#This Row],[Classification]]="Expense",Table850[[#This Row],[Classification]]="Cost of Goods Sold"),Table850[[#This Row],[Debit\]]&gt;Table850[[#This Row],[Credit.]]),Table850[[#This Row],[Debit\]]-Table850[[#This Row],[Credit.]],""),"")</f>
        <v/>
      </c>
      <c r="AE114" s="34" t="str">
        <f>IFERROR(IF(AND(OR(Table850[[#This Row],[Classification]]="Income",Table850[[#This Row],[Classification]]="Cost of Goods Sold"),Table850[[#This Row],[Credit.]]&gt;Table850[[#This Row],[Debit\]]),Table850[[#This Row],[Credit.]]-Table850[[#This Row],[Debit\]],""),"")</f>
        <v/>
      </c>
      <c r="AF114" s="34"/>
      <c r="AG114" s="34" t="str">
        <f>IFERROR(IF(AND(Table850[[#This Row],[Classification]]="Assets",Table850[[#This Row],[Debit\]]-Table850[[#This Row],[Credit.]]),Table850[[#This Row],[Debit\]]-Table850[[#This Row],[Credit.]],""),"")</f>
        <v/>
      </c>
      <c r="AH114" s="34" t="str">
        <f>IFERROR(IF(AND(OR(Table850[[#This Row],[Classification]]="Liabilities",Table850[[#This Row],[Classification]]="Owner´s Equity"),Table850[[#This Row],[Credit.]]&gt;Table850[[#This Row],[Debit\]]),Table850[[#This Row],[Credit.]]-Table850[[#This Row],[Debit\]],""),"")</f>
        <v/>
      </c>
    </row>
    <row r="115" spans="2:34" hidden="1" x14ac:dyDescent="0.25">
      <c r="B115" s="34"/>
      <c r="C115" s="45"/>
      <c r="D115" s="34"/>
      <c r="E115" s="34"/>
      <c r="G115" s="39"/>
      <c r="H115" s="40"/>
      <c r="I115" s="41"/>
      <c r="J115" s="41"/>
      <c r="L115" s="34">
        <v>108</v>
      </c>
      <c r="M115" s="35"/>
      <c r="N115" s="35"/>
      <c r="O115" s="34">
        <f>IFERROR(SUMIF(Table447[,],Table649[[#This Row],[Accounts Name]],Table447[,3]),"")</f>
        <v>0</v>
      </c>
      <c r="P115" s="34">
        <f>IFERROR(SUMIF(Table447[,],Table649[[#This Row],[Accounts Name]],Table447[,2]),"")</f>
        <v>0</v>
      </c>
      <c r="S115" s="36">
        <f t="shared" si="1"/>
        <v>108</v>
      </c>
      <c r="T115" s="34"/>
      <c r="U115" s="37"/>
      <c r="V115" s="34">
        <f>IFERROR(SUMIF(Table649[Sub-Accounts],Table850[[#This Row],[Update your chart of accounts here]],Table649[Debit]),"")</f>
        <v>0</v>
      </c>
      <c r="W115" s="34">
        <f>IFERROR(SUMIF(Table649[Sub-Accounts],Table850[[#This Row],[Update your chart of accounts here]],Table649[Credit]),"")</f>
        <v>0</v>
      </c>
      <c r="X115" s="34"/>
      <c r="Y115" s="34"/>
      <c r="Z115" s="34"/>
      <c r="AA115" s="34"/>
      <c r="AB115" s="34">
        <f>MAX(Table850[[#This Row],[Debit]]+Table850[[#This Row],[Debit -]]-Table850[[#This Row],[Credit]]-Table850[[#This Row],[Credit +]],0)</f>
        <v>0</v>
      </c>
      <c r="AC115" s="34">
        <f>MAX(Table850[[#This Row],[Credit]]-Table850[[#This Row],[Debit]]+Table850[[#This Row],[Credit +]]-Table850[[#This Row],[Debit -]],0)</f>
        <v>0</v>
      </c>
      <c r="AD115" s="34" t="str">
        <f>IFERROR(IF(AND(OR(Table850[[#This Row],[Classification]]="Expense",Table850[[#This Row],[Classification]]="Cost of Goods Sold"),Table850[[#This Row],[Debit\]]&gt;Table850[[#This Row],[Credit.]]),Table850[[#This Row],[Debit\]]-Table850[[#This Row],[Credit.]],""),"")</f>
        <v/>
      </c>
      <c r="AE115" s="34" t="str">
        <f>IFERROR(IF(AND(OR(Table850[[#This Row],[Classification]]="Income",Table850[[#This Row],[Classification]]="Cost of Goods Sold"),Table850[[#This Row],[Credit.]]&gt;Table850[[#This Row],[Debit\]]),Table850[[#This Row],[Credit.]]-Table850[[#This Row],[Debit\]],""),"")</f>
        <v/>
      </c>
      <c r="AF115" s="34"/>
      <c r="AG115" s="34" t="str">
        <f>IFERROR(IF(AND(Table850[[#This Row],[Classification]]="Assets",Table850[[#This Row],[Debit\]]-Table850[[#This Row],[Credit.]]),Table850[[#This Row],[Debit\]]-Table850[[#This Row],[Credit.]],""),"")</f>
        <v/>
      </c>
      <c r="AH115" s="34" t="str">
        <f>IFERROR(IF(AND(OR(Table850[[#This Row],[Classification]]="Liabilities",Table850[[#This Row],[Classification]]="Owner´s Equity"),Table850[[#This Row],[Credit.]]&gt;Table850[[#This Row],[Debit\]]),Table850[[#This Row],[Credit.]]-Table850[[#This Row],[Debit\]],""),"")</f>
        <v/>
      </c>
    </row>
    <row r="116" spans="2:34" hidden="1" x14ac:dyDescent="0.25">
      <c r="B116" s="34"/>
      <c r="C116" s="45"/>
      <c r="D116" s="34"/>
      <c r="E116" s="34"/>
      <c r="G116" s="39"/>
      <c r="H116" s="43"/>
      <c r="I116" s="41"/>
      <c r="J116" s="41"/>
      <c r="L116" s="34">
        <v>109</v>
      </c>
      <c r="M116" s="35"/>
      <c r="N116" s="35"/>
      <c r="O116" s="34">
        <f>IFERROR(SUMIF(Table447[,],Table649[[#This Row],[Accounts Name]],Table447[,3]),"")</f>
        <v>0</v>
      </c>
      <c r="P116" s="34">
        <f>IFERROR(SUMIF(Table447[,],Table649[[#This Row],[Accounts Name]],Table447[,2]),"")</f>
        <v>0</v>
      </c>
      <c r="S116" s="36">
        <f t="shared" si="1"/>
        <v>109</v>
      </c>
      <c r="T116" s="34"/>
      <c r="U116" s="37"/>
      <c r="V116" s="34">
        <f>IFERROR(SUMIF(Table649[Sub-Accounts],Table850[[#This Row],[Update your chart of accounts here]],Table649[Debit]),"")</f>
        <v>0</v>
      </c>
      <c r="W116" s="34">
        <f>IFERROR(SUMIF(Table649[Sub-Accounts],Table850[[#This Row],[Update your chart of accounts here]],Table649[Credit]),"")</f>
        <v>0</v>
      </c>
      <c r="X116" s="34"/>
      <c r="Y116" s="34"/>
      <c r="Z116" s="34"/>
      <c r="AA116" s="34"/>
      <c r="AB116" s="34">
        <f>MAX(Table850[[#This Row],[Debit]]+Table850[[#This Row],[Debit -]]-Table850[[#This Row],[Credit]]-Table850[[#This Row],[Credit +]],0)</f>
        <v>0</v>
      </c>
      <c r="AC116" s="34">
        <f>MAX(Table850[[#This Row],[Credit]]-Table850[[#This Row],[Debit]]+Table850[[#This Row],[Credit +]]-Table850[[#This Row],[Debit -]],0)</f>
        <v>0</v>
      </c>
      <c r="AD116" s="34" t="str">
        <f>IFERROR(IF(AND(OR(Table850[[#This Row],[Classification]]="Expense",Table850[[#This Row],[Classification]]="Cost of Goods Sold"),Table850[[#This Row],[Debit\]]&gt;Table850[[#This Row],[Credit.]]),Table850[[#This Row],[Debit\]]-Table850[[#This Row],[Credit.]],""),"")</f>
        <v/>
      </c>
      <c r="AE116" s="34" t="str">
        <f>IFERROR(IF(AND(OR(Table850[[#This Row],[Classification]]="Income",Table850[[#This Row],[Classification]]="Cost of Goods Sold"),Table850[[#This Row],[Credit.]]&gt;Table850[[#This Row],[Debit\]]),Table850[[#This Row],[Credit.]]-Table850[[#This Row],[Debit\]],""),"")</f>
        <v/>
      </c>
      <c r="AF116" s="34"/>
      <c r="AG116" s="34" t="str">
        <f>IFERROR(IF(AND(Table850[[#This Row],[Classification]]="Assets",Table850[[#This Row],[Debit\]]-Table850[[#This Row],[Credit.]]),Table850[[#This Row],[Debit\]]-Table850[[#This Row],[Credit.]],""),"")</f>
        <v/>
      </c>
      <c r="AH116" s="34" t="str">
        <f>IFERROR(IF(AND(OR(Table850[[#This Row],[Classification]]="Liabilities",Table850[[#This Row],[Classification]]="Owner´s Equity"),Table850[[#This Row],[Credit.]]&gt;Table850[[#This Row],[Debit\]]),Table850[[#This Row],[Credit.]]-Table850[[#This Row],[Debit\]],""),"")</f>
        <v/>
      </c>
    </row>
    <row r="117" spans="2:34" hidden="1" x14ac:dyDescent="0.25">
      <c r="B117" s="34"/>
      <c r="C117" s="45"/>
      <c r="D117" s="34"/>
      <c r="E117" s="34"/>
      <c r="G117" s="39"/>
      <c r="H117" s="40"/>
      <c r="I117" s="41"/>
      <c r="J117" s="41"/>
      <c r="L117" s="34">
        <v>110</v>
      </c>
      <c r="M117" s="35"/>
      <c r="N117" s="35"/>
      <c r="O117" s="34">
        <f>IFERROR(SUMIF(Table447[,],Table649[[#This Row],[Accounts Name]],Table447[,3]),"")</f>
        <v>0</v>
      </c>
      <c r="P117" s="34">
        <f>IFERROR(SUMIF(Table447[,],Table649[[#This Row],[Accounts Name]],Table447[,2]),"")</f>
        <v>0</v>
      </c>
      <c r="S117" s="36">
        <f t="shared" si="1"/>
        <v>110</v>
      </c>
      <c r="T117" s="34"/>
      <c r="U117" s="37"/>
      <c r="V117" s="34">
        <f>IFERROR(SUMIF(Table649[Sub-Accounts],Table850[[#This Row],[Update your chart of accounts here]],Table649[Debit]),"")</f>
        <v>0</v>
      </c>
      <c r="W117" s="34">
        <f>IFERROR(SUMIF(Table649[Sub-Accounts],Table850[[#This Row],[Update your chart of accounts here]],Table649[Credit]),"")</f>
        <v>0</v>
      </c>
      <c r="X117" s="34"/>
      <c r="Y117" s="34"/>
      <c r="Z117" s="34"/>
      <c r="AA117" s="34"/>
      <c r="AB117" s="34">
        <f>MAX(Table850[[#This Row],[Debit]]+Table850[[#This Row],[Debit -]]-Table850[[#This Row],[Credit]]-Table850[[#This Row],[Credit +]],0)</f>
        <v>0</v>
      </c>
      <c r="AC117" s="34">
        <f>MAX(Table850[[#This Row],[Credit]]-Table850[[#This Row],[Debit]]+Table850[[#This Row],[Credit +]]-Table850[[#This Row],[Debit -]],0)</f>
        <v>0</v>
      </c>
      <c r="AD117" s="34" t="str">
        <f>IFERROR(IF(AND(OR(Table850[[#This Row],[Classification]]="Expense",Table850[[#This Row],[Classification]]="Cost of Goods Sold"),Table850[[#This Row],[Debit\]]&gt;Table850[[#This Row],[Credit.]]),Table850[[#This Row],[Debit\]]-Table850[[#This Row],[Credit.]],""),"")</f>
        <v/>
      </c>
      <c r="AE117" s="34" t="str">
        <f>IFERROR(IF(AND(OR(Table850[[#This Row],[Classification]]="Income",Table850[[#This Row],[Classification]]="Cost of Goods Sold"),Table850[[#This Row],[Credit.]]&gt;Table850[[#This Row],[Debit\]]),Table850[[#This Row],[Credit.]]-Table850[[#This Row],[Debit\]],""),"")</f>
        <v/>
      </c>
      <c r="AF117" s="34"/>
      <c r="AG117" s="34" t="str">
        <f>IFERROR(IF(AND(Table850[[#This Row],[Classification]]="Assets",Table850[[#This Row],[Debit\]]-Table850[[#This Row],[Credit.]]),Table850[[#This Row],[Debit\]]-Table850[[#This Row],[Credit.]],""),"")</f>
        <v/>
      </c>
      <c r="AH117" s="34" t="str">
        <f>IFERROR(IF(AND(OR(Table850[[#This Row],[Classification]]="Liabilities",Table850[[#This Row],[Classification]]="Owner´s Equity"),Table850[[#This Row],[Credit.]]&gt;Table850[[#This Row],[Debit\]]),Table850[[#This Row],[Credit.]]-Table850[[#This Row],[Debit\]],""),"")</f>
        <v/>
      </c>
    </row>
    <row r="118" spans="2:34" hidden="1" x14ac:dyDescent="0.25">
      <c r="B118" s="34"/>
      <c r="C118" s="45"/>
      <c r="D118" s="34"/>
      <c r="E118" s="34"/>
      <c r="G118" s="39"/>
      <c r="H118" s="40"/>
      <c r="I118" s="41"/>
      <c r="J118" s="41"/>
      <c r="L118" s="34">
        <v>111</v>
      </c>
      <c r="M118" s="35"/>
      <c r="N118" s="35"/>
      <c r="O118" s="34">
        <f>IFERROR(SUMIF(Table447[,],Table649[[#This Row],[Accounts Name]],Table447[,3]),"")</f>
        <v>0</v>
      </c>
      <c r="P118" s="34">
        <f>IFERROR(SUMIF(Table447[,],Table649[[#This Row],[Accounts Name]],Table447[,2]),"")</f>
        <v>0</v>
      </c>
      <c r="S118" s="36">
        <f t="shared" si="1"/>
        <v>111</v>
      </c>
      <c r="T118" s="34"/>
      <c r="U118" s="37"/>
      <c r="V118" s="34">
        <f>IFERROR(SUMIF(Table649[Sub-Accounts],Table850[[#This Row],[Update your chart of accounts here]],Table649[Debit]),"")</f>
        <v>0</v>
      </c>
      <c r="W118" s="34">
        <f>IFERROR(SUMIF(Table649[Sub-Accounts],Table850[[#This Row],[Update your chart of accounts here]],Table649[Credit]),"")</f>
        <v>0</v>
      </c>
      <c r="X118" s="34"/>
      <c r="Y118" s="34"/>
      <c r="Z118" s="34"/>
      <c r="AA118" s="34"/>
      <c r="AB118" s="34">
        <f>MAX(Table850[[#This Row],[Debit]]+Table850[[#This Row],[Debit -]]-Table850[[#This Row],[Credit]]-Table850[[#This Row],[Credit +]],0)</f>
        <v>0</v>
      </c>
      <c r="AC118" s="34">
        <f>MAX(Table850[[#This Row],[Credit]]-Table850[[#This Row],[Debit]]+Table850[[#This Row],[Credit +]]-Table850[[#This Row],[Debit -]],0)</f>
        <v>0</v>
      </c>
      <c r="AD118" s="34" t="str">
        <f>IFERROR(IF(AND(OR(Table850[[#This Row],[Classification]]="Expense",Table850[[#This Row],[Classification]]="Cost of Goods Sold"),Table850[[#This Row],[Debit\]]&gt;Table850[[#This Row],[Credit.]]),Table850[[#This Row],[Debit\]]-Table850[[#This Row],[Credit.]],""),"")</f>
        <v/>
      </c>
      <c r="AE118" s="34" t="str">
        <f>IFERROR(IF(AND(OR(Table850[[#This Row],[Classification]]="Income",Table850[[#This Row],[Classification]]="Cost of Goods Sold"),Table850[[#This Row],[Credit.]]&gt;Table850[[#This Row],[Debit\]]),Table850[[#This Row],[Credit.]]-Table850[[#This Row],[Debit\]],""),"")</f>
        <v/>
      </c>
      <c r="AF118" s="34"/>
      <c r="AG118" s="34" t="str">
        <f>IFERROR(IF(AND(Table850[[#This Row],[Classification]]="Assets",Table850[[#This Row],[Debit\]]-Table850[[#This Row],[Credit.]]),Table850[[#This Row],[Debit\]]-Table850[[#This Row],[Credit.]],""),"")</f>
        <v/>
      </c>
      <c r="AH118" s="34" t="str">
        <f>IFERROR(IF(AND(OR(Table850[[#This Row],[Classification]]="Liabilities",Table850[[#This Row],[Classification]]="Owner´s Equity"),Table850[[#This Row],[Credit.]]&gt;Table850[[#This Row],[Debit\]]),Table850[[#This Row],[Credit.]]-Table850[[#This Row],[Debit\]],""),"")</f>
        <v/>
      </c>
    </row>
    <row r="119" spans="2:34" hidden="1" x14ac:dyDescent="0.25">
      <c r="B119" s="34"/>
      <c r="C119" s="45"/>
      <c r="D119" s="34"/>
      <c r="E119" s="34"/>
      <c r="G119" s="39"/>
      <c r="H119" s="43"/>
      <c r="I119" s="41"/>
      <c r="J119" s="41"/>
      <c r="L119" s="34">
        <v>112</v>
      </c>
      <c r="M119" s="35"/>
      <c r="N119" s="35"/>
      <c r="O119" s="34">
        <f>IFERROR(SUMIF(Table447[,],Table649[[#This Row],[Accounts Name]],Table447[,3]),"")</f>
        <v>0</v>
      </c>
      <c r="P119" s="34">
        <f>IFERROR(SUMIF(Table447[,],Table649[[#This Row],[Accounts Name]],Table447[,2]),"")</f>
        <v>0</v>
      </c>
      <c r="S119" s="36">
        <f t="shared" si="1"/>
        <v>112</v>
      </c>
      <c r="T119" s="34"/>
      <c r="U119" s="37"/>
      <c r="V119" s="34">
        <f>IFERROR(SUMIF(Table649[Sub-Accounts],Table850[[#This Row],[Update your chart of accounts here]],Table649[Debit]),"")</f>
        <v>0</v>
      </c>
      <c r="W119" s="34">
        <f>IFERROR(SUMIF(Table649[Sub-Accounts],Table850[[#This Row],[Update your chart of accounts here]],Table649[Credit]),"")</f>
        <v>0</v>
      </c>
      <c r="X119" s="34"/>
      <c r="Y119" s="34"/>
      <c r="Z119" s="34"/>
      <c r="AA119" s="34"/>
      <c r="AB119" s="34">
        <f>MAX(Table850[[#This Row],[Debit]]+Table850[[#This Row],[Debit -]]-Table850[[#This Row],[Credit]]-Table850[[#This Row],[Credit +]],0)</f>
        <v>0</v>
      </c>
      <c r="AC119" s="34">
        <f>MAX(Table850[[#This Row],[Credit]]-Table850[[#This Row],[Debit]]+Table850[[#This Row],[Credit +]]-Table850[[#This Row],[Debit -]],0)</f>
        <v>0</v>
      </c>
      <c r="AD119" s="34" t="str">
        <f>IFERROR(IF(AND(OR(Table850[[#This Row],[Classification]]="Expense",Table850[[#This Row],[Classification]]="Cost of Goods Sold"),Table850[[#This Row],[Debit\]]&gt;Table850[[#This Row],[Credit.]]),Table850[[#This Row],[Debit\]]-Table850[[#This Row],[Credit.]],""),"")</f>
        <v/>
      </c>
      <c r="AE119" s="34" t="str">
        <f>IFERROR(IF(AND(OR(Table850[[#This Row],[Classification]]="Income",Table850[[#This Row],[Classification]]="Cost of Goods Sold"),Table850[[#This Row],[Credit.]]&gt;Table850[[#This Row],[Debit\]]),Table850[[#This Row],[Credit.]]-Table850[[#This Row],[Debit\]],""),"")</f>
        <v/>
      </c>
      <c r="AF119" s="34"/>
      <c r="AG119" s="34" t="str">
        <f>IFERROR(IF(AND(Table850[[#This Row],[Classification]]="Assets",Table850[[#This Row],[Debit\]]-Table850[[#This Row],[Credit.]]),Table850[[#This Row],[Debit\]]-Table850[[#This Row],[Credit.]],""),"")</f>
        <v/>
      </c>
      <c r="AH119" s="34" t="str">
        <f>IFERROR(IF(AND(OR(Table850[[#This Row],[Classification]]="Liabilities",Table850[[#This Row],[Classification]]="Owner´s Equity"),Table850[[#This Row],[Credit.]]&gt;Table850[[#This Row],[Debit\]]),Table850[[#This Row],[Credit.]]-Table850[[#This Row],[Debit\]],""),"")</f>
        <v/>
      </c>
    </row>
    <row r="120" spans="2:34" hidden="1" x14ac:dyDescent="0.25">
      <c r="B120" s="34"/>
      <c r="C120" s="45"/>
      <c r="D120" s="34"/>
      <c r="E120" s="34"/>
      <c r="G120" s="39"/>
      <c r="H120" s="40"/>
      <c r="I120" s="41"/>
      <c r="J120" s="41"/>
      <c r="L120" s="34">
        <v>113</v>
      </c>
      <c r="M120" s="35"/>
      <c r="N120" s="35"/>
      <c r="O120" s="34">
        <f>IFERROR(SUMIF(Table447[,],Table649[[#This Row],[Accounts Name]],Table447[,3]),"")</f>
        <v>0</v>
      </c>
      <c r="P120" s="34">
        <f>IFERROR(SUMIF(Table447[,],Table649[[#This Row],[Accounts Name]],Table447[,2]),"")</f>
        <v>0</v>
      </c>
      <c r="S120" s="36">
        <f t="shared" si="1"/>
        <v>113</v>
      </c>
      <c r="T120" s="34"/>
      <c r="U120" s="37"/>
      <c r="V120" s="34">
        <f>IFERROR(SUMIF(Table649[Sub-Accounts],Table850[[#This Row],[Update your chart of accounts here]],Table649[Debit]),"")</f>
        <v>0</v>
      </c>
      <c r="W120" s="34">
        <f>IFERROR(SUMIF(Table649[Sub-Accounts],Table850[[#This Row],[Update your chart of accounts here]],Table649[Credit]),"")</f>
        <v>0</v>
      </c>
      <c r="X120" s="34"/>
      <c r="Y120" s="34"/>
      <c r="Z120" s="34"/>
      <c r="AA120" s="34"/>
      <c r="AB120" s="34">
        <f>MAX(Table850[[#This Row],[Debit]]+Table850[[#This Row],[Debit -]]-Table850[[#This Row],[Credit]]-Table850[[#This Row],[Credit +]],0)</f>
        <v>0</v>
      </c>
      <c r="AC120" s="34">
        <f>MAX(Table850[[#This Row],[Credit]]-Table850[[#This Row],[Debit]]+Table850[[#This Row],[Credit +]]-Table850[[#This Row],[Debit -]],0)</f>
        <v>0</v>
      </c>
      <c r="AD120" s="34" t="str">
        <f>IFERROR(IF(AND(OR(Table850[[#This Row],[Classification]]="Expense",Table850[[#This Row],[Classification]]="Cost of Goods Sold"),Table850[[#This Row],[Debit\]]&gt;Table850[[#This Row],[Credit.]]),Table850[[#This Row],[Debit\]]-Table850[[#This Row],[Credit.]],""),"")</f>
        <v/>
      </c>
      <c r="AE120" s="34" t="str">
        <f>IFERROR(IF(AND(OR(Table850[[#This Row],[Classification]]="Income",Table850[[#This Row],[Classification]]="Cost of Goods Sold"),Table850[[#This Row],[Credit.]]&gt;Table850[[#This Row],[Debit\]]),Table850[[#This Row],[Credit.]]-Table850[[#This Row],[Debit\]],""),"")</f>
        <v/>
      </c>
      <c r="AF120" s="34"/>
      <c r="AG120" s="34" t="str">
        <f>IFERROR(IF(AND(Table850[[#This Row],[Classification]]="Assets",Table850[[#This Row],[Debit\]]-Table850[[#This Row],[Credit.]]),Table850[[#This Row],[Debit\]]-Table850[[#This Row],[Credit.]],""),"")</f>
        <v/>
      </c>
      <c r="AH120" s="34" t="str">
        <f>IFERROR(IF(AND(OR(Table850[[#This Row],[Classification]]="Liabilities",Table850[[#This Row],[Classification]]="Owner´s Equity"),Table850[[#This Row],[Credit.]]&gt;Table850[[#This Row],[Debit\]]),Table850[[#This Row],[Credit.]]-Table850[[#This Row],[Debit\]],""),"")</f>
        <v/>
      </c>
    </row>
    <row r="121" spans="2:34" hidden="1" x14ac:dyDescent="0.25">
      <c r="B121" s="34"/>
      <c r="C121" s="45"/>
      <c r="D121" s="34"/>
      <c r="E121" s="34"/>
      <c r="G121" s="39"/>
      <c r="H121" s="40"/>
      <c r="I121" s="41"/>
      <c r="J121" s="41"/>
      <c r="L121" s="34">
        <v>114</v>
      </c>
      <c r="M121" s="35"/>
      <c r="N121" s="35"/>
      <c r="O121" s="34">
        <f>IFERROR(SUMIF(Table447[,],Table649[[#This Row],[Accounts Name]],Table447[,3]),"")</f>
        <v>0</v>
      </c>
      <c r="P121" s="34">
        <f>IFERROR(SUMIF(Table447[,],Table649[[#This Row],[Accounts Name]],Table447[,2]),"")</f>
        <v>0</v>
      </c>
      <c r="S121" s="36">
        <f t="shared" si="1"/>
        <v>114</v>
      </c>
      <c r="T121" s="34"/>
      <c r="U121" s="37"/>
      <c r="V121" s="34">
        <f>IFERROR(SUMIF(Table649[Sub-Accounts],Table850[[#This Row],[Update your chart of accounts here]],Table649[Debit]),"")</f>
        <v>0</v>
      </c>
      <c r="W121" s="34">
        <f>IFERROR(SUMIF(Table649[Sub-Accounts],Table850[[#This Row],[Update your chart of accounts here]],Table649[Credit]),"")</f>
        <v>0</v>
      </c>
      <c r="X121" s="34"/>
      <c r="Y121" s="34"/>
      <c r="Z121" s="34"/>
      <c r="AA121" s="34"/>
      <c r="AB121" s="34">
        <f>MAX(Table850[[#This Row],[Debit]]+Table850[[#This Row],[Debit -]]-Table850[[#This Row],[Credit]]-Table850[[#This Row],[Credit +]],0)</f>
        <v>0</v>
      </c>
      <c r="AC121" s="34">
        <f>MAX(Table850[[#This Row],[Credit]]-Table850[[#This Row],[Debit]]+Table850[[#This Row],[Credit +]]-Table850[[#This Row],[Debit -]],0)</f>
        <v>0</v>
      </c>
      <c r="AD121" s="34" t="str">
        <f>IFERROR(IF(AND(OR(Table850[[#This Row],[Classification]]="Expense",Table850[[#This Row],[Classification]]="Cost of Goods Sold"),Table850[[#This Row],[Debit\]]&gt;Table850[[#This Row],[Credit.]]),Table850[[#This Row],[Debit\]]-Table850[[#This Row],[Credit.]],""),"")</f>
        <v/>
      </c>
      <c r="AE121" s="34" t="str">
        <f>IFERROR(IF(AND(OR(Table850[[#This Row],[Classification]]="Income",Table850[[#This Row],[Classification]]="Cost of Goods Sold"),Table850[[#This Row],[Credit.]]&gt;Table850[[#This Row],[Debit\]]),Table850[[#This Row],[Credit.]]-Table850[[#This Row],[Debit\]],""),"")</f>
        <v/>
      </c>
      <c r="AF121" s="34"/>
      <c r="AG121" s="34" t="str">
        <f>IFERROR(IF(AND(Table850[[#This Row],[Classification]]="Assets",Table850[[#This Row],[Debit\]]-Table850[[#This Row],[Credit.]]),Table850[[#This Row],[Debit\]]-Table850[[#This Row],[Credit.]],""),"")</f>
        <v/>
      </c>
      <c r="AH121" s="34" t="str">
        <f>IFERROR(IF(AND(OR(Table850[[#This Row],[Classification]]="Liabilities",Table850[[#This Row],[Classification]]="Owner´s Equity"),Table850[[#This Row],[Credit.]]&gt;Table850[[#This Row],[Debit\]]),Table850[[#This Row],[Credit.]]-Table850[[#This Row],[Debit\]],""),"")</f>
        <v/>
      </c>
    </row>
    <row r="122" spans="2:34" hidden="1" x14ac:dyDescent="0.25">
      <c r="B122" s="34"/>
      <c r="C122" s="45"/>
      <c r="D122" s="34"/>
      <c r="E122" s="34"/>
      <c r="G122" s="39"/>
      <c r="H122" s="43"/>
      <c r="I122" s="41"/>
      <c r="J122" s="41"/>
      <c r="L122" s="34">
        <v>115</v>
      </c>
      <c r="M122" s="35"/>
      <c r="N122" s="35"/>
      <c r="O122" s="34">
        <f>IFERROR(SUMIF(Table447[,],Table649[[#This Row],[Accounts Name]],Table447[,3]),"")</f>
        <v>0</v>
      </c>
      <c r="P122" s="34">
        <f>IFERROR(SUMIF(Table447[,],Table649[[#This Row],[Accounts Name]],Table447[,2]),"")</f>
        <v>0</v>
      </c>
      <c r="S122" s="36">
        <f t="shared" si="1"/>
        <v>115</v>
      </c>
      <c r="T122" s="34"/>
      <c r="U122" s="37"/>
      <c r="V122" s="34">
        <f>IFERROR(SUMIF(Table649[Sub-Accounts],Table850[[#This Row],[Update your chart of accounts here]],Table649[Debit]),"")</f>
        <v>0</v>
      </c>
      <c r="W122" s="34">
        <f>IFERROR(SUMIF(Table649[Sub-Accounts],Table850[[#This Row],[Update your chart of accounts here]],Table649[Credit]),"")</f>
        <v>0</v>
      </c>
      <c r="X122" s="34"/>
      <c r="Y122" s="34"/>
      <c r="Z122" s="34"/>
      <c r="AA122" s="34"/>
      <c r="AB122" s="34">
        <f>MAX(Table850[[#This Row],[Debit]]+Table850[[#This Row],[Debit -]]-Table850[[#This Row],[Credit]]-Table850[[#This Row],[Credit +]],0)</f>
        <v>0</v>
      </c>
      <c r="AC122" s="34">
        <f>MAX(Table850[[#This Row],[Credit]]-Table850[[#This Row],[Debit]]+Table850[[#This Row],[Credit +]]-Table850[[#This Row],[Debit -]],0)</f>
        <v>0</v>
      </c>
      <c r="AD122" s="34" t="str">
        <f>IFERROR(IF(AND(OR(Table850[[#This Row],[Classification]]="Expense",Table850[[#This Row],[Classification]]="Cost of Goods Sold"),Table850[[#This Row],[Debit\]]&gt;Table850[[#This Row],[Credit.]]),Table850[[#This Row],[Debit\]]-Table850[[#This Row],[Credit.]],""),"")</f>
        <v/>
      </c>
      <c r="AE122" s="34" t="str">
        <f>IFERROR(IF(AND(OR(Table850[[#This Row],[Classification]]="Income",Table850[[#This Row],[Classification]]="Cost of Goods Sold"),Table850[[#This Row],[Credit.]]&gt;Table850[[#This Row],[Debit\]]),Table850[[#This Row],[Credit.]]-Table850[[#This Row],[Debit\]],""),"")</f>
        <v/>
      </c>
      <c r="AF122" s="34"/>
      <c r="AG122" s="34" t="str">
        <f>IFERROR(IF(AND(Table850[[#This Row],[Classification]]="Assets",Table850[[#This Row],[Debit\]]-Table850[[#This Row],[Credit.]]),Table850[[#This Row],[Debit\]]-Table850[[#This Row],[Credit.]],""),"")</f>
        <v/>
      </c>
      <c r="AH122" s="34" t="str">
        <f>IFERROR(IF(AND(OR(Table850[[#This Row],[Classification]]="Liabilities",Table850[[#This Row],[Classification]]="Owner´s Equity"),Table850[[#This Row],[Credit.]]&gt;Table850[[#This Row],[Debit\]]),Table850[[#This Row],[Credit.]]-Table850[[#This Row],[Debit\]],""),"")</f>
        <v/>
      </c>
    </row>
    <row r="123" spans="2:34" hidden="1" x14ac:dyDescent="0.25">
      <c r="B123" s="34"/>
      <c r="C123" s="45"/>
      <c r="D123" s="34"/>
      <c r="E123" s="34"/>
      <c r="G123" s="39"/>
      <c r="H123" s="40"/>
      <c r="I123" s="41"/>
      <c r="J123" s="41"/>
      <c r="L123" s="34">
        <v>116</v>
      </c>
      <c r="M123" s="35"/>
      <c r="N123" s="35"/>
      <c r="O123" s="34">
        <f>IFERROR(SUMIF(Table447[,],Table649[[#This Row],[Accounts Name]],Table447[,3]),"")</f>
        <v>0</v>
      </c>
      <c r="P123" s="34">
        <f>IFERROR(SUMIF(Table447[,],Table649[[#This Row],[Accounts Name]],Table447[,2]),"")</f>
        <v>0</v>
      </c>
      <c r="S123" s="36">
        <f t="shared" si="1"/>
        <v>116</v>
      </c>
      <c r="T123" s="34"/>
      <c r="U123" s="37"/>
      <c r="V123" s="34">
        <f>IFERROR(SUMIF(Table649[Sub-Accounts],Table850[[#This Row],[Update your chart of accounts here]],Table649[Debit]),"")</f>
        <v>0</v>
      </c>
      <c r="W123" s="34">
        <f>IFERROR(SUMIF(Table649[Sub-Accounts],Table850[[#This Row],[Update your chart of accounts here]],Table649[Credit]),"")</f>
        <v>0</v>
      </c>
      <c r="X123" s="34"/>
      <c r="Y123" s="34"/>
      <c r="Z123" s="34"/>
      <c r="AA123" s="34"/>
      <c r="AB123" s="34">
        <f>MAX(Table850[[#This Row],[Debit]]+Table850[[#This Row],[Debit -]]-Table850[[#This Row],[Credit]]-Table850[[#This Row],[Credit +]],0)</f>
        <v>0</v>
      </c>
      <c r="AC123" s="34">
        <f>MAX(Table850[[#This Row],[Credit]]-Table850[[#This Row],[Debit]]+Table850[[#This Row],[Credit +]]-Table850[[#This Row],[Debit -]],0)</f>
        <v>0</v>
      </c>
      <c r="AD123" s="34" t="str">
        <f>IFERROR(IF(AND(OR(Table850[[#This Row],[Classification]]="Expense",Table850[[#This Row],[Classification]]="Cost of Goods Sold"),Table850[[#This Row],[Debit\]]&gt;Table850[[#This Row],[Credit.]]),Table850[[#This Row],[Debit\]]-Table850[[#This Row],[Credit.]],""),"")</f>
        <v/>
      </c>
      <c r="AE123" s="34" t="str">
        <f>IFERROR(IF(AND(OR(Table850[[#This Row],[Classification]]="Income",Table850[[#This Row],[Classification]]="Cost of Goods Sold"),Table850[[#This Row],[Credit.]]&gt;Table850[[#This Row],[Debit\]]),Table850[[#This Row],[Credit.]]-Table850[[#This Row],[Debit\]],""),"")</f>
        <v/>
      </c>
      <c r="AF123" s="34"/>
      <c r="AG123" s="34" t="str">
        <f>IFERROR(IF(AND(Table850[[#This Row],[Classification]]="Assets",Table850[[#This Row],[Debit\]]-Table850[[#This Row],[Credit.]]),Table850[[#This Row],[Debit\]]-Table850[[#This Row],[Credit.]],""),"")</f>
        <v/>
      </c>
      <c r="AH123" s="34" t="str">
        <f>IFERROR(IF(AND(OR(Table850[[#This Row],[Classification]]="Liabilities",Table850[[#This Row],[Classification]]="Owner´s Equity"),Table850[[#This Row],[Credit.]]&gt;Table850[[#This Row],[Debit\]]),Table850[[#This Row],[Credit.]]-Table850[[#This Row],[Debit\]],""),"")</f>
        <v/>
      </c>
    </row>
    <row r="124" spans="2:34" hidden="1" x14ac:dyDescent="0.25">
      <c r="B124" s="34"/>
      <c r="C124" s="45"/>
      <c r="D124" s="34"/>
      <c r="E124" s="34"/>
      <c r="G124" s="39"/>
      <c r="H124" s="40"/>
      <c r="I124" s="41"/>
      <c r="J124" s="41"/>
      <c r="L124" s="34">
        <v>117</v>
      </c>
      <c r="M124" s="35"/>
      <c r="N124" s="35"/>
      <c r="O124" s="34">
        <f>IFERROR(SUMIF(Table447[,],Table649[[#This Row],[Accounts Name]],Table447[,3]),"")</f>
        <v>0</v>
      </c>
      <c r="P124" s="34">
        <f>IFERROR(SUMIF(Table447[,],Table649[[#This Row],[Accounts Name]],Table447[,2]),"")</f>
        <v>0</v>
      </c>
      <c r="S124" s="36">
        <f t="shared" si="1"/>
        <v>117</v>
      </c>
      <c r="T124" s="34"/>
      <c r="U124" s="37"/>
      <c r="V124" s="34">
        <f>IFERROR(SUMIF(Table649[Sub-Accounts],Table850[[#This Row],[Update your chart of accounts here]],Table649[Debit]),"")</f>
        <v>0</v>
      </c>
      <c r="W124" s="34">
        <f>IFERROR(SUMIF(Table649[Sub-Accounts],Table850[[#This Row],[Update your chart of accounts here]],Table649[Credit]),"")</f>
        <v>0</v>
      </c>
      <c r="X124" s="34"/>
      <c r="Y124" s="34"/>
      <c r="Z124" s="34"/>
      <c r="AA124" s="34"/>
      <c r="AB124" s="34">
        <f>MAX(Table850[[#This Row],[Debit]]+Table850[[#This Row],[Debit -]]-Table850[[#This Row],[Credit]]-Table850[[#This Row],[Credit +]],0)</f>
        <v>0</v>
      </c>
      <c r="AC124" s="34">
        <f>MAX(Table850[[#This Row],[Credit]]-Table850[[#This Row],[Debit]]+Table850[[#This Row],[Credit +]]-Table850[[#This Row],[Debit -]],0)</f>
        <v>0</v>
      </c>
      <c r="AD124" s="34" t="str">
        <f>IFERROR(IF(AND(OR(Table850[[#This Row],[Classification]]="Expense",Table850[[#This Row],[Classification]]="Cost of Goods Sold"),Table850[[#This Row],[Debit\]]&gt;Table850[[#This Row],[Credit.]]),Table850[[#This Row],[Debit\]]-Table850[[#This Row],[Credit.]],""),"")</f>
        <v/>
      </c>
      <c r="AE124" s="34" t="str">
        <f>IFERROR(IF(AND(OR(Table850[[#This Row],[Classification]]="Income",Table850[[#This Row],[Classification]]="Cost of Goods Sold"),Table850[[#This Row],[Credit.]]&gt;Table850[[#This Row],[Debit\]]),Table850[[#This Row],[Credit.]]-Table850[[#This Row],[Debit\]],""),"")</f>
        <v/>
      </c>
      <c r="AF124" s="34"/>
      <c r="AG124" s="34" t="str">
        <f>IFERROR(IF(AND(Table850[[#This Row],[Classification]]="Assets",Table850[[#This Row],[Debit\]]-Table850[[#This Row],[Credit.]]),Table850[[#This Row],[Debit\]]-Table850[[#This Row],[Credit.]],""),"")</f>
        <v/>
      </c>
      <c r="AH124" s="34" t="str">
        <f>IFERROR(IF(AND(OR(Table850[[#This Row],[Classification]]="Liabilities",Table850[[#This Row],[Classification]]="Owner´s Equity"),Table850[[#This Row],[Credit.]]&gt;Table850[[#This Row],[Debit\]]),Table850[[#This Row],[Credit.]]-Table850[[#This Row],[Debit\]],""),"")</f>
        <v/>
      </c>
    </row>
    <row r="125" spans="2:34" hidden="1" x14ac:dyDescent="0.25">
      <c r="B125" s="34"/>
      <c r="C125" s="45"/>
      <c r="D125" s="34"/>
      <c r="E125" s="34"/>
      <c r="G125" s="39"/>
      <c r="H125" s="43"/>
      <c r="I125" s="41"/>
      <c r="J125" s="41"/>
      <c r="L125" s="34">
        <v>118</v>
      </c>
      <c r="M125" s="35"/>
      <c r="N125" s="35"/>
      <c r="O125" s="34">
        <f>IFERROR(SUMIF(Table447[,],Table649[[#This Row],[Accounts Name]],Table447[,3]),"")</f>
        <v>0</v>
      </c>
      <c r="P125" s="34">
        <f>IFERROR(SUMIF(Table447[,],Table649[[#This Row],[Accounts Name]],Table447[,2]),"")</f>
        <v>0</v>
      </c>
      <c r="S125" s="36">
        <f t="shared" si="1"/>
        <v>118</v>
      </c>
      <c r="T125" s="34"/>
      <c r="U125" s="37"/>
      <c r="V125" s="34">
        <f>IFERROR(SUMIF(Table649[Sub-Accounts],Table850[[#This Row],[Update your chart of accounts here]],Table649[Debit]),"")</f>
        <v>0</v>
      </c>
      <c r="W125" s="34">
        <f>IFERROR(SUMIF(Table649[Sub-Accounts],Table850[[#This Row],[Update your chart of accounts here]],Table649[Credit]),"")</f>
        <v>0</v>
      </c>
      <c r="X125" s="34"/>
      <c r="Y125" s="34"/>
      <c r="Z125" s="34"/>
      <c r="AA125" s="34"/>
      <c r="AB125" s="34">
        <f>MAX(Table850[[#This Row],[Debit]]+Table850[[#This Row],[Debit -]]-Table850[[#This Row],[Credit]]-Table850[[#This Row],[Credit +]],0)</f>
        <v>0</v>
      </c>
      <c r="AC125" s="34">
        <f>MAX(Table850[[#This Row],[Credit]]-Table850[[#This Row],[Debit]]+Table850[[#This Row],[Credit +]]-Table850[[#This Row],[Debit -]],0)</f>
        <v>0</v>
      </c>
      <c r="AD125" s="34" t="str">
        <f>IFERROR(IF(AND(OR(Table850[[#This Row],[Classification]]="Expense",Table850[[#This Row],[Classification]]="Cost of Goods Sold"),Table850[[#This Row],[Debit\]]&gt;Table850[[#This Row],[Credit.]]),Table850[[#This Row],[Debit\]]-Table850[[#This Row],[Credit.]],""),"")</f>
        <v/>
      </c>
      <c r="AE125" s="34" t="str">
        <f>IFERROR(IF(AND(OR(Table850[[#This Row],[Classification]]="Income",Table850[[#This Row],[Classification]]="Cost of Goods Sold"),Table850[[#This Row],[Credit.]]&gt;Table850[[#This Row],[Debit\]]),Table850[[#This Row],[Credit.]]-Table850[[#This Row],[Debit\]],""),"")</f>
        <v/>
      </c>
      <c r="AF125" s="34"/>
      <c r="AG125" s="34" t="str">
        <f>IFERROR(IF(AND(Table850[[#This Row],[Classification]]="Assets",Table850[[#This Row],[Debit\]]-Table850[[#This Row],[Credit.]]),Table850[[#This Row],[Debit\]]-Table850[[#This Row],[Credit.]],""),"")</f>
        <v/>
      </c>
      <c r="AH125" s="34" t="str">
        <f>IFERROR(IF(AND(OR(Table850[[#This Row],[Classification]]="Liabilities",Table850[[#This Row],[Classification]]="Owner´s Equity"),Table850[[#This Row],[Credit.]]&gt;Table850[[#This Row],[Debit\]]),Table850[[#This Row],[Credit.]]-Table850[[#This Row],[Debit\]],""),"")</f>
        <v/>
      </c>
    </row>
    <row r="126" spans="2:34" hidden="1" x14ac:dyDescent="0.25">
      <c r="B126" s="34"/>
      <c r="C126" s="45"/>
      <c r="D126" s="34"/>
      <c r="E126" s="34"/>
      <c r="G126" s="39"/>
      <c r="H126" s="40"/>
      <c r="I126" s="41"/>
      <c r="J126" s="41"/>
      <c r="L126" s="34">
        <v>119</v>
      </c>
      <c r="M126" s="35"/>
      <c r="N126" s="35"/>
      <c r="O126" s="34">
        <f>IFERROR(SUMIF(Table447[,],Table649[[#This Row],[Accounts Name]],Table447[,3]),"")</f>
        <v>0</v>
      </c>
      <c r="P126" s="34">
        <f>IFERROR(SUMIF(Table447[,],Table649[[#This Row],[Accounts Name]],Table447[,2]),"")</f>
        <v>0</v>
      </c>
      <c r="S126" s="36">
        <f t="shared" si="1"/>
        <v>119</v>
      </c>
      <c r="T126" s="34"/>
      <c r="U126" s="37"/>
      <c r="V126" s="34">
        <f>IFERROR(SUMIF(Table649[Sub-Accounts],Table850[[#This Row],[Update your chart of accounts here]],Table649[Debit]),"")</f>
        <v>0</v>
      </c>
      <c r="W126" s="34">
        <f>IFERROR(SUMIF(Table649[Sub-Accounts],Table850[[#This Row],[Update your chart of accounts here]],Table649[Credit]),"")</f>
        <v>0</v>
      </c>
      <c r="X126" s="34"/>
      <c r="Y126" s="34"/>
      <c r="Z126" s="34"/>
      <c r="AA126" s="34"/>
      <c r="AB126" s="34">
        <f>MAX(Table850[[#This Row],[Debit]]+Table850[[#This Row],[Debit -]]-Table850[[#This Row],[Credit]]-Table850[[#This Row],[Credit +]],0)</f>
        <v>0</v>
      </c>
      <c r="AC126" s="34">
        <f>MAX(Table850[[#This Row],[Credit]]-Table850[[#This Row],[Debit]]+Table850[[#This Row],[Credit +]]-Table850[[#This Row],[Debit -]],0)</f>
        <v>0</v>
      </c>
      <c r="AD126" s="34" t="str">
        <f>IFERROR(IF(AND(OR(Table850[[#This Row],[Classification]]="Expense",Table850[[#This Row],[Classification]]="Cost of Goods Sold"),Table850[[#This Row],[Debit\]]&gt;Table850[[#This Row],[Credit.]]),Table850[[#This Row],[Debit\]]-Table850[[#This Row],[Credit.]],""),"")</f>
        <v/>
      </c>
      <c r="AE126" s="34" t="str">
        <f>IFERROR(IF(AND(OR(Table850[[#This Row],[Classification]]="Income",Table850[[#This Row],[Classification]]="Cost of Goods Sold"),Table850[[#This Row],[Credit.]]&gt;Table850[[#This Row],[Debit\]]),Table850[[#This Row],[Credit.]]-Table850[[#This Row],[Debit\]],""),"")</f>
        <v/>
      </c>
      <c r="AF126" s="34"/>
      <c r="AG126" s="34" t="str">
        <f>IFERROR(IF(AND(Table850[[#This Row],[Classification]]="Assets",Table850[[#This Row],[Debit\]]-Table850[[#This Row],[Credit.]]),Table850[[#This Row],[Debit\]]-Table850[[#This Row],[Credit.]],""),"")</f>
        <v/>
      </c>
      <c r="AH126" s="34" t="str">
        <f>IFERROR(IF(AND(OR(Table850[[#This Row],[Classification]]="Liabilities",Table850[[#This Row],[Classification]]="Owner´s Equity"),Table850[[#This Row],[Credit.]]&gt;Table850[[#This Row],[Debit\]]),Table850[[#This Row],[Credit.]]-Table850[[#This Row],[Debit\]],""),"")</f>
        <v/>
      </c>
    </row>
    <row r="127" spans="2:34" hidden="1" x14ac:dyDescent="0.25">
      <c r="B127" s="34"/>
      <c r="C127" s="45"/>
      <c r="D127" s="34"/>
      <c r="E127" s="34"/>
      <c r="G127" s="39"/>
      <c r="H127" s="40"/>
      <c r="I127" s="41"/>
      <c r="J127" s="41"/>
      <c r="L127" s="34">
        <v>120</v>
      </c>
      <c r="M127" s="35"/>
      <c r="N127" s="35"/>
      <c r="O127" s="34">
        <f>IFERROR(SUMIF(Table447[,],Table649[[#This Row],[Accounts Name]],Table447[,3]),"")</f>
        <v>0</v>
      </c>
      <c r="P127" s="34">
        <f>IFERROR(SUMIF(Table447[,],Table649[[#This Row],[Accounts Name]],Table447[,2]),"")</f>
        <v>0</v>
      </c>
      <c r="S127" s="36">
        <f t="shared" si="1"/>
        <v>120</v>
      </c>
      <c r="T127" s="34"/>
      <c r="U127" s="37"/>
      <c r="V127" s="34">
        <f>IFERROR(SUMIF(Table649[Sub-Accounts],Table850[[#This Row],[Update your chart of accounts here]],Table649[Debit]),"")</f>
        <v>0</v>
      </c>
      <c r="W127" s="34">
        <f>IFERROR(SUMIF(Table649[Sub-Accounts],Table850[[#This Row],[Update your chart of accounts here]],Table649[Credit]),"")</f>
        <v>0</v>
      </c>
      <c r="X127" s="34"/>
      <c r="Y127" s="34"/>
      <c r="Z127" s="34"/>
      <c r="AA127" s="34"/>
      <c r="AB127" s="34">
        <f>MAX(Table850[[#This Row],[Debit]]+Table850[[#This Row],[Debit -]]-Table850[[#This Row],[Credit]]-Table850[[#This Row],[Credit +]],0)</f>
        <v>0</v>
      </c>
      <c r="AC127" s="34">
        <f>MAX(Table850[[#This Row],[Credit]]-Table850[[#This Row],[Debit]]+Table850[[#This Row],[Credit +]]-Table850[[#This Row],[Debit -]],0)</f>
        <v>0</v>
      </c>
      <c r="AD127" s="34" t="str">
        <f>IFERROR(IF(AND(OR(Table850[[#This Row],[Classification]]="Expense",Table850[[#This Row],[Classification]]="Cost of Goods Sold"),Table850[[#This Row],[Debit\]]&gt;Table850[[#This Row],[Credit.]]),Table850[[#This Row],[Debit\]]-Table850[[#This Row],[Credit.]],""),"")</f>
        <v/>
      </c>
      <c r="AE127" s="34" t="str">
        <f>IFERROR(IF(AND(OR(Table850[[#This Row],[Classification]]="Income",Table850[[#This Row],[Classification]]="Cost of Goods Sold"),Table850[[#This Row],[Credit.]]&gt;Table850[[#This Row],[Debit\]]),Table850[[#This Row],[Credit.]]-Table850[[#This Row],[Debit\]],""),"")</f>
        <v/>
      </c>
      <c r="AF127" s="34"/>
      <c r="AG127" s="34" t="str">
        <f>IFERROR(IF(AND(Table850[[#This Row],[Classification]]="Assets",Table850[[#This Row],[Debit\]]-Table850[[#This Row],[Credit.]]),Table850[[#This Row],[Debit\]]-Table850[[#This Row],[Credit.]],""),"")</f>
        <v/>
      </c>
      <c r="AH127" s="34" t="str">
        <f>IFERROR(IF(AND(OR(Table850[[#This Row],[Classification]]="Liabilities",Table850[[#This Row],[Classification]]="Owner´s Equity"),Table850[[#This Row],[Credit.]]&gt;Table850[[#This Row],[Debit\]]),Table850[[#This Row],[Credit.]]-Table850[[#This Row],[Debit\]],""),"")</f>
        <v/>
      </c>
    </row>
    <row r="128" spans="2:34" hidden="1" x14ac:dyDescent="0.25">
      <c r="B128" s="34"/>
      <c r="C128" s="45"/>
      <c r="D128" s="34"/>
      <c r="E128" s="34"/>
      <c r="G128" s="39"/>
      <c r="H128" s="43"/>
      <c r="I128" s="41"/>
      <c r="J128" s="41"/>
      <c r="L128" s="34">
        <v>121</v>
      </c>
      <c r="M128" s="35"/>
      <c r="N128" s="35"/>
      <c r="O128" s="34">
        <f>IFERROR(SUMIF(Table447[,],Table649[[#This Row],[Accounts Name]],Table447[,3]),"")</f>
        <v>0</v>
      </c>
      <c r="P128" s="34">
        <f>IFERROR(SUMIF(Table447[,],Table649[[#This Row],[Accounts Name]],Table447[,2]),"")</f>
        <v>0</v>
      </c>
      <c r="S128" s="36">
        <f t="shared" si="1"/>
        <v>121</v>
      </c>
      <c r="T128" s="34"/>
      <c r="U128" s="37"/>
      <c r="V128" s="34">
        <f>IFERROR(SUMIF(Table649[Sub-Accounts],Table850[[#This Row],[Update your chart of accounts here]],Table649[Debit]),"")</f>
        <v>0</v>
      </c>
      <c r="W128" s="34">
        <f>IFERROR(SUMIF(Table649[Sub-Accounts],Table850[[#This Row],[Update your chart of accounts here]],Table649[Credit]),"")</f>
        <v>0</v>
      </c>
      <c r="X128" s="34"/>
      <c r="Y128" s="34"/>
      <c r="Z128" s="34"/>
      <c r="AA128" s="34"/>
      <c r="AB128" s="34">
        <f>MAX(Table850[[#This Row],[Debit]]+Table850[[#This Row],[Debit -]]-Table850[[#This Row],[Credit]]-Table850[[#This Row],[Credit +]],0)</f>
        <v>0</v>
      </c>
      <c r="AC128" s="34">
        <f>MAX(Table850[[#This Row],[Credit]]-Table850[[#This Row],[Debit]]+Table850[[#This Row],[Credit +]]-Table850[[#This Row],[Debit -]],0)</f>
        <v>0</v>
      </c>
      <c r="AD128" s="34" t="str">
        <f>IFERROR(IF(AND(OR(Table850[[#This Row],[Classification]]="Expense",Table850[[#This Row],[Classification]]="Cost of Goods Sold"),Table850[[#This Row],[Debit\]]&gt;Table850[[#This Row],[Credit.]]),Table850[[#This Row],[Debit\]]-Table850[[#This Row],[Credit.]],""),"")</f>
        <v/>
      </c>
      <c r="AE128" s="34" t="str">
        <f>IFERROR(IF(AND(OR(Table850[[#This Row],[Classification]]="Income",Table850[[#This Row],[Classification]]="Cost of Goods Sold"),Table850[[#This Row],[Credit.]]&gt;Table850[[#This Row],[Debit\]]),Table850[[#This Row],[Credit.]]-Table850[[#This Row],[Debit\]],""),"")</f>
        <v/>
      </c>
      <c r="AF128" s="34"/>
      <c r="AG128" s="34" t="str">
        <f>IFERROR(IF(AND(Table850[[#This Row],[Classification]]="Assets",Table850[[#This Row],[Debit\]]-Table850[[#This Row],[Credit.]]),Table850[[#This Row],[Debit\]]-Table850[[#This Row],[Credit.]],""),"")</f>
        <v/>
      </c>
      <c r="AH128" s="34" t="str">
        <f>IFERROR(IF(AND(OR(Table850[[#This Row],[Classification]]="Liabilities",Table850[[#This Row],[Classification]]="Owner´s Equity"),Table850[[#This Row],[Credit.]]&gt;Table850[[#This Row],[Debit\]]),Table850[[#This Row],[Credit.]]-Table850[[#This Row],[Debit\]],""),"")</f>
        <v/>
      </c>
    </row>
    <row r="129" spans="2:34" hidden="1" x14ac:dyDescent="0.25">
      <c r="B129" s="34"/>
      <c r="C129" s="45"/>
      <c r="D129" s="34"/>
      <c r="E129" s="34"/>
      <c r="G129" s="39"/>
      <c r="H129" s="40"/>
      <c r="I129" s="41"/>
      <c r="J129" s="41"/>
      <c r="L129" s="34">
        <v>122</v>
      </c>
      <c r="M129" s="35"/>
      <c r="N129" s="35"/>
      <c r="O129" s="34">
        <f>IFERROR(SUMIF(Table447[,],Table649[[#This Row],[Accounts Name]],Table447[,3]),"")</f>
        <v>0</v>
      </c>
      <c r="P129" s="34">
        <f>IFERROR(SUMIF(Table447[,],Table649[[#This Row],[Accounts Name]],Table447[,2]),"")</f>
        <v>0</v>
      </c>
      <c r="S129" s="36">
        <f t="shared" si="1"/>
        <v>122</v>
      </c>
      <c r="T129" s="34"/>
      <c r="U129" s="37"/>
      <c r="V129" s="34">
        <f>IFERROR(SUMIF(Table649[Sub-Accounts],Table850[[#This Row],[Update your chart of accounts here]],Table649[Debit]),"")</f>
        <v>0</v>
      </c>
      <c r="W129" s="34">
        <f>IFERROR(SUMIF(Table649[Sub-Accounts],Table850[[#This Row],[Update your chart of accounts here]],Table649[Credit]),"")</f>
        <v>0</v>
      </c>
      <c r="X129" s="34"/>
      <c r="Y129" s="34"/>
      <c r="Z129" s="34"/>
      <c r="AA129" s="34"/>
      <c r="AB129" s="34">
        <f>MAX(Table850[[#This Row],[Debit]]+Table850[[#This Row],[Debit -]]-Table850[[#This Row],[Credit]]-Table850[[#This Row],[Credit +]],0)</f>
        <v>0</v>
      </c>
      <c r="AC129" s="34">
        <f>MAX(Table850[[#This Row],[Credit]]-Table850[[#This Row],[Debit]]+Table850[[#This Row],[Credit +]]-Table850[[#This Row],[Debit -]],0)</f>
        <v>0</v>
      </c>
      <c r="AD129" s="34" t="str">
        <f>IFERROR(IF(AND(OR(Table850[[#This Row],[Classification]]="Expense",Table850[[#This Row],[Classification]]="Cost of Goods Sold"),Table850[[#This Row],[Debit\]]&gt;Table850[[#This Row],[Credit.]]),Table850[[#This Row],[Debit\]]-Table850[[#This Row],[Credit.]],""),"")</f>
        <v/>
      </c>
      <c r="AE129" s="34" t="str">
        <f>IFERROR(IF(AND(OR(Table850[[#This Row],[Classification]]="Income",Table850[[#This Row],[Classification]]="Cost of Goods Sold"),Table850[[#This Row],[Credit.]]&gt;Table850[[#This Row],[Debit\]]),Table850[[#This Row],[Credit.]]-Table850[[#This Row],[Debit\]],""),"")</f>
        <v/>
      </c>
      <c r="AF129" s="34"/>
      <c r="AG129" s="34" t="str">
        <f>IFERROR(IF(AND(Table850[[#This Row],[Classification]]="Assets",Table850[[#This Row],[Debit\]]-Table850[[#This Row],[Credit.]]),Table850[[#This Row],[Debit\]]-Table850[[#This Row],[Credit.]],""),"")</f>
        <v/>
      </c>
      <c r="AH129" s="34" t="str">
        <f>IFERROR(IF(AND(OR(Table850[[#This Row],[Classification]]="Liabilities",Table850[[#This Row],[Classification]]="Owner´s Equity"),Table850[[#This Row],[Credit.]]&gt;Table850[[#This Row],[Debit\]]),Table850[[#This Row],[Credit.]]-Table850[[#This Row],[Debit\]],""),"")</f>
        <v/>
      </c>
    </row>
    <row r="130" spans="2:34" hidden="1" x14ac:dyDescent="0.25">
      <c r="B130" s="34"/>
      <c r="C130" s="45"/>
      <c r="D130" s="34"/>
      <c r="E130" s="34"/>
      <c r="G130" s="39"/>
      <c r="H130" s="40"/>
      <c r="I130" s="41"/>
      <c r="J130" s="41"/>
      <c r="L130" s="34">
        <v>123</v>
      </c>
      <c r="M130" s="35"/>
      <c r="N130" s="35"/>
      <c r="O130" s="34">
        <f>IFERROR(SUMIF(Table447[,],Table649[[#This Row],[Accounts Name]],Table447[,3]),"")</f>
        <v>0</v>
      </c>
      <c r="P130" s="34">
        <f>IFERROR(SUMIF(Table447[,],Table649[[#This Row],[Accounts Name]],Table447[,2]),"")</f>
        <v>0</v>
      </c>
      <c r="S130" s="36">
        <f t="shared" si="1"/>
        <v>123</v>
      </c>
      <c r="T130" s="34"/>
      <c r="U130" s="37"/>
      <c r="V130" s="34">
        <f>IFERROR(SUMIF(Table649[Sub-Accounts],Table850[[#This Row],[Update your chart of accounts here]],Table649[Debit]),"")</f>
        <v>0</v>
      </c>
      <c r="W130" s="34">
        <f>IFERROR(SUMIF(Table649[Sub-Accounts],Table850[[#This Row],[Update your chart of accounts here]],Table649[Credit]),"")</f>
        <v>0</v>
      </c>
      <c r="X130" s="34"/>
      <c r="Y130" s="34"/>
      <c r="Z130" s="34"/>
      <c r="AA130" s="34"/>
      <c r="AB130" s="34">
        <f>MAX(Table850[[#This Row],[Debit]]+Table850[[#This Row],[Debit -]]-Table850[[#This Row],[Credit]]-Table850[[#This Row],[Credit +]],0)</f>
        <v>0</v>
      </c>
      <c r="AC130" s="34">
        <f>MAX(Table850[[#This Row],[Credit]]-Table850[[#This Row],[Debit]]+Table850[[#This Row],[Credit +]]-Table850[[#This Row],[Debit -]],0)</f>
        <v>0</v>
      </c>
      <c r="AD130" s="34" t="str">
        <f>IFERROR(IF(AND(OR(Table850[[#This Row],[Classification]]="Expense",Table850[[#This Row],[Classification]]="Cost of Goods Sold"),Table850[[#This Row],[Debit\]]&gt;Table850[[#This Row],[Credit.]]),Table850[[#This Row],[Debit\]]-Table850[[#This Row],[Credit.]],""),"")</f>
        <v/>
      </c>
      <c r="AE130" s="34" t="str">
        <f>IFERROR(IF(AND(OR(Table850[[#This Row],[Classification]]="Income",Table850[[#This Row],[Classification]]="Cost of Goods Sold"),Table850[[#This Row],[Credit.]]&gt;Table850[[#This Row],[Debit\]]),Table850[[#This Row],[Credit.]]-Table850[[#This Row],[Debit\]],""),"")</f>
        <v/>
      </c>
      <c r="AF130" s="34"/>
      <c r="AG130" s="34" t="str">
        <f>IFERROR(IF(AND(Table850[[#This Row],[Classification]]="Assets",Table850[[#This Row],[Debit\]]-Table850[[#This Row],[Credit.]]),Table850[[#This Row],[Debit\]]-Table850[[#This Row],[Credit.]],""),"")</f>
        <v/>
      </c>
      <c r="AH130" s="34" t="str">
        <f>IFERROR(IF(AND(OR(Table850[[#This Row],[Classification]]="Liabilities",Table850[[#This Row],[Classification]]="Owner´s Equity"),Table850[[#This Row],[Credit.]]&gt;Table850[[#This Row],[Debit\]]),Table850[[#This Row],[Credit.]]-Table850[[#This Row],[Debit\]],""),"")</f>
        <v/>
      </c>
    </row>
    <row r="131" spans="2:34" hidden="1" x14ac:dyDescent="0.25">
      <c r="B131" s="34"/>
      <c r="C131" s="45"/>
      <c r="D131" s="34"/>
      <c r="E131" s="34"/>
      <c r="G131" s="39"/>
      <c r="H131" s="43"/>
      <c r="I131" s="41"/>
      <c r="J131" s="41"/>
      <c r="L131" s="34">
        <v>124</v>
      </c>
      <c r="M131" s="35"/>
      <c r="N131" s="35"/>
      <c r="O131" s="34">
        <f>IFERROR(SUMIF(Table447[,],Table649[[#This Row],[Accounts Name]],Table447[,3]),"")</f>
        <v>0</v>
      </c>
      <c r="P131" s="34">
        <f>IFERROR(SUMIF(Table447[,],Table649[[#This Row],[Accounts Name]],Table447[,2]),"")</f>
        <v>0</v>
      </c>
      <c r="S131" s="36">
        <f t="shared" si="1"/>
        <v>124</v>
      </c>
      <c r="T131" s="34"/>
      <c r="U131" s="37"/>
      <c r="V131" s="34">
        <f>IFERROR(SUMIF(Table649[Sub-Accounts],Table850[[#This Row],[Update your chart of accounts here]],Table649[Debit]),"")</f>
        <v>0</v>
      </c>
      <c r="W131" s="34">
        <f>IFERROR(SUMIF(Table649[Sub-Accounts],Table850[[#This Row],[Update your chart of accounts here]],Table649[Credit]),"")</f>
        <v>0</v>
      </c>
      <c r="X131" s="34"/>
      <c r="Y131" s="34"/>
      <c r="Z131" s="34"/>
      <c r="AA131" s="34"/>
      <c r="AB131" s="34">
        <f>MAX(Table850[[#This Row],[Debit]]+Table850[[#This Row],[Debit -]]-Table850[[#This Row],[Credit]]-Table850[[#This Row],[Credit +]],0)</f>
        <v>0</v>
      </c>
      <c r="AC131" s="34">
        <f>MAX(Table850[[#This Row],[Credit]]-Table850[[#This Row],[Debit]]+Table850[[#This Row],[Credit +]]-Table850[[#This Row],[Debit -]],0)</f>
        <v>0</v>
      </c>
      <c r="AD131" s="34" t="str">
        <f>IFERROR(IF(AND(OR(Table850[[#This Row],[Classification]]="Expense",Table850[[#This Row],[Classification]]="Cost of Goods Sold"),Table850[[#This Row],[Debit\]]&gt;Table850[[#This Row],[Credit.]]),Table850[[#This Row],[Debit\]]-Table850[[#This Row],[Credit.]],""),"")</f>
        <v/>
      </c>
      <c r="AE131" s="34" t="str">
        <f>IFERROR(IF(AND(OR(Table850[[#This Row],[Classification]]="Income",Table850[[#This Row],[Classification]]="Cost of Goods Sold"),Table850[[#This Row],[Credit.]]&gt;Table850[[#This Row],[Debit\]]),Table850[[#This Row],[Credit.]]-Table850[[#This Row],[Debit\]],""),"")</f>
        <v/>
      </c>
      <c r="AF131" s="34"/>
      <c r="AG131" s="34" t="str">
        <f>IFERROR(IF(AND(Table850[[#This Row],[Classification]]="Assets",Table850[[#This Row],[Debit\]]-Table850[[#This Row],[Credit.]]),Table850[[#This Row],[Debit\]]-Table850[[#This Row],[Credit.]],""),"")</f>
        <v/>
      </c>
      <c r="AH131" s="34" t="str">
        <f>IFERROR(IF(AND(OR(Table850[[#This Row],[Classification]]="Liabilities",Table850[[#This Row],[Classification]]="Owner´s Equity"),Table850[[#This Row],[Credit.]]&gt;Table850[[#This Row],[Debit\]]),Table850[[#This Row],[Credit.]]-Table850[[#This Row],[Debit\]],""),"")</f>
        <v/>
      </c>
    </row>
    <row r="132" spans="2:34" hidden="1" x14ac:dyDescent="0.25">
      <c r="B132" s="34"/>
      <c r="C132" s="45"/>
      <c r="D132" s="34"/>
      <c r="E132" s="34"/>
      <c r="G132" s="39"/>
      <c r="H132" s="40"/>
      <c r="I132" s="41"/>
      <c r="J132" s="41"/>
      <c r="L132" s="34">
        <v>125</v>
      </c>
      <c r="M132" s="35"/>
      <c r="N132" s="35"/>
      <c r="O132" s="34">
        <f>IFERROR(SUMIF(Table447[,],Table649[[#This Row],[Accounts Name]],Table447[,3]),"")</f>
        <v>0</v>
      </c>
      <c r="P132" s="34">
        <f>IFERROR(SUMIF(Table447[,],Table649[[#This Row],[Accounts Name]],Table447[,2]),"")</f>
        <v>0</v>
      </c>
      <c r="S132" s="36">
        <f t="shared" si="1"/>
        <v>125</v>
      </c>
      <c r="T132" s="34"/>
      <c r="U132" s="37"/>
      <c r="V132" s="34">
        <f>IFERROR(SUMIF(Table649[Sub-Accounts],Table850[[#This Row],[Update your chart of accounts here]],Table649[Debit]),"")</f>
        <v>0</v>
      </c>
      <c r="W132" s="34">
        <f>IFERROR(SUMIF(Table649[Sub-Accounts],Table850[[#This Row],[Update your chart of accounts here]],Table649[Credit]),"")</f>
        <v>0</v>
      </c>
      <c r="X132" s="34"/>
      <c r="Y132" s="34"/>
      <c r="Z132" s="34"/>
      <c r="AA132" s="34"/>
      <c r="AB132" s="34">
        <f>MAX(Table850[[#This Row],[Debit]]+Table850[[#This Row],[Debit -]]-Table850[[#This Row],[Credit]]-Table850[[#This Row],[Credit +]],0)</f>
        <v>0</v>
      </c>
      <c r="AC132" s="34">
        <f>MAX(Table850[[#This Row],[Credit]]-Table850[[#This Row],[Debit]]+Table850[[#This Row],[Credit +]]-Table850[[#This Row],[Debit -]],0)</f>
        <v>0</v>
      </c>
      <c r="AD132" s="34" t="str">
        <f>IFERROR(IF(AND(OR(Table850[[#This Row],[Classification]]="Expense",Table850[[#This Row],[Classification]]="Cost of Goods Sold"),Table850[[#This Row],[Debit\]]&gt;Table850[[#This Row],[Credit.]]),Table850[[#This Row],[Debit\]]-Table850[[#This Row],[Credit.]],""),"")</f>
        <v/>
      </c>
      <c r="AE132" s="34" t="str">
        <f>IFERROR(IF(AND(OR(Table850[[#This Row],[Classification]]="Income",Table850[[#This Row],[Classification]]="Cost of Goods Sold"),Table850[[#This Row],[Credit.]]&gt;Table850[[#This Row],[Debit\]]),Table850[[#This Row],[Credit.]]-Table850[[#This Row],[Debit\]],""),"")</f>
        <v/>
      </c>
      <c r="AF132" s="34"/>
      <c r="AG132" s="34" t="str">
        <f>IFERROR(IF(AND(Table850[[#This Row],[Classification]]="Assets",Table850[[#This Row],[Debit\]]-Table850[[#This Row],[Credit.]]),Table850[[#This Row],[Debit\]]-Table850[[#This Row],[Credit.]],""),"")</f>
        <v/>
      </c>
      <c r="AH132" s="34" t="str">
        <f>IFERROR(IF(AND(OR(Table850[[#This Row],[Classification]]="Liabilities",Table850[[#This Row],[Classification]]="Owner´s Equity"),Table850[[#This Row],[Credit.]]&gt;Table850[[#This Row],[Debit\]]),Table850[[#This Row],[Credit.]]-Table850[[#This Row],[Debit\]],""),"")</f>
        <v/>
      </c>
    </row>
    <row r="133" spans="2:34" hidden="1" x14ac:dyDescent="0.25">
      <c r="B133" s="34"/>
      <c r="C133" s="45"/>
      <c r="D133" s="34"/>
      <c r="E133" s="34"/>
      <c r="G133" s="39"/>
      <c r="H133" s="40"/>
      <c r="I133" s="41"/>
      <c r="J133" s="41"/>
      <c r="L133" s="34">
        <v>126</v>
      </c>
      <c r="M133" s="35"/>
      <c r="N133" s="35"/>
      <c r="O133" s="34">
        <f>IFERROR(SUMIF(Table447[,],Table649[[#This Row],[Accounts Name]],Table447[,3]),"")</f>
        <v>0</v>
      </c>
      <c r="P133" s="34">
        <f>IFERROR(SUMIF(Table447[,],Table649[[#This Row],[Accounts Name]],Table447[,2]),"")</f>
        <v>0</v>
      </c>
      <c r="S133" s="36">
        <f t="shared" si="1"/>
        <v>126</v>
      </c>
      <c r="T133" s="34"/>
      <c r="U133" s="37"/>
      <c r="V133" s="34">
        <f>IFERROR(SUMIF(Table649[Sub-Accounts],Table850[[#This Row],[Update your chart of accounts here]],Table649[Debit]),"")</f>
        <v>0</v>
      </c>
      <c r="W133" s="34">
        <f>IFERROR(SUMIF(Table649[Sub-Accounts],Table850[[#This Row],[Update your chart of accounts here]],Table649[Credit]),"")</f>
        <v>0</v>
      </c>
      <c r="X133" s="34"/>
      <c r="Y133" s="34"/>
      <c r="Z133" s="34"/>
      <c r="AA133" s="34"/>
      <c r="AB133" s="34">
        <f>MAX(Table850[[#This Row],[Debit]]+Table850[[#This Row],[Debit -]]-Table850[[#This Row],[Credit]]-Table850[[#This Row],[Credit +]],0)</f>
        <v>0</v>
      </c>
      <c r="AC133" s="34">
        <f>MAX(Table850[[#This Row],[Credit]]-Table850[[#This Row],[Debit]]+Table850[[#This Row],[Credit +]]-Table850[[#This Row],[Debit -]],0)</f>
        <v>0</v>
      </c>
      <c r="AD133" s="34" t="str">
        <f>IFERROR(IF(AND(OR(Table850[[#This Row],[Classification]]="Expense",Table850[[#This Row],[Classification]]="Cost of Goods Sold"),Table850[[#This Row],[Debit\]]&gt;Table850[[#This Row],[Credit.]]),Table850[[#This Row],[Debit\]]-Table850[[#This Row],[Credit.]],""),"")</f>
        <v/>
      </c>
      <c r="AE133" s="34" t="str">
        <f>IFERROR(IF(AND(OR(Table850[[#This Row],[Classification]]="Income",Table850[[#This Row],[Classification]]="Cost of Goods Sold"),Table850[[#This Row],[Credit.]]&gt;Table850[[#This Row],[Debit\]]),Table850[[#This Row],[Credit.]]-Table850[[#This Row],[Debit\]],""),"")</f>
        <v/>
      </c>
      <c r="AF133" s="34"/>
      <c r="AG133" s="34" t="str">
        <f>IFERROR(IF(AND(Table850[[#This Row],[Classification]]="Assets",Table850[[#This Row],[Debit\]]-Table850[[#This Row],[Credit.]]),Table850[[#This Row],[Debit\]]-Table850[[#This Row],[Credit.]],""),"")</f>
        <v/>
      </c>
      <c r="AH133" s="34" t="str">
        <f>IFERROR(IF(AND(OR(Table850[[#This Row],[Classification]]="Liabilities",Table850[[#This Row],[Classification]]="Owner´s Equity"),Table850[[#This Row],[Credit.]]&gt;Table850[[#This Row],[Debit\]]),Table850[[#This Row],[Credit.]]-Table850[[#This Row],[Debit\]],""),"")</f>
        <v/>
      </c>
    </row>
    <row r="134" spans="2:34" hidden="1" x14ac:dyDescent="0.25">
      <c r="B134" s="34"/>
      <c r="C134" s="45"/>
      <c r="D134" s="34"/>
      <c r="E134" s="34"/>
      <c r="G134" s="39"/>
      <c r="H134" s="43"/>
      <c r="I134" s="41"/>
      <c r="J134" s="41"/>
      <c r="L134" s="34">
        <v>127</v>
      </c>
      <c r="M134" s="35"/>
      <c r="N134" s="35"/>
      <c r="O134" s="34">
        <f>IFERROR(SUMIF(Table447[,],Table649[[#This Row],[Accounts Name]],Table447[,3]),"")</f>
        <v>0</v>
      </c>
      <c r="P134" s="34">
        <f>IFERROR(SUMIF(Table447[,],Table649[[#This Row],[Accounts Name]],Table447[,2]),"")</f>
        <v>0</v>
      </c>
      <c r="S134" s="36">
        <f t="shared" si="1"/>
        <v>127</v>
      </c>
      <c r="T134" s="34"/>
      <c r="U134" s="37"/>
      <c r="V134" s="34">
        <f>IFERROR(SUMIF(Table649[Sub-Accounts],Table850[[#This Row],[Update your chart of accounts here]],Table649[Debit]),"")</f>
        <v>0</v>
      </c>
      <c r="W134" s="34">
        <f>IFERROR(SUMIF(Table649[Sub-Accounts],Table850[[#This Row],[Update your chart of accounts here]],Table649[Credit]),"")</f>
        <v>0</v>
      </c>
      <c r="X134" s="34"/>
      <c r="Y134" s="34"/>
      <c r="Z134" s="34"/>
      <c r="AA134" s="34"/>
      <c r="AB134" s="34">
        <f>MAX(Table850[[#This Row],[Debit]]+Table850[[#This Row],[Debit -]]-Table850[[#This Row],[Credit]]-Table850[[#This Row],[Credit +]],0)</f>
        <v>0</v>
      </c>
      <c r="AC134" s="34">
        <f>MAX(Table850[[#This Row],[Credit]]-Table850[[#This Row],[Debit]]+Table850[[#This Row],[Credit +]]-Table850[[#This Row],[Debit -]],0)</f>
        <v>0</v>
      </c>
      <c r="AD134" s="34" t="str">
        <f>IFERROR(IF(AND(OR(Table850[[#This Row],[Classification]]="Expense",Table850[[#This Row],[Classification]]="Cost of Goods Sold"),Table850[[#This Row],[Debit\]]&gt;Table850[[#This Row],[Credit.]]),Table850[[#This Row],[Debit\]]-Table850[[#This Row],[Credit.]],""),"")</f>
        <v/>
      </c>
      <c r="AE134" s="34" t="str">
        <f>IFERROR(IF(AND(OR(Table850[[#This Row],[Classification]]="Income",Table850[[#This Row],[Classification]]="Cost of Goods Sold"),Table850[[#This Row],[Credit.]]&gt;Table850[[#This Row],[Debit\]]),Table850[[#This Row],[Credit.]]-Table850[[#This Row],[Debit\]],""),"")</f>
        <v/>
      </c>
      <c r="AF134" s="34"/>
      <c r="AG134" s="34" t="str">
        <f>IFERROR(IF(AND(Table850[[#This Row],[Classification]]="Assets",Table850[[#This Row],[Debit\]]-Table850[[#This Row],[Credit.]]),Table850[[#This Row],[Debit\]]-Table850[[#This Row],[Credit.]],""),"")</f>
        <v/>
      </c>
      <c r="AH134" s="34" t="str">
        <f>IFERROR(IF(AND(OR(Table850[[#This Row],[Classification]]="Liabilities",Table850[[#This Row],[Classification]]="Owner´s Equity"),Table850[[#This Row],[Credit.]]&gt;Table850[[#This Row],[Debit\]]),Table850[[#This Row],[Credit.]]-Table850[[#This Row],[Debit\]],""),"")</f>
        <v/>
      </c>
    </row>
    <row r="135" spans="2:34" hidden="1" x14ac:dyDescent="0.25">
      <c r="B135" s="34"/>
      <c r="C135" s="45"/>
      <c r="D135" s="34"/>
      <c r="E135" s="34"/>
      <c r="G135" s="39"/>
      <c r="H135" s="40"/>
      <c r="I135" s="41"/>
      <c r="J135" s="41"/>
      <c r="L135" s="34">
        <v>128</v>
      </c>
      <c r="M135" s="35"/>
      <c r="N135" s="35"/>
      <c r="O135" s="34">
        <f>IFERROR(SUMIF(Table447[,],Table649[[#This Row],[Accounts Name]],Table447[,3]),"")</f>
        <v>0</v>
      </c>
      <c r="P135" s="34">
        <f>IFERROR(SUMIF(Table447[,],Table649[[#This Row],[Accounts Name]],Table447[,2]),"")</f>
        <v>0</v>
      </c>
      <c r="S135" s="36">
        <f t="shared" si="1"/>
        <v>128</v>
      </c>
      <c r="T135" s="34"/>
      <c r="U135" s="37"/>
      <c r="V135" s="34">
        <f>IFERROR(SUMIF(Table649[Sub-Accounts],Table850[[#This Row],[Update your chart of accounts here]],Table649[Debit]),"")</f>
        <v>0</v>
      </c>
      <c r="W135" s="34">
        <f>IFERROR(SUMIF(Table649[Sub-Accounts],Table850[[#This Row],[Update your chart of accounts here]],Table649[Credit]),"")</f>
        <v>0</v>
      </c>
      <c r="X135" s="34"/>
      <c r="Y135" s="34"/>
      <c r="Z135" s="34"/>
      <c r="AA135" s="34"/>
      <c r="AB135" s="34">
        <f>MAX(Table850[[#This Row],[Debit]]+Table850[[#This Row],[Debit -]]-Table850[[#This Row],[Credit]]-Table850[[#This Row],[Credit +]],0)</f>
        <v>0</v>
      </c>
      <c r="AC135" s="34">
        <f>MAX(Table850[[#This Row],[Credit]]-Table850[[#This Row],[Debit]]+Table850[[#This Row],[Credit +]]-Table850[[#This Row],[Debit -]],0)</f>
        <v>0</v>
      </c>
      <c r="AD135" s="34" t="str">
        <f>IFERROR(IF(AND(OR(Table850[[#This Row],[Classification]]="Expense",Table850[[#This Row],[Classification]]="Cost of Goods Sold"),Table850[[#This Row],[Debit\]]&gt;Table850[[#This Row],[Credit.]]),Table850[[#This Row],[Debit\]]-Table850[[#This Row],[Credit.]],""),"")</f>
        <v/>
      </c>
      <c r="AE135" s="34" t="str">
        <f>IFERROR(IF(AND(OR(Table850[[#This Row],[Classification]]="Income",Table850[[#This Row],[Classification]]="Cost of Goods Sold"),Table850[[#This Row],[Credit.]]&gt;Table850[[#This Row],[Debit\]]),Table850[[#This Row],[Credit.]]-Table850[[#This Row],[Debit\]],""),"")</f>
        <v/>
      </c>
      <c r="AF135" s="34"/>
      <c r="AG135" s="34" t="str">
        <f>IFERROR(IF(AND(Table850[[#This Row],[Classification]]="Assets",Table850[[#This Row],[Debit\]]-Table850[[#This Row],[Credit.]]),Table850[[#This Row],[Debit\]]-Table850[[#This Row],[Credit.]],""),"")</f>
        <v/>
      </c>
      <c r="AH135" s="34" t="str">
        <f>IFERROR(IF(AND(OR(Table850[[#This Row],[Classification]]="Liabilities",Table850[[#This Row],[Classification]]="Owner´s Equity"),Table850[[#This Row],[Credit.]]&gt;Table850[[#This Row],[Debit\]]),Table850[[#This Row],[Credit.]]-Table850[[#This Row],[Debit\]],""),"")</f>
        <v/>
      </c>
    </row>
    <row r="136" spans="2:34" hidden="1" x14ac:dyDescent="0.25">
      <c r="B136" s="34"/>
      <c r="C136" s="45"/>
      <c r="D136" s="34"/>
      <c r="E136" s="34"/>
      <c r="G136" s="39"/>
      <c r="H136" s="40"/>
      <c r="I136" s="41"/>
      <c r="J136" s="41"/>
      <c r="L136" s="34">
        <v>129</v>
      </c>
      <c r="M136" s="35"/>
      <c r="N136" s="35"/>
      <c r="O136" s="34">
        <f>IFERROR(SUMIF(Table447[,],Table649[[#This Row],[Accounts Name]],Table447[,3]),"")</f>
        <v>0</v>
      </c>
      <c r="P136" s="34">
        <f>IFERROR(SUMIF(Table447[,],Table649[[#This Row],[Accounts Name]],Table447[,2]),"")</f>
        <v>0</v>
      </c>
      <c r="S136" s="36">
        <f t="shared" si="1"/>
        <v>129</v>
      </c>
      <c r="T136" s="34"/>
      <c r="U136" s="37"/>
      <c r="V136" s="34">
        <f>IFERROR(SUMIF(Table649[Sub-Accounts],Table850[[#This Row],[Update your chart of accounts here]],Table649[Debit]),"")</f>
        <v>0</v>
      </c>
      <c r="W136" s="34">
        <f>IFERROR(SUMIF(Table649[Sub-Accounts],Table850[[#This Row],[Update your chart of accounts here]],Table649[Credit]),"")</f>
        <v>0</v>
      </c>
      <c r="X136" s="34"/>
      <c r="Y136" s="34"/>
      <c r="Z136" s="34"/>
      <c r="AA136" s="34"/>
      <c r="AB136" s="34">
        <f>MAX(Table850[[#This Row],[Debit]]+Table850[[#This Row],[Debit -]]-Table850[[#This Row],[Credit]]-Table850[[#This Row],[Credit +]],0)</f>
        <v>0</v>
      </c>
      <c r="AC136" s="34">
        <f>MAX(Table850[[#This Row],[Credit]]-Table850[[#This Row],[Debit]]+Table850[[#This Row],[Credit +]]-Table850[[#This Row],[Debit -]],0)</f>
        <v>0</v>
      </c>
      <c r="AD136" s="34" t="str">
        <f>IFERROR(IF(AND(OR(Table850[[#This Row],[Classification]]="Expense",Table850[[#This Row],[Classification]]="Cost of Goods Sold"),Table850[[#This Row],[Debit\]]&gt;Table850[[#This Row],[Credit.]]),Table850[[#This Row],[Debit\]]-Table850[[#This Row],[Credit.]],""),"")</f>
        <v/>
      </c>
      <c r="AE136" s="34" t="str">
        <f>IFERROR(IF(AND(OR(Table850[[#This Row],[Classification]]="Income",Table850[[#This Row],[Classification]]="Cost of Goods Sold"),Table850[[#This Row],[Credit.]]&gt;Table850[[#This Row],[Debit\]]),Table850[[#This Row],[Credit.]]-Table850[[#This Row],[Debit\]],""),"")</f>
        <v/>
      </c>
      <c r="AF136" s="34"/>
      <c r="AG136" s="34" t="str">
        <f>IFERROR(IF(AND(Table850[[#This Row],[Classification]]="Assets",Table850[[#This Row],[Debit\]]-Table850[[#This Row],[Credit.]]),Table850[[#This Row],[Debit\]]-Table850[[#This Row],[Credit.]],""),"")</f>
        <v/>
      </c>
      <c r="AH136" s="34" t="str">
        <f>IFERROR(IF(AND(OR(Table850[[#This Row],[Classification]]="Liabilities",Table850[[#This Row],[Classification]]="Owner´s Equity"),Table850[[#This Row],[Credit.]]&gt;Table850[[#This Row],[Debit\]]),Table850[[#This Row],[Credit.]]-Table850[[#This Row],[Debit\]],""),"")</f>
        <v/>
      </c>
    </row>
    <row r="137" spans="2:34" hidden="1" x14ac:dyDescent="0.25">
      <c r="B137" s="34"/>
      <c r="C137" s="45"/>
      <c r="D137" s="34"/>
      <c r="E137" s="34"/>
      <c r="G137" s="39"/>
      <c r="H137" s="43"/>
      <c r="I137" s="41"/>
      <c r="J137" s="41"/>
      <c r="L137" s="34">
        <v>130</v>
      </c>
      <c r="M137" s="35"/>
      <c r="N137" s="35"/>
      <c r="O137" s="34">
        <f>IFERROR(SUMIF(Table447[,],Table649[[#This Row],[Accounts Name]],Table447[,3]),"")</f>
        <v>0</v>
      </c>
      <c r="P137" s="34">
        <f>IFERROR(SUMIF(Table447[,],Table649[[#This Row],[Accounts Name]],Table447[,2]),"")</f>
        <v>0</v>
      </c>
      <c r="S137" s="36">
        <f t="shared" si="1"/>
        <v>130</v>
      </c>
      <c r="T137" s="34"/>
      <c r="U137" s="37"/>
      <c r="V137" s="34">
        <f>IFERROR(SUMIF(Table649[Sub-Accounts],Table850[[#This Row],[Update your chart of accounts here]],Table649[Debit]),"")</f>
        <v>0</v>
      </c>
      <c r="W137" s="34">
        <f>IFERROR(SUMIF(Table649[Sub-Accounts],Table850[[#This Row],[Update your chart of accounts here]],Table649[Credit]),"")</f>
        <v>0</v>
      </c>
      <c r="X137" s="34"/>
      <c r="Y137" s="34"/>
      <c r="Z137" s="34"/>
      <c r="AA137" s="34"/>
      <c r="AB137" s="34">
        <f>MAX(Table850[[#This Row],[Debit]]+Table850[[#This Row],[Debit -]]-Table850[[#This Row],[Credit]]-Table850[[#This Row],[Credit +]],0)</f>
        <v>0</v>
      </c>
      <c r="AC137" s="34">
        <f>MAX(Table850[[#This Row],[Credit]]-Table850[[#This Row],[Debit]]+Table850[[#This Row],[Credit +]]-Table850[[#This Row],[Debit -]],0)</f>
        <v>0</v>
      </c>
      <c r="AD137" s="34" t="str">
        <f>IFERROR(IF(AND(OR(Table850[[#This Row],[Classification]]="Expense",Table850[[#This Row],[Classification]]="Cost of Goods Sold"),Table850[[#This Row],[Debit\]]&gt;Table850[[#This Row],[Credit.]]),Table850[[#This Row],[Debit\]]-Table850[[#This Row],[Credit.]],""),"")</f>
        <v/>
      </c>
      <c r="AE137" s="34" t="str">
        <f>IFERROR(IF(AND(OR(Table850[[#This Row],[Classification]]="Income",Table850[[#This Row],[Classification]]="Cost of Goods Sold"),Table850[[#This Row],[Credit.]]&gt;Table850[[#This Row],[Debit\]]),Table850[[#This Row],[Credit.]]-Table850[[#This Row],[Debit\]],""),"")</f>
        <v/>
      </c>
      <c r="AF137" s="34"/>
      <c r="AG137" s="34" t="str">
        <f>IFERROR(IF(AND(Table850[[#This Row],[Classification]]="Assets",Table850[[#This Row],[Debit\]]-Table850[[#This Row],[Credit.]]),Table850[[#This Row],[Debit\]]-Table850[[#This Row],[Credit.]],""),"")</f>
        <v/>
      </c>
      <c r="AH137" s="34" t="str">
        <f>IFERROR(IF(AND(OR(Table850[[#This Row],[Classification]]="Liabilities",Table850[[#This Row],[Classification]]="Owner´s Equity"),Table850[[#This Row],[Credit.]]&gt;Table850[[#This Row],[Debit\]]),Table850[[#This Row],[Credit.]]-Table850[[#This Row],[Debit\]],""),"")</f>
        <v/>
      </c>
    </row>
    <row r="138" spans="2:34" hidden="1" x14ac:dyDescent="0.25">
      <c r="B138" s="34"/>
      <c r="C138" s="45"/>
      <c r="D138" s="34"/>
      <c r="E138" s="34"/>
      <c r="G138" s="39"/>
      <c r="H138" s="40"/>
      <c r="I138" s="41"/>
      <c r="J138" s="41"/>
      <c r="L138" s="34">
        <v>131</v>
      </c>
      <c r="M138" s="35"/>
      <c r="N138" s="35"/>
      <c r="O138" s="34">
        <f>IFERROR(SUMIF(Table447[,],Table649[[#This Row],[Accounts Name]],Table447[,3]),"")</f>
        <v>0</v>
      </c>
      <c r="P138" s="34">
        <f>IFERROR(SUMIF(Table447[,],Table649[[#This Row],[Accounts Name]],Table447[,2]),"")</f>
        <v>0</v>
      </c>
      <c r="S138" s="36">
        <f t="shared" ref="S138:S200" si="2">S137+1</f>
        <v>131</v>
      </c>
      <c r="T138" s="34"/>
      <c r="U138" s="37"/>
      <c r="V138" s="34">
        <f>IFERROR(SUMIF(Table649[Sub-Accounts],Table850[[#This Row],[Update your chart of accounts here]],Table649[Debit]),"")</f>
        <v>0</v>
      </c>
      <c r="W138" s="34">
        <f>IFERROR(SUMIF(Table649[Sub-Accounts],Table850[[#This Row],[Update your chart of accounts here]],Table649[Credit]),"")</f>
        <v>0</v>
      </c>
      <c r="X138" s="34"/>
      <c r="Y138" s="34"/>
      <c r="Z138" s="34"/>
      <c r="AA138" s="34"/>
      <c r="AB138" s="34">
        <f>MAX(Table850[[#This Row],[Debit]]+Table850[[#This Row],[Debit -]]-Table850[[#This Row],[Credit]]-Table850[[#This Row],[Credit +]],0)</f>
        <v>0</v>
      </c>
      <c r="AC138" s="34">
        <f>MAX(Table850[[#This Row],[Credit]]-Table850[[#This Row],[Debit]]+Table850[[#This Row],[Credit +]]-Table850[[#This Row],[Debit -]],0)</f>
        <v>0</v>
      </c>
      <c r="AD138" s="34" t="str">
        <f>IFERROR(IF(AND(OR(Table850[[#This Row],[Classification]]="Expense",Table850[[#This Row],[Classification]]="Cost of Goods Sold"),Table850[[#This Row],[Debit\]]&gt;Table850[[#This Row],[Credit.]]),Table850[[#This Row],[Debit\]]-Table850[[#This Row],[Credit.]],""),"")</f>
        <v/>
      </c>
      <c r="AE138" s="34" t="str">
        <f>IFERROR(IF(AND(OR(Table850[[#This Row],[Classification]]="Income",Table850[[#This Row],[Classification]]="Cost of Goods Sold"),Table850[[#This Row],[Credit.]]&gt;Table850[[#This Row],[Debit\]]),Table850[[#This Row],[Credit.]]-Table850[[#This Row],[Debit\]],""),"")</f>
        <v/>
      </c>
      <c r="AF138" s="34"/>
      <c r="AG138" s="34" t="str">
        <f>IFERROR(IF(AND(Table850[[#This Row],[Classification]]="Assets",Table850[[#This Row],[Debit\]]-Table850[[#This Row],[Credit.]]),Table850[[#This Row],[Debit\]]-Table850[[#This Row],[Credit.]],""),"")</f>
        <v/>
      </c>
      <c r="AH138" s="34" t="str">
        <f>IFERROR(IF(AND(OR(Table850[[#This Row],[Classification]]="Liabilities",Table850[[#This Row],[Classification]]="Owner´s Equity"),Table850[[#This Row],[Credit.]]&gt;Table850[[#This Row],[Debit\]]),Table850[[#This Row],[Credit.]]-Table850[[#This Row],[Debit\]],""),"")</f>
        <v/>
      </c>
    </row>
    <row r="139" spans="2:34" hidden="1" x14ac:dyDescent="0.25">
      <c r="B139" s="34"/>
      <c r="C139" s="45"/>
      <c r="D139" s="34"/>
      <c r="E139" s="34"/>
      <c r="G139" s="39"/>
      <c r="H139" s="40"/>
      <c r="I139" s="41"/>
      <c r="J139" s="41"/>
      <c r="L139" s="34">
        <v>132</v>
      </c>
      <c r="M139" s="35"/>
      <c r="N139" s="35"/>
      <c r="O139" s="34">
        <f>IFERROR(SUMIF(Table447[,],Table649[[#This Row],[Accounts Name]],Table447[,3]),"")</f>
        <v>0</v>
      </c>
      <c r="P139" s="34">
        <f>IFERROR(SUMIF(Table447[,],Table649[[#This Row],[Accounts Name]],Table447[,2]),"")</f>
        <v>0</v>
      </c>
      <c r="S139" s="36">
        <f t="shared" si="2"/>
        <v>132</v>
      </c>
      <c r="T139" s="34"/>
      <c r="U139" s="37"/>
      <c r="V139" s="34">
        <f>IFERROR(SUMIF(Table649[Sub-Accounts],Table850[[#This Row],[Update your chart of accounts here]],Table649[Debit]),"")</f>
        <v>0</v>
      </c>
      <c r="W139" s="34">
        <f>IFERROR(SUMIF(Table649[Sub-Accounts],Table850[[#This Row],[Update your chart of accounts here]],Table649[Credit]),"")</f>
        <v>0</v>
      </c>
      <c r="X139" s="34"/>
      <c r="Y139" s="34"/>
      <c r="Z139" s="34"/>
      <c r="AA139" s="34"/>
      <c r="AB139" s="34">
        <f>MAX(Table850[[#This Row],[Debit]]+Table850[[#This Row],[Debit -]]-Table850[[#This Row],[Credit]]-Table850[[#This Row],[Credit +]],0)</f>
        <v>0</v>
      </c>
      <c r="AC139" s="34">
        <f>MAX(Table850[[#This Row],[Credit]]-Table850[[#This Row],[Debit]]+Table850[[#This Row],[Credit +]]-Table850[[#This Row],[Debit -]],0)</f>
        <v>0</v>
      </c>
      <c r="AD139" s="34" t="str">
        <f>IFERROR(IF(AND(OR(Table850[[#This Row],[Classification]]="Expense",Table850[[#This Row],[Classification]]="Cost of Goods Sold"),Table850[[#This Row],[Debit\]]&gt;Table850[[#This Row],[Credit.]]),Table850[[#This Row],[Debit\]]-Table850[[#This Row],[Credit.]],""),"")</f>
        <v/>
      </c>
      <c r="AE139" s="34" t="str">
        <f>IFERROR(IF(AND(OR(Table850[[#This Row],[Classification]]="Income",Table850[[#This Row],[Classification]]="Cost of Goods Sold"),Table850[[#This Row],[Credit.]]&gt;Table850[[#This Row],[Debit\]]),Table850[[#This Row],[Credit.]]-Table850[[#This Row],[Debit\]],""),"")</f>
        <v/>
      </c>
      <c r="AF139" s="34"/>
      <c r="AG139" s="34" t="str">
        <f>IFERROR(IF(AND(Table850[[#This Row],[Classification]]="Assets",Table850[[#This Row],[Debit\]]-Table850[[#This Row],[Credit.]]),Table850[[#This Row],[Debit\]]-Table850[[#This Row],[Credit.]],""),"")</f>
        <v/>
      </c>
      <c r="AH139" s="34" t="str">
        <f>IFERROR(IF(AND(OR(Table850[[#This Row],[Classification]]="Liabilities",Table850[[#This Row],[Classification]]="Owner´s Equity"),Table850[[#This Row],[Credit.]]&gt;Table850[[#This Row],[Debit\]]),Table850[[#This Row],[Credit.]]-Table850[[#This Row],[Debit\]],""),"")</f>
        <v/>
      </c>
    </row>
    <row r="140" spans="2:34" hidden="1" x14ac:dyDescent="0.25">
      <c r="B140" s="34"/>
      <c r="C140" s="45"/>
      <c r="D140" s="34"/>
      <c r="E140" s="34"/>
      <c r="G140" s="39"/>
      <c r="H140" s="43"/>
      <c r="I140" s="41"/>
      <c r="J140" s="41"/>
      <c r="L140" s="34">
        <v>133</v>
      </c>
      <c r="M140" s="35"/>
      <c r="N140" s="35"/>
      <c r="O140" s="34">
        <f>IFERROR(SUMIF(Table447[,],Table649[[#This Row],[Accounts Name]],Table447[,3]),"")</f>
        <v>0</v>
      </c>
      <c r="P140" s="34">
        <f>IFERROR(SUMIF(Table447[,],Table649[[#This Row],[Accounts Name]],Table447[,2]),"")</f>
        <v>0</v>
      </c>
      <c r="S140" s="36">
        <f t="shared" si="2"/>
        <v>133</v>
      </c>
      <c r="T140" s="34"/>
      <c r="U140" s="37"/>
      <c r="V140" s="34">
        <f>IFERROR(SUMIF(Table649[Sub-Accounts],Table850[[#This Row],[Update your chart of accounts here]],Table649[Debit]),"")</f>
        <v>0</v>
      </c>
      <c r="W140" s="34">
        <f>IFERROR(SUMIF(Table649[Sub-Accounts],Table850[[#This Row],[Update your chart of accounts here]],Table649[Credit]),"")</f>
        <v>0</v>
      </c>
      <c r="X140" s="34"/>
      <c r="Y140" s="34"/>
      <c r="Z140" s="34"/>
      <c r="AA140" s="34"/>
      <c r="AB140" s="34">
        <f>MAX(Table850[[#This Row],[Debit]]+Table850[[#This Row],[Debit -]]-Table850[[#This Row],[Credit]]-Table850[[#This Row],[Credit +]],0)</f>
        <v>0</v>
      </c>
      <c r="AC140" s="34">
        <f>MAX(Table850[[#This Row],[Credit]]-Table850[[#This Row],[Debit]]+Table850[[#This Row],[Credit +]]-Table850[[#This Row],[Debit -]],0)</f>
        <v>0</v>
      </c>
      <c r="AD140" s="34" t="str">
        <f>IFERROR(IF(AND(OR(Table850[[#This Row],[Classification]]="Expense",Table850[[#This Row],[Classification]]="Cost of Goods Sold"),Table850[[#This Row],[Debit\]]&gt;Table850[[#This Row],[Credit.]]),Table850[[#This Row],[Debit\]]-Table850[[#This Row],[Credit.]],""),"")</f>
        <v/>
      </c>
      <c r="AE140" s="34" t="str">
        <f>IFERROR(IF(AND(OR(Table850[[#This Row],[Classification]]="Income",Table850[[#This Row],[Classification]]="Cost of Goods Sold"),Table850[[#This Row],[Credit.]]&gt;Table850[[#This Row],[Debit\]]),Table850[[#This Row],[Credit.]]-Table850[[#This Row],[Debit\]],""),"")</f>
        <v/>
      </c>
      <c r="AF140" s="34"/>
      <c r="AG140" s="34" t="str">
        <f>IFERROR(IF(AND(Table850[[#This Row],[Classification]]="Assets",Table850[[#This Row],[Debit\]]-Table850[[#This Row],[Credit.]]),Table850[[#This Row],[Debit\]]-Table850[[#This Row],[Credit.]],""),"")</f>
        <v/>
      </c>
      <c r="AH140" s="34" t="str">
        <f>IFERROR(IF(AND(OR(Table850[[#This Row],[Classification]]="Liabilities",Table850[[#This Row],[Classification]]="Owner´s Equity"),Table850[[#This Row],[Credit.]]&gt;Table850[[#This Row],[Debit\]]),Table850[[#This Row],[Credit.]]-Table850[[#This Row],[Debit\]],""),"")</f>
        <v/>
      </c>
    </row>
    <row r="141" spans="2:34" hidden="1" x14ac:dyDescent="0.25">
      <c r="B141" s="34"/>
      <c r="C141" s="45"/>
      <c r="D141" s="34"/>
      <c r="E141" s="34"/>
      <c r="G141" s="39"/>
      <c r="H141" s="40"/>
      <c r="I141" s="41"/>
      <c r="J141" s="41"/>
      <c r="L141" s="34">
        <v>134</v>
      </c>
      <c r="M141" s="35"/>
      <c r="N141" s="35"/>
      <c r="O141" s="34">
        <f>IFERROR(SUMIF(Table447[,],Table649[[#This Row],[Accounts Name]],Table447[,3]),"")</f>
        <v>0</v>
      </c>
      <c r="P141" s="34">
        <f>IFERROR(SUMIF(Table447[,],Table649[[#This Row],[Accounts Name]],Table447[,2]),"")</f>
        <v>0</v>
      </c>
      <c r="S141" s="36">
        <f t="shared" si="2"/>
        <v>134</v>
      </c>
      <c r="T141" s="34"/>
      <c r="U141" s="37"/>
      <c r="V141" s="34">
        <f>IFERROR(SUMIF(Table649[Sub-Accounts],Table850[[#This Row],[Update your chart of accounts here]],Table649[Debit]),"")</f>
        <v>0</v>
      </c>
      <c r="W141" s="34">
        <f>IFERROR(SUMIF(Table649[Sub-Accounts],Table850[[#This Row],[Update your chart of accounts here]],Table649[Credit]),"")</f>
        <v>0</v>
      </c>
      <c r="X141" s="34"/>
      <c r="Y141" s="34"/>
      <c r="Z141" s="34"/>
      <c r="AA141" s="34"/>
      <c r="AB141" s="34">
        <f>MAX(Table850[[#This Row],[Debit]]+Table850[[#This Row],[Debit -]]-Table850[[#This Row],[Credit]]-Table850[[#This Row],[Credit +]],0)</f>
        <v>0</v>
      </c>
      <c r="AC141" s="34">
        <f>MAX(Table850[[#This Row],[Credit]]-Table850[[#This Row],[Debit]]+Table850[[#This Row],[Credit +]]-Table850[[#This Row],[Debit -]],0)</f>
        <v>0</v>
      </c>
      <c r="AD141" s="34" t="str">
        <f>IFERROR(IF(AND(OR(Table850[[#This Row],[Classification]]="Expense",Table850[[#This Row],[Classification]]="Cost of Goods Sold"),Table850[[#This Row],[Debit\]]&gt;Table850[[#This Row],[Credit.]]),Table850[[#This Row],[Debit\]]-Table850[[#This Row],[Credit.]],""),"")</f>
        <v/>
      </c>
      <c r="AE141" s="34" t="str">
        <f>IFERROR(IF(AND(OR(Table850[[#This Row],[Classification]]="Income",Table850[[#This Row],[Classification]]="Cost of Goods Sold"),Table850[[#This Row],[Credit.]]&gt;Table850[[#This Row],[Debit\]]),Table850[[#This Row],[Credit.]]-Table850[[#This Row],[Debit\]],""),"")</f>
        <v/>
      </c>
      <c r="AF141" s="34"/>
      <c r="AG141" s="34" t="str">
        <f>IFERROR(IF(AND(Table850[[#This Row],[Classification]]="Assets",Table850[[#This Row],[Debit\]]-Table850[[#This Row],[Credit.]]),Table850[[#This Row],[Debit\]]-Table850[[#This Row],[Credit.]],""),"")</f>
        <v/>
      </c>
      <c r="AH141" s="34" t="str">
        <f>IFERROR(IF(AND(OR(Table850[[#This Row],[Classification]]="Liabilities",Table850[[#This Row],[Classification]]="Owner´s Equity"),Table850[[#This Row],[Credit.]]&gt;Table850[[#This Row],[Debit\]]),Table850[[#This Row],[Credit.]]-Table850[[#This Row],[Debit\]],""),"")</f>
        <v/>
      </c>
    </row>
    <row r="142" spans="2:34" hidden="1" x14ac:dyDescent="0.25">
      <c r="B142" s="34"/>
      <c r="C142" s="45"/>
      <c r="D142" s="34"/>
      <c r="E142" s="34"/>
      <c r="G142" s="39"/>
      <c r="H142" s="40"/>
      <c r="I142" s="41"/>
      <c r="J142" s="41"/>
      <c r="L142" s="34">
        <v>135</v>
      </c>
      <c r="M142" s="35"/>
      <c r="N142" s="35"/>
      <c r="O142" s="34">
        <f>IFERROR(SUMIF(Table447[,],Table649[[#This Row],[Accounts Name]],Table447[,3]),"")</f>
        <v>0</v>
      </c>
      <c r="P142" s="34">
        <f>IFERROR(SUMIF(Table447[,],Table649[[#This Row],[Accounts Name]],Table447[,2]),"")</f>
        <v>0</v>
      </c>
      <c r="S142" s="36">
        <f t="shared" si="2"/>
        <v>135</v>
      </c>
      <c r="T142" s="34"/>
      <c r="U142" s="37"/>
      <c r="V142" s="34">
        <f>IFERROR(SUMIF(Table649[Sub-Accounts],Table850[[#This Row],[Update your chart of accounts here]],Table649[Debit]),"")</f>
        <v>0</v>
      </c>
      <c r="W142" s="34">
        <f>IFERROR(SUMIF(Table649[Sub-Accounts],Table850[[#This Row],[Update your chart of accounts here]],Table649[Credit]),"")</f>
        <v>0</v>
      </c>
      <c r="X142" s="34"/>
      <c r="Y142" s="34"/>
      <c r="Z142" s="34"/>
      <c r="AA142" s="34"/>
      <c r="AB142" s="34">
        <f>MAX(Table850[[#This Row],[Debit]]+Table850[[#This Row],[Debit -]]-Table850[[#This Row],[Credit]]-Table850[[#This Row],[Credit +]],0)</f>
        <v>0</v>
      </c>
      <c r="AC142" s="34">
        <f>MAX(Table850[[#This Row],[Credit]]-Table850[[#This Row],[Debit]]+Table850[[#This Row],[Credit +]]-Table850[[#This Row],[Debit -]],0)</f>
        <v>0</v>
      </c>
      <c r="AD142" s="34" t="str">
        <f>IFERROR(IF(AND(OR(Table850[[#This Row],[Classification]]="Expense",Table850[[#This Row],[Classification]]="Cost of Goods Sold"),Table850[[#This Row],[Debit\]]&gt;Table850[[#This Row],[Credit.]]),Table850[[#This Row],[Debit\]]-Table850[[#This Row],[Credit.]],""),"")</f>
        <v/>
      </c>
      <c r="AE142" s="34" t="str">
        <f>IFERROR(IF(AND(OR(Table850[[#This Row],[Classification]]="Income",Table850[[#This Row],[Classification]]="Cost of Goods Sold"),Table850[[#This Row],[Credit.]]&gt;Table850[[#This Row],[Debit\]]),Table850[[#This Row],[Credit.]]-Table850[[#This Row],[Debit\]],""),"")</f>
        <v/>
      </c>
      <c r="AF142" s="34"/>
      <c r="AG142" s="34" t="str">
        <f>IFERROR(IF(AND(Table850[[#This Row],[Classification]]="Assets",Table850[[#This Row],[Debit\]]-Table850[[#This Row],[Credit.]]),Table850[[#This Row],[Debit\]]-Table850[[#This Row],[Credit.]],""),"")</f>
        <v/>
      </c>
      <c r="AH142" s="34" t="str">
        <f>IFERROR(IF(AND(OR(Table850[[#This Row],[Classification]]="Liabilities",Table850[[#This Row],[Classification]]="Owner´s Equity"),Table850[[#This Row],[Credit.]]&gt;Table850[[#This Row],[Debit\]]),Table850[[#This Row],[Credit.]]-Table850[[#This Row],[Debit\]],""),"")</f>
        <v/>
      </c>
    </row>
    <row r="143" spans="2:34" hidden="1" x14ac:dyDescent="0.25">
      <c r="B143" s="34"/>
      <c r="C143" s="45"/>
      <c r="D143" s="34"/>
      <c r="E143" s="34"/>
      <c r="G143" s="39"/>
      <c r="H143" s="43"/>
      <c r="I143" s="41"/>
      <c r="J143" s="41"/>
      <c r="L143" s="34">
        <v>136</v>
      </c>
      <c r="M143" s="35"/>
      <c r="N143" s="35"/>
      <c r="O143" s="34">
        <f>IFERROR(SUMIF(Table447[,],Table649[[#This Row],[Accounts Name]],Table447[,3]),"")</f>
        <v>0</v>
      </c>
      <c r="P143" s="34">
        <f>IFERROR(SUMIF(Table447[,],Table649[[#This Row],[Accounts Name]],Table447[,2]),"")</f>
        <v>0</v>
      </c>
      <c r="S143" s="36">
        <f t="shared" si="2"/>
        <v>136</v>
      </c>
      <c r="T143" s="34"/>
      <c r="U143" s="37"/>
      <c r="V143" s="34">
        <f>IFERROR(SUMIF(Table649[Sub-Accounts],Table850[[#This Row],[Update your chart of accounts here]],Table649[Debit]),"")</f>
        <v>0</v>
      </c>
      <c r="W143" s="34">
        <f>IFERROR(SUMIF(Table649[Sub-Accounts],Table850[[#This Row],[Update your chart of accounts here]],Table649[Credit]),"")</f>
        <v>0</v>
      </c>
      <c r="X143" s="34"/>
      <c r="Y143" s="34"/>
      <c r="Z143" s="34"/>
      <c r="AA143" s="34"/>
      <c r="AB143" s="34">
        <f>MAX(Table850[[#This Row],[Debit]]+Table850[[#This Row],[Debit -]]-Table850[[#This Row],[Credit]]-Table850[[#This Row],[Credit +]],0)</f>
        <v>0</v>
      </c>
      <c r="AC143" s="34">
        <f>MAX(Table850[[#This Row],[Credit]]-Table850[[#This Row],[Debit]]+Table850[[#This Row],[Credit +]]-Table850[[#This Row],[Debit -]],0)</f>
        <v>0</v>
      </c>
      <c r="AD143" s="34" t="str">
        <f>IFERROR(IF(AND(OR(Table850[[#This Row],[Classification]]="Expense",Table850[[#This Row],[Classification]]="Cost of Goods Sold"),Table850[[#This Row],[Debit\]]&gt;Table850[[#This Row],[Credit.]]),Table850[[#This Row],[Debit\]]-Table850[[#This Row],[Credit.]],""),"")</f>
        <v/>
      </c>
      <c r="AE143" s="34" t="str">
        <f>IFERROR(IF(AND(OR(Table850[[#This Row],[Classification]]="Income",Table850[[#This Row],[Classification]]="Cost of Goods Sold"),Table850[[#This Row],[Credit.]]&gt;Table850[[#This Row],[Debit\]]),Table850[[#This Row],[Credit.]]-Table850[[#This Row],[Debit\]],""),"")</f>
        <v/>
      </c>
      <c r="AF143" s="34"/>
      <c r="AG143" s="34" t="str">
        <f>IFERROR(IF(AND(Table850[[#This Row],[Classification]]="Assets",Table850[[#This Row],[Debit\]]-Table850[[#This Row],[Credit.]]),Table850[[#This Row],[Debit\]]-Table850[[#This Row],[Credit.]],""),"")</f>
        <v/>
      </c>
      <c r="AH143" s="34" t="str">
        <f>IFERROR(IF(AND(OR(Table850[[#This Row],[Classification]]="Liabilities",Table850[[#This Row],[Classification]]="Owner´s Equity"),Table850[[#This Row],[Credit.]]&gt;Table850[[#This Row],[Debit\]]),Table850[[#This Row],[Credit.]]-Table850[[#This Row],[Debit\]],""),"")</f>
        <v/>
      </c>
    </row>
    <row r="144" spans="2:34" hidden="1" x14ac:dyDescent="0.25">
      <c r="B144" s="34"/>
      <c r="C144" s="45"/>
      <c r="D144" s="34"/>
      <c r="E144" s="34"/>
      <c r="G144" s="39"/>
      <c r="H144" s="40"/>
      <c r="I144" s="41"/>
      <c r="J144" s="41"/>
      <c r="L144" s="34">
        <v>137</v>
      </c>
      <c r="M144" s="35"/>
      <c r="N144" s="35"/>
      <c r="O144" s="34">
        <f>IFERROR(SUMIF(Table447[,],Table649[[#This Row],[Accounts Name]],Table447[,3]),"")</f>
        <v>0</v>
      </c>
      <c r="P144" s="34">
        <f>IFERROR(SUMIF(Table447[,],Table649[[#This Row],[Accounts Name]],Table447[,2]),"")</f>
        <v>0</v>
      </c>
      <c r="S144" s="36">
        <f t="shared" si="2"/>
        <v>137</v>
      </c>
      <c r="T144" s="34"/>
      <c r="U144" s="37"/>
      <c r="V144" s="34">
        <f>IFERROR(SUMIF(Table649[Sub-Accounts],Table850[[#This Row],[Update your chart of accounts here]],Table649[Debit]),"")</f>
        <v>0</v>
      </c>
      <c r="W144" s="34">
        <f>IFERROR(SUMIF(Table649[Sub-Accounts],Table850[[#This Row],[Update your chart of accounts here]],Table649[Credit]),"")</f>
        <v>0</v>
      </c>
      <c r="X144" s="34"/>
      <c r="Y144" s="34"/>
      <c r="Z144" s="34"/>
      <c r="AA144" s="34"/>
      <c r="AB144" s="34">
        <f>MAX(Table850[[#This Row],[Debit]]+Table850[[#This Row],[Debit -]]-Table850[[#This Row],[Credit]]-Table850[[#This Row],[Credit +]],0)</f>
        <v>0</v>
      </c>
      <c r="AC144" s="34">
        <f>MAX(Table850[[#This Row],[Credit]]-Table850[[#This Row],[Debit]]+Table850[[#This Row],[Credit +]]-Table850[[#This Row],[Debit -]],0)</f>
        <v>0</v>
      </c>
      <c r="AD144" s="34" t="str">
        <f>IFERROR(IF(AND(OR(Table850[[#This Row],[Classification]]="Expense",Table850[[#This Row],[Classification]]="Cost of Goods Sold"),Table850[[#This Row],[Debit\]]&gt;Table850[[#This Row],[Credit.]]),Table850[[#This Row],[Debit\]]-Table850[[#This Row],[Credit.]],""),"")</f>
        <v/>
      </c>
      <c r="AE144" s="34" t="str">
        <f>IFERROR(IF(AND(OR(Table850[[#This Row],[Classification]]="Income",Table850[[#This Row],[Classification]]="Cost of Goods Sold"),Table850[[#This Row],[Credit.]]&gt;Table850[[#This Row],[Debit\]]),Table850[[#This Row],[Credit.]]-Table850[[#This Row],[Debit\]],""),"")</f>
        <v/>
      </c>
      <c r="AF144" s="34"/>
      <c r="AG144" s="34" t="str">
        <f>IFERROR(IF(AND(Table850[[#This Row],[Classification]]="Assets",Table850[[#This Row],[Debit\]]-Table850[[#This Row],[Credit.]]),Table850[[#This Row],[Debit\]]-Table850[[#This Row],[Credit.]],""),"")</f>
        <v/>
      </c>
      <c r="AH144" s="34" t="str">
        <f>IFERROR(IF(AND(OR(Table850[[#This Row],[Classification]]="Liabilities",Table850[[#This Row],[Classification]]="Owner´s Equity"),Table850[[#This Row],[Credit.]]&gt;Table850[[#This Row],[Debit\]]),Table850[[#This Row],[Credit.]]-Table850[[#This Row],[Debit\]],""),"")</f>
        <v/>
      </c>
    </row>
    <row r="145" spans="2:34" hidden="1" x14ac:dyDescent="0.25">
      <c r="B145" s="34"/>
      <c r="C145" s="45"/>
      <c r="D145" s="34"/>
      <c r="E145" s="34"/>
      <c r="G145" s="39"/>
      <c r="H145" s="40"/>
      <c r="I145" s="41"/>
      <c r="J145" s="41"/>
      <c r="L145" s="34">
        <v>138</v>
      </c>
      <c r="M145" s="35"/>
      <c r="N145" s="35"/>
      <c r="O145" s="34">
        <f>IFERROR(SUMIF(Table447[,],Table649[[#This Row],[Accounts Name]],Table447[,3]),"")</f>
        <v>0</v>
      </c>
      <c r="P145" s="34">
        <f>IFERROR(SUMIF(Table447[,],Table649[[#This Row],[Accounts Name]],Table447[,2]),"")</f>
        <v>0</v>
      </c>
      <c r="S145" s="36">
        <f t="shared" si="2"/>
        <v>138</v>
      </c>
      <c r="T145" s="34"/>
      <c r="U145" s="37"/>
      <c r="V145" s="34">
        <f>IFERROR(SUMIF(Table649[Sub-Accounts],Table850[[#This Row],[Update your chart of accounts here]],Table649[Debit]),"")</f>
        <v>0</v>
      </c>
      <c r="W145" s="34">
        <f>IFERROR(SUMIF(Table649[Sub-Accounts],Table850[[#This Row],[Update your chart of accounts here]],Table649[Credit]),"")</f>
        <v>0</v>
      </c>
      <c r="X145" s="34"/>
      <c r="Y145" s="34"/>
      <c r="Z145" s="34"/>
      <c r="AA145" s="34"/>
      <c r="AB145" s="34">
        <f>MAX(Table850[[#This Row],[Debit]]+Table850[[#This Row],[Debit -]]-Table850[[#This Row],[Credit]]-Table850[[#This Row],[Credit +]],0)</f>
        <v>0</v>
      </c>
      <c r="AC145" s="34">
        <f>MAX(Table850[[#This Row],[Credit]]-Table850[[#This Row],[Debit]]+Table850[[#This Row],[Credit +]]-Table850[[#This Row],[Debit -]],0)</f>
        <v>0</v>
      </c>
      <c r="AD145" s="34" t="str">
        <f>IFERROR(IF(AND(OR(Table850[[#This Row],[Classification]]="Expense",Table850[[#This Row],[Classification]]="Cost of Goods Sold"),Table850[[#This Row],[Debit\]]&gt;Table850[[#This Row],[Credit.]]),Table850[[#This Row],[Debit\]]-Table850[[#This Row],[Credit.]],""),"")</f>
        <v/>
      </c>
      <c r="AE145" s="34" t="str">
        <f>IFERROR(IF(AND(OR(Table850[[#This Row],[Classification]]="Income",Table850[[#This Row],[Classification]]="Cost of Goods Sold"),Table850[[#This Row],[Credit.]]&gt;Table850[[#This Row],[Debit\]]),Table850[[#This Row],[Credit.]]-Table850[[#This Row],[Debit\]],""),"")</f>
        <v/>
      </c>
      <c r="AF145" s="34"/>
      <c r="AG145" s="34" t="str">
        <f>IFERROR(IF(AND(Table850[[#This Row],[Classification]]="Assets",Table850[[#This Row],[Debit\]]-Table850[[#This Row],[Credit.]]),Table850[[#This Row],[Debit\]]-Table850[[#This Row],[Credit.]],""),"")</f>
        <v/>
      </c>
      <c r="AH145" s="34" t="str">
        <f>IFERROR(IF(AND(OR(Table850[[#This Row],[Classification]]="Liabilities",Table850[[#This Row],[Classification]]="Owner´s Equity"),Table850[[#This Row],[Credit.]]&gt;Table850[[#This Row],[Debit\]]),Table850[[#This Row],[Credit.]]-Table850[[#This Row],[Debit\]],""),"")</f>
        <v/>
      </c>
    </row>
    <row r="146" spans="2:34" hidden="1" x14ac:dyDescent="0.25">
      <c r="B146" s="34"/>
      <c r="C146" s="45"/>
      <c r="D146" s="34"/>
      <c r="E146" s="34"/>
      <c r="G146" s="39"/>
      <c r="H146" s="43"/>
      <c r="I146" s="41"/>
      <c r="J146" s="41"/>
      <c r="L146" s="34">
        <v>139</v>
      </c>
      <c r="M146" s="35"/>
      <c r="N146" s="35"/>
      <c r="O146" s="34">
        <f>IFERROR(SUMIF(Table447[,],Table649[[#This Row],[Accounts Name]],Table447[,3]),"")</f>
        <v>0</v>
      </c>
      <c r="P146" s="34">
        <f>IFERROR(SUMIF(Table447[,],Table649[[#This Row],[Accounts Name]],Table447[,2]),"")</f>
        <v>0</v>
      </c>
      <c r="S146" s="36">
        <f t="shared" si="2"/>
        <v>139</v>
      </c>
      <c r="T146" s="34"/>
      <c r="U146" s="37"/>
      <c r="V146" s="34">
        <f>IFERROR(SUMIF(Table649[Sub-Accounts],Table850[[#This Row],[Update your chart of accounts here]],Table649[Debit]),"")</f>
        <v>0</v>
      </c>
      <c r="W146" s="34">
        <f>IFERROR(SUMIF(Table649[Sub-Accounts],Table850[[#This Row],[Update your chart of accounts here]],Table649[Credit]),"")</f>
        <v>0</v>
      </c>
      <c r="X146" s="34"/>
      <c r="Y146" s="34"/>
      <c r="Z146" s="34"/>
      <c r="AA146" s="34"/>
      <c r="AB146" s="34">
        <f>MAX(Table850[[#This Row],[Debit]]+Table850[[#This Row],[Debit -]]-Table850[[#This Row],[Credit]]-Table850[[#This Row],[Credit +]],0)</f>
        <v>0</v>
      </c>
      <c r="AC146" s="34">
        <f>MAX(Table850[[#This Row],[Credit]]-Table850[[#This Row],[Debit]]+Table850[[#This Row],[Credit +]]-Table850[[#This Row],[Debit -]],0)</f>
        <v>0</v>
      </c>
      <c r="AD146" s="34" t="str">
        <f>IFERROR(IF(AND(OR(Table850[[#This Row],[Classification]]="Expense",Table850[[#This Row],[Classification]]="Cost of Goods Sold"),Table850[[#This Row],[Debit\]]&gt;Table850[[#This Row],[Credit.]]),Table850[[#This Row],[Debit\]]-Table850[[#This Row],[Credit.]],""),"")</f>
        <v/>
      </c>
      <c r="AE146" s="34" t="str">
        <f>IFERROR(IF(AND(OR(Table850[[#This Row],[Classification]]="Income",Table850[[#This Row],[Classification]]="Cost of Goods Sold"),Table850[[#This Row],[Credit.]]&gt;Table850[[#This Row],[Debit\]]),Table850[[#This Row],[Credit.]]-Table850[[#This Row],[Debit\]],""),"")</f>
        <v/>
      </c>
      <c r="AF146" s="34"/>
      <c r="AG146" s="34" t="str">
        <f>IFERROR(IF(AND(Table850[[#This Row],[Classification]]="Assets",Table850[[#This Row],[Debit\]]-Table850[[#This Row],[Credit.]]),Table850[[#This Row],[Debit\]]-Table850[[#This Row],[Credit.]],""),"")</f>
        <v/>
      </c>
      <c r="AH146" s="34" t="str">
        <f>IFERROR(IF(AND(OR(Table850[[#This Row],[Classification]]="Liabilities",Table850[[#This Row],[Classification]]="Owner´s Equity"),Table850[[#This Row],[Credit.]]&gt;Table850[[#This Row],[Debit\]]),Table850[[#This Row],[Credit.]]-Table850[[#This Row],[Debit\]],""),"")</f>
        <v/>
      </c>
    </row>
    <row r="147" spans="2:34" hidden="1" x14ac:dyDescent="0.25">
      <c r="B147" s="34"/>
      <c r="C147" s="45"/>
      <c r="D147" s="34"/>
      <c r="E147" s="34"/>
      <c r="G147" s="39"/>
      <c r="H147" s="40"/>
      <c r="I147" s="41"/>
      <c r="J147" s="41"/>
      <c r="L147" s="34">
        <v>140</v>
      </c>
      <c r="M147" s="35"/>
      <c r="N147" s="35"/>
      <c r="O147" s="34">
        <f>IFERROR(SUMIF(Table447[,],Table649[[#This Row],[Accounts Name]],Table447[,3]),"")</f>
        <v>0</v>
      </c>
      <c r="P147" s="34">
        <f>IFERROR(SUMIF(Table447[,],Table649[[#This Row],[Accounts Name]],Table447[,2]),"")</f>
        <v>0</v>
      </c>
      <c r="S147" s="36">
        <f t="shared" si="2"/>
        <v>140</v>
      </c>
      <c r="T147" s="34"/>
      <c r="U147" s="37"/>
      <c r="V147" s="34">
        <f>IFERROR(SUMIF(Table649[Sub-Accounts],Table850[[#This Row],[Update your chart of accounts here]],Table649[Debit]),"")</f>
        <v>0</v>
      </c>
      <c r="W147" s="34">
        <f>IFERROR(SUMIF(Table649[Sub-Accounts],Table850[[#This Row],[Update your chart of accounts here]],Table649[Credit]),"")</f>
        <v>0</v>
      </c>
      <c r="X147" s="34"/>
      <c r="Y147" s="34"/>
      <c r="Z147" s="34"/>
      <c r="AA147" s="34"/>
      <c r="AB147" s="34">
        <f>MAX(Table850[[#This Row],[Debit]]+Table850[[#This Row],[Debit -]]-Table850[[#This Row],[Credit]]-Table850[[#This Row],[Credit +]],0)</f>
        <v>0</v>
      </c>
      <c r="AC147" s="34">
        <f>MAX(Table850[[#This Row],[Credit]]-Table850[[#This Row],[Debit]]+Table850[[#This Row],[Credit +]]-Table850[[#This Row],[Debit -]],0)</f>
        <v>0</v>
      </c>
      <c r="AD147" s="34" t="str">
        <f>IFERROR(IF(AND(OR(Table850[[#This Row],[Classification]]="Expense",Table850[[#This Row],[Classification]]="Cost of Goods Sold"),Table850[[#This Row],[Debit\]]&gt;Table850[[#This Row],[Credit.]]),Table850[[#This Row],[Debit\]]-Table850[[#This Row],[Credit.]],""),"")</f>
        <v/>
      </c>
      <c r="AE147" s="34" t="str">
        <f>IFERROR(IF(AND(OR(Table850[[#This Row],[Classification]]="Income",Table850[[#This Row],[Classification]]="Cost of Goods Sold"),Table850[[#This Row],[Credit.]]&gt;Table850[[#This Row],[Debit\]]),Table850[[#This Row],[Credit.]]-Table850[[#This Row],[Debit\]],""),"")</f>
        <v/>
      </c>
      <c r="AF147" s="34"/>
      <c r="AG147" s="34" t="str">
        <f>IFERROR(IF(AND(Table850[[#This Row],[Classification]]="Assets",Table850[[#This Row],[Debit\]]-Table850[[#This Row],[Credit.]]),Table850[[#This Row],[Debit\]]-Table850[[#This Row],[Credit.]],""),"")</f>
        <v/>
      </c>
      <c r="AH147" s="34" t="str">
        <f>IFERROR(IF(AND(OR(Table850[[#This Row],[Classification]]="Liabilities",Table850[[#This Row],[Classification]]="Owner´s Equity"),Table850[[#This Row],[Credit.]]&gt;Table850[[#This Row],[Debit\]]),Table850[[#This Row],[Credit.]]-Table850[[#This Row],[Debit\]],""),"")</f>
        <v/>
      </c>
    </row>
    <row r="148" spans="2:34" hidden="1" x14ac:dyDescent="0.25">
      <c r="B148" s="34"/>
      <c r="C148" s="45"/>
      <c r="D148" s="34"/>
      <c r="E148" s="34"/>
      <c r="G148" s="39"/>
      <c r="H148" s="40"/>
      <c r="I148" s="41"/>
      <c r="J148" s="41"/>
      <c r="L148" s="34">
        <v>141</v>
      </c>
      <c r="M148" s="35"/>
      <c r="N148" s="35"/>
      <c r="O148" s="34">
        <f>IFERROR(SUMIF(Table447[,],Table649[[#This Row],[Accounts Name]],Table447[,3]),"")</f>
        <v>0</v>
      </c>
      <c r="P148" s="34">
        <f>IFERROR(SUMIF(Table447[,],Table649[[#This Row],[Accounts Name]],Table447[,2]),"")</f>
        <v>0</v>
      </c>
      <c r="S148" s="36">
        <f t="shared" si="2"/>
        <v>141</v>
      </c>
      <c r="T148" s="34"/>
      <c r="U148" s="37"/>
      <c r="V148" s="34">
        <f>IFERROR(SUMIF(Table649[Sub-Accounts],Table850[[#This Row],[Update your chart of accounts here]],Table649[Debit]),"")</f>
        <v>0</v>
      </c>
      <c r="W148" s="34">
        <f>IFERROR(SUMIF(Table649[Sub-Accounts],Table850[[#This Row],[Update your chart of accounts here]],Table649[Credit]),"")</f>
        <v>0</v>
      </c>
      <c r="X148" s="34"/>
      <c r="Y148" s="34"/>
      <c r="Z148" s="34"/>
      <c r="AA148" s="34"/>
      <c r="AB148" s="34">
        <f>MAX(Table850[[#This Row],[Debit]]+Table850[[#This Row],[Debit -]]-Table850[[#This Row],[Credit]]-Table850[[#This Row],[Credit +]],0)</f>
        <v>0</v>
      </c>
      <c r="AC148" s="34">
        <f>MAX(Table850[[#This Row],[Credit]]-Table850[[#This Row],[Debit]]+Table850[[#This Row],[Credit +]]-Table850[[#This Row],[Debit -]],0)</f>
        <v>0</v>
      </c>
      <c r="AD148" s="34" t="str">
        <f>IFERROR(IF(AND(OR(Table850[[#This Row],[Classification]]="Expense",Table850[[#This Row],[Classification]]="Cost of Goods Sold"),Table850[[#This Row],[Debit\]]&gt;Table850[[#This Row],[Credit.]]),Table850[[#This Row],[Debit\]]-Table850[[#This Row],[Credit.]],""),"")</f>
        <v/>
      </c>
      <c r="AE148" s="34" t="str">
        <f>IFERROR(IF(AND(OR(Table850[[#This Row],[Classification]]="Income",Table850[[#This Row],[Classification]]="Cost of Goods Sold"),Table850[[#This Row],[Credit.]]&gt;Table850[[#This Row],[Debit\]]),Table850[[#This Row],[Credit.]]-Table850[[#This Row],[Debit\]],""),"")</f>
        <v/>
      </c>
      <c r="AF148" s="34"/>
      <c r="AG148" s="34" t="str">
        <f>IFERROR(IF(AND(Table850[[#This Row],[Classification]]="Assets",Table850[[#This Row],[Debit\]]-Table850[[#This Row],[Credit.]]),Table850[[#This Row],[Debit\]]-Table850[[#This Row],[Credit.]],""),"")</f>
        <v/>
      </c>
      <c r="AH148" s="34" t="str">
        <f>IFERROR(IF(AND(OR(Table850[[#This Row],[Classification]]="Liabilities",Table850[[#This Row],[Classification]]="Owner´s Equity"),Table850[[#This Row],[Credit.]]&gt;Table850[[#This Row],[Debit\]]),Table850[[#This Row],[Credit.]]-Table850[[#This Row],[Debit\]],""),"")</f>
        <v/>
      </c>
    </row>
    <row r="149" spans="2:34" hidden="1" x14ac:dyDescent="0.25">
      <c r="B149" s="34"/>
      <c r="C149" s="45"/>
      <c r="D149" s="34"/>
      <c r="E149" s="34"/>
      <c r="G149" s="39"/>
      <c r="H149" s="43"/>
      <c r="I149" s="41"/>
      <c r="J149" s="41"/>
      <c r="L149" s="34">
        <v>142</v>
      </c>
      <c r="M149" s="35"/>
      <c r="N149" s="35"/>
      <c r="O149" s="34">
        <f>IFERROR(SUMIF(Table447[,],Table649[[#This Row],[Accounts Name]],Table447[,3]),"")</f>
        <v>0</v>
      </c>
      <c r="P149" s="34">
        <f>IFERROR(SUMIF(Table447[,],Table649[[#This Row],[Accounts Name]],Table447[,2]),"")</f>
        <v>0</v>
      </c>
      <c r="S149" s="36">
        <f t="shared" si="2"/>
        <v>142</v>
      </c>
      <c r="T149" s="34"/>
      <c r="U149" s="37"/>
      <c r="V149" s="34">
        <f>IFERROR(SUMIF(Table649[Sub-Accounts],Table850[[#This Row],[Update your chart of accounts here]],Table649[Debit]),"")</f>
        <v>0</v>
      </c>
      <c r="W149" s="34">
        <f>IFERROR(SUMIF(Table649[Sub-Accounts],Table850[[#This Row],[Update your chart of accounts here]],Table649[Credit]),"")</f>
        <v>0</v>
      </c>
      <c r="X149" s="34"/>
      <c r="Y149" s="34"/>
      <c r="Z149" s="34"/>
      <c r="AA149" s="34"/>
      <c r="AB149" s="34">
        <f>MAX(Table850[[#This Row],[Debit]]+Table850[[#This Row],[Debit -]]-Table850[[#This Row],[Credit]]-Table850[[#This Row],[Credit +]],0)</f>
        <v>0</v>
      </c>
      <c r="AC149" s="34">
        <f>MAX(Table850[[#This Row],[Credit]]-Table850[[#This Row],[Debit]]+Table850[[#This Row],[Credit +]]-Table850[[#This Row],[Debit -]],0)</f>
        <v>0</v>
      </c>
      <c r="AD149" s="34" t="str">
        <f>IFERROR(IF(AND(OR(Table850[[#This Row],[Classification]]="Expense",Table850[[#This Row],[Classification]]="Cost of Goods Sold"),Table850[[#This Row],[Debit\]]&gt;Table850[[#This Row],[Credit.]]),Table850[[#This Row],[Debit\]]-Table850[[#This Row],[Credit.]],""),"")</f>
        <v/>
      </c>
      <c r="AE149" s="34" t="str">
        <f>IFERROR(IF(AND(OR(Table850[[#This Row],[Classification]]="Income",Table850[[#This Row],[Classification]]="Cost of Goods Sold"),Table850[[#This Row],[Credit.]]&gt;Table850[[#This Row],[Debit\]]),Table850[[#This Row],[Credit.]]-Table850[[#This Row],[Debit\]],""),"")</f>
        <v/>
      </c>
      <c r="AF149" s="34"/>
      <c r="AG149" s="34" t="str">
        <f>IFERROR(IF(AND(Table850[[#This Row],[Classification]]="Assets",Table850[[#This Row],[Debit\]]-Table850[[#This Row],[Credit.]]),Table850[[#This Row],[Debit\]]-Table850[[#This Row],[Credit.]],""),"")</f>
        <v/>
      </c>
      <c r="AH149" s="34" t="str">
        <f>IFERROR(IF(AND(OR(Table850[[#This Row],[Classification]]="Liabilities",Table850[[#This Row],[Classification]]="Owner´s Equity"),Table850[[#This Row],[Credit.]]&gt;Table850[[#This Row],[Debit\]]),Table850[[#This Row],[Credit.]]-Table850[[#This Row],[Debit\]],""),"")</f>
        <v/>
      </c>
    </row>
    <row r="150" spans="2:34" hidden="1" x14ac:dyDescent="0.25">
      <c r="B150" s="34"/>
      <c r="C150" s="45"/>
      <c r="D150" s="34"/>
      <c r="E150" s="34"/>
      <c r="G150" s="39"/>
      <c r="H150" s="40"/>
      <c r="I150" s="41"/>
      <c r="J150" s="41"/>
      <c r="L150" s="34">
        <v>143</v>
      </c>
      <c r="M150" s="35"/>
      <c r="N150" s="35"/>
      <c r="O150" s="34">
        <f>IFERROR(SUMIF(Table447[,],Table649[[#This Row],[Accounts Name]],Table447[,3]),"")</f>
        <v>0</v>
      </c>
      <c r="P150" s="34">
        <f>IFERROR(SUMIF(Table447[,],Table649[[#This Row],[Accounts Name]],Table447[,2]),"")</f>
        <v>0</v>
      </c>
      <c r="S150" s="36">
        <f t="shared" si="2"/>
        <v>143</v>
      </c>
      <c r="T150" s="34"/>
      <c r="U150" s="37"/>
      <c r="V150" s="34">
        <f>IFERROR(SUMIF(Table649[Sub-Accounts],Table850[[#This Row],[Update your chart of accounts here]],Table649[Debit]),"")</f>
        <v>0</v>
      </c>
      <c r="W150" s="34">
        <f>IFERROR(SUMIF(Table649[Sub-Accounts],Table850[[#This Row],[Update your chart of accounts here]],Table649[Credit]),"")</f>
        <v>0</v>
      </c>
      <c r="X150" s="34"/>
      <c r="Y150" s="34"/>
      <c r="Z150" s="34"/>
      <c r="AA150" s="34"/>
      <c r="AB150" s="34">
        <f>MAX(Table850[[#This Row],[Debit]]+Table850[[#This Row],[Debit -]]-Table850[[#This Row],[Credit]]-Table850[[#This Row],[Credit +]],0)</f>
        <v>0</v>
      </c>
      <c r="AC150" s="34">
        <f>MAX(Table850[[#This Row],[Credit]]-Table850[[#This Row],[Debit]]+Table850[[#This Row],[Credit +]]-Table850[[#This Row],[Debit -]],0)</f>
        <v>0</v>
      </c>
      <c r="AD150" s="34" t="str">
        <f>IFERROR(IF(AND(OR(Table850[[#This Row],[Classification]]="Expense",Table850[[#This Row],[Classification]]="Cost of Goods Sold"),Table850[[#This Row],[Debit\]]&gt;Table850[[#This Row],[Credit.]]),Table850[[#This Row],[Debit\]]-Table850[[#This Row],[Credit.]],""),"")</f>
        <v/>
      </c>
      <c r="AE150" s="34" t="str">
        <f>IFERROR(IF(AND(OR(Table850[[#This Row],[Classification]]="Income",Table850[[#This Row],[Classification]]="Cost of Goods Sold"),Table850[[#This Row],[Credit.]]&gt;Table850[[#This Row],[Debit\]]),Table850[[#This Row],[Credit.]]-Table850[[#This Row],[Debit\]],""),"")</f>
        <v/>
      </c>
      <c r="AF150" s="34"/>
      <c r="AG150" s="34" t="str">
        <f>IFERROR(IF(AND(Table850[[#This Row],[Classification]]="Assets",Table850[[#This Row],[Debit\]]-Table850[[#This Row],[Credit.]]),Table850[[#This Row],[Debit\]]-Table850[[#This Row],[Credit.]],""),"")</f>
        <v/>
      </c>
      <c r="AH150" s="34" t="str">
        <f>IFERROR(IF(AND(OR(Table850[[#This Row],[Classification]]="Liabilities",Table850[[#This Row],[Classification]]="Owner´s Equity"),Table850[[#This Row],[Credit.]]&gt;Table850[[#This Row],[Debit\]]),Table850[[#This Row],[Credit.]]-Table850[[#This Row],[Debit\]],""),"")</f>
        <v/>
      </c>
    </row>
    <row r="151" spans="2:34" hidden="1" x14ac:dyDescent="0.25">
      <c r="B151" s="34"/>
      <c r="C151" s="45"/>
      <c r="D151" s="34"/>
      <c r="E151" s="34"/>
      <c r="G151" s="39"/>
      <c r="H151" s="40"/>
      <c r="I151" s="41"/>
      <c r="J151" s="41"/>
      <c r="L151" s="34">
        <v>144</v>
      </c>
      <c r="M151" s="35"/>
      <c r="N151" s="35"/>
      <c r="O151" s="34">
        <f>IFERROR(SUMIF(Table447[,],Table649[[#This Row],[Accounts Name]],Table447[,3]),"")</f>
        <v>0</v>
      </c>
      <c r="P151" s="34">
        <f>IFERROR(SUMIF(Table447[,],Table649[[#This Row],[Accounts Name]],Table447[,2]),"")</f>
        <v>0</v>
      </c>
      <c r="S151" s="36">
        <f t="shared" si="2"/>
        <v>144</v>
      </c>
      <c r="T151" s="34"/>
      <c r="U151" s="37"/>
      <c r="V151" s="34">
        <f>IFERROR(SUMIF(Table649[Sub-Accounts],Table850[[#This Row],[Update your chart of accounts here]],Table649[Debit]),"")</f>
        <v>0</v>
      </c>
      <c r="W151" s="34">
        <f>IFERROR(SUMIF(Table649[Sub-Accounts],Table850[[#This Row],[Update your chart of accounts here]],Table649[Credit]),"")</f>
        <v>0</v>
      </c>
      <c r="X151" s="34"/>
      <c r="Y151" s="34"/>
      <c r="Z151" s="34"/>
      <c r="AA151" s="34"/>
      <c r="AB151" s="34">
        <f>MAX(Table850[[#This Row],[Debit]]+Table850[[#This Row],[Debit -]]-Table850[[#This Row],[Credit]]-Table850[[#This Row],[Credit +]],0)</f>
        <v>0</v>
      </c>
      <c r="AC151" s="34">
        <f>MAX(Table850[[#This Row],[Credit]]-Table850[[#This Row],[Debit]]+Table850[[#This Row],[Credit +]]-Table850[[#This Row],[Debit -]],0)</f>
        <v>0</v>
      </c>
      <c r="AD151" s="34" t="str">
        <f>IFERROR(IF(AND(OR(Table850[[#This Row],[Classification]]="Expense",Table850[[#This Row],[Classification]]="Cost of Goods Sold"),Table850[[#This Row],[Debit\]]&gt;Table850[[#This Row],[Credit.]]),Table850[[#This Row],[Debit\]]-Table850[[#This Row],[Credit.]],""),"")</f>
        <v/>
      </c>
      <c r="AE151" s="34" t="str">
        <f>IFERROR(IF(AND(OR(Table850[[#This Row],[Classification]]="Income",Table850[[#This Row],[Classification]]="Cost of Goods Sold"),Table850[[#This Row],[Credit.]]&gt;Table850[[#This Row],[Debit\]]),Table850[[#This Row],[Credit.]]-Table850[[#This Row],[Debit\]],""),"")</f>
        <v/>
      </c>
      <c r="AF151" s="34"/>
      <c r="AG151" s="34" t="str">
        <f>IFERROR(IF(AND(Table850[[#This Row],[Classification]]="Assets",Table850[[#This Row],[Debit\]]-Table850[[#This Row],[Credit.]]),Table850[[#This Row],[Debit\]]-Table850[[#This Row],[Credit.]],""),"")</f>
        <v/>
      </c>
      <c r="AH151" s="34" t="str">
        <f>IFERROR(IF(AND(OR(Table850[[#This Row],[Classification]]="Liabilities",Table850[[#This Row],[Classification]]="Owner´s Equity"),Table850[[#This Row],[Credit.]]&gt;Table850[[#This Row],[Debit\]]),Table850[[#This Row],[Credit.]]-Table850[[#This Row],[Debit\]],""),"")</f>
        <v/>
      </c>
    </row>
    <row r="152" spans="2:34" hidden="1" x14ac:dyDescent="0.25">
      <c r="B152" s="34"/>
      <c r="C152" s="45"/>
      <c r="D152" s="34"/>
      <c r="E152" s="34"/>
      <c r="G152" s="39"/>
      <c r="H152" s="43"/>
      <c r="I152" s="41"/>
      <c r="J152" s="41"/>
      <c r="L152" s="34">
        <v>145</v>
      </c>
      <c r="M152" s="35"/>
      <c r="N152" s="35"/>
      <c r="O152" s="34">
        <f>IFERROR(SUMIF(Table447[,],Table649[[#This Row],[Accounts Name]],Table447[,3]),"")</f>
        <v>0</v>
      </c>
      <c r="P152" s="34">
        <f>IFERROR(SUMIF(Table447[,],Table649[[#This Row],[Accounts Name]],Table447[,2]),"")</f>
        <v>0</v>
      </c>
      <c r="S152" s="36">
        <f t="shared" si="2"/>
        <v>145</v>
      </c>
      <c r="T152" s="34"/>
      <c r="U152" s="37"/>
      <c r="V152" s="34">
        <f>IFERROR(SUMIF(Table649[Sub-Accounts],Table850[[#This Row],[Update your chart of accounts here]],Table649[Debit]),"")</f>
        <v>0</v>
      </c>
      <c r="W152" s="34">
        <f>IFERROR(SUMIF(Table649[Sub-Accounts],Table850[[#This Row],[Update your chart of accounts here]],Table649[Credit]),"")</f>
        <v>0</v>
      </c>
      <c r="X152" s="34"/>
      <c r="Y152" s="34"/>
      <c r="Z152" s="34"/>
      <c r="AA152" s="34"/>
      <c r="AB152" s="34">
        <f>MAX(Table850[[#This Row],[Debit]]+Table850[[#This Row],[Debit -]]-Table850[[#This Row],[Credit]]-Table850[[#This Row],[Credit +]],0)</f>
        <v>0</v>
      </c>
      <c r="AC152" s="34">
        <f>MAX(Table850[[#This Row],[Credit]]-Table850[[#This Row],[Debit]]+Table850[[#This Row],[Credit +]]-Table850[[#This Row],[Debit -]],0)</f>
        <v>0</v>
      </c>
      <c r="AD152" s="34" t="str">
        <f>IFERROR(IF(AND(OR(Table850[[#This Row],[Classification]]="Expense",Table850[[#This Row],[Classification]]="Cost of Goods Sold"),Table850[[#This Row],[Debit\]]&gt;Table850[[#This Row],[Credit.]]),Table850[[#This Row],[Debit\]]-Table850[[#This Row],[Credit.]],""),"")</f>
        <v/>
      </c>
      <c r="AE152" s="34" t="str">
        <f>IFERROR(IF(AND(OR(Table850[[#This Row],[Classification]]="Income",Table850[[#This Row],[Classification]]="Cost of Goods Sold"),Table850[[#This Row],[Credit.]]&gt;Table850[[#This Row],[Debit\]]),Table850[[#This Row],[Credit.]]-Table850[[#This Row],[Debit\]],""),"")</f>
        <v/>
      </c>
      <c r="AF152" s="34"/>
      <c r="AG152" s="34" t="str">
        <f>IFERROR(IF(AND(Table850[[#This Row],[Classification]]="Assets",Table850[[#This Row],[Debit\]]-Table850[[#This Row],[Credit.]]),Table850[[#This Row],[Debit\]]-Table850[[#This Row],[Credit.]],""),"")</f>
        <v/>
      </c>
      <c r="AH152" s="34" t="str">
        <f>IFERROR(IF(AND(OR(Table850[[#This Row],[Classification]]="Liabilities",Table850[[#This Row],[Classification]]="Owner´s Equity"),Table850[[#This Row],[Credit.]]&gt;Table850[[#This Row],[Debit\]]),Table850[[#This Row],[Credit.]]-Table850[[#This Row],[Debit\]],""),"")</f>
        <v/>
      </c>
    </row>
    <row r="153" spans="2:34" hidden="1" x14ac:dyDescent="0.25">
      <c r="B153" s="34"/>
      <c r="C153" s="45"/>
      <c r="D153" s="34"/>
      <c r="E153" s="34"/>
      <c r="G153" s="39"/>
      <c r="H153" s="40"/>
      <c r="I153" s="41"/>
      <c r="J153" s="41"/>
      <c r="L153" s="34">
        <v>146</v>
      </c>
      <c r="M153" s="35"/>
      <c r="N153" s="35"/>
      <c r="O153" s="34">
        <f>IFERROR(SUMIF(Table447[,],Table649[[#This Row],[Accounts Name]],Table447[,3]),"")</f>
        <v>0</v>
      </c>
      <c r="P153" s="34">
        <f>IFERROR(SUMIF(Table447[,],Table649[[#This Row],[Accounts Name]],Table447[,2]),"")</f>
        <v>0</v>
      </c>
      <c r="S153" s="36">
        <f t="shared" si="2"/>
        <v>146</v>
      </c>
      <c r="T153" s="34"/>
      <c r="U153" s="37"/>
      <c r="V153" s="34">
        <f>IFERROR(SUMIF(Table649[Sub-Accounts],Table850[[#This Row],[Update your chart of accounts here]],Table649[Debit]),"")</f>
        <v>0</v>
      </c>
      <c r="W153" s="34">
        <f>IFERROR(SUMIF(Table649[Sub-Accounts],Table850[[#This Row],[Update your chart of accounts here]],Table649[Credit]),"")</f>
        <v>0</v>
      </c>
      <c r="X153" s="34"/>
      <c r="Y153" s="34"/>
      <c r="Z153" s="34"/>
      <c r="AA153" s="34"/>
      <c r="AB153" s="34">
        <f>MAX(Table850[[#This Row],[Debit]]+Table850[[#This Row],[Debit -]]-Table850[[#This Row],[Credit]]-Table850[[#This Row],[Credit +]],0)</f>
        <v>0</v>
      </c>
      <c r="AC153" s="34">
        <f>MAX(Table850[[#This Row],[Credit]]-Table850[[#This Row],[Debit]]+Table850[[#This Row],[Credit +]]-Table850[[#This Row],[Debit -]],0)</f>
        <v>0</v>
      </c>
      <c r="AD153" s="34" t="str">
        <f>IFERROR(IF(AND(OR(Table850[[#This Row],[Classification]]="Expense",Table850[[#This Row],[Classification]]="Cost of Goods Sold"),Table850[[#This Row],[Debit\]]&gt;Table850[[#This Row],[Credit.]]),Table850[[#This Row],[Debit\]]-Table850[[#This Row],[Credit.]],""),"")</f>
        <v/>
      </c>
      <c r="AE153" s="34" t="str">
        <f>IFERROR(IF(AND(OR(Table850[[#This Row],[Classification]]="Income",Table850[[#This Row],[Classification]]="Cost of Goods Sold"),Table850[[#This Row],[Credit.]]&gt;Table850[[#This Row],[Debit\]]),Table850[[#This Row],[Credit.]]-Table850[[#This Row],[Debit\]],""),"")</f>
        <v/>
      </c>
      <c r="AF153" s="34"/>
      <c r="AG153" s="34" t="str">
        <f>IFERROR(IF(AND(Table850[[#This Row],[Classification]]="Assets",Table850[[#This Row],[Debit\]]-Table850[[#This Row],[Credit.]]),Table850[[#This Row],[Debit\]]-Table850[[#This Row],[Credit.]],""),"")</f>
        <v/>
      </c>
      <c r="AH153" s="34" t="str">
        <f>IFERROR(IF(AND(OR(Table850[[#This Row],[Classification]]="Liabilities",Table850[[#This Row],[Classification]]="Owner´s Equity"),Table850[[#This Row],[Credit.]]&gt;Table850[[#This Row],[Debit\]]),Table850[[#This Row],[Credit.]]-Table850[[#This Row],[Debit\]],""),"")</f>
        <v/>
      </c>
    </row>
    <row r="154" spans="2:34" hidden="1" x14ac:dyDescent="0.25">
      <c r="B154" s="34"/>
      <c r="C154" s="45"/>
      <c r="D154" s="34"/>
      <c r="E154" s="34"/>
      <c r="G154" s="39"/>
      <c r="H154" s="40"/>
      <c r="I154" s="41"/>
      <c r="J154" s="41"/>
      <c r="L154" s="34">
        <v>147</v>
      </c>
      <c r="M154" s="35"/>
      <c r="N154" s="35"/>
      <c r="O154" s="34">
        <f>IFERROR(SUMIF(Table447[,],Table649[[#This Row],[Accounts Name]],Table447[,3]),"")</f>
        <v>0</v>
      </c>
      <c r="P154" s="34">
        <f>IFERROR(SUMIF(Table447[,],Table649[[#This Row],[Accounts Name]],Table447[,2]),"")</f>
        <v>0</v>
      </c>
      <c r="S154" s="36">
        <f t="shared" si="2"/>
        <v>147</v>
      </c>
      <c r="T154" s="34"/>
      <c r="U154" s="37"/>
      <c r="V154" s="34">
        <f>IFERROR(SUMIF(Table649[Sub-Accounts],Table850[[#This Row],[Update your chart of accounts here]],Table649[Debit]),"")</f>
        <v>0</v>
      </c>
      <c r="W154" s="34">
        <f>IFERROR(SUMIF(Table649[Sub-Accounts],Table850[[#This Row],[Update your chart of accounts here]],Table649[Credit]),"")</f>
        <v>0</v>
      </c>
      <c r="X154" s="34"/>
      <c r="Y154" s="34"/>
      <c r="Z154" s="34"/>
      <c r="AA154" s="34"/>
      <c r="AB154" s="34">
        <f>MAX(Table850[[#This Row],[Debit]]+Table850[[#This Row],[Debit -]]-Table850[[#This Row],[Credit]]-Table850[[#This Row],[Credit +]],0)</f>
        <v>0</v>
      </c>
      <c r="AC154" s="34">
        <f>MAX(Table850[[#This Row],[Credit]]-Table850[[#This Row],[Debit]]+Table850[[#This Row],[Credit +]]-Table850[[#This Row],[Debit -]],0)</f>
        <v>0</v>
      </c>
      <c r="AD154" s="34" t="str">
        <f>IFERROR(IF(AND(OR(Table850[[#This Row],[Classification]]="Expense",Table850[[#This Row],[Classification]]="Cost of Goods Sold"),Table850[[#This Row],[Debit\]]&gt;Table850[[#This Row],[Credit.]]),Table850[[#This Row],[Debit\]]-Table850[[#This Row],[Credit.]],""),"")</f>
        <v/>
      </c>
      <c r="AE154" s="34" t="str">
        <f>IFERROR(IF(AND(OR(Table850[[#This Row],[Classification]]="Income",Table850[[#This Row],[Classification]]="Cost of Goods Sold"),Table850[[#This Row],[Credit.]]&gt;Table850[[#This Row],[Debit\]]),Table850[[#This Row],[Credit.]]-Table850[[#This Row],[Debit\]],""),"")</f>
        <v/>
      </c>
      <c r="AF154" s="34"/>
      <c r="AG154" s="34" t="str">
        <f>IFERROR(IF(AND(Table850[[#This Row],[Classification]]="Assets",Table850[[#This Row],[Debit\]]-Table850[[#This Row],[Credit.]]),Table850[[#This Row],[Debit\]]-Table850[[#This Row],[Credit.]],""),"")</f>
        <v/>
      </c>
      <c r="AH154" s="34" t="str">
        <f>IFERROR(IF(AND(OR(Table850[[#This Row],[Classification]]="Liabilities",Table850[[#This Row],[Classification]]="Owner´s Equity"),Table850[[#This Row],[Credit.]]&gt;Table850[[#This Row],[Debit\]]),Table850[[#This Row],[Credit.]]-Table850[[#This Row],[Debit\]],""),"")</f>
        <v/>
      </c>
    </row>
    <row r="155" spans="2:34" hidden="1" x14ac:dyDescent="0.25">
      <c r="B155" s="34"/>
      <c r="C155" s="45"/>
      <c r="D155" s="34"/>
      <c r="E155" s="34"/>
      <c r="G155" s="39"/>
      <c r="H155" s="43"/>
      <c r="I155" s="41"/>
      <c r="J155" s="41"/>
      <c r="L155" s="34">
        <v>148</v>
      </c>
      <c r="M155" s="35"/>
      <c r="N155" s="35"/>
      <c r="O155" s="34">
        <f>IFERROR(SUMIF(Table447[,],Table649[[#This Row],[Accounts Name]],Table447[,3]),"")</f>
        <v>0</v>
      </c>
      <c r="P155" s="34">
        <f>IFERROR(SUMIF(Table447[,],Table649[[#This Row],[Accounts Name]],Table447[,2]),"")</f>
        <v>0</v>
      </c>
      <c r="S155" s="36">
        <f t="shared" si="2"/>
        <v>148</v>
      </c>
      <c r="T155" s="34"/>
      <c r="U155" s="37"/>
      <c r="V155" s="34">
        <f>IFERROR(SUMIF(Table649[Sub-Accounts],Table850[[#This Row],[Update your chart of accounts here]],Table649[Debit]),"")</f>
        <v>0</v>
      </c>
      <c r="W155" s="34">
        <f>IFERROR(SUMIF(Table649[Sub-Accounts],Table850[[#This Row],[Update your chart of accounts here]],Table649[Credit]),"")</f>
        <v>0</v>
      </c>
      <c r="X155" s="34"/>
      <c r="Y155" s="34"/>
      <c r="Z155" s="34"/>
      <c r="AA155" s="34"/>
      <c r="AB155" s="34">
        <f>MAX(Table850[[#This Row],[Debit]]+Table850[[#This Row],[Debit -]]-Table850[[#This Row],[Credit]]-Table850[[#This Row],[Credit +]],0)</f>
        <v>0</v>
      </c>
      <c r="AC155" s="34">
        <f>MAX(Table850[[#This Row],[Credit]]-Table850[[#This Row],[Debit]]+Table850[[#This Row],[Credit +]]-Table850[[#This Row],[Debit -]],0)</f>
        <v>0</v>
      </c>
      <c r="AD155" s="34" t="str">
        <f>IFERROR(IF(AND(OR(Table850[[#This Row],[Classification]]="Expense",Table850[[#This Row],[Classification]]="Cost of Goods Sold"),Table850[[#This Row],[Debit\]]&gt;Table850[[#This Row],[Credit.]]),Table850[[#This Row],[Debit\]]-Table850[[#This Row],[Credit.]],""),"")</f>
        <v/>
      </c>
      <c r="AE155" s="34" t="str">
        <f>IFERROR(IF(AND(OR(Table850[[#This Row],[Classification]]="Income",Table850[[#This Row],[Classification]]="Cost of Goods Sold"),Table850[[#This Row],[Credit.]]&gt;Table850[[#This Row],[Debit\]]),Table850[[#This Row],[Credit.]]-Table850[[#This Row],[Debit\]],""),"")</f>
        <v/>
      </c>
      <c r="AF155" s="34"/>
      <c r="AG155" s="34" t="str">
        <f>IFERROR(IF(AND(Table850[[#This Row],[Classification]]="Assets",Table850[[#This Row],[Debit\]]-Table850[[#This Row],[Credit.]]),Table850[[#This Row],[Debit\]]-Table850[[#This Row],[Credit.]],""),"")</f>
        <v/>
      </c>
      <c r="AH155" s="34" t="str">
        <f>IFERROR(IF(AND(OR(Table850[[#This Row],[Classification]]="Liabilities",Table850[[#This Row],[Classification]]="Owner´s Equity"),Table850[[#This Row],[Credit.]]&gt;Table850[[#This Row],[Debit\]]),Table850[[#This Row],[Credit.]]-Table850[[#This Row],[Debit\]],""),"")</f>
        <v/>
      </c>
    </row>
    <row r="156" spans="2:34" hidden="1" x14ac:dyDescent="0.25">
      <c r="B156" s="34"/>
      <c r="C156" s="45"/>
      <c r="D156" s="34"/>
      <c r="E156" s="34"/>
      <c r="G156" s="39"/>
      <c r="H156" s="40"/>
      <c r="I156" s="41"/>
      <c r="J156" s="41"/>
      <c r="L156" s="34">
        <v>149</v>
      </c>
      <c r="M156" s="35"/>
      <c r="N156" s="35"/>
      <c r="O156" s="34">
        <f>IFERROR(SUMIF(Table447[,],Table649[[#This Row],[Accounts Name]],Table447[,3]),"")</f>
        <v>0</v>
      </c>
      <c r="P156" s="34">
        <f>IFERROR(SUMIF(Table447[,],Table649[[#This Row],[Accounts Name]],Table447[,2]),"")</f>
        <v>0</v>
      </c>
      <c r="S156" s="36">
        <f t="shared" si="2"/>
        <v>149</v>
      </c>
      <c r="T156" s="34"/>
      <c r="U156" s="37"/>
      <c r="V156" s="34">
        <f>IFERROR(SUMIF(Table649[Sub-Accounts],Table850[[#This Row],[Update your chart of accounts here]],Table649[Debit]),"")</f>
        <v>0</v>
      </c>
      <c r="W156" s="34">
        <f>IFERROR(SUMIF(Table649[Sub-Accounts],Table850[[#This Row],[Update your chart of accounts here]],Table649[Credit]),"")</f>
        <v>0</v>
      </c>
      <c r="X156" s="34"/>
      <c r="Y156" s="34"/>
      <c r="Z156" s="34"/>
      <c r="AA156" s="34"/>
      <c r="AB156" s="34">
        <f>MAX(Table850[[#This Row],[Debit]]+Table850[[#This Row],[Debit -]]-Table850[[#This Row],[Credit]]-Table850[[#This Row],[Credit +]],0)</f>
        <v>0</v>
      </c>
      <c r="AC156" s="34">
        <f>MAX(Table850[[#This Row],[Credit]]-Table850[[#This Row],[Debit]]+Table850[[#This Row],[Credit +]]-Table850[[#This Row],[Debit -]],0)</f>
        <v>0</v>
      </c>
      <c r="AD156" s="34" t="str">
        <f>IFERROR(IF(AND(OR(Table850[[#This Row],[Classification]]="Expense",Table850[[#This Row],[Classification]]="Cost of Goods Sold"),Table850[[#This Row],[Debit\]]&gt;Table850[[#This Row],[Credit.]]),Table850[[#This Row],[Debit\]]-Table850[[#This Row],[Credit.]],""),"")</f>
        <v/>
      </c>
      <c r="AE156" s="34" t="str">
        <f>IFERROR(IF(AND(OR(Table850[[#This Row],[Classification]]="Income",Table850[[#This Row],[Classification]]="Cost of Goods Sold"),Table850[[#This Row],[Credit.]]&gt;Table850[[#This Row],[Debit\]]),Table850[[#This Row],[Credit.]]-Table850[[#This Row],[Debit\]],""),"")</f>
        <v/>
      </c>
      <c r="AF156" s="34"/>
      <c r="AG156" s="34" t="str">
        <f>IFERROR(IF(AND(Table850[[#This Row],[Classification]]="Assets",Table850[[#This Row],[Debit\]]-Table850[[#This Row],[Credit.]]),Table850[[#This Row],[Debit\]]-Table850[[#This Row],[Credit.]],""),"")</f>
        <v/>
      </c>
      <c r="AH156" s="34" t="str">
        <f>IFERROR(IF(AND(OR(Table850[[#This Row],[Classification]]="Liabilities",Table850[[#This Row],[Classification]]="Owner´s Equity"),Table850[[#This Row],[Credit.]]&gt;Table850[[#This Row],[Debit\]]),Table850[[#This Row],[Credit.]]-Table850[[#This Row],[Debit\]],""),"")</f>
        <v/>
      </c>
    </row>
    <row r="157" spans="2:34" hidden="1" x14ac:dyDescent="0.25">
      <c r="B157" s="34"/>
      <c r="C157" s="45"/>
      <c r="D157" s="34"/>
      <c r="E157" s="34"/>
      <c r="G157" s="39"/>
      <c r="H157" s="40"/>
      <c r="I157" s="41"/>
      <c r="J157" s="41"/>
      <c r="L157" s="34">
        <v>150</v>
      </c>
      <c r="M157" s="35"/>
      <c r="N157" s="35"/>
      <c r="O157" s="34">
        <f>IFERROR(SUMIF(Table447[,],Table649[[#This Row],[Accounts Name]],Table447[,3]),"")</f>
        <v>0</v>
      </c>
      <c r="P157" s="34">
        <f>IFERROR(SUMIF(Table447[,],Table649[[#This Row],[Accounts Name]],Table447[,2]),"")</f>
        <v>0</v>
      </c>
      <c r="S157" s="36">
        <f t="shared" si="2"/>
        <v>150</v>
      </c>
      <c r="T157" s="34"/>
      <c r="U157" s="37"/>
      <c r="V157" s="34">
        <f>IFERROR(SUMIF(Table649[Sub-Accounts],Table850[[#This Row],[Update your chart of accounts here]],Table649[Debit]),"")</f>
        <v>0</v>
      </c>
      <c r="W157" s="34">
        <f>IFERROR(SUMIF(Table649[Sub-Accounts],Table850[[#This Row],[Update your chart of accounts here]],Table649[Credit]),"")</f>
        <v>0</v>
      </c>
      <c r="X157" s="34"/>
      <c r="Y157" s="34"/>
      <c r="Z157" s="34"/>
      <c r="AA157" s="34"/>
      <c r="AB157" s="34">
        <f>MAX(Table850[[#This Row],[Debit]]+Table850[[#This Row],[Debit -]]-Table850[[#This Row],[Credit]]-Table850[[#This Row],[Credit +]],0)</f>
        <v>0</v>
      </c>
      <c r="AC157" s="34">
        <f>MAX(Table850[[#This Row],[Credit]]-Table850[[#This Row],[Debit]]+Table850[[#This Row],[Credit +]]-Table850[[#This Row],[Debit -]],0)</f>
        <v>0</v>
      </c>
      <c r="AD157" s="34" t="str">
        <f>IFERROR(IF(AND(OR(Table850[[#This Row],[Classification]]="Expense",Table850[[#This Row],[Classification]]="Cost of Goods Sold"),Table850[[#This Row],[Debit\]]&gt;Table850[[#This Row],[Credit.]]),Table850[[#This Row],[Debit\]]-Table850[[#This Row],[Credit.]],""),"")</f>
        <v/>
      </c>
      <c r="AE157" s="34" t="str">
        <f>IFERROR(IF(AND(OR(Table850[[#This Row],[Classification]]="Income",Table850[[#This Row],[Classification]]="Cost of Goods Sold"),Table850[[#This Row],[Credit.]]&gt;Table850[[#This Row],[Debit\]]),Table850[[#This Row],[Credit.]]-Table850[[#This Row],[Debit\]],""),"")</f>
        <v/>
      </c>
      <c r="AF157" s="34"/>
      <c r="AG157" s="34" t="str">
        <f>IFERROR(IF(AND(Table850[[#This Row],[Classification]]="Assets",Table850[[#This Row],[Debit\]]-Table850[[#This Row],[Credit.]]),Table850[[#This Row],[Debit\]]-Table850[[#This Row],[Credit.]],""),"")</f>
        <v/>
      </c>
      <c r="AH157" s="34" t="str">
        <f>IFERROR(IF(AND(OR(Table850[[#This Row],[Classification]]="Liabilities",Table850[[#This Row],[Classification]]="Owner´s Equity"),Table850[[#This Row],[Credit.]]&gt;Table850[[#This Row],[Debit\]]),Table850[[#This Row],[Credit.]]-Table850[[#This Row],[Debit\]],""),"")</f>
        <v/>
      </c>
    </row>
    <row r="158" spans="2:34" hidden="1" x14ac:dyDescent="0.25">
      <c r="B158" s="34"/>
      <c r="C158" s="45"/>
      <c r="D158" s="34"/>
      <c r="E158" s="34"/>
      <c r="G158" s="39"/>
      <c r="H158" s="43"/>
      <c r="I158" s="41"/>
      <c r="J158" s="41"/>
      <c r="L158" s="34">
        <v>151</v>
      </c>
      <c r="M158" s="35"/>
      <c r="N158" s="35"/>
      <c r="O158" s="34">
        <f>IFERROR(SUMIF(Table447[,],Table649[[#This Row],[Accounts Name]],Table447[,3]),"")</f>
        <v>0</v>
      </c>
      <c r="P158" s="34">
        <f>IFERROR(SUMIF(Table447[,],Table649[[#This Row],[Accounts Name]],Table447[,2]),"")</f>
        <v>0</v>
      </c>
      <c r="S158" s="36">
        <f t="shared" si="2"/>
        <v>151</v>
      </c>
      <c r="T158" s="34"/>
      <c r="U158" s="37"/>
      <c r="V158" s="34">
        <f>IFERROR(SUMIF(Table649[Sub-Accounts],Table850[[#This Row],[Update your chart of accounts here]],Table649[Debit]),"")</f>
        <v>0</v>
      </c>
      <c r="W158" s="34">
        <f>IFERROR(SUMIF(Table649[Sub-Accounts],Table850[[#This Row],[Update your chart of accounts here]],Table649[Credit]),"")</f>
        <v>0</v>
      </c>
      <c r="X158" s="34"/>
      <c r="Y158" s="34"/>
      <c r="Z158" s="34"/>
      <c r="AA158" s="34"/>
      <c r="AB158" s="34">
        <f>MAX(Table850[[#This Row],[Debit]]+Table850[[#This Row],[Debit -]]-Table850[[#This Row],[Credit]]-Table850[[#This Row],[Credit +]],0)</f>
        <v>0</v>
      </c>
      <c r="AC158" s="34">
        <f>MAX(Table850[[#This Row],[Credit]]-Table850[[#This Row],[Debit]]+Table850[[#This Row],[Credit +]]-Table850[[#This Row],[Debit -]],0)</f>
        <v>0</v>
      </c>
      <c r="AD158" s="34" t="str">
        <f>IFERROR(IF(AND(OR(Table850[[#This Row],[Classification]]="Expense",Table850[[#This Row],[Classification]]="Cost of Goods Sold"),Table850[[#This Row],[Debit\]]&gt;Table850[[#This Row],[Credit.]]),Table850[[#This Row],[Debit\]]-Table850[[#This Row],[Credit.]],""),"")</f>
        <v/>
      </c>
      <c r="AE158" s="34" t="str">
        <f>IFERROR(IF(AND(OR(Table850[[#This Row],[Classification]]="Income",Table850[[#This Row],[Classification]]="Cost of Goods Sold"),Table850[[#This Row],[Credit.]]&gt;Table850[[#This Row],[Debit\]]),Table850[[#This Row],[Credit.]]-Table850[[#This Row],[Debit\]],""),"")</f>
        <v/>
      </c>
      <c r="AF158" s="34"/>
      <c r="AG158" s="34" t="str">
        <f>IFERROR(IF(AND(Table850[[#This Row],[Classification]]="Assets",Table850[[#This Row],[Debit\]]-Table850[[#This Row],[Credit.]]),Table850[[#This Row],[Debit\]]-Table850[[#This Row],[Credit.]],""),"")</f>
        <v/>
      </c>
      <c r="AH158" s="34" t="str">
        <f>IFERROR(IF(AND(OR(Table850[[#This Row],[Classification]]="Liabilities",Table850[[#This Row],[Classification]]="Owner´s Equity"),Table850[[#This Row],[Credit.]]&gt;Table850[[#This Row],[Debit\]]),Table850[[#This Row],[Credit.]]-Table850[[#This Row],[Debit\]],""),"")</f>
        <v/>
      </c>
    </row>
    <row r="159" spans="2:34" hidden="1" x14ac:dyDescent="0.25">
      <c r="B159" s="34"/>
      <c r="C159" s="45"/>
      <c r="D159" s="34"/>
      <c r="E159" s="34"/>
      <c r="G159" s="39"/>
      <c r="H159" s="40"/>
      <c r="I159" s="41"/>
      <c r="J159" s="41"/>
      <c r="L159" s="34">
        <v>152</v>
      </c>
      <c r="M159" s="35"/>
      <c r="N159" s="35"/>
      <c r="O159" s="34">
        <f>IFERROR(SUMIF(Table447[,],Table649[[#This Row],[Accounts Name]],Table447[,3]),"")</f>
        <v>0</v>
      </c>
      <c r="P159" s="34">
        <f>IFERROR(SUMIF(Table447[,],Table649[[#This Row],[Accounts Name]],Table447[,2]),"")</f>
        <v>0</v>
      </c>
      <c r="S159" s="36">
        <f t="shared" si="2"/>
        <v>152</v>
      </c>
      <c r="T159" s="34"/>
      <c r="U159" s="37"/>
      <c r="V159" s="34">
        <f>IFERROR(SUMIF(Table649[Sub-Accounts],Table850[[#This Row],[Update your chart of accounts here]],Table649[Debit]),"")</f>
        <v>0</v>
      </c>
      <c r="W159" s="34">
        <f>IFERROR(SUMIF(Table649[Sub-Accounts],Table850[[#This Row],[Update your chart of accounts here]],Table649[Credit]),"")</f>
        <v>0</v>
      </c>
      <c r="X159" s="34"/>
      <c r="Y159" s="34"/>
      <c r="Z159" s="34"/>
      <c r="AA159" s="34"/>
      <c r="AB159" s="34">
        <f>MAX(Table850[[#This Row],[Debit]]+Table850[[#This Row],[Debit -]]-Table850[[#This Row],[Credit]]-Table850[[#This Row],[Credit +]],0)</f>
        <v>0</v>
      </c>
      <c r="AC159" s="34">
        <f>MAX(Table850[[#This Row],[Credit]]-Table850[[#This Row],[Debit]]+Table850[[#This Row],[Credit +]]-Table850[[#This Row],[Debit -]],0)</f>
        <v>0</v>
      </c>
      <c r="AD159" s="34" t="str">
        <f>IFERROR(IF(AND(OR(Table850[[#This Row],[Classification]]="Expense",Table850[[#This Row],[Classification]]="Cost of Goods Sold"),Table850[[#This Row],[Debit\]]&gt;Table850[[#This Row],[Credit.]]),Table850[[#This Row],[Debit\]]-Table850[[#This Row],[Credit.]],""),"")</f>
        <v/>
      </c>
      <c r="AE159" s="34" t="str">
        <f>IFERROR(IF(AND(OR(Table850[[#This Row],[Classification]]="Income",Table850[[#This Row],[Classification]]="Cost of Goods Sold"),Table850[[#This Row],[Credit.]]&gt;Table850[[#This Row],[Debit\]]),Table850[[#This Row],[Credit.]]-Table850[[#This Row],[Debit\]],""),"")</f>
        <v/>
      </c>
      <c r="AF159" s="34"/>
      <c r="AG159" s="34" t="str">
        <f>IFERROR(IF(AND(Table850[[#This Row],[Classification]]="Assets",Table850[[#This Row],[Debit\]]-Table850[[#This Row],[Credit.]]),Table850[[#This Row],[Debit\]]-Table850[[#This Row],[Credit.]],""),"")</f>
        <v/>
      </c>
      <c r="AH159" s="34" t="str">
        <f>IFERROR(IF(AND(OR(Table850[[#This Row],[Classification]]="Liabilities",Table850[[#This Row],[Classification]]="Owner´s Equity"),Table850[[#This Row],[Credit.]]&gt;Table850[[#This Row],[Debit\]]),Table850[[#This Row],[Credit.]]-Table850[[#This Row],[Debit\]],""),"")</f>
        <v/>
      </c>
    </row>
    <row r="160" spans="2:34" hidden="1" x14ac:dyDescent="0.25">
      <c r="B160" s="34"/>
      <c r="C160" s="45"/>
      <c r="D160" s="34"/>
      <c r="E160" s="34"/>
      <c r="G160" s="39"/>
      <c r="H160" s="40"/>
      <c r="I160" s="41"/>
      <c r="J160" s="41"/>
      <c r="L160" s="34">
        <v>153</v>
      </c>
      <c r="M160" s="35"/>
      <c r="N160" s="35"/>
      <c r="O160" s="34">
        <f>IFERROR(SUMIF(Table447[,],Table649[[#This Row],[Accounts Name]],Table447[,3]),"")</f>
        <v>0</v>
      </c>
      <c r="P160" s="34">
        <f>IFERROR(SUMIF(Table447[,],Table649[[#This Row],[Accounts Name]],Table447[,2]),"")</f>
        <v>0</v>
      </c>
      <c r="S160" s="36">
        <f t="shared" si="2"/>
        <v>153</v>
      </c>
      <c r="T160" s="34"/>
      <c r="U160" s="37"/>
      <c r="V160" s="34">
        <f>IFERROR(SUMIF(Table649[Sub-Accounts],Table850[[#This Row],[Update your chart of accounts here]],Table649[Debit]),"")</f>
        <v>0</v>
      </c>
      <c r="W160" s="34">
        <f>IFERROR(SUMIF(Table649[Sub-Accounts],Table850[[#This Row],[Update your chart of accounts here]],Table649[Credit]),"")</f>
        <v>0</v>
      </c>
      <c r="X160" s="34"/>
      <c r="Y160" s="34"/>
      <c r="Z160" s="34"/>
      <c r="AA160" s="34"/>
      <c r="AB160" s="34">
        <f>MAX(Table850[[#This Row],[Debit]]+Table850[[#This Row],[Debit -]]-Table850[[#This Row],[Credit]]-Table850[[#This Row],[Credit +]],0)</f>
        <v>0</v>
      </c>
      <c r="AC160" s="34">
        <f>MAX(Table850[[#This Row],[Credit]]-Table850[[#This Row],[Debit]]+Table850[[#This Row],[Credit +]]-Table850[[#This Row],[Debit -]],0)</f>
        <v>0</v>
      </c>
      <c r="AD160" s="34" t="str">
        <f>IFERROR(IF(AND(OR(Table850[[#This Row],[Classification]]="Expense",Table850[[#This Row],[Classification]]="Cost of Goods Sold"),Table850[[#This Row],[Debit\]]&gt;Table850[[#This Row],[Credit.]]),Table850[[#This Row],[Debit\]]-Table850[[#This Row],[Credit.]],""),"")</f>
        <v/>
      </c>
      <c r="AE160" s="34" t="str">
        <f>IFERROR(IF(AND(OR(Table850[[#This Row],[Classification]]="Income",Table850[[#This Row],[Classification]]="Cost of Goods Sold"),Table850[[#This Row],[Credit.]]&gt;Table850[[#This Row],[Debit\]]),Table850[[#This Row],[Credit.]]-Table850[[#This Row],[Debit\]],""),"")</f>
        <v/>
      </c>
      <c r="AF160" s="34"/>
      <c r="AG160" s="34" t="str">
        <f>IFERROR(IF(AND(Table850[[#This Row],[Classification]]="Assets",Table850[[#This Row],[Debit\]]-Table850[[#This Row],[Credit.]]),Table850[[#This Row],[Debit\]]-Table850[[#This Row],[Credit.]],""),"")</f>
        <v/>
      </c>
      <c r="AH160" s="34" t="str">
        <f>IFERROR(IF(AND(OR(Table850[[#This Row],[Classification]]="Liabilities",Table850[[#This Row],[Classification]]="Owner´s Equity"),Table850[[#This Row],[Credit.]]&gt;Table850[[#This Row],[Debit\]]),Table850[[#This Row],[Credit.]]-Table850[[#This Row],[Debit\]],""),"")</f>
        <v/>
      </c>
    </row>
    <row r="161" spans="2:34" hidden="1" x14ac:dyDescent="0.25">
      <c r="B161" s="34"/>
      <c r="C161" s="45"/>
      <c r="D161" s="34"/>
      <c r="E161" s="34"/>
      <c r="G161" s="39"/>
      <c r="H161" s="43"/>
      <c r="I161" s="41"/>
      <c r="J161" s="41"/>
      <c r="L161" s="34">
        <v>154</v>
      </c>
      <c r="M161" s="35"/>
      <c r="N161" s="35"/>
      <c r="O161" s="34">
        <f>IFERROR(SUMIF(Table447[,],Table649[[#This Row],[Accounts Name]],Table447[,3]),"")</f>
        <v>0</v>
      </c>
      <c r="P161" s="34">
        <f>IFERROR(SUMIF(Table447[,],Table649[[#This Row],[Accounts Name]],Table447[,2]),"")</f>
        <v>0</v>
      </c>
      <c r="S161" s="36">
        <f t="shared" si="2"/>
        <v>154</v>
      </c>
      <c r="T161" s="34"/>
      <c r="U161" s="37"/>
      <c r="V161" s="34">
        <f>IFERROR(SUMIF(Table649[Sub-Accounts],Table850[[#This Row],[Update your chart of accounts here]],Table649[Debit]),"")</f>
        <v>0</v>
      </c>
      <c r="W161" s="34">
        <f>IFERROR(SUMIF(Table649[Sub-Accounts],Table850[[#This Row],[Update your chart of accounts here]],Table649[Credit]),"")</f>
        <v>0</v>
      </c>
      <c r="X161" s="34"/>
      <c r="Y161" s="34"/>
      <c r="Z161" s="34"/>
      <c r="AA161" s="34"/>
      <c r="AB161" s="34">
        <f>MAX(Table850[[#This Row],[Debit]]+Table850[[#This Row],[Debit -]]-Table850[[#This Row],[Credit]]-Table850[[#This Row],[Credit +]],0)</f>
        <v>0</v>
      </c>
      <c r="AC161" s="34">
        <f>MAX(Table850[[#This Row],[Credit]]-Table850[[#This Row],[Debit]]+Table850[[#This Row],[Credit +]]-Table850[[#This Row],[Debit -]],0)</f>
        <v>0</v>
      </c>
      <c r="AD161" s="34" t="str">
        <f>IFERROR(IF(AND(OR(Table850[[#This Row],[Classification]]="Expense",Table850[[#This Row],[Classification]]="Cost of Goods Sold"),Table850[[#This Row],[Debit\]]&gt;Table850[[#This Row],[Credit.]]),Table850[[#This Row],[Debit\]]-Table850[[#This Row],[Credit.]],""),"")</f>
        <v/>
      </c>
      <c r="AE161" s="34" t="str">
        <f>IFERROR(IF(AND(OR(Table850[[#This Row],[Classification]]="Income",Table850[[#This Row],[Classification]]="Cost of Goods Sold"),Table850[[#This Row],[Credit.]]&gt;Table850[[#This Row],[Debit\]]),Table850[[#This Row],[Credit.]]-Table850[[#This Row],[Debit\]],""),"")</f>
        <v/>
      </c>
      <c r="AF161" s="34"/>
      <c r="AG161" s="34" t="str">
        <f>IFERROR(IF(AND(Table850[[#This Row],[Classification]]="Assets",Table850[[#This Row],[Debit\]]-Table850[[#This Row],[Credit.]]),Table850[[#This Row],[Debit\]]-Table850[[#This Row],[Credit.]],""),"")</f>
        <v/>
      </c>
      <c r="AH161" s="34" t="str">
        <f>IFERROR(IF(AND(OR(Table850[[#This Row],[Classification]]="Liabilities",Table850[[#This Row],[Classification]]="Owner´s Equity"),Table850[[#This Row],[Credit.]]&gt;Table850[[#This Row],[Debit\]]),Table850[[#This Row],[Credit.]]-Table850[[#This Row],[Debit\]],""),"")</f>
        <v/>
      </c>
    </row>
    <row r="162" spans="2:34" hidden="1" x14ac:dyDescent="0.25">
      <c r="B162" s="34"/>
      <c r="C162" s="45"/>
      <c r="D162" s="34"/>
      <c r="E162" s="34"/>
      <c r="G162" s="39"/>
      <c r="H162" s="40"/>
      <c r="I162" s="41"/>
      <c r="J162" s="41"/>
      <c r="L162" s="34">
        <v>155</v>
      </c>
      <c r="M162" s="35"/>
      <c r="N162" s="35"/>
      <c r="O162" s="34">
        <f>IFERROR(SUMIF(Table447[,],Table649[[#This Row],[Accounts Name]],Table447[,3]),"")</f>
        <v>0</v>
      </c>
      <c r="P162" s="34">
        <f>IFERROR(SUMIF(Table447[,],Table649[[#This Row],[Accounts Name]],Table447[,2]),"")</f>
        <v>0</v>
      </c>
      <c r="S162" s="36">
        <f t="shared" si="2"/>
        <v>155</v>
      </c>
      <c r="T162" s="34"/>
      <c r="U162" s="37"/>
      <c r="V162" s="34">
        <f>IFERROR(SUMIF(Table649[Sub-Accounts],Table850[[#This Row],[Update your chart of accounts here]],Table649[Debit]),"")</f>
        <v>0</v>
      </c>
      <c r="W162" s="34">
        <f>IFERROR(SUMIF(Table649[Sub-Accounts],Table850[[#This Row],[Update your chart of accounts here]],Table649[Credit]),"")</f>
        <v>0</v>
      </c>
      <c r="X162" s="34"/>
      <c r="Y162" s="34"/>
      <c r="Z162" s="34"/>
      <c r="AA162" s="34"/>
      <c r="AB162" s="34">
        <f>MAX(Table850[[#This Row],[Debit]]+Table850[[#This Row],[Debit -]]-Table850[[#This Row],[Credit]]-Table850[[#This Row],[Credit +]],0)</f>
        <v>0</v>
      </c>
      <c r="AC162" s="34">
        <f>MAX(Table850[[#This Row],[Credit]]-Table850[[#This Row],[Debit]]+Table850[[#This Row],[Credit +]]-Table850[[#This Row],[Debit -]],0)</f>
        <v>0</v>
      </c>
      <c r="AD162" s="34" t="str">
        <f>IFERROR(IF(AND(OR(Table850[[#This Row],[Classification]]="Expense",Table850[[#This Row],[Classification]]="Cost of Goods Sold"),Table850[[#This Row],[Debit\]]&gt;Table850[[#This Row],[Credit.]]),Table850[[#This Row],[Debit\]]-Table850[[#This Row],[Credit.]],""),"")</f>
        <v/>
      </c>
      <c r="AE162" s="34" t="str">
        <f>IFERROR(IF(AND(OR(Table850[[#This Row],[Classification]]="Income",Table850[[#This Row],[Classification]]="Cost of Goods Sold"),Table850[[#This Row],[Credit.]]&gt;Table850[[#This Row],[Debit\]]),Table850[[#This Row],[Credit.]]-Table850[[#This Row],[Debit\]],""),"")</f>
        <v/>
      </c>
      <c r="AF162" s="34"/>
      <c r="AG162" s="34" t="str">
        <f>IFERROR(IF(AND(Table850[[#This Row],[Classification]]="Assets",Table850[[#This Row],[Debit\]]-Table850[[#This Row],[Credit.]]),Table850[[#This Row],[Debit\]]-Table850[[#This Row],[Credit.]],""),"")</f>
        <v/>
      </c>
      <c r="AH162" s="34" t="str">
        <f>IFERROR(IF(AND(OR(Table850[[#This Row],[Classification]]="Liabilities",Table850[[#This Row],[Classification]]="Owner´s Equity"),Table850[[#This Row],[Credit.]]&gt;Table850[[#This Row],[Debit\]]),Table850[[#This Row],[Credit.]]-Table850[[#This Row],[Debit\]],""),"")</f>
        <v/>
      </c>
    </row>
    <row r="163" spans="2:34" hidden="1" x14ac:dyDescent="0.25">
      <c r="B163" s="34"/>
      <c r="C163" s="45"/>
      <c r="D163" s="34"/>
      <c r="E163" s="34"/>
      <c r="G163" s="39"/>
      <c r="H163" s="40"/>
      <c r="I163" s="41"/>
      <c r="J163" s="41"/>
      <c r="L163" s="34">
        <v>156</v>
      </c>
      <c r="M163" s="35"/>
      <c r="N163" s="35"/>
      <c r="O163" s="34">
        <f>IFERROR(SUMIF(Table447[,],Table649[[#This Row],[Accounts Name]],Table447[,3]),"")</f>
        <v>0</v>
      </c>
      <c r="P163" s="34">
        <f>IFERROR(SUMIF(Table447[,],Table649[[#This Row],[Accounts Name]],Table447[,2]),"")</f>
        <v>0</v>
      </c>
      <c r="S163" s="36">
        <f t="shared" si="2"/>
        <v>156</v>
      </c>
      <c r="T163" s="34"/>
      <c r="U163" s="37"/>
      <c r="V163" s="34">
        <f>IFERROR(SUMIF(Table649[Sub-Accounts],Table850[[#This Row],[Update your chart of accounts here]],Table649[Debit]),"")</f>
        <v>0</v>
      </c>
      <c r="W163" s="34">
        <f>IFERROR(SUMIF(Table649[Sub-Accounts],Table850[[#This Row],[Update your chart of accounts here]],Table649[Credit]),"")</f>
        <v>0</v>
      </c>
      <c r="X163" s="34"/>
      <c r="Y163" s="34"/>
      <c r="Z163" s="34"/>
      <c r="AA163" s="34"/>
      <c r="AB163" s="34">
        <f>MAX(Table850[[#This Row],[Debit]]+Table850[[#This Row],[Debit -]]-Table850[[#This Row],[Credit]]-Table850[[#This Row],[Credit +]],0)</f>
        <v>0</v>
      </c>
      <c r="AC163" s="34">
        <f>MAX(Table850[[#This Row],[Credit]]-Table850[[#This Row],[Debit]]+Table850[[#This Row],[Credit +]]-Table850[[#This Row],[Debit -]],0)</f>
        <v>0</v>
      </c>
      <c r="AD163" s="34" t="str">
        <f>IFERROR(IF(AND(OR(Table850[[#This Row],[Classification]]="Expense",Table850[[#This Row],[Classification]]="Cost of Goods Sold"),Table850[[#This Row],[Debit\]]&gt;Table850[[#This Row],[Credit.]]),Table850[[#This Row],[Debit\]]-Table850[[#This Row],[Credit.]],""),"")</f>
        <v/>
      </c>
      <c r="AE163" s="34" t="str">
        <f>IFERROR(IF(AND(OR(Table850[[#This Row],[Classification]]="Income",Table850[[#This Row],[Classification]]="Cost of Goods Sold"),Table850[[#This Row],[Credit.]]&gt;Table850[[#This Row],[Debit\]]),Table850[[#This Row],[Credit.]]-Table850[[#This Row],[Debit\]],""),"")</f>
        <v/>
      </c>
      <c r="AF163" s="34"/>
      <c r="AG163" s="34" t="str">
        <f>IFERROR(IF(AND(Table850[[#This Row],[Classification]]="Assets",Table850[[#This Row],[Debit\]]-Table850[[#This Row],[Credit.]]),Table850[[#This Row],[Debit\]]-Table850[[#This Row],[Credit.]],""),"")</f>
        <v/>
      </c>
      <c r="AH163" s="34" t="str">
        <f>IFERROR(IF(AND(OR(Table850[[#This Row],[Classification]]="Liabilities",Table850[[#This Row],[Classification]]="Owner´s Equity"),Table850[[#This Row],[Credit.]]&gt;Table850[[#This Row],[Debit\]]),Table850[[#This Row],[Credit.]]-Table850[[#This Row],[Debit\]],""),"")</f>
        <v/>
      </c>
    </row>
    <row r="164" spans="2:34" hidden="1" x14ac:dyDescent="0.25">
      <c r="B164" s="34"/>
      <c r="C164" s="45"/>
      <c r="D164" s="34"/>
      <c r="E164" s="34"/>
      <c r="G164" s="39"/>
      <c r="H164" s="43"/>
      <c r="I164" s="41"/>
      <c r="J164" s="41"/>
      <c r="L164" s="34">
        <v>157</v>
      </c>
      <c r="M164" s="35"/>
      <c r="N164" s="35"/>
      <c r="O164" s="34">
        <f>IFERROR(SUMIF(Table447[,],Table649[[#This Row],[Accounts Name]],Table447[,3]),"")</f>
        <v>0</v>
      </c>
      <c r="P164" s="34">
        <f>IFERROR(SUMIF(Table447[,],Table649[[#This Row],[Accounts Name]],Table447[,2]),"")</f>
        <v>0</v>
      </c>
      <c r="S164" s="36">
        <f t="shared" si="2"/>
        <v>157</v>
      </c>
      <c r="T164" s="34"/>
      <c r="U164" s="37"/>
      <c r="V164" s="34">
        <f>IFERROR(SUMIF(Table649[Sub-Accounts],Table850[[#This Row],[Update your chart of accounts here]],Table649[Debit]),"")</f>
        <v>0</v>
      </c>
      <c r="W164" s="34">
        <f>IFERROR(SUMIF(Table649[Sub-Accounts],Table850[[#This Row],[Update your chart of accounts here]],Table649[Credit]),"")</f>
        <v>0</v>
      </c>
      <c r="X164" s="34"/>
      <c r="Y164" s="34"/>
      <c r="Z164" s="34"/>
      <c r="AA164" s="34"/>
      <c r="AB164" s="34">
        <f>MAX(Table850[[#This Row],[Debit]]+Table850[[#This Row],[Debit -]]-Table850[[#This Row],[Credit]]-Table850[[#This Row],[Credit +]],0)</f>
        <v>0</v>
      </c>
      <c r="AC164" s="34">
        <f>MAX(Table850[[#This Row],[Credit]]-Table850[[#This Row],[Debit]]+Table850[[#This Row],[Credit +]]-Table850[[#This Row],[Debit -]],0)</f>
        <v>0</v>
      </c>
      <c r="AD164" s="34" t="str">
        <f>IFERROR(IF(AND(OR(Table850[[#This Row],[Classification]]="Expense",Table850[[#This Row],[Classification]]="Cost of Goods Sold"),Table850[[#This Row],[Debit\]]&gt;Table850[[#This Row],[Credit.]]),Table850[[#This Row],[Debit\]]-Table850[[#This Row],[Credit.]],""),"")</f>
        <v/>
      </c>
      <c r="AE164" s="34" t="str">
        <f>IFERROR(IF(AND(OR(Table850[[#This Row],[Classification]]="Income",Table850[[#This Row],[Classification]]="Cost of Goods Sold"),Table850[[#This Row],[Credit.]]&gt;Table850[[#This Row],[Debit\]]),Table850[[#This Row],[Credit.]]-Table850[[#This Row],[Debit\]],""),"")</f>
        <v/>
      </c>
      <c r="AF164" s="34"/>
      <c r="AG164" s="34" t="str">
        <f>IFERROR(IF(AND(Table850[[#This Row],[Classification]]="Assets",Table850[[#This Row],[Debit\]]-Table850[[#This Row],[Credit.]]),Table850[[#This Row],[Debit\]]-Table850[[#This Row],[Credit.]],""),"")</f>
        <v/>
      </c>
      <c r="AH164" s="34" t="str">
        <f>IFERROR(IF(AND(OR(Table850[[#This Row],[Classification]]="Liabilities",Table850[[#This Row],[Classification]]="Owner´s Equity"),Table850[[#This Row],[Credit.]]&gt;Table850[[#This Row],[Debit\]]),Table850[[#This Row],[Credit.]]-Table850[[#This Row],[Debit\]],""),"")</f>
        <v/>
      </c>
    </row>
    <row r="165" spans="2:34" hidden="1" x14ac:dyDescent="0.25">
      <c r="B165" s="34"/>
      <c r="C165" s="45"/>
      <c r="D165" s="34"/>
      <c r="E165" s="34"/>
      <c r="G165" s="39"/>
      <c r="H165" s="40"/>
      <c r="I165" s="41"/>
      <c r="J165" s="41"/>
      <c r="L165" s="34">
        <v>158</v>
      </c>
      <c r="M165" s="35"/>
      <c r="N165" s="35"/>
      <c r="O165" s="34">
        <f>IFERROR(SUMIF(Table447[,],Table649[[#This Row],[Accounts Name]],Table447[,3]),"")</f>
        <v>0</v>
      </c>
      <c r="P165" s="34">
        <f>IFERROR(SUMIF(Table447[,],Table649[[#This Row],[Accounts Name]],Table447[,2]),"")</f>
        <v>0</v>
      </c>
      <c r="S165" s="36">
        <f t="shared" si="2"/>
        <v>158</v>
      </c>
      <c r="T165" s="34"/>
      <c r="U165" s="37"/>
      <c r="V165" s="34">
        <f>IFERROR(SUMIF(Table649[Sub-Accounts],Table850[[#This Row],[Update your chart of accounts here]],Table649[Debit]),"")</f>
        <v>0</v>
      </c>
      <c r="W165" s="34">
        <f>IFERROR(SUMIF(Table649[Sub-Accounts],Table850[[#This Row],[Update your chart of accounts here]],Table649[Credit]),"")</f>
        <v>0</v>
      </c>
      <c r="X165" s="34"/>
      <c r="Y165" s="34"/>
      <c r="Z165" s="34"/>
      <c r="AA165" s="34"/>
      <c r="AB165" s="34">
        <f>MAX(Table850[[#This Row],[Debit]]+Table850[[#This Row],[Debit -]]-Table850[[#This Row],[Credit]]-Table850[[#This Row],[Credit +]],0)</f>
        <v>0</v>
      </c>
      <c r="AC165" s="34">
        <f>MAX(Table850[[#This Row],[Credit]]-Table850[[#This Row],[Debit]]+Table850[[#This Row],[Credit +]]-Table850[[#This Row],[Debit -]],0)</f>
        <v>0</v>
      </c>
      <c r="AD165" s="34" t="str">
        <f>IFERROR(IF(AND(OR(Table850[[#This Row],[Classification]]="Expense",Table850[[#This Row],[Classification]]="Cost of Goods Sold"),Table850[[#This Row],[Debit\]]&gt;Table850[[#This Row],[Credit.]]),Table850[[#This Row],[Debit\]]-Table850[[#This Row],[Credit.]],""),"")</f>
        <v/>
      </c>
      <c r="AE165" s="34" t="str">
        <f>IFERROR(IF(AND(OR(Table850[[#This Row],[Classification]]="Income",Table850[[#This Row],[Classification]]="Cost of Goods Sold"),Table850[[#This Row],[Credit.]]&gt;Table850[[#This Row],[Debit\]]),Table850[[#This Row],[Credit.]]-Table850[[#This Row],[Debit\]],""),"")</f>
        <v/>
      </c>
      <c r="AF165" s="34"/>
      <c r="AG165" s="34" t="str">
        <f>IFERROR(IF(AND(Table850[[#This Row],[Classification]]="Assets",Table850[[#This Row],[Debit\]]-Table850[[#This Row],[Credit.]]),Table850[[#This Row],[Debit\]]-Table850[[#This Row],[Credit.]],""),"")</f>
        <v/>
      </c>
      <c r="AH165" s="34" t="str">
        <f>IFERROR(IF(AND(OR(Table850[[#This Row],[Classification]]="Liabilities",Table850[[#This Row],[Classification]]="Owner´s Equity"),Table850[[#This Row],[Credit.]]&gt;Table850[[#This Row],[Debit\]]),Table850[[#This Row],[Credit.]]-Table850[[#This Row],[Debit\]],""),"")</f>
        <v/>
      </c>
    </row>
    <row r="166" spans="2:34" hidden="1" x14ac:dyDescent="0.25">
      <c r="B166" s="34"/>
      <c r="C166" s="45"/>
      <c r="D166" s="34"/>
      <c r="E166" s="34"/>
      <c r="G166" s="39"/>
      <c r="H166" s="40"/>
      <c r="I166" s="41"/>
      <c r="J166" s="41"/>
      <c r="L166" s="34">
        <v>159</v>
      </c>
      <c r="M166" s="35"/>
      <c r="N166" s="35"/>
      <c r="O166" s="34">
        <f>IFERROR(SUMIF(Table447[,],Table649[[#This Row],[Accounts Name]],Table447[,3]),"")</f>
        <v>0</v>
      </c>
      <c r="P166" s="34">
        <f>IFERROR(SUMIF(Table447[,],Table649[[#This Row],[Accounts Name]],Table447[,2]),"")</f>
        <v>0</v>
      </c>
      <c r="S166" s="36">
        <f t="shared" si="2"/>
        <v>159</v>
      </c>
      <c r="T166" s="34"/>
      <c r="U166" s="37"/>
      <c r="V166" s="34">
        <f>IFERROR(SUMIF(Table649[Sub-Accounts],Table850[[#This Row],[Update your chart of accounts here]],Table649[Debit]),"")</f>
        <v>0</v>
      </c>
      <c r="W166" s="34">
        <f>IFERROR(SUMIF(Table649[Sub-Accounts],Table850[[#This Row],[Update your chart of accounts here]],Table649[Credit]),"")</f>
        <v>0</v>
      </c>
      <c r="X166" s="34"/>
      <c r="Y166" s="34"/>
      <c r="Z166" s="34"/>
      <c r="AA166" s="34"/>
      <c r="AB166" s="34">
        <f>MAX(Table850[[#This Row],[Debit]]+Table850[[#This Row],[Debit -]]-Table850[[#This Row],[Credit]]-Table850[[#This Row],[Credit +]],0)</f>
        <v>0</v>
      </c>
      <c r="AC166" s="34">
        <f>MAX(Table850[[#This Row],[Credit]]-Table850[[#This Row],[Debit]]+Table850[[#This Row],[Credit +]]-Table850[[#This Row],[Debit -]],0)</f>
        <v>0</v>
      </c>
      <c r="AD166" s="34" t="str">
        <f>IFERROR(IF(AND(OR(Table850[[#This Row],[Classification]]="Expense",Table850[[#This Row],[Classification]]="Cost of Goods Sold"),Table850[[#This Row],[Debit\]]&gt;Table850[[#This Row],[Credit.]]),Table850[[#This Row],[Debit\]]-Table850[[#This Row],[Credit.]],""),"")</f>
        <v/>
      </c>
      <c r="AE166" s="34" t="str">
        <f>IFERROR(IF(AND(OR(Table850[[#This Row],[Classification]]="Income",Table850[[#This Row],[Classification]]="Cost of Goods Sold"),Table850[[#This Row],[Credit.]]&gt;Table850[[#This Row],[Debit\]]),Table850[[#This Row],[Credit.]]-Table850[[#This Row],[Debit\]],""),"")</f>
        <v/>
      </c>
      <c r="AF166" s="34"/>
      <c r="AG166" s="34" t="str">
        <f>IFERROR(IF(AND(Table850[[#This Row],[Classification]]="Assets",Table850[[#This Row],[Debit\]]-Table850[[#This Row],[Credit.]]),Table850[[#This Row],[Debit\]]-Table850[[#This Row],[Credit.]],""),"")</f>
        <v/>
      </c>
      <c r="AH166" s="34" t="str">
        <f>IFERROR(IF(AND(OR(Table850[[#This Row],[Classification]]="Liabilities",Table850[[#This Row],[Classification]]="Owner´s Equity"),Table850[[#This Row],[Credit.]]&gt;Table850[[#This Row],[Debit\]]),Table850[[#This Row],[Credit.]]-Table850[[#This Row],[Debit\]],""),"")</f>
        <v/>
      </c>
    </row>
    <row r="167" spans="2:34" hidden="1" x14ac:dyDescent="0.25">
      <c r="B167" s="34"/>
      <c r="C167" s="45"/>
      <c r="D167" s="34"/>
      <c r="E167" s="34"/>
      <c r="G167" s="39"/>
      <c r="H167" s="43"/>
      <c r="I167" s="41"/>
      <c r="J167" s="41"/>
      <c r="L167" s="34">
        <v>160</v>
      </c>
      <c r="M167" s="35"/>
      <c r="N167" s="35"/>
      <c r="O167" s="34">
        <f>IFERROR(SUMIF(Table447[,],Table649[[#This Row],[Accounts Name]],Table447[,3]),"")</f>
        <v>0</v>
      </c>
      <c r="P167" s="34">
        <f>IFERROR(SUMIF(Table447[,],Table649[[#This Row],[Accounts Name]],Table447[,2]),"")</f>
        <v>0</v>
      </c>
      <c r="S167" s="36">
        <f t="shared" si="2"/>
        <v>160</v>
      </c>
      <c r="T167" s="34"/>
      <c r="U167" s="37"/>
      <c r="V167" s="34">
        <f>IFERROR(SUMIF(Table649[Sub-Accounts],Table850[[#This Row],[Update your chart of accounts here]],Table649[Debit]),"")</f>
        <v>0</v>
      </c>
      <c r="W167" s="34">
        <f>IFERROR(SUMIF(Table649[Sub-Accounts],Table850[[#This Row],[Update your chart of accounts here]],Table649[Credit]),"")</f>
        <v>0</v>
      </c>
      <c r="X167" s="34"/>
      <c r="Y167" s="34"/>
      <c r="Z167" s="34"/>
      <c r="AA167" s="34"/>
      <c r="AB167" s="34">
        <f>MAX(Table850[[#This Row],[Debit]]+Table850[[#This Row],[Debit -]]-Table850[[#This Row],[Credit]]-Table850[[#This Row],[Credit +]],0)</f>
        <v>0</v>
      </c>
      <c r="AC167" s="34">
        <f>MAX(Table850[[#This Row],[Credit]]-Table850[[#This Row],[Debit]]+Table850[[#This Row],[Credit +]]-Table850[[#This Row],[Debit -]],0)</f>
        <v>0</v>
      </c>
      <c r="AD167" s="34" t="str">
        <f>IFERROR(IF(AND(OR(Table850[[#This Row],[Classification]]="Expense",Table850[[#This Row],[Classification]]="Cost of Goods Sold"),Table850[[#This Row],[Debit\]]&gt;Table850[[#This Row],[Credit.]]),Table850[[#This Row],[Debit\]]-Table850[[#This Row],[Credit.]],""),"")</f>
        <v/>
      </c>
      <c r="AE167" s="34" t="str">
        <f>IFERROR(IF(AND(OR(Table850[[#This Row],[Classification]]="Income",Table850[[#This Row],[Classification]]="Cost of Goods Sold"),Table850[[#This Row],[Credit.]]&gt;Table850[[#This Row],[Debit\]]),Table850[[#This Row],[Credit.]]-Table850[[#This Row],[Debit\]],""),"")</f>
        <v/>
      </c>
      <c r="AF167" s="34"/>
      <c r="AG167" s="34" t="str">
        <f>IFERROR(IF(AND(Table850[[#This Row],[Classification]]="Assets",Table850[[#This Row],[Debit\]]-Table850[[#This Row],[Credit.]]),Table850[[#This Row],[Debit\]]-Table850[[#This Row],[Credit.]],""),"")</f>
        <v/>
      </c>
      <c r="AH167" s="34" t="str">
        <f>IFERROR(IF(AND(OR(Table850[[#This Row],[Classification]]="Liabilities",Table850[[#This Row],[Classification]]="Owner´s Equity"),Table850[[#This Row],[Credit.]]&gt;Table850[[#This Row],[Debit\]]),Table850[[#This Row],[Credit.]]-Table850[[#This Row],[Debit\]],""),"")</f>
        <v/>
      </c>
    </row>
    <row r="168" spans="2:34" hidden="1" x14ac:dyDescent="0.25">
      <c r="B168" s="34"/>
      <c r="C168" s="45"/>
      <c r="D168" s="34"/>
      <c r="E168" s="34"/>
      <c r="G168" s="39"/>
      <c r="H168" s="40"/>
      <c r="I168" s="41"/>
      <c r="J168" s="41"/>
      <c r="L168" s="34">
        <v>161</v>
      </c>
      <c r="M168" s="35"/>
      <c r="N168" s="35"/>
      <c r="O168" s="34">
        <f>IFERROR(SUMIF(Table447[,],Table649[[#This Row],[Accounts Name]],Table447[,3]),"")</f>
        <v>0</v>
      </c>
      <c r="P168" s="34">
        <f>IFERROR(SUMIF(Table447[,],Table649[[#This Row],[Accounts Name]],Table447[,2]),"")</f>
        <v>0</v>
      </c>
      <c r="S168" s="36">
        <f t="shared" si="2"/>
        <v>161</v>
      </c>
      <c r="T168" s="34"/>
      <c r="U168" s="37"/>
      <c r="V168" s="34">
        <f>IFERROR(SUMIF(Table649[Sub-Accounts],Table850[[#This Row],[Update your chart of accounts here]],Table649[Debit]),"")</f>
        <v>0</v>
      </c>
      <c r="W168" s="34">
        <f>IFERROR(SUMIF(Table649[Sub-Accounts],Table850[[#This Row],[Update your chart of accounts here]],Table649[Credit]),"")</f>
        <v>0</v>
      </c>
      <c r="X168" s="34"/>
      <c r="Y168" s="34"/>
      <c r="Z168" s="34"/>
      <c r="AA168" s="34"/>
      <c r="AB168" s="34">
        <f>MAX(Table850[[#This Row],[Debit]]+Table850[[#This Row],[Debit -]]-Table850[[#This Row],[Credit]]-Table850[[#This Row],[Credit +]],0)</f>
        <v>0</v>
      </c>
      <c r="AC168" s="34">
        <f>MAX(Table850[[#This Row],[Credit]]-Table850[[#This Row],[Debit]]+Table850[[#This Row],[Credit +]]-Table850[[#This Row],[Debit -]],0)</f>
        <v>0</v>
      </c>
      <c r="AD168" s="34" t="str">
        <f>IFERROR(IF(AND(OR(Table850[[#This Row],[Classification]]="Expense",Table850[[#This Row],[Classification]]="Cost of Goods Sold"),Table850[[#This Row],[Debit\]]&gt;Table850[[#This Row],[Credit.]]),Table850[[#This Row],[Debit\]]-Table850[[#This Row],[Credit.]],""),"")</f>
        <v/>
      </c>
      <c r="AE168" s="34" t="str">
        <f>IFERROR(IF(AND(OR(Table850[[#This Row],[Classification]]="Income",Table850[[#This Row],[Classification]]="Cost of Goods Sold"),Table850[[#This Row],[Credit.]]&gt;Table850[[#This Row],[Debit\]]),Table850[[#This Row],[Credit.]]-Table850[[#This Row],[Debit\]],""),"")</f>
        <v/>
      </c>
      <c r="AF168" s="34"/>
      <c r="AG168" s="34" t="str">
        <f>IFERROR(IF(AND(Table850[[#This Row],[Classification]]="Assets",Table850[[#This Row],[Debit\]]-Table850[[#This Row],[Credit.]]),Table850[[#This Row],[Debit\]]-Table850[[#This Row],[Credit.]],""),"")</f>
        <v/>
      </c>
      <c r="AH168" s="34" t="str">
        <f>IFERROR(IF(AND(OR(Table850[[#This Row],[Classification]]="Liabilities",Table850[[#This Row],[Classification]]="Owner´s Equity"),Table850[[#This Row],[Credit.]]&gt;Table850[[#This Row],[Debit\]]),Table850[[#This Row],[Credit.]]-Table850[[#This Row],[Debit\]],""),"")</f>
        <v/>
      </c>
    </row>
    <row r="169" spans="2:34" hidden="1" x14ac:dyDescent="0.25">
      <c r="B169" s="34"/>
      <c r="C169" s="45"/>
      <c r="D169" s="34"/>
      <c r="E169" s="34"/>
      <c r="G169" s="39"/>
      <c r="H169" s="40"/>
      <c r="I169" s="41"/>
      <c r="J169" s="41"/>
      <c r="L169" s="34">
        <v>162</v>
      </c>
      <c r="M169" s="35"/>
      <c r="N169" s="35"/>
      <c r="O169" s="34">
        <f>IFERROR(SUMIF(Table447[,],Table649[[#This Row],[Accounts Name]],Table447[,3]),"")</f>
        <v>0</v>
      </c>
      <c r="P169" s="34">
        <f>IFERROR(SUMIF(Table447[,],Table649[[#This Row],[Accounts Name]],Table447[,2]),"")</f>
        <v>0</v>
      </c>
      <c r="S169" s="36">
        <f t="shared" si="2"/>
        <v>162</v>
      </c>
      <c r="T169" s="34"/>
      <c r="U169" s="37"/>
      <c r="V169" s="34">
        <f>IFERROR(SUMIF(Table649[Sub-Accounts],Table850[[#This Row],[Update your chart of accounts here]],Table649[Debit]),"")</f>
        <v>0</v>
      </c>
      <c r="W169" s="34">
        <f>IFERROR(SUMIF(Table649[Sub-Accounts],Table850[[#This Row],[Update your chart of accounts here]],Table649[Credit]),"")</f>
        <v>0</v>
      </c>
      <c r="X169" s="34"/>
      <c r="Y169" s="34"/>
      <c r="Z169" s="34"/>
      <c r="AA169" s="34"/>
      <c r="AB169" s="34">
        <f>MAX(Table850[[#This Row],[Debit]]+Table850[[#This Row],[Debit -]]-Table850[[#This Row],[Credit]]-Table850[[#This Row],[Credit +]],0)</f>
        <v>0</v>
      </c>
      <c r="AC169" s="34">
        <f>MAX(Table850[[#This Row],[Credit]]-Table850[[#This Row],[Debit]]+Table850[[#This Row],[Credit +]]-Table850[[#This Row],[Debit -]],0)</f>
        <v>0</v>
      </c>
      <c r="AD169" s="34" t="str">
        <f>IFERROR(IF(AND(OR(Table850[[#This Row],[Classification]]="Expense",Table850[[#This Row],[Classification]]="Cost of Goods Sold"),Table850[[#This Row],[Debit\]]&gt;Table850[[#This Row],[Credit.]]),Table850[[#This Row],[Debit\]]-Table850[[#This Row],[Credit.]],""),"")</f>
        <v/>
      </c>
      <c r="AE169" s="34" t="str">
        <f>IFERROR(IF(AND(OR(Table850[[#This Row],[Classification]]="Income",Table850[[#This Row],[Classification]]="Cost of Goods Sold"),Table850[[#This Row],[Credit.]]&gt;Table850[[#This Row],[Debit\]]),Table850[[#This Row],[Credit.]]-Table850[[#This Row],[Debit\]],""),"")</f>
        <v/>
      </c>
      <c r="AF169" s="34"/>
      <c r="AG169" s="34" t="str">
        <f>IFERROR(IF(AND(Table850[[#This Row],[Classification]]="Assets",Table850[[#This Row],[Debit\]]-Table850[[#This Row],[Credit.]]),Table850[[#This Row],[Debit\]]-Table850[[#This Row],[Credit.]],""),"")</f>
        <v/>
      </c>
      <c r="AH169" s="34" t="str">
        <f>IFERROR(IF(AND(OR(Table850[[#This Row],[Classification]]="Liabilities",Table850[[#This Row],[Classification]]="Owner´s Equity"),Table850[[#This Row],[Credit.]]&gt;Table850[[#This Row],[Debit\]]),Table850[[#This Row],[Credit.]]-Table850[[#This Row],[Debit\]],""),"")</f>
        <v/>
      </c>
    </row>
    <row r="170" spans="2:34" hidden="1" x14ac:dyDescent="0.25">
      <c r="B170" s="34"/>
      <c r="C170" s="45"/>
      <c r="D170" s="34"/>
      <c r="E170" s="34"/>
      <c r="G170" s="39"/>
      <c r="H170" s="43"/>
      <c r="I170" s="41"/>
      <c r="J170" s="41"/>
      <c r="L170" s="34">
        <v>163</v>
      </c>
      <c r="M170" s="35"/>
      <c r="N170" s="35"/>
      <c r="O170" s="34">
        <f>IFERROR(SUMIF(Table447[,],Table649[[#This Row],[Accounts Name]],Table447[,3]),"")</f>
        <v>0</v>
      </c>
      <c r="P170" s="34">
        <f>IFERROR(SUMIF(Table447[,],Table649[[#This Row],[Accounts Name]],Table447[,2]),"")</f>
        <v>0</v>
      </c>
      <c r="S170" s="36">
        <f t="shared" si="2"/>
        <v>163</v>
      </c>
      <c r="T170" s="34"/>
      <c r="U170" s="37"/>
      <c r="V170" s="34">
        <f>IFERROR(SUMIF(Table649[Sub-Accounts],Table850[[#This Row],[Update your chart of accounts here]],Table649[Debit]),"")</f>
        <v>0</v>
      </c>
      <c r="W170" s="34">
        <f>IFERROR(SUMIF(Table649[Sub-Accounts],Table850[[#This Row],[Update your chart of accounts here]],Table649[Credit]),"")</f>
        <v>0</v>
      </c>
      <c r="X170" s="34"/>
      <c r="Y170" s="34"/>
      <c r="Z170" s="34"/>
      <c r="AA170" s="34"/>
      <c r="AB170" s="34">
        <f>MAX(Table850[[#This Row],[Debit]]+Table850[[#This Row],[Debit -]]-Table850[[#This Row],[Credit]]-Table850[[#This Row],[Credit +]],0)</f>
        <v>0</v>
      </c>
      <c r="AC170" s="34">
        <f>MAX(Table850[[#This Row],[Credit]]-Table850[[#This Row],[Debit]]+Table850[[#This Row],[Credit +]]-Table850[[#This Row],[Debit -]],0)</f>
        <v>0</v>
      </c>
      <c r="AD170" s="34" t="str">
        <f>IFERROR(IF(AND(OR(Table850[[#This Row],[Classification]]="Expense",Table850[[#This Row],[Classification]]="Cost of Goods Sold"),Table850[[#This Row],[Debit\]]&gt;Table850[[#This Row],[Credit.]]),Table850[[#This Row],[Debit\]]-Table850[[#This Row],[Credit.]],""),"")</f>
        <v/>
      </c>
      <c r="AE170" s="34" t="str">
        <f>IFERROR(IF(AND(OR(Table850[[#This Row],[Classification]]="Income",Table850[[#This Row],[Classification]]="Cost of Goods Sold"),Table850[[#This Row],[Credit.]]&gt;Table850[[#This Row],[Debit\]]),Table850[[#This Row],[Credit.]]-Table850[[#This Row],[Debit\]],""),"")</f>
        <v/>
      </c>
      <c r="AF170" s="34"/>
      <c r="AG170" s="34" t="str">
        <f>IFERROR(IF(AND(Table850[[#This Row],[Classification]]="Assets",Table850[[#This Row],[Debit\]]-Table850[[#This Row],[Credit.]]),Table850[[#This Row],[Debit\]]-Table850[[#This Row],[Credit.]],""),"")</f>
        <v/>
      </c>
      <c r="AH170" s="34" t="str">
        <f>IFERROR(IF(AND(OR(Table850[[#This Row],[Classification]]="Liabilities",Table850[[#This Row],[Classification]]="Owner´s Equity"),Table850[[#This Row],[Credit.]]&gt;Table850[[#This Row],[Debit\]]),Table850[[#This Row],[Credit.]]-Table850[[#This Row],[Debit\]],""),"")</f>
        <v/>
      </c>
    </row>
    <row r="171" spans="2:34" hidden="1" x14ac:dyDescent="0.25">
      <c r="B171" s="34"/>
      <c r="C171" s="45"/>
      <c r="D171" s="34"/>
      <c r="E171" s="34"/>
      <c r="G171" s="39"/>
      <c r="H171" s="40"/>
      <c r="I171" s="41"/>
      <c r="J171" s="41"/>
      <c r="L171" s="34">
        <v>164</v>
      </c>
      <c r="M171" s="35"/>
      <c r="N171" s="35"/>
      <c r="O171" s="34">
        <f>IFERROR(SUMIF(Table447[,],Table649[[#This Row],[Accounts Name]],Table447[,3]),"")</f>
        <v>0</v>
      </c>
      <c r="P171" s="34">
        <f>IFERROR(SUMIF(Table447[,],Table649[[#This Row],[Accounts Name]],Table447[,2]),"")</f>
        <v>0</v>
      </c>
      <c r="S171" s="36">
        <f t="shared" si="2"/>
        <v>164</v>
      </c>
      <c r="T171" s="34"/>
      <c r="U171" s="37"/>
      <c r="V171" s="34">
        <f>IFERROR(SUMIF(Table649[Sub-Accounts],Table850[[#This Row],[Update your chart of accounts here]],Table649[Debit]),"")</f>
        <v>0</v>
      </c>
      <c r="W171" s="34">
        <f>IFERROR(SUMIF(Table649[Sub-Accounts],Table850[[#This Row],[Update your chart of accounts here]],Table649[Credit]),"")</f>
        <v>0</v>
      </c>
      <c r="X171" s="34"/>
      <c r="Y171" s="34"/>
      <c r="Z171" s="34"/>
      <c r="AA171" s="34"/>
      <c r="AB171" s="34">
        <f>MAX(Table850[[#This Row],[Debit]]+Table850[[#This Row],[Debit -]]-Table850[[#This Row],[Credit]]-Table850[[#This Row],[Credit +]],0)</f>
        <v>0</v>
      </c>
      <c r="AC171" s="34">
        <f>MAX(Table850[[#This Row],[Credit]]-Table850[[#This Row],[Debit]]+Table850[[#This Row],[Credit +]]-Table850[[#This Row],[Debit -]],0)</f>
        <v>0</v>
      </c>
      <c r="AD171" s="34" t="str">
        <f>IFERROR(IF(AND(OR(Table850[[#This Row],[Classification]]="Expense",Table850[[#This Row],[Classification]]="Cost of Goods Sold"),Table850[[#This Row],[Debit\]]&gt;Table850[[#This Row],[Credit.]]),Table850[[#This Row],[Debit\]]-Table850[[#This Row],[Credit.]],""),"")</f>
        <v/>
      </c>
      <c r="AE171" s="34" t="str">
        <f>IFERROR(IF(AND(OR(Table850[[#This Row],[Classification]]="Income",Table850[[#This Row],[Classification]]="Cost of Goods Sold"),Table850[[#This Row],[Credit.]]&gt;Table850[[#This Row],[Debit\]]),Table850[[#This Row],[Credit.]]-Table850[[#This Row],[Debit\]],""),"")</f>
        <v/>
      </c>
      <c r="AF171" s="34"/>
      <c r="AG171" s="34" t="str">
        <f>IFERROR(IF(AND(Table850[[#This Row],[Classification]]="Assets",Table850[[#This Row],[Debit\]]-Table850[[#This Row],[Credit.]]),Table850[[#This Row],[Debit\]]-Table850[[#This Row],[Credit.]],""),"")</f>
        <v/>
      </c>
      <c r="AH171" s="34" t="str">
        <f>IFERROR(IF(AND(OR(Table850[[#This Row],[Classification]]="Liabilities",Table850[[#This Row],[Classification]]="Owner´s Equity"),Table850[[#This Row],[Credit.]]&gt;Table850[[#This Row],[Debit\]]),Table850[[#This Row],[Credit.]]-Table850[[#This Row],[Debit\]],""),"")</f>
        <v/>
      </c>
    </row>
    <row r="172" spans="2:34" hidden="1" x14ac:dyDescent="0.25">
      <c r="B172" s="34"/>
      <c r="C172" s="45"/>
      <c r="D172" s="34"/>
      <c r="E172" s="34"/>
      <c r="G172" s="39"/>
      <c r="H172" s="40"/>
      <c r="I172" s="41"/>
      <c r="J172" s="41"/>
      <c r="L172" s="34">
        <v>165</v>
      </c>
      <c r="M172" s="35"/>
      <c r="N172" s="35"/>
      <c r="O172" s="34">
        <f>IFERROR(SUMIF(Table447[,],Table649[[#This Row],[Accounts Name]],Table447[,3]),"")</f>
        <v>0</v>
      </c>
      <c r="P172" s="34">
        <f>IFERROR(SUMIF(Table447[,],Table649[[#This Row],[Accounts Name]],Table447[,2]),"")</f>
        <v>0</v>
      </c>
      <c r="S172" s="36">
        <f t="shared" si="2"/>
        <v>165</v>
      </c>
      <c r="T172" s="34"/>
      <c r="U172" s="37"/>
      <c r="V172" s="34">
        <f>IFERROR(SUMIF(Table649[Sub-Accounts],Table850[[#This Row],[Update your chart of accounts here]],Table649[Debit]),"")</f>
        <v>0</v>
      </c>
      <c r="W172" s="34">
        <f>IFERROR(SUMIF(Table649[Sub-Accounts],Table850[[#This Row],[Update your chart of accounts here]],Table649[Credit]),"")</f>
        <v>0</v>
      </c>
      <c r="X172" s="34"/>
      <c r="Y172" s="34"/>
      <c r="Z172" s="34"/>
      <c r="AA172" s="34"/>
      <c r="AB172" s="34">
        <f>MAX(Table850[[#This Row],[Debit]]+Table850[[#This Row],[Debit -]]-Table850[[#This Row],[Credit]]-Table850[[#This Row],[Credit +]],0)</f>
        <v>0</v>
      </c>
      <c r="AC172" s="34">
        <f>MAX(Table850[[#This Row],[Credit]]-Table850[[#This Row],[Debit]]+Table850[[#This Row],[Credit +]]-Table850[[#This Row],[Debit -]],0)</f>
        <v>0</v>
      </c>
      <c r="AD172" s="34" t="str">
        <f>IFERROR(IF(AND(OR(Table850[[#This Row],[Classification]]="Expense",Table850[[#This Row],[Classification]]="Cost of Goods Sold"),Table850[[#This Row],[Debit\]]&gt;Table850[[#This Row],[Credit.]]),Table850[[#This Row],[Debit\]]-Table850[[#This Row],[Credit.]],""),"")</f>
        <v/>
      </c>
      <c r="AE172" s="34" t="str">
        <f>IFERROR(IF(AND(OR(Table850[[#This Row],[Classification]]="Income",Table850[[#This Row],[Classification]]="Cost of Goods Sold"),Table850[[#This Row],[Credit.]]&gt;Table850[[#This Row],[Debit\]]),Table850[[#This Row],[Credit.]]-Table850[[#This Row],[Debit\]],""),"")</f>
        <v/>
      </c>
      <c r="AF172" s="34"/>
      <c r="AG172" s="34" t="str">
        <f>IFERROR(IF(AND(Table850[[#This Row],[Classification]]="Assets",Table850[[#This Row],[Debit\]]-Table850[[#This Row],[Credit.]]),Table850[[#This Row],[Debit\]]-Table850[[#This Row],[Credit.]],""),"")</f>
        <v/>
      </c>
      <c r="AH172" s="34" t="str">
        <f>IFERROR(IF(AND(OR(Table850[[#This Row],[Classification]]="Liabilities",Table850[[#This Row],[Classification]]="Owner´s Equity"),Table850[[#This Row],[Credit.]]&gt;Table850[[#This Row],[Debit\]]),Table850[[#This Row],[Credit.]]-Table850[[#This Row],[Debit\]],""),"")</f>
        <v/>
      </c>
    </row>
    <row r="173" spans="2:34" hidden="1" x14ac:dyDescent="0.25">
      <c r="B173" s="34"/>
      <c r="C173" s="45"/>
      <c r="D173" s="34"/>
      <c r="E173" s="34"/>
      <c r="G173" s="39"/>
      <c r="H173" s="43"/>
      <c r="I173" s="41"/>
      <c r="J173" s="41"/>
      <c r="L173" s="34">
        <v>166</v>
      </c>
      <c r="M173" s="35"/>
      <c r="N173" s="35"/>
      <c r="O173" s="34">
        <f>IFERROR(SUMIF(Table447[,],Table649[[#This Row],[Accounts Name]],Table447[,3]),"")</f>
        <v>0</v>
      </c>
      <c r="P173" s="34">
        <f>IFERROR(SUMIF(Table447[,],Table649[[#This Row],[Accounts Name]],Table447[,2]),"")</f>
        <v>0</v>
      </c>
      <c r="S173" s="36">
        <f t="shared" si="2"/>
        <v>166</v>
      </c>
      <c r="T173" s="34"/>
      <c r="U173" s="37"/>
      <c r="V173" s="34">
        <f>IFERROR(SUMIF(Table649[Sub-Accounts],Table850[[#This Row],[Update your chart of accounts here]],Table649[Debit]),"")</f>
        <v>0</v>
      </c>
      <c r="W173" s="34">
        <f>IFERROR(SUMIF(Table649[Sub-Accounts],Table850[[#This Row],[Update your chart of accounts here]],Table649[Credit]),"")</f>
        <v>0</v>
      </c>
      <c r="X173" s="34"/>
      <c r="Y173" s="34"/>
      <c r="Z173" s="34"/>
      <c r="AA173" s="34"/>
      <c r="AB173" s="34">
        <f>MAX(Table850[[#This Row],[Debit]]+Table850[[#This Row],[Debit -]]-Table850[[#This Row],[Credit]]-Table850[[#This Row],[Credit +]],0)</f>
        <v>0</v>
      </c>
      <c r="AC173" s="34">
        <f>MAX(Table850[[#This Row],[Credit]]-Table850[[#This Row],[Debit]]+Table850[[#This Row],[Credit +]]-Table850[[#This Row],[Debit -]],0)</f>
        <v>0</v>
      </c>
      <c r="AD173" s="34" t="str">
        <f>IFERROR(IF(AND(OR(Table850[[#This Row],[Classification]]="Expense",Table850[[#This Row],[Classification]]="Cost of Goods Sold"),Table850[[#This Row],[Debit\]]&gt;Table850[[#This Row],[Credit.]]),Table850[[#This Row],[Debit\]]-Table850[[#This Row],[Credit.]],""),"")</f>
        <v/>
      </c>
      <c r="AE173" s="34" t="str">
        <f>IFERROR(IF(AND(OR(Table850[[#This Row],[Classification]]="Income",Table850[[#This Row],[Classification]]="Cost of Goods Sold"),Table850[[#This Row],[Credit.]]&gt;Table850[[#This Row],[Debit\]]),Table850[[#This Row],[Credit.]]-Table850[[#This Row],[Debit\]],""),"")</f>
        <v/>
      </c>
      <c r="AF173" s="34"/>
      <c r="AG173" s="34" t="str">
        <f>IFERROR(IF(AND(Table850[[#This Row],[Classification]]="Assets",Table850[[#This Row],[Debit\]]-Table850[[#This Row],[Credit.]]),Table850[[#This Row],[Debit\]]-Table850[[#This Row],[Credit.]],""),"")</f>
        <v/>
      </c>
      <c r="AH173" s="34" t="str">
        <f>IFERROR(IF(AND(OR(Table850[[#This Row],[Classification]]="Liabilities",Table850[[#This Row],[Classification]]="Owner´s Equity"),Table850[[#This Row],[Credit.]]&gt;Table850[[#This Row],[Debit\]]),Table850[[#This Row],[Credit.]]-Table850[[#This Row],[Debit\]],""),"")</f>
        <v/>
      </c>
    </row>
    <row r="174" spans="2:34" hidden="1" x14ac:dyDescent="0.25">
      <c r="B174" s="34"/>
      <c r="C174" s="45"/>
      <c r="D174" s="34"/>
      <c r="E174" s="34"/>
      <c r="G174" s="39"/>
      <c r="H174" s="40"/>
      <c r="I174" s="41"/>
      <c r="J174" s="41"/>
      <c r="L174" s="34">
        <v>167</v>
      </c>
      <c r="M174" s="35"/>
      <c r="N174" s="35"/>
      <c r="O174" s="34">
        <f>IFERROR(SUMIF(Table447[,],Table649[[#This Row],[Accounts Name]],Table447[,3]),"")</f>
        <v>0</v>
      </c>
      <c r="P174" s="34">
        <f>IFERROR(SUMIF(Table447[,],Table649[[#This Row],[Accounts Name]],Table447[,2]),"")</f>
        <v>0</v>
      </c>
      <c r="S174" s="36">
        <f t="shared" si="2"/>
        <v>167</v>
      </c>
      <c r="T174" s="34"/>
      <c r="U174" s="37"/>
      <c r="V174" s="34">
        <f>IFERROR(SUMIF(Table649[Sub-Accounts],Table850[[#This Row],[Update your chart of accounts here]],Table649[Debit]),"")</f>
        <v>0</v>
      </c>
      <c r="W174" s="34">
        <f>IFERROR(SUMIF(Table649[Sub-Accounts],Table850[[#This Row],[Update your chart of accounts here]],Table649[Credit]),"")</f>
        <v>0</v>
      </c>
      <c r="X174" s="34"/>
      <c r="Y174" s="34"/>
      <c r="Z174" s="34"/>
      <c r="AA174" s="34"/>
      <c r="AB174" s="34">
        <f>MAX(Table850[[#This Row],[Debit]]+Table850[[#This Row],[Debit -]]-Table850[[#This Row],[Credit]]-Table850[[#This Row],[Credit +]],0)</f>
        <v>0</v>
      </c>
      <c r="AC174" s="34">
        <f>MAX(Table850[[#This Row],[Credit]]-Table850[[#This Row],[Debit]]+Table850[[#This Row],[Credit +]]-Table850[[#This Row],[Debit -]],0)</f>
        <v>0</v>
      </c>
      <c r="AD174" s="34" t="str">
        <f>IFERROR(IF(AND(OR(Table850[[#This Row],[Classification]]="Expense",Table850[[#This Row],[Classification]]="Cost of Goods Sold"),Table850[[#This Row],[Debit\]]&gt;Table850[[#This Row],[Credit.]]),Table850[[#This Row],[Debit\]]-Table850[[#This Row],[Credit.]],""),"")</f>
        <v/>
      </c>
      <c r="AE174" s="34" t="str">
        <f>IFERROR(IF(AND(OR(Table850[[#This Row],[Classification]]="Income",Table850[[#This Row],[Classification]]="Cost of Goods Sold"),Table850[[#This Row],[Credit.]]&gt;Table850[[#This Row],[Debit\]]),Table850[[#This Row],[Credit.]]-Table850[[#This Row],[Debit\]],""),"")</f>
        <v/>
      </c>
      <c r="AF174" s="34"/>
      <c r="AG174" s="34" t="str">
        <f>IFERROR(IF(AND(Table850[[#This Row],[Classification]]="Assets",Table850[[#This Row],[Debit\]]-Table850[[#This Row],[Credit.]]),Table850[[#This Row],[Debit\]]-Table850[[#This Row],[Credit.]],""),"")</f>
        <v/>
      </c>
      <c r="AH174" s="34" t="str">
        <f>IFERROR(IF(AND(OR(Table850[[#This Row],[Classification]]="Liabilities",Table850[[#This Row],[Classification]]="Owner´s Equity"),Table850[[#This Row],[Credit.]]&gt;Table850[[#This Row],[Debit\]]),Table850[[#This Row],[Credit.]]-Table850[[#This Row],[Debit\]],""),"")</f>
        <v/>
      </c>
    </row>
    <row r="175" spans="2:34" hidden="1" x14ac:dyDescent="0.25">
      <c r="B175" s="34"/>
      <c r="C175" s="45"/>
      <c r="D175" s="34"/>
      <c r="E175" s="34"/>
      <c r="G175" s="39"/>
      <c r="H175" s="40"/>
      <c r="I175" s="41"/>
      <c r="J175" s="41"/>
      <c r="L175" s="34">
        <v>168</v>
      </c>
      <c r="M175" s="35"/>
      <c r="N175" s="35"/>
      <c r="O175" s="34">
        <f>IFERROR(SUMIF(Table447[,],Table649[[#This Row],[Accounts Name]],Table447[,3]),"")</f>
        <v>0</v>
      </c>
      <c r="P175" s="34">
        <f>IFERROR(SUMIF(Table447[,],Table649[[#This Row],[Accounts Name]],Table447[,2]),"")</f>
        <v>0</v>
      </c>
      <c r="S175" s="36">
        <f t="shared" si="2"/>
        <v>168</v>
      </c>
      <c r="T175" s="34"/>
      <c r="U175" s="37"/>
      <c r="V175" s="34">
        <f>IFERROR(SUMIF(Table649[Sub-Accounts],Table850[[#This Row],[Update your chart of accounts here]],Table649[Debit]),"")</f>
        <v>0</v>
      </c>
      <c r="W175" s="34">
        <f>IFERROR(SUMIF(Table649[Sub-Accounts],Table850[[#This Row],[Update your chart of accounts here]],Table649[Credit]),"")</f>
        <v>0</v>
      </c>
      <c r="X175" s="34"/>
      <c r="Y175" s="34"/>
      <c r="Z175" s="34"/>
      <c r="AA175" s="34"/>
      <c r="AB175" s="34">
        <f>MAX(Table850[[#This Row],[Debit]]+Table850[[#This Row],[Debit -]]-Table850[[#This Row],[Credit]]-Table850[[#This Row],[Credit +]],0)</f>
        <v>0</v>
      </c>
      <c r="AC175" s="34">
        <f>MAX(Table850[[#This Row],[Credit]]-Table850[[#This Row],[Debit]]+Table850[[#This Row],[Credit +]]-Table850[[#This Row],[Debit -]],0)</f>
        <v>0</v>
      </c>
      <c r="AD175" s="34" t="str">
        <f>IFERROR(IF(AND(OR(Table850[[#This Row],[Classification]]="Expense",Table850[[#This Row],[Classification]]="Cost of Goods Sold"),Table850[[#This Row],[Debit\]]&gt;Table850[[#This Row],[Credit.]]),Table850[[#This Row],[Debit\]]-Table850[[#This Row],[Credit.]],""),"")</f>
        <v/>
      </c>
      <c r="AE175" s="34" t="str">
        <f>IFERROR(IF(AND(OR(Table850[[#This Row],[Classification]]="Income",Table850[[#This Row],[Classification]]="Cost of Goods Sold"),Table850[[#This Row],[Credit.]]&gt;Table850[[#This Row],[Debit\]]),Table850[[#This Row],[Credit.]]-Table850[[#This Row],[Debit\]],""),"")</f>
        <v/>
      </c>
      <c r="AF175" s="34"/>
      <c r="AG175" s="34" t="str">
        <f>IFERROR(IF(AND(Table850[[#This Row],[Classification]]="Assets",Table850[[#This Row],[Debit\]]-Table850[[#This Row],[Credit.]]),Table850[[#This Row],[Debit\]]-Table850[[#This Row],[Credit.]],""),"")</f>
        <v/>
      </c>
      <c r="AH175" s="34" t="str">
        <f>IFERROR(IF(AND(OR(Table850[[#This Row],[Classification]]="Liabilities",Table850[[#This Row],[Classification]]="Owner´s Equity"),Table850[[#This Row],[Credit.]]&gt;Table850[[#This Row],[Debit\]]),Table850[[#This Row],[Credit.]]-Table850[[#This Row],[Debit\]],""),"")</f>
        <v/>
      </c>
    </row>
    <row r="176" spans="2:34" hidden="1" x14ac:dyDescent="0.25">
      <c r="B176" s="34"/>
      <c r="C176" s="45"/>
      <c r="D176" s="34"/>
      <c r="E176" s="34"/>
      <c r="G176" s="39"/>
      <c r="H176" s="43"/>
      <c r="I176" s="41"/>
      <c r="J176" s="41"/>
      <c r="L176" s="34">
        <v>169</v>
      </c>
      <c r="M176" s="35"/>
      <c r="N176" s="35"/>
      <c r="O176" s="34">
        <f>IFERROR(SUMIF(Table447[,],Table649[[#This Row],[Accounts Name]],Table447[,3]),"")</f>
        <v>0</v>
      </c>
      <c r="P176" s="34">
        <f>IFERROR(SUMIF(Table447[,],Table649[[#This Row],[Accounts Name]],Table447[,2]),"")</f>
        <v>0</v>
      </c>
      <c r="S176" s="36">
        <f t="shared" si="2"/>
        <v>169</v>
      </c>
      <c r="T176" s="34"/>
      <c r="U176" s="37"/>
      <c r="V176" s="34">
        <f>IFERROR(SUMIF(Table649[Sub-Accounts],Table850[[#This Row],[Update your chart of accounts here]],Table649[Debit]),"")</f>
        <v>0</v>
      </c>
      <c r="W176" s="34">
        <f>IFERROR(SUMIF(Table649[Sub-Accounts],Table850[[#This Row],[Update your chart of accounts here]],Table649[Credit]),"")</f>
        <v>0</v>
      </c>
      <c r="X176" s="34"/>
      <c r="Y176" s="34"/>
      <c r="Z176" s="34"/>
      <c r="AA176" s="34"/>
      <c r="AB176" s="34">
        <f>MAX(Table850[[#This Row],[Debit]]+Table850[[#This Row],[Debit -]]-Table850[[#This Row],[Credit]]-Table850[[#This Row],[Credit +]],0)</f>
        <v>0</v>
      </c>
      <c r="AC176" s="34">
        <f>MAX(Table850[[#This Row],[Credit]]-Table850[[#This Row],[Debit]]+Table850[[#This Row],[Credit +]]-Table850[[#This Row],[Debit -]],0)</f>
        <v>0</v>
      </c>
      <c r="AD176" s="34" t="str">
        <f>IFERROR(IF(AND(OR(Table850[[#This Row],[Classification]]="Expense",Table850[[#This Row],[Classification]]="Cost of Goods Sold"),Table850[[#This Row],[Debit\]]&gt;Table850[[#This Row],[Credit.]]),Table850[[#This Row],[Debit\]]-Table850[[#This Row],[Credit.]],""),"")</f>
        <v/>
      </c>
      <c r="AE176" s="34" t="str">
        <f>IFERROR(IF(AND(OR(Table850[[#This Row],[Classification]]="Income",Table850[[#This Row],[Classification]]="Cost of Goods Sold"),Table850[[#This Row],[Credit.]]&gt;Table850[[#This Row],[Debit\]]),Table850[[#This Row],[Credit.]]-Table850[[#This Row],[Debit\]],""),"")</f>
        <v/>
      </c>
      <c r="AF176" s="34"/>
      <c r="AG176" s="34" t="str">
        <f>IFERROR(IF(AND(Table850[[#This Row],[Classification]]="Assets",Table850[[#This Row],[Debit\]]-Table850[[#This Row],[Credit.]]),Table850[[#This Row],[Debit\]]-Table850[[#This Row],[Credit.]],""),"")</f>
        <v/>
      </c>
      <c r="AH176" s="34" t="str">
        <f>IFERROR(IF(AND(OR(Table850[[#This Row],[Classification]]="Liabilities",Table850[[#This Row],[Classification]]="Owner´s Equity"),Table850[[#This Row],[Credit.]]&gt;Table850[[#This Row],[Debit\]]),Table850[[#This Row],[Credit.]]-Table850[[#This Row],[Debit\]],""),"")</f>
        <v/>
      </c>
    </row>
    <row r="177" spans="2:34" hidden="1" x14ac:dyDescent="0.25">
      <c r="B177" s="34"/>
      <c r="C177" s="45"/>
      <c r="D177" s="34"/>
      <c r="E177" s="34"/>
      <c r="G177" s="39"/>
      <c r="H177" s="40"/>
      <c r="I177" s="41"/>
      <c r="J177" s="41"/>
      <c r="L177" s="34">
        <v>170</v>
      </c>
      <c r="M177" s="35"/>
      <c r="N177" s="35"/>
      <c r="O177" s="34">
        <f>IFERROR(SUMIF(Table447[,],Table649[[#This Row],[Accounts Name]],Table447[,3]),"")</f>
        <v>0</v>
      </c>
      <c r="P177" s="34">
        <f>IFERROR(SUMIF(Table447[,],Table649[[#This Row],[Accounts Name]],Table447[,2]),"")</f>
        <v>0</v>
      </c>
      <c r="S177" s="36">
        <f t="shared" si="2"/>
        <v>170</v>
      </c>
      <c r="T177" s="34"/>
      <c r="U177" s="37"/>
      <c r="V177" s="34">
        <f>IFERROR(SUMIF(Table649[Sub-Accounts],Table850[[#This Row],[Update your chart of accounts here]],Table649[Debit]),"")</f>
        <v>0</v>
      </c>
      <c r="W177" s="34">
        <f>IFERROR(SUMIF(Table649[Sub-Accounts],Table850[[#This Row],[Update your chart of accounts here]],Table649[Credit]),"")</f>
        <v>0</v>
      </c>
      <c r="X177" s="34"/>
      <c r="Y177" s="34"/>
      <c r="Z177" s="34"/>
      <c r="AA177" s="34"/>
      <c r="AB177" s="34">
        <f>MAX(Table850[[#This Row],[Debit]]+Table850[[#This Row],[Debit -]]-Table850[[#This Row],[Credit]]-Table850[[#This Row],[Credit +]],0)</f>
        <v>0</v>
      </c>
      <c r="AC177" s="34">
        <f>MAX(Table850[[#This Row],[Credit]]-Table850[[#This Row],[Debit]]+Table850[[#This Row],[Credit +]]-Table850[[#This Row],[Debit -]],0)</f>
        <v>0</v>
      </c>
      <c r="AD177" s="34" t="str">
        <f>IFERROR(IF(AND(OR(Table850[[#This Row],[Classification]]="Expense",Table850[[#This Row],[Classification]]="Cost of Goods Sold"),Table850[[#This Row],[Debit\]]&gt;Table850[[#This Row],[Credit.]]),Table850[[#This Row],[Debit\]]-Table850[[#This Row],[Credit.]],""),"")</f>
        <v/>
      </c>
      <c r="AE177" s="34" t="str">
        <f>IFERROR(IF(AND(OR(Table850[[#This Row],[Classification]]="Income",Table850[[#This Row],[Classification]]="Cost of Goods Sold"),Table850[[#This Row],[Credit.]]&gt;Table850[[#This Row],[Debit\]]),Table850[[#This Row],[Credit.]]-Table850[[#This Row],[Debit\]],""),"")</f>
        <v/>
      </c>
      <c r="AF177" s="34"/>
      <c r="AG177" s="34" t="str">
        <f>IFERROR(IF(AND(Table850[[#This Row],[Classification]]="Assets",Table850[[#This Row],[Debit\]]-Table850[[#This Row],[Credit.]]),Table850[[#This Row],[Debit\]]-Table850[[#This Row],[Credit.]],""),"")</f>
        <v/>
      </c>
      <c r="AH177" s="34" t="str">
        <f>IFERROR(IF(AND(OR(Table850[[#This Row],[Classification]]="Liabilities",Table850[[#This Row],[Classification]]="Owner´s Equity"),Table850[[#This Row],[Credit.]]&gt;Table850[[#This Row],[Debit\]]),Table850[[#This Row],[Credit.]]-Table850[[#This Row],[Debit\]],""),"")</f>
        <v/>
      </c>
    </row>
    <row r="178" spans="2:34" hidden="1" x14ac:dyDescent="0.25">
      <c r="B178" s="34"/>
      <c r="C178" s="45"/>
      <c r="D178" s="34"/>
      <c r="E178" s="34"/>
      <c r="G178" s="39"/>
      <c r="H178" s="40"/>
      <c r="I178" s="41"/>
      <c r="J178" s="41"/>
      <c r="L178" s="34">
        <v>171</v>
      </c>
      <c r="M178" s="35"/>
      <c r="N178" s="35"/>
      <c r="O178" s="34">
        <f>IFERROR(SUMIF(Table447[,],Table649[[#This Row],[Accounts Name]],Table447[,3]),"")</f>
        <v>0</v>
      </c>
      <c r="P178" s="34">
        <f>IFERROR(SUMIF(Table447[,],Table649[[#This Row],[Accounts Name]],Table447[,2]),"")</f>
        <v>0</v>
      </c>
      <c r="S178" s="36">
        <f t="shared" si="2"/>
        <v>171</v>
      </c>
      <c r="T178" s="34"/>
      <c r="U178" s="37"/>
      <c r="V178" s="34">
        <f>IFERROR(SUMIF(Table649[Sub-Accounts],Table850[[#This Row],[Update your chart of accounts here]],Table649[Debit]),"")</f>
        <v>0</v>
      </c>
      <c r="W178" s="34">
        <f>IFERROR(SUMIF(Table649[Sub-Accounts],Table850[[#This Row],[Update your chart of accounts here]],Table649[Credit]),"")</f>
        <v>0</v>
      </c>
      <c r="X178" s="34"/>
      <c r="Y178" s="34"/>
      <c r="Z178" s="34"/>
      <c r="AA178" s="34"/>
      <c r="AB178" s="34">
        <f>MAX(Table850[[#This Row],[Debit]]+Table850[[#This Row],[Debit -]]-Table850[[#This Row],[Credit]]-Table850[[#This Row],[Credit +]],0)</f>
        <v>0</v>
      </c>
      <c r="AC178" s="34">
        <f>MAX(Table850[[#This Row],[Credit]]-Table850[[#This Row],[Debit]]+Table850[[#This Row],[Credit +]]-Table850[[#This Row],[Debit -]],0)</f>
        <v>0</v>
      </c>
      <c r="AD178" s="34" t="str">
        <f>IFERROR(IF(AND(OR(Table850[[#This Row],[Classification]]="Expense",Table850[[#This Row],[Classification]]="Cost of Goods Sold"),Table850[[#This Row],[Debit\]]&gt;Table850[[#This Row],[Credit.]]),Table850[[#This Row],[Debit\]]-Table850[[#This Row],[Credit.]],""),"")</f>
        <v/>
      </c>
      <c r="AE178" s="34" t="str">
        <f>IFERROR(IF(AND(OR(Table850[[#This Row],[Classification]]="Income",Table850[[#This Row],[Classification]]="Cost of Goods Sold"),Table850[[#This Row],[Credit.]]&gt;Table850[[#This Row],[Debit\]]),Table850[[#This Row],[Credit.]]-Table850[[#This Row],[Debit\]],""),"")</f>
        <v/>
      </c>
      <c r="AF178" s="34"/>
      <c r="AG178" s="34" t="str">
        <f>IFERROR(IF(AND(Table850[[#This Row],[Classification]]="Assets",Table850[[#This Row],[Debit\]]-Table850[[#This Row],[Credit.]]),Table850[[#This Row],[Debit\]]-Table850[[#This Row],[Credit.]],""),"")</f>
        <v/>
      </c>
      <c r="AH178" s="34" t="str">
        <f>IFERROR(IF(AND(OR(Table850[[#This Row],[Classification]]="Liabilities",Table850[[#This Row],[Classification]]="Owner´s Equity"),Table850[[#This Row],[Credit.]]&gt;Table850[[#This Row],[Debit\]]),Table850[[#This Row],[Credit.]]-Table850[[#This Row],[Debit\]],""),"")</f>
        <v/>
      </c>
    </row>
    <row r="179" spans="2:34" hidden="1" x14ac:dyDescent="0.25">
      <c r="B179" s="34"/>
      <c r="C179" s="45"/>
      <c r="D179" s="34"/>
      <c r="E179" s="34"/>
      <c r="G179" s="39"/>
      <c r="H179" s="43"/>
      <c r="I179" s="41"/>
      <c r="J179" s="41"/>
      <c r="L179" s="34">
        <v>172</v>
      </c>
      <c r="M179" s="35"/>
      <c r="N179" s="35"/>
      <c r="O179" s="34">
        <f>IFERROR(SUMIF(Table447[,],Table649[[#This Row],[Accounts Name]],Table447[,3]),"")</f>
        <v>0</v>
      </c>
      <c r="P179" s="34">
        <f>IFERROR(SUMIF(Table447[,],Table649[[#This Row],[Accounts Name]],Table447[,2]),"")</f>
        <v>0</v>
      </c>
      <c r="S179" s="36">
        <f t="shared" si="2"/>
        <v>172</v>
      </c>
      <c r="T179" s="34"/>
      <c r="U179" s="37"/>
      <c r="V179" s="34">
        <f>IFERROR(SUMIF(Table649[Sub-Accounts],Table850[[#This Row],[Update your chart of accounts here]],Table649[Debit]),"")</f>
        <v>0</v>
      </c>
      <c r="W179" s="34">
        <f>IFERROR(SUMIF(Table649[Sub-Accounts],Table850[[#This Row],[Update your chart of accounts here]],Table649[Credit]),"")</f>
        <v>0</v>
      </c>
      <c r="X179" s="34"/>
      <c r="Y179" s="34"/>
      <c r="Z179" s="34"/>
      <c r="AA179" s="34"/>
      <c r="AB179" s="34">
        <f>MAX(Table850[[#This Row],[Debit]]+Table850[[#This Row],[Debit -]]-Table850[[#This Row],[Credit]]-Table850[[#This Row],[Credit +]],0)</f>
        <v>0</v>
      </c>
      <c r="AC179" s="34">
        <f>MAX(Table850[[#This Row],[Credit]]-Table850[[#This Row],[Debit]]+Table850[[#This Row],[Credit +]]-Table850[[#This Row],[Debit -]],0)</f>
        <v>0</v>
      </c>
      <c r="AD179" s="34" t="str">
        <f>IFERROR(IF(AND(OR(Table850[[#This Row],[Classification]]="Expense",Table850[[#This Row],[Classification]]="Cost of Goods Sold"),Table850[[#This Row],[Debit\]]&gt;Table850[[#This Row],[Credit.]]),Table850[[#This Row],[Debit\]]-Table850[[#This Row],[Credit.]],""),"")</f>
        <v/>
      </c>
      <c r="AE179" s="34" t="str">
        <f>IFERROR(IF(AND(OR(Table850[[#This Row],[Classification]]="Income",Table850[[#This Row],[Classification]]="Cost of Goods Sold"),Table850[[#This Row],[Credit.]]&gt;Table850[[#This Row],[Debit\]]),Table850[[#This Row],[Credit.]]-Table850[[#This Row],[Debit\]],""),"")</f>
        <v/>
      </c>
      <c r="AF179" s="34"/>
      <c r="AG179" s="34" t="str">
        <f>IFERROR(IF(AND(Table850[[#This Row],[Classification]]="Assets",Table850[[#This Row],[Debit\]]-Table850[[#This Row],[Credit.]]),Table850[[#This Row],[Debit\]]-Table850[[#This Row],[Credit.]],""),"")</f>
        <v/>
      </c>
      <c r="AH179" s="34" t="str">
        <f>IFERROR(IF(AND(OR(Table850[[#This Row],[Classification]]="Liabilities",Table850[[#This Row],[Classification]]="Owner´s Equity"),Table850[[#This Row],[Credit.]]&gt;Table850[[#This Row],[Debit\]]),Table850[[#This Row],[Credit.]]-Table850[[#This Row],[Debit\]],""),"")</f>
        <v/>
      </c>
    </row>
    <row r="180" spans="2:34" hidden="1" x14ac:dyDescent="0.25">
      <c r="B180" s="34"/>
      <c r="C180" s="45"/>
      <c r="D180" s="34"/>
      <c r="E180" s="34"/>
      <c r="G180" s="39"/>
      <c r="H180" s="40"/>
      <c r="I180" s="41"/>
      <c r="J180" s="41"/>
      <c r="L180" s="34">
        <v>173</v>
      </c>
      <c r="M180" s="35"/>
      <c r="N180" s="35"/>
      <c r="O180" s="34">
        <f>IFERROR(SUMIF(Table447[,],Table649[[#This Row],[Accounts Name]],Table447[,3]),"")</f>
        <v>0</v>
      </c>
      <c r="P180" s="34">
        <f>IFERROR(SUMIF(Table447[,],Table649[[#This Row],[Accounts Name]],Table447[,2]),"")</f>
        <v>0</v>
      </c>
      <c r="S180" s="36">
        <f t="shared" si="2"/>
        <v>173</v>
      </c>
      <c r="T180" s="34"/>
      <c r="U180" s="37"/>
      <c r="V180" s="34">
        <f>IFERROR(SUMIF(Table649[Sub-Accounts],Table850[[#This Row],[Update your chart of accounts here]],Table649[Debit]),"")</f>
        <v>0</v>
      </c>
      <c r="W180" s="34">
        <f>IFERROR(SUMIF(Table649[Sub-Accounts],Table850[[#This Row],[Update your chart of accounts here]],Table649[Credit]),"")</f>
        <v>0</v>
      </c>
      <c r="X180" s="34"/>
      <c r="Y180" s="34"/>
      <c r="Z180" s="34"/>
      <c r="AA180" s="34"/>
      <c r="AB180" s="34">
        <f>MAX(Table850[[#This Row],[Debit]]+Table850[[#This Row],[Debit -]]-Table850[[#This Row],[Credit]]-Table850[[#This Row],[Credit +]],0)</f>
        <v>0</v>
      </c>
      <c r="AC180" s="34">
        <f>MAX(Table850[[#This Row],[Credit]]-Table850[[#This Row],[Debit]]+Table850[[#This Row],[Credit +]]-Table850[[#This Row],[Debit -]],0)</f>
        <v>0</v>
      </c>
      <c r="AD180" s="34" t="str">
        <f>IFERROR(IF(AND(OR(Table850[[#This Row],[Classification]]="Expense",Table850[[#This Row],[Classification]]="Cost of Goods Sold"),Table850[[#This Row],[Debit\]]&gt;Table850[[#This Row],[Credit.]]),Table850[[#This Row],[Debit\]]-Table850[[#This Row],[Credit.]],""),"")</f>
        <v/>
      </c>
      <c r="AE180" s="34" t="str">
        <f>IFERROR(IF(AND(OR(Table850[[#This Row],[Classification]]="Income",Table850[[#This Row],[Classification]]="Cost of Goods Sold"),Table850[[#This Row],[Credit.]]&gt;Table850[[#This Row],[Debit\]]),Table850[[#This Row],[Credit.]]-Table850[[#This Row],[Debit\]],""),"")</f>
        <v/>
      </c>
      <c r="AF180" s="34"/>
      <c r="AG180" s="34" t="str">
        <f>IFERROR(IF(AND(Table850[[#This Row],[Classification]]="Assets",Table850[[#This Row],[Debit\]]-Table850[[#This Row],[Credit.]]),Table850[[#This Row],[Debit\]]-Table850[[#This Row],[Credit.]],""),"")</f>
        <v/>
      </c>
      <c r="AH180" s="34" t="str">
        <f>IFERROR(IF(AND(OR(Table850[[#This Row],[Classification]]="Liabilities",Table850[[#This Row],[Classification]]="Owner´s Equity"),Table850[[#This Row],[Credit.]]&gt;Table850[[#This Row],[Debit\]]),Table850[[#This Row],[Credit.]]-Table850[[#This Row],[Debit\]],""),"")</f>
        <v/>
      </c>
    </row>
    <row r="181" spans="2:34" hidden="1" x14ac:dyDescent="0.25">
      <c r="B181" s="34"/>
      <c r="C181" s="45"/>
      <c r="D181" s="34"/>
      <c r="E181" s="34"/>
      <c r="G181" s="39"/>
      <c r="H181" s="40"/>
      <c r="I181" s="41"/>
      <c r="J181" s="41"/>
      <c r="L181" s="34">
        <v>174</v>
      </c>
      <c r="M181" s="35"/>
      <c r="N181" s="35"/>
      <c r="O181" s="34">
        <f>IFERROR(SUMIF(Table447[,],Table649[[#This Row],[Accounts Name]],Table447[,3]),"")</f>
        <v>0</v>
      </c>
      <c r="P181" s="34">
        <f>IFERROR(SUMIF(Table447[,],Table649[[#This Row],[Accounts Name]],Table447[,2]),"")</f>
        <v>0</v>
      </c>
      <c r="S181" s="36">
        <f t="shared" si="2"/>
        <v>174</v>
      </c>
      <c r="T181" s="34"/>
      <c r="U181" s="37"/>
      <c r="V181" s="34">
        <f>IFERROR(SUMIF(Table649[Sub-Accounts],Table850[[#This Row],[Update your chart of accounts here]],Table649[Debit]),"")</f>
        <v>0</v>
      </c>
      <c r="W181" s="34">
        <f>IFERROR(SUMIF(Table649[Sub-Accounts],Table850[[#This Row],[Update your chart of accounts here]],Table649[Credit]),"")</f>
        <v>0</v>
      </c>
      <c r="X181" s="34"/>
      <c r="Y181" s="34"/>
      <c r="Z181" s="34"/>
      <c r="AA181" s="34"/>
      <c r="AB181" s="34">
        <f>MAX(Table850[[#This Row],[Debit]]+Table850[[#This Row],[Debit -]]-Table850[[#This Row],[Credit]]-Table850[[#This Row],[Credit +]],0)</f>
        <v>0</v>
      </c>
      <c r="AC181" s="34">
        <f>MAX(Table850[[#This Row],[Credit]]-Table850[[#This Row],[Debit]]+Table850[[#This Row],[Credit +]]-Table850[[#This Row],[Debit -]],0)</f>
        <v>0</v>
      </c>
      <c r="AD181" s="34" t="str">
        <f>IFERROR(IF(AND(OR(Table850[[#This Row],[Classification]]="Expense",Table850[[#This Row],[Classification]]="Cost of Goods Sold"),Table850[[#This Row],[Debit\]]&gt;Table850[[#This Row],[Credit.]]),Table850[[#This Row],[Debit\]]-Table850[[#This Row],[Credit.]],""),"")</f>
        <v/>
      </c>
      <c r="AE181" s="34" t="str">
        <f>IFERROR(IF(AND(OR(Table850[[#This Row],[Classification]]="Income",Table850[[#This Row],[Classification]]="Cost of Goods Sold"),Table850[[#This Row],[Credit.]]&gt;Table850[[#This Row],[Debit\]]),Table850[[#This Row],[Credit.]]-Table850[[#This Row],[Debit\]],""),"")</f>
        <v/>
      </c>
      <c r="AF181" s="34"/>
      <c r="AG181" s="34" t="str">
        <f>IFERROR(IF(AND(Table850[[#This Row],[Classification]]="Assets",Table850[[#This Row],[Debit\]]-Table850[[#This Row],[Credit.]]),Table850[[#This Row],[Debit\]]-Table850[[#This Row],[Credit.]],""),"")</f>
        <v/>
      </c>
      <c r="AH181" s="34" t="str">
        <f>IFERROR(IF(AND(OR(Table850[[#This Row],[Classification]]="Liabilities",Table850[[#This Row],[Classification]]="Owner´s Equity"),Table850[[#This Row],[Credit.]]&gt;Table850[[#This Row],[Debit\]]),Table850[[#This Row],[Credit.]]-Table850[[#This Row],[Debit\]],""),"")</f>
        <v/>
      </c>
    </row>
    <row r="182" spans="2:34" hidden="1" x14ac:dyDescent="0.25">
      <c r="B182" s="34"/>
      <c r="C182" s="45"/>
      <c r="D182" s="34"/>
      <c r="E182" s="34"/>
      <c r="G182" s="39"/>
      <c r="H182" s="43"/>
      <c r="I182" s="41"/>
      <c r="J182" s="41"/>
      <c r="L182" s="34">
        <v>175</v>
      </c>
      <c r="M182" s="35"/>
      <c r="N182" s="35"/>
      <c r="O182" s="34">
        <f>IFERROR(SUMIF(Table447[,],Table649[[#This Row],[Accounts Name]],Table447[,3]),"")</f>
        <v>0</v>
      </c>
      <c r="P182" s="34">
        <f>IFERROR(SUMIF(Table447[,],Table649[[#This Row],[Accounts Name]],Table447[,2]),"")</f>
        <v>0</v>
      </c>
      <c r="S182" s="36">
        <f t="shared" si="2"/>
        <v>175</v>
      </c>
      <c r="T182" s="34"/>
      <c r="U182" s="37"/>
      <c r="V182" s="34">
        <f>IFERROR(SUMIF(Table649[Sub-Accounts],Table850[[#This Row],[Update your chart of accounts here]],Table649[Debit]),"")</f>
        <v>0</v>
      </c>
      <c r="W182" s="34">
        <f>IFERROR(SUMIF(Table649[Sub-Accounts],Table850[[#This Row],[Update your chart of accounts here]],Table649[Credit]),"")</f>
        <v>0</v>
      </c>
      <c r="X182" s="34"/>
      <c r="Y182" s="34"/>
      <c r="Z182" s="34"/>
      <c r="AA182" s="34"/>
      <c r="AB182" s="34">
        <f>MAX(Table850[[#This Row],[Debit]]+Table850[[#This Row],[Debit -]]-Table850[[#This Row],[Credit]]-Table850[[#This Row],[Credit +]],0)</f>
        <v>0</v>
      </c>
      <c r="AC182" s="34">
        <f>MAX(Table850[[#This Row],[Credit]]-Table850[[#This Row],[Debit]]+Table850[[#This Row],[Credit +]]-Table850[[#This Row],[Debit -]],0)</f>
        <v>0</v>
      </c>
      <c r="AD182" s="34" t="str">
        <f>IFERROR(IF(AND(OR(Table850[[#This Row],[Classification]]="Expense",Table850[[#This Row],[Classification]]="Cost of Goods Sold"),Table850[[#This Row],[Debit\]]&gt;Table850[[#This Row],[Credit.]]),Table850[[#This Row],[Debit\]]-Table850[[#This Row],[Credit.]],""),"")</f>
        <v/>
      </c>
      <c r="AE182" s="34" t="str">
        <f>IFERROR(IF(AND(OR(Table850[[#This Row],[Classification]]="Income",Table850[[#This Row],[Classification]]="Cost of Goods Sold"),Table850[[#This Row],[Credit.]]&gt;Table850[[#This Row],[Debit\]]),Table850[[#This Row],[Credit.]]-Table850[[#This Row],[Debit\]],""),"")</f>
        <v/>
      </c>
      <c r="AF182" s="34"/>
      <c r="AG182" s="34" t="str">
        <f>IFERROR(IF(AND(Table850[[#This Row],[Classification]]="Assets",Table850[[#This Row],[Debit\]]-Table850[[#This Row],[Credit.]]),Table850[[#This Row],[Debit\]]-Table850[[#This Row],[Credit.]],""),"")</f>
        <v/>
      </c>
      <c r="AH182" s="34" t="str">
        <f>IFERROR(IF(AND(OR(Table850[[#This Row],[Classification]]="Liabilities",Table850[[#This Row],[Classification]]="Owner´s Equity"),Table850[[#This Row],[Credit.]]&gt;Table850[[#This Row],[Debit\]]),Table850[[#This Row],[Credit.]]-Table850[[#This Row],[Debit\]],""),"")</f>
        <v/>
      </c>
    </row>
    <row r="183" spans="2:34" hidden="1" x14ac:dyDescent="0.25">
      <c r="B183" s="34"/>
      <c r="C183" s="45"/>
      <c r="D183" s="34"/>
      <c r="E183" s="34"/>
      <c r="G183" s="39"/>
      <c r="H183" s="40"/>
      <c r="I183" s="41"/>
      <c r="J183" s="41"/>
      <c r="L183" s="34">
        <v>176</v>
      </c>
      <c r="M183" s="35"/>
      <c r="N183" s="35"/>
      <c r="O183" s="34">
        <f>IFERROR(SUMIF(Table447[,],Table649[[#This Row],[Accounts Name]],Table447[,3]),"")</f>
        <v>0</v>
      </c>
      <c r="P183" s="34">
        <f>IFERROR(SUMIF(Table447[,],Table649[[#This Row],[Accounts Name]],Table447[,2]),"")</f>
        <v>0</v>
      </c>
      <c r="S183" s="36">
        <f t="shared" si="2"/>
        <v>176</v>
      </c>
      <c r="T183" s="34"/>
      <c r="U183" s="37"/>
      <c r="V183" s="34">
        <f>IFERROR(SUMIF(Table649[Sub-Accounts],Table850[[#This Row],[Update your chart of accounts here]],Table649[Debit]),"")</f>
        <v>0</v>
      </c>
      <c r="W183" s="34">
        <f>IFERROR(SUMIF(Table649[Sub-Accounts],Table850[[#This Row],[Update your chart of accounts here]],Table649[Credit]),"")</f>
        <v>0</v>
      </c>
      <c r="X183" s="34"/>
      <c r="Y183" s="34"/>
      <c r="Z183" s="34"/>
      <c r="AA183" s="34"/>
      <c r="AB183" s="34">
        <f>MAX(Table850[[#This Row],[Debit]]+Table850[[#This Row],[Debit -]]-Table850[[#This Row],[Credit]]-Table850[[#This Row],[Credit +]],0)</f>
        <v>0</v>
      </c>
      <c r="AC183" s="34">
        <f>MAX(Table850[[#This Row],[Credit]]-Table850[[#This Row],[Debit]]+Table850[[#This Row],[Credit +]]-Table850[[#This Row],[Debit -]],0)</f>
        <v>0</v>
      </c>
      <c r="AD183" s="34" t="str">
        <f>IFERROR(IF(AND(OR(Table850[[#This Row],[Classification]]="Expense",Table850[[#This Row],[Classification]]="Cost of Goods Sold"),Table850[[#This Row],[Debit\]]&gt;Table850[[#This Row],[Credit.]]),Table850[[#This Row],[Debit\]]-Table850[[#This Row],[Credit.]],""),"")</f>
        <v/>
      </c>
      <c r="AE183" s="34" t="str">
        <f>IFERROR(IF(AND(OR(Table850[[#This Row],[Classification]]="Income",Table850[[#This Row],[Classification]]="Cost of Goods Sold"),Table850[[#This Row],[Credit.]]&gt;Table850[[#This Row],[Debit\]]),Table850[[#This Row],[Credit.]]-Table850[[#This Row],[Debit\]],""),"")</f>
        <v/>
      </c>
      <c r="AF183" s="34"/>
      <c r="AG183" s="34" t="str">
        <f>IFERROR(IF(AND(Table850[[#This Row],[Classification]]="Assets",Table850[[#This Row],[Debit\]]-Table850[[#This Row],[Credit.]]),Table850[[#This Row],[Debit\]]-Table850[[#This Row],[Credit.]],""),"")</f>
        <v/>
      </c>
      <c r="AH183" s="34" t="str">
        <f>IFERROR(IF(AND(OR(Table850[[#This Row],[Classification]]="Liabilities",Table850[[#This Row],[Classification]]="Owner´s Equity"),Table850[[#This Row],[Credit.]]&gt;Table850[[#This Row],[Debit\]]),Table850[[#This Row],[Credit.]]-Table850[[#This Row],[Debit\]],""),"")</f>
        <v/>
      </c>
    </row>
    <row r="184" spans="2:34" hidden="1" x14ac:dyDescent="0.25">
      <c r="B184" s="34"/>
      <c r="C184" s="45"/>
      <c r="D184" s="34"/>
      <c r="E184" s="34"/>
      <c r="G184" s="39"/>
      <c r="H184" s="40"/>
      <c r="I184" s="41"/>
      <c r="J184" s="41"/>
      <c r="L184" s="34">
        <v>177</v>
      </c>
      <c r="M184" s="35"/>
      <c r="N184" s="35"/>
      <c r="O184" s="34">
        <f>IFERROR(SUMIF(Table447[,],Table649[[#This Row],[Accounts Name]],Table447[,3]),"")</f>
        <v>0</v>
      </c>
      <c r="P184" s="34">
        <f>IFERROR(SUMIF(Table447[,],Table649[[#This Row],[Accounts Name]],Table447[,2]),"")</f>
        <v>0</v>
      </c>
      <c r="S184" s="36">
        <f t="shared" si="2"/>
        <v>177</v>
      </c>
      <c r="T184" s="34"/>
      <c r="U184" s="37"/>
      <c r="V184" s="34">
        <f>IFERROR(SUMIF(Table649[Sub-Accounts],Table850[[#This Row],[Update your chart of accounts here]],Table649[Debit]),"")</f>
        <v>0</v>
      </c>
      <c r="W184" s="34">
        <f>IFERROR(SUMIF(Table649[Sub-Accounts],Table850[[#This Row],[Update your chart of accounts here]],Table649[Credit]),"")</f>
        <v>0</v>
      </c>
      <c r="X184" s="34"/>
      <c r="Y184" s="34"/>
      <c r="Z184" s="34"/>
      <c r="AA184" s="34"/>
      <c r="AB184" s="34">
        <f>MAX(Table850[[#This Row],[Debit]]+Table850[[#This Row],[Debit -]]-Table850[[#This Row],[Credit]]-Table850[[#This Row],[Credit +]],0)</f>
        <v>0</v>
      </c>
      <c r="AC184" s="34">
        <f>MAX(Table850[[#This Row],[Credit]]-Table850[[#This Row],[Debit]]+Table850[[#This Row],[Credit +]]-Table850[[#This Row],[Debit -]],0)</f>
        <v>0</v>
      </c>
      <c r="AD184" s="34" t="str">
        <f>IFERROR(IF(AND(OR(Table850[[#This Row],[Classification]]="Expense",Table850[[#This Row],[Classification]]="Cost of Goods Sold"),Table850[[#This Row],[Debit\]]&gt;Table850[[#This Row],[Credit.]]),Table850[[#This Row],[Debit\]]-Table850[[#This Row],[Credit.]],""),"")</f>
        <v/>
      </c>
      <c r="AE184" s="34" t="str">
        <f>IFERROR(IF(AND(OR(Table850[[#This Row],[Classification]]="Income",Table850[[#This Row],[Classification]]="Cost of Goods Sold"),Table850[[#This Row],[Credit.]]&gt;Table850[[#This Row],[Debit\]]),Table850[[#This Row],[Credit.]]-Table850[[#This Row],[Debit\]],""),"")</f>
        <v/>
      </c>
      <c r="AF184" s="34"/>
      <c r="AG184" s="34" t="str">
        <f>IFERROR(IF(AND(Table850[[#This Row],[Classification]]="Assets",Table850[[#This Row],[Debit\]]-Table850[[#This Row],[Credit.]]),Table850[[#This Row],[Debit\]]-Table850[[#This Row],[Credit.]],""),"")</f>
        <v/>
      </c>
      <c r="AH184" s="34" t="str">
        <f>IFERROR(IF(AND(OR(Table850[[#This Row],[Classification]]="Liabilities",Table850[[#This Row],[Classification]]="Owner´s Equity"),Table850[[#This Row],[Credit.]]&gt;Table850[[#This Row],[Debit\]]),Table850[[#This Row],[Credit.]]-Table850[[#This Row],[Debit\]],""),"")</f>
        <v/>
      </c>
    </row>
    <row r="185" spans="2:34" hidden="1" x14ac:dyDescent="0.25">
      <c r="B185" s="34"/>
      <c r="C185" s="45"/>
      <c r="D185" s="34"/>
      <c r="E185" s="34"/>
      <c r="G185" s="39"/>
      <c r="H185" s="43"/>
      <c r="I185" s="41"/>
      <c r="J185" s="41"/>
      <c r="L185" s="34">
        <v>178</v>
      </c>
      <c r="M185" s="35"/>
      <c r="N185" s="35"/>
      <c r="O185" s="34">
        <f>IFERROR(SUMIF(Table447[,],Table649[[#This Row],[Accounts Name]],Table447[,3]),"")</f>
        <v>0</v>
      </c>
      <c r="P185" s="34">
        <f>IFERROR(SUMIF(Table447[,],Table649[[#This Row],[Accounts Name]],Table447[,2]),"")</f>
        <v>0</v>
      </c>
      <c r="S185" s="36">
        <f t="shared" si="2"/>
        <v>178</v>
      </c>
      <c r="T185" s="34"/>
      <c r="U185" s="37"/>
      <c r="V185" s="34">
        <f>IFERROR(SUMIF(Table649[Sub-Accounts],Table850[[#This Row],[Update your chart of accounts here]],Table649[Debit]),"")</f>
        <v>0</v>
      </c>
      <c r="W185" s="34">
        <f>IFERROR(SUMIF(Table649[Sub-Accounts],Table850[[#This Row],[Update your chart of accounts here]],Table649[Credit]),"")</f>
        <v>0</v>
      </c>
      <c r="X185" s="34"/>
      <c r="Y185" s="34"/>
      <c r="Z185" s="34"/>
      <c r="AA185" s="34"/>
      <c r="AB185" s="34">
        <f>MAX(Table850[[#This Row],[Debit]]+Table850[[#This Row],[Debit -]]-Table850[[#This Row],[Credit]]-Table850[[#This Row],[Credit +]],0)</f>
        <v>0</v>
      </c>
      <c r="AC185" s="34">
        <f>MAX(Table850[[#This Row],[Credit]]-Table850[[#This Row],[Debit]]+Table850[[#This Row],[Credit +]]-Table850[[#This Row],[Debit -]],0)</f>
        <v>0</v>
      </c>
      <c r="AD185" s="34" t="str">
        <f>IFERROR(IF(AND(OR(Table850[[#This Row],[Classification]]="Expense",Table850[[#This Row],[Classification]]="Cost of Goods Sold"),Table850[[#This Row],[Debit\]]&gt;Table850[[#This Row],[Credit.]]),Table850[[#This Row],[Debit\]]-Table850[[#This Row],[Credit.]],""),"")</f>
        <v/>
      </c>
      <c r="AE185" s="34" t="str">
        <f>IFERROR(IF(AND(OR(Table850[[#This Row],[Classification]]="Income",Table850[[#This Row],[Classification]]="Cost of Goods Sold"),Table850[[#This Row],[Credit.]]&gt;Table850[[#This Row],[Debit\]]),Table850[[#This Row],[Credit.]]-Table850[[#This Row],[Debit\]],""),"")</f>
        <v/>
      </c>
      <c r="AF185" s="34"/>
      <c r="AG185" s="34" t="str">
        <f>IFERROR(IF(AND(Table850[[#This Row],[Classification]]="Assets",Table850[[#This Row],[Debit\]]-Table850[[#This Row],[Credit.]]),Table850[[#This Row],[Debit\]]-Table850[[#This Row],[Credit.]],""),"")</f>
        <v/>
      </c>
      <c r="AH185" s="34" t="str">
        <f>IFERROR(IF(AND(OR(Table850[[#This Row],[Classification]]="Liabilities",Table850[[#This Row],[Classification]]="Owner´s Equity"),Table850[[#This Row],[Credit.]]&gt;Table850[[#This Row],[Debit\]]),Table850[[#This Row],[Credit.]]-Table850[[#This Row],[Debit\]],""),"")</f>
        <v/>
      </c>
    </row>
    <row r="186" spans="2:34" hidden="1" x14ac:dyDescent="0.25">
      <c r="B186" s="34"/>
      <c r="C186" s="45"/>
      <c r="D186" s="34"/>
      <c r="E186" s="34"/>
      <c r="G186" s="39"/>
      <c r="H186" s="40"/>
      <c r="I186" s="41"/>
      <c r="J186" s="41"/>
      <c r="L186" s="34">
        <v>179</v>
      </c>
      <c r="M186" s="35"/>
      <c r="N186" s="35"/>
      <c r="O186" s="34">
        <f>IFERROR(SUMIF(Table447[,],Table649[[#This Row],[Accounts Name]],Table447[,3]),"")</f>
        <v>0</v>
      </c>
      <c r="P186" s="34">
        <f>IFERROR(SUMIF(Table447[,],Table649[[#This Row],[Accounts Name]],Table447[,2]),"")</f>
        <v>0</v>
      </c>
      <c r="S186" s="36">
        <f t="shared" si="2"/>
        <v>179</v>
      </c>
      <c r="T186" s="34"/>
      <c r="U186" s="37"/>
      <c r="V186" s="34">
        <f>IFERROR(SUMIF(Table649[Sub-Accounts],Table850[[#This Row],[Update your chart of accounts here]],Table649[Debit]),"")</f>
        <v>0</v>
      </c>
      <c r="W186" s="34">
        <f>IFERROR(SUMIF(Table649[Sub-Accounts],Table850[[#This Row],[Update your chart of accounts here]],Table649[Credit]),"")</f>
        <v>0</v>
      </c>
      <c r="X186" s="34"/>
      <c r="Y186" s="34"/>
      <c r="Z186" s="34"/>
      <c r="AA186" s="34"/>
      <c r="AB186" s="34">
        <f>MAX(Table850[[#This Row],[Debit]]+Table850[[#This Row],[Debit -]]-Table850[[#This Row],[Credit]]-Table850[[#This Row],[Credit +]],0)</f>
        <v>0</v>
      </c>
      <c r="AC186" s="34">
        <f>MAX(Table850[[#This Row],[Credit]]-Table850[[#This Row],[Debit]]+Table850[[#This Row],[Credit +]]-Table850[[#This Row],[Debit -]],0)</f>
        <v>0</v>
      </c>
      <c r="AD186" s="34" t="str">
        <f>IFERROR(IF(AND(OR(Table850[[#This Row],[Classification]]="Expense",Table850[[#This Row],[Classification]]="Cost of Goods Sold"),Table850[[#This Row],[Debit\]]&gt;Table850[[#This Row],[Credit.]]),Table850[[#This Row],[Debit\]]-Table850[[#This Row],[Credit.]],""),"")</f>
        <v/>
      </c>
      <c r="AE186" s="34" t="str">
        <f>IFERROR(IF(AND(OR(Table850[[#This Row],[Classification]]="Income",Table850[[#This Row],[Classification]]="Cost of Goods Sold"),Table850[[#This Row],[Credit.]]&gt;Table850[[#This Row],[Debit\]]),Table850[[#This Row],[Credit.]]-Table850[[#This Row],[Debit\]],""),"")</f>
        <v/>
      </c>
      <c r="AF186" s="34"/>
      <c r="AG186" s="34" t="str">
        <f>IFERROR(IF(AND(Table850[[#This Row],[Classification]]="Assets",Table850[[#This Row],[Debit\]]-Table850[[#This Row],[Credit.]]),Table850[[#This Row],[Debit\]]-Table850[[#This Row],[Credit.]],""),"")</f>
        <v/>
      </c>
      <c r="AH186" s="34" t="str">
        <f>IFERROR(IF(AND(OR(Table850[[#This Row],[Classification]]="Liabilities",Table850[[#This Row],[Classification]]="Owner´s Equity"),Table850[[#This Row],[Credit.]]&gt;Table850[[#This Row],[Debit\]]),Table850[[#This Row],[Credit.]]-Table850[[#This Row],[Debit\]],""),"")</f>
        <v/>
      </c>
    </row>
    <row r="187" spans="2:34" hidden="1" x14ac:dyDescent="0.25">
      <c r="B187" s="34"/>
      <c r="C187" s="45"/>
      <c r="D187" s="34"/>
      <c r="E187" s="34"/>
      <c r="G187" s="39"/>
      <c r="H187" s="40"/>
      <c r="I187" s="41"/>
      <c r="J187" s="41"/>
      <c r="L187" s="34">
        <v>180</v>
      </c>
      <c r="M187" s="35"/>
      <c r="N187" s="35"/>
      <c r="O187" s="34">
        <f>IFERROR(SUMIF(Table447[,],Table649[[#This Row],[Accounts Name]],Table447[,3]),"")</f>
        <v>0</v>
      </c>
      <c r="P187" s="34">
        <f>IFERROR(SUMIF(Table447[,],Table649[[#This Row],[Accounts Name]],Table447[,2]),"")</f>
        <v>0</v>
      </c>
      <c r="S187" s="36">
        <f t="shared" si="2"/>
        <v>180</v>
      </c>
      <c r="T187" s="34"/>
      <c r="U187" s="37"/>
      <c r="V187" s="34">
        <f>IFERROR(SUMIF(Table649[Sub-Accounts],Table850[[#This Row],[Update your chart of accounts here]],Table649[Debit]),"")</f>
        <v>0</v>
      </c>
      <c r="W187" s="34">
        <f>IFERROR(SUMIF(Table649[Sub-Accounts],Table850[[#This Row],[Update your chart of accounts here]],Table649[Credit]),"")</f>
        <v>0</v>
      </c>
      <c r="X187" s="34"/>
      <c r="Y187" s="34"/>
      <c r="Z187" s="34"/>
      <c r="AA187" s="34"/>
      <c r="AB187" s="34">
        <f>MAX(Table850[[#This Row],[Debit]]+Table850[[#This Row],[Debit -]]-Table850[[#This Row],[Credit]]-Table850[[#This Row],[Credit +]],0)</f>
        <v>0</v>
      </c>
      <c r="AC187" s="34">
        <f>MAX(Table850[[#This Row],[Credit]]-Table850[[#This Row],[Debit]]+Table850[[#This Row],[Credit +]]-Table850[[#This Row],[Debit -]],0)</f>
        <v>0</v>
      </c>
      <c r="AD187" s="34" t="str">
        <f>IFERROR(IF(AND(OR(Table850[[#This Row],[Classification]]="Expense",Table850[[#This Row],[Classification]]="Cost of Goods Sold"),Table850[[#This Row],[Debit\]]&gt;Table850[[#This Row],[Credit.]]),Table850[[#This Row],[Debit\]]-Table850[[#This Row],[Credit.]],""),"")</f>
        <v/>
      </c>
      <c r="AE187" s="34" t="str">
        <f>IFERROR(IF(AND(OR(Table850[[#This Row],[Classification]]="Income",Table850[[#This Row],[Classification]]="Cost of Goods Sold"),Table850[[#This Row],[Credit.]]&gt;Table850[[#This Row],[Debit\]]),Table850[[#This Row],[Credit.]]-Table850[[#This Row],[Debit\]],""),"")</f>
        <v/>
      </c>
      <c r="AF187" s="34"/>
      <c r="AG187" s="34" t="str">
        <f>IFERROR(IF(AND(Table850[[#This Row],[Classification]]="Assets",Table850[[#This Row],[Debit\]]-Table850[[#This Row],[Credit.]]),Table850[[#This Row],[Debit\]]-Table850[[#This Row],[Credit.]],""),"")</f>
        <v/>
      </c>
      <c r="AH187" s="34" t="str">
        <f>IFERROR(IF(AND(OR(Table850[[#This Row],[Classification]]="Liabilities",Table850[[#This Row],[Classification]]="Owner´s Equity"),Table850[[#This Row],[Credit.]]&gt;Table850[[#This Row],[Debit\]]),Table850[[#This Row],[Credit.]]-Table850[[#This Row],[Debit\]],""),"")</f>
        <v/>
      </c>
    </row>
    <row r="188" spans="2:34" hidden="1" x14ac:dyDescent="0.25">
      <c r="B188" s="34"/>
      <c r="C188" s="45"/>
      <c r="D188" s="34"/>
      <c r="E188" s="34"/>
      <c r="G188" s="39"/>
      <c r="H188" s="43"/>
      <c r="I188" s="41"/>
      <c r="J188" s="41"/>
      <c r="L188" s="34">
        <v>181</v>
      </c>
      <c r="M188" s="35"/>
      <c r="N188" s="35"/>
      <c r="O188" s="34">
        <f>IFERROR(SUMIF(Table447[,],Table649[[#This Row],[Accounts Name]],Table447[,3]),"")</f>
        <v>0</v>
      </c>
      <c r="P188" s="34">
        <f>IFERROR(SUMIF(Table447[,],Table649[[#This Row],[Accounts Name]],Table447[,2]),"")</f>
        <v>0</v>
      </c>
      <c r="S188" s="36">
        <f t="shared" si="2"/>
        <v>181</v>
      </c>
      <c r="T188" s="34"/>
      <c r="U188" s="37"/>
      <c r="V188" s="34">
        <f>IFERROR(SUMIF(Table649[Sub-Accounts],Table850[[#This Row],[Update your chart of accounts here]],Table649[Debit]),"")</f>
        <v>0</v>
      </c>
      <c r="W188" s="34">
        <f>IFERROR(SUMIF(Table649[Sub-Accounts],Table850[[#This Row],[Update your chart of accounts here]],Table649[Credit]),"")</f>
        <v>0</v>
      </c>
      <c r="X188" s="34"/>
      <c r="Y188" s="34"/>
      <c r="Z188" s="34"/>
      <c r="AA188" s="34"/>
      <c r="AB188" s="34">
        <f>MAX(Table850[[#This Row],[Debit]]+Table850[[#This Row],[Debit -]]-Table850[[#This Row],[Credit]]-Table850[[#This Row],[Credit +]],0)</f>
        <v>0</v>
      </c>
      <c r="AC188" s="34">
        <f>MAX(Table850[[#This Row],[Credit]]-Table850[[#This Row],[Debit]]+Table850[[#This Row],[Credit +]]-Table850[[#This Row],[Debit -]],0)</f>
        <v>0</v>
      </c>
      <c r="AD188" s="34" t="str">
        <f>IFERROR(IF(AND(OR(Table850[[#This Row],[Classification]]="Expense",Table850[[#This Row],[Classification]]="Cost of Goods Sold"),Table850[[#This Row],[Debit\]]&gt;Table850[[#This Row],[Credit.]]),Table850[[#This Row],[Debit\]]-Table850[[#This Row],[Credit.]],""),"")</f>
        <v/>
      </c>
      <c r="AE188" s="34" t="str">
        <f>IFERROR(IF(AND(OR(Table850[[#This Row],[Classification]]="Income",Table850[[#This Row],[Classification]]="Cost of Goods Sold"),Table850[[#This Row],[Credit.]]&gt;Table850[[#This Row],[Debit\]]),Table850[[#This Row],[Credit.]]-Table850[[#This Row],[Debit\]],""),"")</f>
        <v/>
      </c>
      <c r="AF188" s="34"/>
      <c r="AG188" s="34" t="str">
        <f>IFERROR(IF(AND(Table850[[#This Row],[Classification]]="Assets",Table850[[#This Row],[Debit\]]-Table850[[#This Row],[Credit.]]),Table850[[#This Row],[Debit\]]-Table850[[#This Row],[Credit.]],""),"")</f>
        <v/>
      </c>
      <c r="AH188" s="34" t="str">
        <f>IFERROR(IF(AND(OR(Table850[[#This Row],[Classification]]="Liabilities",Table850[[#This Row],[Classification]]="Owner´s Equity"),Table850[[#This Row],[Credit.]]&gt;Table850[[#This Row],[Debit\]]),Table850[[#This Row],[Credit.]]-Table850[[#This Row],[Debit\]],""),"")</f>
        <v/>
      </c>
    </row>
    <row r="189" spans="2:34" hidden="1" x14ac:dyDescent="0.25">
      <c r="B189" s="34"/>
      <c r="C189" s="45"/>
      <c r="D189" s="34"/>
      <c r="E189" s="34"/>
      <c r="G189" s="39"/>
      <c r="H189" s="40"/>
      <c r="I189" s="41"/>
      <c r="J189" s="41"/>
      <c r="L189" s="34">
        <v>182</v>
      </c>
      <c r="M189" s="35"/>
      <c r="N189" s="35"/>
      <c r="O189" s="34">
        <f>IFERROR(SUMIF(Table447[,],Table649[[#This Row],[Accounts Name]],Table447[,3]),"")</f>
        <v>0</v>
      </c>
      <c r="P189" s="34">
        <f>IFERROR(SUMIF(Table447[,],Table649[[#This Row],[Accounts Name]],Table447[,2]),"")</f>
        <v>0</v>
      </c>
      <c r="S189" s="36">
        <f t="shared" si="2"/>
        <v>182</v>
      </c>
      <c r="T189" s="34"/>
      <c r="U189" s="37"/>
      <c r="V189" s="34">
        <f>IFERROR(SUMIF(Table649[Sub-Accounts],Table850[[#This Row],[Update your chart of accounts here]],Table649[Debit]),"")</f>
        <v>0</v>
      </c>
      <c r="W189" s="34">
        <f>IFERROR(SUMIF(Table649[Sub-Accounts],Table850[[#This Row],[Update your chart of accounts here]],Table649[Credit]),"")</f>
        <v>0</v>
      </c>
      <c r="X189" s="34"/>
      <c r="Y189" s="34"/>
      <c r="Z189" s="34"/>
      <c r="AA189" s="34"/>
      <c r="AB189" s="34">
        <f>MAX(Table850[[#This Row],[Debit]]+Table850[[#This Row],[Debit -]]-Table850[[#This Row],[Credit]]-Table850[[#This Row],[Credit +]],0)</f>
        <v>0</v>
      </c>
      <c r="AC189" s="34">
        <f>MAX(Table850[[#This Row],[Credit]]-Table850[[#This Row],[Debit]]+Table850[[#This Row],[Credit +]]-Table850[[#This Row],[Debit -]],0)</f>
        <v>0</v>
      </c>
      <c r="AD189" s="34" t="str">
        <f>IFERROR(IF(AND(OR(Table850[[#This Row],[Classification]]="Expense",Table850[[#This Row],[Classification]]="Cost of Goods Sold"),Table850[[#This Row],[Debit\]]&gt;Table850[[#This Row],[Credit.]]),Table850[[#This Row],[Debit\]]-Table850[[#This Row],[Credit.]],""),"")</f>
        <v/>
      </c>
      <c r="AE189" s="34" t="str">
        <f>IFERROR(IF(AND(OR(Table850[[#This Row],[Classification]]="Income",Table850[[#This Row],[Classification]]="Cost of Goods Sold"),Table850[[#This Row],[Credit.]]&gt;Table850[[#This Row],[Debit\]]),Table850[[#This Row],[Credit.]]-Table850[[#This Row],[Debit\]],""),"")</f>
        <v/>
      </c>
      <c r="AF189" s="34"/>
      <c r="AG189" s="34" t="str">
        <f>IFERROR(IF(AND(Table850[[#This Row],[Classification]]="Assets",Table850[[#This Row],[Debit\]]-Table850[[#This Row],[Credit.]]),Table850[[#This Row],[Debit\]]-Table850[[#This Row],[Credit.]],""),"")</f>
        <v/>
      </c>
      <c r="AH189" s="34" t="str">
        <f>IFERROR(IF(AND(OR(Table850[[#This Row],[Classification]]="Liabilities",Table850[[#This Row],[Classification]]="Owner´s Equity"),Table850[[#This Row],[Credit.]]&gt;Table850[[#This Row],[Debit\]]),Table850[[#This Row],[Credit.]]-Table850[[#This Row],[Debit\]],""),"")</f>
        <v/>
      </c>
    </row>
    <row r="190" spans="2:34" hidden="1" x14ac:dyDescent="0.25">
      <c r="B190" s="34"/>
      <c r="C190" s="45"/>
      <c r="D190" s="34"/>
      <c r="E190" s="34"/>
      <c r="G190" s="39"/>
      <c r="H190" s="40"/>
      <c r="I190" s="41"/>
      <c r="J190" s="41"/>
      <c r="L190" s="34">
        <v>183</v>
      </c>
      <c r="M190" s="35"/>
      <c r="N190" s="35"/>
      <c r="O190" s="34">
        <f>IFERROR(SUMIF(Table447[,],Table649[[#This Row],[Accounts Name]],Table447[,3]),"")</f>
        <v>0</v>
      </c>
      <c r="P190" s="34">
        <f>IFERROR(SUMIF(Table447[,],Table649[[#This Row],[Accounts Name]],Table447[,2]),"")</f>
        <v>0</v>
      </c>
      <c r="S190" s="36">
        <f t="shared" si="2"/>
        <v>183</v>
      </c>
      <c r="T190" s="34"/>
      <c r="U190" s="37"/>
      <c r="V190" s="34">
        <f>IFERROR(SUMIF(Table649[Sub-Accounts],Table850[[#This Row],[Update your chart of accounts here]],Table649[Debit]),"")</f>
        <v>0</v>
      </c>
      <c r="W190" s="34">
        <f>IFERROR(SUMIF(Table649[Sub-Accounts],Table850[[#This Row],[Update your chart of accounts here]],Table649[Credit]),"")</f>
        <v>0</v>
      </c>
      <c r="X190" s="34"/>
      <c r="Y190" s="34"/>
      <c r="Z190" s="34"/>
      <c r="AA190" s="34"/>
      <c r="AB190" s="34">
        <f>MAX(Table850[[#This Row],[Debit]]+Table850[[#This Row],[Debit -]]-Table850[[#This Row],[Credit]]-Table850[[#This Row],[Credit +]],0)</f>
        <v>0</v>
      </c>
      <c r="AC190" s="34">
        <f>MAX(Table850[[#This Row],[Credit]]-Table850[[#This Row],[Debit]]+Table850[[#This Row],[Credit +]]-Table850[[#This Row],[Debit -]],0)</f>
        <v>0</v>
      </c>
      <c r="AD190" s="34" t="str">
        <f>IFERROR(IF(AND(OR(Table850[[#This Row],[Classification]]="Expense",Table850[[#This Row],[Classification]]="Cost of Goods Sold"),Table850[[#This Row],[Debit\]]&gt;Table850[[#This Row],[Credit.]]),Table850[[#This Row],[Debit\]]-Table850[[#This Row],[Credit.]],""),"")</f>
        <v/>
      </c>
      <c r="AE190" s="34" t="str">
        <f>IFERROR(IF(AND(OR(Table850[[#This Row],[Classification]]="Income",Table850[[#This Row],[Classification]]="Cost of Goods Sold"),Table850[[#This Row],[Credit.]]&gt;Table850[[#This Row],[Debit\]]),Table850[[#This Row],[Credit.]]-Table850[[#This Row],[Debit\]],""),"")</f>
        <v/>
      </c>
      <c r="AF190" s="34"/>
      <c r="AG190" s="34" t="str">
        <f>IFERROR(IF(AND(Table850[[#This Row],[Classification]]="Assets",Table850[[#This Row],[Debit\]]-Table850[[#This Row],[Credit.]]),Table850[[#This Row],[Debit\]]-Table850[[#This Row],[Credit.]],""),"")</f>
        <v/>
      </c>
      <c r="AH190" s="34" t="str">
        <f>IFERROR(IF(AND(OR(Table850[[#This Row],[Classification]]="Liabilities",Table850[[#This Row],[Classification]]="Owner´s Equity"),Table850[[#This Row],[Credit.]]&gt;Table850[[#This Row],[Debit\]]),Table850[[#This Row],[Credit.]]-Table850[[#This Row],[Debit\]],""),"")</f>
        <v/>
      </c>
    </row>
    <row r="191" spans="2:34" hidden="1" x14ac:dyDescent="0.25">
      <c r="B191" s="34"/>
      <c r="C191" s="45"/>
      <c r="D191" s="34"/>
      <c r="E191" s="34"/>
      <c r="G191" s="39"/>
      <c r="H191" s="43"/>
      <c r="I191" s="41"/>
      <c r="J191" s="41"/>
      <c r="L191" s="34">
        <v>184</v>
      </c>
      <c r="M191" s="35"/>
      <c r="N191" s="35"/>
      <c r="O191" s="34">
        <f>IFERROR(SUMIF(Table447[,],Table649[[#This Row],[Accounts Name]],Table447[,3]),"")</f>
        <v>0</v>
      </c>
      <c r="P191" s="34">
        <f>IFERROR(SUMIF(Table447[,],Table649[[#This Row],[Accounts Name]],Table447[,2]),"")</f>
        <v>0</v>
      </c>
      <c r="S191" s="36">
        <f t="shared" si="2"/>
        <v>184</v>
      </c>
      <c r="T191" s="34"/>
      <c r="U191" s="37"/>
      <c r="V191" s="34">
        <f>IFERROR(SUMIF(Table649[Sub-Accounts],Table850[[#This Row],[Update your chart of accounts here]],Table649[Debit]),"")</f>
        <v>0</v>
      </c>
      <c r="W191" s="34">
        <f>IFERROR(SUMIF(Table649[Sub-Accounts],Table850[[#This Row],[Update your chart of accounts here]],Table649[Credit]),"")</f>
        <v>0</v>
      </c>
      <c r="X191" s="34"/>
      <c r="Y191" s="34"/>
      <c r="Z191" s="34"/>
      <c r="AA191" s="34"/>
      <c r="AB191" s="34">
        <f>MAX(Table850[[#This Row],[Debit]]+Table850[[#This Row],[Debit -]]-Table850[[#This Row],[Credit]]-Table850[[#This Row],[Credit +]],0)</f>
        <v>0</v>
      </c>
      <c r="AC191" s="34">
        <f>MAX(Table850[[#This Row],[Credit]]-Table850[[#This Row],[Debit]]+Table850[[#This Row],[Credit +]]-Table850[[#This Row],[Debit -]],0)</f>
        <v>0</v>
      </c>
      <c r="AD191" s="34" t="str">
        <f>IFERROR(IF(AND(OR(Table850[[#This Row],[Classification]]="Expense",Table850[[#This Row],[Classification]]="Cost of Goods Sold"),Table850[[#This Row],[Debit\]]&gt;Table850[[#This Row],[Credit.]]),Table850[[#This Row],[Debit\]]-Table850[[#This Row],[Credit.]],""),"")</f>
        <v/>
      </c>
      <c r="AE191" s="34" t="str">
        <f>IFERROR(IF(AND(OR(Table850[[#This Row],[Classification]]="Income",Table850[[#This Row],[Classification]]="Cost of Goods Sold"),Table850[[#This Row],[Credit.]]&gt;Table850[[#This Row],[Debit\]]),Table850[[#This Row],[Credit.]]-Table850[[#This Row],[Debit\]],""),"")</f>
        <v/>
      </c>
      <c r="AF191" s="34"/>
      <c r="AG191" s="34" t="str">
        <f>IFERROR(IF(AND(Table850[[#This Row],[Classification]]="Assets",Table850[[#This Row],[Debit\]]-Table850[[#This Row],[Credit.]]),Table850[[#This Row],[Debit\]]-Table850[[#This Row],[Credit.]],""),"")</f>
        <v/>
      </c>
      <c r="AH191" s="34" t="str">
        <f>IFERROR(IF(AND(OR(Table850[[#This Row],[Classification]]="Liabilities",Table850[[#This Row],[Classification]]="Owner´s Equity"),Table850[[#This Row],[Credit.]]&gt;Table850[[#This Row],[Debit\]]),Table850[[#This Row],[Credit.]]-Table850[[#This Row],[Debit\]],""),"")</f>
        <v/>
      </c>
    </row>
    <row r="192" spans="2:34" hidden="1" x14ac:dyDescent="0.25">
      <c r="B192" s="34"/>
      <c r="C192" s="45"/>
      <c r="D192" s="34"/>
      <c r="E192" s="34"/>
      <c r="G192" s="39"/>
      <c r="H192" s="40"/>
      <c r="I192" s="41"/>
      <c r="J192" s="41"/>
      <c r="L192" s="34">
        <v>185</v>
      </c>
      <c r="M192" s="35"/>
      <c r="N192" s="35"/>
      <c r="O192" s="34">
        <f>IFERROR(SUMIF(Table447[,],Table649[[#This Row],[Accounts Name]],Table447[,3]),"")</f>
        <v>0</v>
      </c>
      <c r="P192" s="34">
        <f>IFERROR(SUMIF(Table447[,],Table649[[#This Row],[Accounts Name]],Table447[,2]),"")</f>
        <v>0</v>
      </c>
      <c r="S192" s="36">
        <f t="shared" si="2"/>
        <v>185</v>
      </c>
      <c r="T192" s="34"/>
      <c r="U192" s="37"/>
      <c r="V192" s="34">
        <f>IFERROR(SUMIF(Table649[Sub-Accounts],Table850[[#This Row],[Update your chart of accounts here]],Table649[Debit]),"")</f>
        <v>0</v>
      </c>
      <c r="W192" s="34">
        <f>IFERROR(SUMIF(Table649[Sub-Accounts],Table850[[#This Row],[Update your chart of accounts here]],Table649[Credit]),"")</f>
        <v>0</v>
      </c>
      <c r="X192" s="34"/>
      <c r="Y192" s="34"/>
      <c r="Z192" s="34"/>
      <c r="AA192" s="34"/>
      <c r="AB192" s="34">
        <f>MAX(Table850[[#This Row],[Debit]]+Table850[[#This Row],[Debit -]]-Table850[[#This Row],[Credit]]-Table850[[#This Row],[Credit +]],0)</f>
        <v>0</v>
      </c>
      <c r="AC192" s="34">
        <f>MAX(Table850[[#This Row],[Credit]]-Table850[[#This Row],[Debit]]+Table850[[#This Row],[Credit +]]-Table850[[#This Row],[Debit -]],0)</f>
        <v>0</v>
      </c>
      <c r="AD192" s="34" t="str">
        <f>IFERROR(IF(AND(OR(Table850[[#This Row],[Classification]]="Expense",Table850[[#This Row],[Classification]]="Cost of Goods Sold"),Table850[[#This Row],[Debit\]]&gt;Table850[[#This Row],[Credit.]]),Table850[[#This Row],[Debit\]]-Table850[[#This Row],[Credit.]],""),"")</f>
        <v/>
      </c>
      <c r="AE192" s="34" t="str">
        <f>IFERROR(IF(AND(OR(Table850[[#This Row],[Classification]]="Income",Table850[[#This Row],[Classification]]="Cost of Goods Sold"),Table850[[#This Row],[Credit.]]&gt;Table850[[#This Row],[Debit\]]),Table850[[#This Row],[Credit.]]-Table850[[#This Row],[Debit\]],""),"")</f>
        <v/>
      </c>
      <c r="AF192" s="34"/>
      <c r="AG192" s="34" t="str">
        <f>IFERROR(IF(AND(Table850[[#This Row],[Classification]]="Assets",Table850[[#This Row],[Debit\]]-Table850[[#This Row],[Credit.]]),Table850[[#This Row],[Debit\]]-Table850[[#This Row],[Credit.]],""),"")</f>
        <v/>
      </c>
      <c r="AH192" s="34" t="str">
        <f>IFERROR(IF(AND(OR(Table850[[#This Row],[Classification]]="Liabilities",Table850[[#This Row],[Classification]]="Owner´s Equity"),Table850[[#This Row],[Credit.]]&gt;Table850[[#This Row],[Debit\]]),Table850[[#This Row],[Credit.]]-Table850[[#This Row],[Debit\]],""),"")</f>
        <v/>
      </c>
    </row>
    <row r="193" spans="2:38" hidden="1" x14ac:dyDescent="0.25">
      <c r="B193" s="34"/>
      <c r="C193" s="45"/>
      <c r="D193" s="34"/>
      <c r="E193" s="34"/>
      <c r="G193" s="39"/>
      <c r="H193" s="40"/>
      <c r="I193" s="41"/>
      <c r="J193" s="41"/>
      <c r="L193" s="34">
        <v>186</v>
      </c>
      <c r="M193" s="35"/>
      <c r="N193" s="35"/>
      <c r="O193" s="34">
        <f>IFERROR(SUMIF(Table447[,],Table649[[#This Row],[Accounts Name]],Table447[,3]),"")</f>
        <v>0</v>
      </c>
      <c r="P193" s="34">
        <f>IFERROR(SUMIF(Table447[,],Table649[[#This Row],[Accounts Name]],Table447[,2]),"")</f>
        <v>0</v>
      </c>
      <c r="S193" s="36">
        <f t="shared" si="2"/>
        <v>186</v>
      </c>
      <c r="T193" s="34"/>
      <c r="U193" s="37"/>
      <c r="V193" s="34">
        <f>IFERROR(SUMIF(Table649[Sub-Accounts],Table850[[#This Row],[Update your chart of accounts here]],Table649[Debit]),"")</f>
        <v>0</v>
      </c>
      <c r="W193" s="34">
        <f>IFERROR(SUMIF(Table649[Sub-Accounts],Table850[[#This Row],[Update your chart of accounts here]],Table649[Credit]),"")</f>
        <v>0</v>
      </c>
      <c r="X193" s="34"/>
      <c r="Y193" s="34"/>
      <c r="Z193" s="34"/>
      <c r="AA193" s="34"/>
      <c r="AB193" s="34">
        <f>MAX(Table850[[#This Row],[Debit]]+Table850[[#This Row],[Debit -]]-Table850[[#This Row],[Credit]]-Table850[[#This Row],[Credit +]],0)</f>
        <v>0</v>
      </c>
      <c r="AC193" s="34">
        <f>MAX(Table850[[#This Row],[Credit]]-Table850[[#This Row],[Debit]]+Table850[[#This Row],[Credit +]]-Table850[[#This Row],[Debit -]],0)</f>
        <v>0</v>
      </c>
      <c r="AD193" s="34" t="str">
        <f>IFERROR(IF(AND(OR(Table850[[#This Row],[Classification]]="Expense",Table850[[#This Row],[Classification]]="Cost of Goods Sold"),Table850[[#This Row],[Debit\]]&gt;Table850[[#This Row],[Credit.]]),Table850[[#This Row],[Debit\]]-Table850[[#This Row],[Credit.]],""),"")</f>
        <v/>
      </c>
      <c r="AE193" s="34" t="str">
        <f>IFERROR(IF(AND(OR(Table850[[#This Row],[Classification]]="Income",Table850[[#This Row],[Classification]]="Cost of Goods Sold"),Table850[[#This Row],[Credit.]]&gt;Table850[[#This Row],[Debit\]]),Table850[[#This Row],[Credit.]]-Table850[[#This Row],[Debit\]],""),"")</f>
        <v/>
      </c>
      <c r="AF193" s="34"/>
      <c r="AG193" s="34" t="str">
        <f>IFERROR(IF(AND(Table850[[#This Row],[Classification]]="Assets",Table850[[#This Row],[Debit\]]-Table850[[#This Row],[Credit.]]),Table850[[#This Row],[Debit\]]-Table850[[#This Row],[Credit.]],""),"")</f>
        <v/>
      </c>
      <c r="AH193" s="34" t="str">
        <f>IFERROR(IF(AND(OR(Table850[[#This Row],[Classification]]="Liabilities",Table850[[#This Row],[Classification]]="Owner´s Equity"),Table850[[#This Row],[Credit.]]&gt;Table850[[#This Row],[Debit\]]),Table850[[#This Row],[Credit.]]-Table850[[#This Row],[Debit\]],""),"")</f>
        <v/>
      </c>
    </row>
    <row r="194" spans="2:38" hidden="1" x14ac:dyDescent="0.25">
      <c r="B194" s="34"/>
      <c r="C194" s="45"/>
      <c r="D194" s="34"/>
      <c r="E194" s="34"/>
      <c r="G194" s="39"/>
      <c r="H194" s="43"/>
      <c r="I194" s="41"/>
      <c r="J194" s="41"/>
      <c r="L194" s="34">
        <v>187</v>
      </c>
      <c r="M194" s="35"/>
      <c r="N194" s="35"/>
      <c r="O194" s="34">
        <f>IFERROR(SUMIF(Table447[,],Table649[[#This Row],[Accounts Name]],Table447[,3]),"")</f>
        <v>0</v>
      </c>
      <c r="P194" s="34">
        <f>IFERROR(SUMIF(Table447[,],Table649[[#This Row],[Accounts Name]],Table447[,2]),"")</f>
        <v>0</v>
      </c>
      <c r="S194" s="36">
        <f t="shared" si="2"/>
        <v>187</v>
      </c>
      <c r="T194" s="34"/>
      <c r="U194" s="37"/>
      <c r="V194" s="34">
        <f>IFERROR(SUMIF(Table649[Sub-Accounts],Table850[[#This Row],[Update your chart of accounts here]],Table649[Debit]),"")</f>
        <v>0</v>
      </c>
      <c r="W194" s="34">
        <f>IFERROR(SUMIF(Table649[Sub-Accounts],Table850[[#This Row],[Update your chart of accounts here]],Table649[Credit]),"")</f>
        <v>0</v>
      </c>
      <c r="X194" s="34"/>
      <c r="Y194" s="34"/>
      <c r="Z194" s="34"/>
      <c r="AA194" s="34"/>
      <c r="AB194" s="34">
        <f>MAX(Table850[[#This Row],[Debit]]+Table850[[#This Row],[Debit -]]-Table850[[#This Row],[Credit]]-Table850[[#This Row],[Credit +]],0)</f>
        <v>0</v>
      </c>
      <c r="AC194" s="34">
        <f>MAX(Table850[[#This Row],[Credit]]-Table850[[#This Row],[Debit]]+Table850[[#This Row],[Credit +]]-Table850[[#This Row],[Debit -]],0)</f>
        <v>0</v>
      </c>
      <c r="AD194" s="34" t="str">
        <f>IFERROR(IF(AND(OR(Table850[[#This Row],[Classification]]="Expense",Table850[[#This Row],[Classification]]="Cost of Goods Sold"),Table850[[#This Row],[Debit\]]&gt;Table850[[#This Row],[Credit.]]),Table850[[#This Row],[Debit\]]-Table850[[#This Row],[Credit.]],""),"")</f>
        <v/>
      </c>
      <c r="AE194" s="34" t="str">
        <f>IFERROR(IF(AND(OR(Table850[[#This Row],[Classification]]="Income",Table850[[#This Row],[Classification]]="Cost of Goods Sold"),Table850[[#This Row],[Credit.]]&gt;Table850[[#This Row],[Debit\]]),Table850[[#This Row],[Credit.]]-Table850[[#This Row],[Debit\]],""),"")</f>
        <v/>
      </c>
      <c r="AF194" s="34"/>
      <c r="AG194" s="34" t="str">
        <f>IFERROR(IF(AND(Table850[[#This Row],[Classification]]="Assets",Table850[[#This Row],[Debit\]]-Table850[[#This Row],[Credit.]]),Table850[[#This Row],[Debit\]]-Table850[[#This Row],[Credit.]],""),"")</f>
        <v/>
      </c>
      <c r="AH194" s="34" t="str">
        <f>IFERROR(IF(AND(OR(Table850[[#This Row],[Classification]]="Liabilities",Table850[[#This Row],[Classification]]="Owner´s Equity"),Table850[[#This Row],[Credit.]]&gt;Table850[[#This Row],[Debit\]]),Table850[[#This Row],[Credit.]]-Table850[[#This Row],[Debit\]],""),"")</f>
        <v/>
      </c>
    </row>
    <row r="195" spans="2:38" hidden="1" x14ac:dyDescent="0.25">
      <c r="B195" s="34"/>
      <c r="C195" s="45"/>
      <c r="D195" s="34"/>
      <c r="E195" s="34"/>
      <c r="G195" s="39"/>
      <c r="H195" s="40"/>
      <c r="I195" s="41"/>
      <c r="J195" s="41"/>
      <c r="L195" s="34">
        <v>188</v>
      </c>
      <c r="M195" s="35"/>
      <c r="N195" s="35"/>
      <c r="O195" s="34">
        <f>IFERROR(SUMIF(Table447[,],Table649[[#This Row],[Accounts Name]],Table447[,3]),"")</f>
        <v>0</v>
      </c>
      <c r="P195" s="34">
        <f>IFERROR(SUMIF(Table447[,],Table649[[#This Row],[Accounts Name]],Table447[,2]),"")</f>
        <v>0</v>
      </c>
      <c r="S195" s="36">
        <f t="shared" si="2"/>
        <v>188</v>
      </c>
      <c r="T195" s="34"/>
      <c r="U195" s="37"/>
      <c r="V195" s="34">
        <f>IFERROR(SUMIF(Table649[Sub-Accounts],Table850[[#This Row],[Update your chart of accounts here]],Table649[Debit]),"")</f>
        <v>0</v>
      </c>
      <c r="W195" s="34">
        <f>IFERROR(SUMIF(Table649[Sub-Accounts],Table850[[#This Row],[Update your chart of accounts here]],Table649[Credit]),"")</f>
        <v>0</v>
      </c>
      <c r="X195" s="34"/>
      <c r="Y195" s="34"/>
      <c r="Z195" s="34"/>
      <c r="AA195" s="34"/>
      <c r="AB195" s="34">
        <f>MAX(Table850[[#This Row],[Debit]]+Table850[[#This Row],[Debit -]]-Table850[[#This Row],[Credit]]-Table850[[#This Row],[Credit +]],0)</f>
        <v>0</v>
      </c>
      <c r="AC195" s="34">
        <f>MAX(Table850[[#This Row],[Credit]]-Table850[[#This Row],[Debit]]+Table850[[#This Row],[Credit +]]-Table850[[#This Row],[Debit -]],0)</f>
        <v>0</v>
      </c>
      <c r="AD195" s="34" t="str">
        <f>IFERROR(IF(AND(OR(Table850[[#This Row],[Classification]]="Expense",Table850[[#This Row],[Classification]]="Cost of Goods Sold"),Table850[[#This Row],[Debit\]]&gt;Table850[[#This Row],[Credit.]]),Table850[[#This Row],[Debit\]]-Table850[[#This Row],[Credit.]],""),"")</f>
        <v/>
      </c>
      <c r="AE195" s="34" t="str">
        <f>IFERROR(IF(AND(OR(Table850[[#This Row],[Classification]]="Income",Table850[[#This Row],[Classification]]="Cost of Goods Sold"),Table850[[#This Row],[Credit.]]&gt;Table850[[#This Row],[Debit\]]),Table850[[#This Row],[Credit.]]-Table850[[#This Row],[Debit\]],""),"")</f>
        <v/>
      </c>
      <c r="AF195" s="34"/>
      <c r="AG195" s="34" t="str">
        <f>IFERROR(IF(AND(Table850[[#This Row],[Classification]]="Assets",Table850[[#This Row],[Debit\]]-Table850[[#This Row],[Credit.]]),Table850[[#This Row],[Debit\]]-Table850[[#This Row],[Credit.]],""),"")</f>
        <v/>
      </c>
      <c r="AH195" s="34" t="str">
        <f>IFERROR(IF(AND(OR(Table850[[#This Row],[Classification]]="Liabilities",Table850[[#This Row],[Classification]]="Owner´s Equity"),Table850[[#This Row],[Credit.]]&gt;Table850[[#This Row],[Debit\]]),Table850[[#This Row],[Credit.]]-Table850[[#This Row],[Debit\]],""),"")</f>
        <v/>
      </c>
    </row>
    <row r="196" spans="2:38" hidden="1" x14ac:dyDescent="0.25">
      <c r="B196" s="34"/>
      <c r="C196" s="45"/>
      <c r="D196" s="34"/>
      <c r="E196" s="34"/>
      <c r="G196" s="39"/>
      <c r="H196" s="40"/>
      <c r="I196" s="41"/>
      <c r="J196" s="41"/>
      <c r="L196" s="34">
        <v>189</v>
      </c>
      <c r="M196" s="35"/>
      <c r="N196" s="35"/>
      <c r="O196" s="34">
        <f>IFERROR(SUMIF(Table447[,],Table649[[#This Row],[Accounts Name]],Table447[,3]),"")</f>
        <v>0</v>
      </c>
      <c r="P196" s="34">
        <f>IFERROR(SUMIF(Table447[,],Table649[[#This Row],[Accounts Name]],Table447[,2]),"")</f>
        <v>0</v>
      </c>
      <c r="S196" s="36">
        <f t="shared" si="2"/>
        <v>189</v>
      </c>
      <c r="T196" s="34"/>
      <c r="U196" s="37"/>
      <c r="V196" s="34">
        <f>IFERROR(SUMIF(Table649[Sub-Accounts],Table850[[#This Row],[Update your chart of accounts here]],Table649[Debit]),"")</f>
        <v>0</v>
      </c>
      <c r="W196" s="34">
        <f>IFERROR(SUMIF(Table649[Sub-Accounts],Table850[[#This Row],[Update your chart of accounts here]],Table649[Credit]),"")</f>
        <v>0</v>
      </c>
      <c r="X196" s="34"/>
      <c r="Y196" s="34"/>
      <c r="Z196" s="34"/>
      <c r="AA196" s="34"/>
      <c r="AB196" s="34">
        <f>MAX(Table850[[#This Row],[Debit]]+Table850[[#This Row],[Debit -]]-Table850[[#This Row],[Credit]]-Table850[[#This Row],[Credit +]],0)</f>
        <v>0</v>
      </c>
      <c r="AC196" s="34">
        <f>MAX(Table850[[#This Row],[Credit]]-Table850[[#This Row],[Debit]]+Table850[[#This Row],[Credit +]]-Table850[[#This Row],[Debit -]],0)</f>
        <v>0</v>
      </c>
      <c r="AD196" s="34" t="str">
        <f>IFERROR(IF(AND(OR(Table850[[#This Row],[Classification]]="Expense",Table850[[#This Row],[Classification]]="Cost of Goods Sold"),Table850[[#This Row],[Debit\]]&gt;Table850[[#This Row],[Credit.]]),Table850[[#This Row],[Debit\]]-Table850[[#This Row],[Credit.]],""),"")</f>
        <v/>
      </c>
      <c r="AE196" s="34" t="str">
        <f>IFERROR(IF(AND(OR(Table850[[#This Row],[Classification]]="Income",Table850[[#This Row],[Classification]]="Cost of Goods Sold"),Table850[[#This Row],[Credit.]]&gt;Table850[[#This Row],[Debit\]]),Table850[[#This Row],[Credit.]]-Table850[[#This Row],[Debit\]],""),"")</f>
        <v/>
      </c>
      <c r="AF196" s="34"/>
      <c r="AG196" s="34" t="str">
        <f>IFERROR(IF(AND(Table850[[#This Row],[Classification]]="Assets",Table850[[#This Row],[Debit\]]-Table850[[#This Row],[Credit.]]),Table850[[#This Row],[Debit\]]-Table850[[#This Row],[Credit.]],""),"")</f>
        <v/>
      </c>
      <c r="AH196" s="34" t="str">
        <f>IFERROR(IF(AND(OR(Table850[[#This Row],[Classification]]="Liabilities",Table850[[#This Row],[Classification]]="Owner´s Equity"),Table850[[#This Row],[Credit.]]&gt;Table850[[#This Row],[Debit\]]),Table850[[#This Row],[Credit.]]-Table850[[#This Row],[Debit\]],""),"")</f>
        <v/>
      </c>
    </row>
    <row r="197" spans="2:38" hidden="1" x14ac:dyDescent="0.25">
      <c r="B197" s="34"/>
      <c r="C197" s="45"/>
      <c r="D197" s="34"/>
      <c r="E197" s="34"/>
      <c r="G197" s="39"/>
      <c r="H197" s="43"/>
      <c r="I197" s="41"/>
      <c r="J197" s="41"/>
      <c r="L197" s="34">
        <v>190</v>
      </c>
      <c r="M197" s="35"/>
      <c r="N197" s="35"/>
      <c r="O197" s="34">
        <f>IFERROR(SUMIF(Table447[,],Table649[[#This Row],[Accounts Name]],Table447[,3]),"")</f>
        <v>0</v>
      </c>
      <c r="P197" s="34">
        <f>IFERROR(SUMIF(Table447[,],Table649[[#This Row],[Accounts Name]],Table447[,2]),"")</f>
        <v>0</v>
      </c>
      <c r="S197" s="36">
        <f t="shared" si="2"/>
        <v>190</v>
      </c>
      <c r="T197" s="34"/>
      <c r="U197" s="37"/>
      <c r="V197" s="34">
        <f>IFERROR(SUMIF(Table649[Sub-Accounts],Table850[[#This Row],[Update your chart of accounts here]],Table649[Debit]),"")</f>
        <v>0</v>
      </c>
      <c r="W197" s="34">
        <f>IFERROR(SUMIF(Table649[Sub-Accounts],Table850[[#This Row],[Update your chart of accounts here]],Table649[Credit]),"")</f>
        <v>0</v>
      </c>
      <c r="X197" s="34"/>
      <c r="Y197" s="34"/>
      <c r="Z197" s="34"/>
      <c r="AA197" s="34"/>
      <c r="AB197" s="34">
        <f>MAX(Table850[[#This Row],[Debit]]+Table850[[#This Row],[Debit -]]-Table850[[#This Row],[Credit]]-Table850[[#This Row],[Credit +]],0)</f>
        <v>0</v>
      </c>
      <c r="AC197" s="34">
        <f>MAX(Table850[[#This Row],[Credit]]-Table850[[#This Row],[Debit]]+Table850[[#This Row],[Credit +]]-Table850[[#This Row],[Debit -]],0)</f>
        <v>0</v>
      </c>
      <c r="AD197" s="34" t="str">
        <f>IFERROR(IF(AND(OR(Table850[[#This Row],[Classification]]="Expense",Table850[[#This Row],[Classification]]="Cost of Goods Sold"),Table850[[#This Row],[Debit\]]&gt;Table850[[#This Row],[Credit.]]),Table850[[#This Row],[Debit\]]-Table850[[#This Row],[Credit.]],""),"")</f>
        <v/>
      </c>
      <c r="AE197" s="34" t="str">
        <f>IFERROR(IF(AND(OR(Table850[[#This Row],[Classification]]="Income",Table850[[#This Row],[Classification]]="Cost of Goods Sold"),Table850[[#This Row],[Credit.]]&gt;Table850[[#This Row],[Debit\]]),Table850[[#This Row],[Credit.]]-Table850[[#This Row],[Debit\]],""),"")</f>
        <v/>
      </c>
      <c r="AF197" s="34"/>
      <c r="AG197" s="34" t="str">
        <f>IFERROR(IF(AND(Table850[[#This Row],[Classification]]="Assets",Table850[[#This Row],[Debit\]]-Table850[[#This Row],[Credit.]]),Table850[[#This Row],[Debit\]]-Table850[[#This Row],[Credit.]],""),"")</f>
        <v/>
      </c>
      <c r="AH197" s="34" t="str">
        <f>IFERROR(IF(AND(OR(Table850[[#This Row],[Classification]]="Liabilities",Table850[[#This Row],[Classification]]="Owner´s Equity"),Table850[[#This Row],[Credit.]]&gt;Table850[[#This Row],[Debit\]]),Table850[[#This Row],[Credit.]]-Table850[[#This Row],[Debit\]],""),"")</f>
        <v/>
      </c>
    </row>
    <row r="198" spans="2:38" hidden="1" x14ac:dyDescent="0.25">
      <c r="B198" s="34"/>
      <c r="C198" s="45"/>
      <c r="D198" s="34"/>
      <c r="E198" s="34"/>
      <c r="G198" s="39"/>
      <c r="H198" s="40"/>
      <c r="I198" s="41"/>
      <c r="J198" s="41"/>
      <c r="L198" s="34">
        <v>191</v>
      </c>
      <c r="M198" s="35"/>
      <c r="N198" s="35"/>
      <c r="O198" s="34">
        <f>IFERROR(SUMIF(Table447[,],Table649[[#This Row],[Accounts Name]],Table447[,3]),"")</f>
        <v>0</v>
      </c>
      <c r="P198" s="34">
        <f>IFERROR(SUMIF(Table447[,],Table649[[#This Row],[Accounts Name]],Table447[,2]),"")</f>
        <v>0</v>
      </c>
      <c r="S198" s="36">
        <f t="shared" si="2"/>
        <v>191</v>
      </c>
      <c r="T198" s="34"/>
      <c r="U198" s="37"/>
      <c r="V198" s="34">
        <f>IFERROR(SUMIF(Table649[Sub-Accounts],Table850[[#This Row],[Update your chart of accounts here]],Table649[Debit]),"")</f>
        <v>0</v>
      </c>
      <c r="W198" s="34">
        <f>IFERROR(SUMIF(Table649[Sub-Accounts],Table850[[#This Row],[Update your chart of accounts here]],Table649[Credit]),"")</f>
        <v>0</v>
      </c>
      <c r="X198" s="34"/>
      <c r="Y198" s="34"/>
      <c r="Z198" s="34"/>
      <c r="AA198" s="34"/>
      <c r="AB198" s="34">
        <f>MAX(Table850[[#This Row],[Debit]]+Table850[[#This Row],[Debit -]]-Table850[[#This Row],[Credit]]-Table850[[#This Row],[Credit +]],0)</f>
        <v>0</v>
      </c>
      <c r="AC198" s="34">
        <f>MAX(Table850[[#This Row],[Credit]]-Table850[[#This Row],[Debit]]+Table850[[#This Row],[Credit +]]-Table850[[#This Row],[Debit -]],0)</f>
        <v>0</v>
      </c>
      <c r="AD198" s="34" t="str">
        <f>IFERROR(IF(AND(OR(Table850[[#This Row],[Classification]]="Expense",Table850[[#This Row],[Classification]]="Cost of Goods Sold"),Table850[[#This Row],[Debit\]]&gt;Table850[[#This Row],[Credit.]]),Table850[[#This Row],[Debit\]]-Table850[[#This Row],[Credit.]],""),"")</f>
        <v/>
      </c>
      <c r="AE198" s="34" t="str">
        <f>IFERROR(IF(AND(OR(Table850[[#This Row],[Classification]]="Income",Table850[[#This Row],[Classification]]="Cost of Goods Sold"),Table850[[#This Row],[Credit.]]&gt;Table850[[#This Row],[Debit\]]),Table850[[#This Row],[Credit.]]-Table850[[#This Row],[Debit\]],""),"")</f>
        <v/>
      </c>
      <c r="AF198" s="34"/>
      <c r="AG198" s="34" t="str">
        <f>IFERROR(IF(AND(Table850[[#This Row],[Classification]]="Assets",Table850[[#This Row],[Debit\]]-Table850[[#This Row],[Credit.]]),Table850[[#This Row],[Debit\]]-Table850[[#This Row],[Credit.]],""),"")</f>
        <v/>
      </c>
      <c r="AH198" s="34" t="str">
        <f>IFERROR(IF(AND(OR(Table850[[#This Row],[Classification]]="Liabilities",Table850[[#This Row],[Classification]]="Owner´s Equity"),Table850[[#This Row],[Credit.]]&gt;Table850[[#This Row],[Debit\]]),Table850[[#This Row],[Credit.]]-Table850[[#This Row],[Debit\]],""),"")</f>
        <v/>
      </c>
    </row>
    <row r="199" spans="2:38" hidden="1" x14ac:dyDescent="0.25">
      <c r="B199" s="34"/>
      <c r="C199" s="45"/>
      <c r="D199" s="34"/>
      <c r="E199" s="34"/>
      <c r="G199" s="39"/>
      <c r="H199" s="40"/>
      <c r="I199" s="41"/>
      <c r="J199" s="41"/>
      <c r="L199" s="34">
        <v>192</v>
      </c>
      <c r="M199" s="35"/>
      <c r="N199" s="35"/>
      <c r="O199" s="34">
        <f>IFERROR(SUMIF(Table447[,],Table649[[#This Row],[Accounts Name]],Table447[,3]),"")</f>
        <v>0</v>
      </c>
      <c r="P199" s="34">
        <f>IFERROR(SUMIF(Table447[,],Table649[[#This Row],[Accounts Name]],Table447[,2]),"")</f>
        <v>0</v>
      </c>
      <c r="S199" s="36">
        <f t="shared" si="2"/>
        <v>192</v>
      </c>
      <c r="T199" s="34"/>
      <c r="U199" s="46"/>
      <c r="V199" s="34">
        <f>IFERROR(SUMIF(Table649[Sub-Accounts],Table850[[#This Row],[Update your chart of accounts here]],Table649[Debit]),"")</f>
        <v>0</v>
      </c>
      <c r="W199" s="34">
        <f>IFERROR(SUMIF(Table649[Sub-Accounts],Table850[[#This Row],[Update your chart of accounts here]],Table649[Credit]),"")</f>
        <v>0</v>
      </c>
      <c r="X199" s="34"/>
      <c r="Y199" s="34"/>
      <c r="Z199" s="34"/>
      <c r="AA199" s="34"/>
      <c r="AB199" s="34">
        <f>MAX(Table850[[#This Row],[Debit]]+Table850[[#This Row],[Debit -]]-Table850[[#This Row],[Credit]]-Table850[[#This Row],[Credit +]],0)</f>
        <v>0</v>
      </c>
      <c r="AC199" s="34">
        <f>MAX(Table850[[#This Row],[Credit]]-Table850[[#This Row],[Debit]]+Table850[[#This Row],[Credit +]]-Table850[[#This Row],[Debit -]],0)</f>
        <v>0</v>
      </c>
      <c r="AD199" s="34" t="str">
        <f>IFERROR(IF(AND(OR(Table850[[#This Row],[Classification]]="Expense",Table850[[#This Row],[Classification]]="Cost of Goods Sold"),Table850[[#This Row],[Debit\]]&gt;Table850[[#This Row],[Credit.]]),Table850[[#This Row],[Debit\]]-Table850[[#This Row],[Credit.]],""),"")</f>
        <v/>
      </c>
      <c r="AE199" s="34" t="str">
        <f>IFERROR(IF(AND(OR(Table850[[#This Row],[Classification]]="Income",Table850[[#This Row],[Classification]]="Cost of Goods Sold"),Table850[[#This Row],[Credit.]]&gt;Table850[[#This Row],[Debit\]]),Table850[[#This Row],[Credit.]]-Table850[[#This Row],[Debit\]],""),"")</f>
        <v/>
      </c>
      <c r="AF199" s="34"/>
      <c r="AG199" s="34" t="str">
        <f>IFERROR(IF(AND(Table850[[#This Row],[Classification]]="Assets",Table850[[#This Row],[Debit\]]-Table850[[#This Row],[Credit.]]),Table850[[#This Row],[Debit\]]-Table850[[#This Row],[Credit.]],""),"")</f>
        <v/>
      </c>
      <c r="AH199" s="34" t="str">
        <f>IFERROR(IF(AND(OR(Table850[[#This Row],[Classification]]="Liabilities",Table850[[#This Row],[Classification]]="Owner´s Equity"),Table850[[#This Row],[Credit.]]&gt;Table850[[#This Row],[Debit\]]),Table850[[#This Row],[Credit.]]-Table850[[#This Row],[Debit\]],""),"")</f>
        <v/>
      </c>
    </row>
    <row r="200" spans="2:38" hidden="1" x14ac:dyDescent="0.25">
      <c r="B200" s="34"/>
      <c r="C200" s="45"/>
      <c r="D200" s="34"/>
      <c r="E200" s="34"/>
      <c r="G200" s="39"/>
      <c r="H200" s="43"/>
      <c r="I200" s="41"/>
      <c r="J200" s="41"/>
      <c r="L200" s="34">
        <v>193</v>
      </c>
      <c r="M200" s="35"/>
      <c r="N200" s="35"/>
      <c r="O200" s="34">
        <f>IFERROR(SUMIF(Table447[,],Table649[[#This Row],[Accounts Name]],Table447[,3]),"")</f>
        <v>0</v>
      </c>
      <c r="P200" s="34">
        <f>IFERROR(SUMIF(Table447[,],Table649[[#This Row],[Accounts Name]],Table447[,2]),"")</f>
        <v>0</v>
      </c>
      <c r="S200" s="36">
        <f t="shared" si="2"/>
        <v>193</v>
      </c>
      <c r="T200" s="34"/>
      <c r="U200" s="47"/>
      <c r="V200" s="34">
        <f>IFERROR(SUMIF(Table649[Sub-Accounts],Table850[[#This Row],[Update your chart of accounts here]],Table649[Debit]),"")</f>
        <v>0</v>
      </c>
      <c r="W200" s="34">
        <f>IFERROR(SUMIF(Table649[Sub-Accounts],Table850[[#This Row],[Update your chart of accounts here]],Table649[Credit]),"")</f>
        <v>0</v>
      </c>
      <c r="X200" s="34"/>
      <c r="Y200" s="34"/>
      <c r="Z200" s="34"/>
      <c r="AA200" s="34"/>
      <c r="AB200" s="34">
        <f>MAX(Table850[[#This Row],[Debit]]+Table850[[#This Row],[Debit -]]-Table850[[#This Row],[Credit]]-Table850[[#This Row],[Credit +]],0)</f>
        <v>0</v>
      </c>
      <c r="AC200" s="34">
        <f>MAX(Table850[[#This Row],[Credit]]-Table850[[#This Row],[Debit]]+Table850[[#This Row],[Credit +]]-Table850[[#This Row],[Debit -]],0)</f>
        <v>0</v>
      </c>
      <c r="AD200" s="34" t="str">
        <f>IFERROR(IF(AND(OR(Table850[[#This Row],[Classification]]="Expense",Table850[[#This Row],[Classification]]="Cost of Goods Sold"),Table850[[#This Row],[Debit\]]&gt;Table850[[#This Row],[Credit.]]),Table850[[#This Row],[Debit\]]-Table850[[#This Row],[Credit.]],""),"")</f>
        <v/>
      </c>
      <c r="AE200" s="34" t="str">
        <f>IFERROR(IF(AND(OR(Table850[[#This Row],[Classification]]="Income",Table850[[#This Row],[Classification]]="Cost of Goods Sold"),Table850[[#This Row],[Credit.]]&gt;Table850[[#This Row],[Debit\]]),Table850[[#This Row],[Credit.]]-Table850[[#This Row],[Debit\]],""),"")</f>
        <v/>
      </c>
      <c r="AF200" s="34"/>
      <c r="AG200" s="34" t="str">
        <f>IFERROR(IF(AND(Table850[[#This Row],[Classification]]="Assets",Table850[[#This Row],[Debit\]]-Table850[[#This Row],[Credit.]]),Table850[[#This Row],[Debit\]]-Table850[[#This Row],[Credit.]],""),"")</f>
        <v/>
      </c>
      <c r="AH200" s="34" t="str">
        <f>IFERROR(IF(AND(OR(Table850[[#This Row],[Classification]]="Liabilities",Table850[[#This Row],[Classification]]="Owner´s Equity"),Table850[[#This Row],[Credit.]]&gt;Table850[[#This Row],[Debit\]]),Table850[[#This Row],[Credit.]]-Table850[[#This Row],[Debit\]],""),"")</f>
        <v/>
      </c>
      <c r="AI200" s="20" t="b">
        <f>Table850[[#Totals],[Debit .]]=Table850[[#Totals],[Credit'']]</f>
        <v>0</v>
      </c>
      <c r="AL200" s="20">
        <f>Table850[[#Totals],[Debit .]]-Table850[[#Totals],[Credit'']]</f>
        <v>0</v>
      </c>
    </row>
    <row r="201" spans="2:38" ht="15.75" thickBot="1" x14ac:dyDescent="0.3">
      <c r="B201" s="20" t="s">
        <v>60</v>
      </c>
      <c r="D201" s="57">
        <f>SUBTOTAL(109,Table447[,3])</f>
        <v>6373139.6100000003</v>
      </c>
      <c r="E201" s="57">
        <f>SUBTOTAL(109,Table447[,2])</f>
        <v>12625152.699999999</v>
      </c>
      <c r="G201" s="39"/>
      <c r="H201" s="40"/>
      <c r="I201" s="41"/>
      <c r="J201" s="41"/>
      <c r="L201" s="49" t="s">
        <v>60</v>
      </c>
      <c r="M201" s="35"/>
      <c r="N201" s="35"/>
      <c r="O201" s="48">
        <f>SUBTOTAL(109,Table649[Debit])</f>
        <v>8568388.6600000001</v>
      </c>
      <c r="P201" s="48">
        <f>SUBTOTAL(109,Table649[Credit])</f>
        <v>4047608.7</v>
      </c>
      <c r="S201" s="62" t="s">
        <v>60</v>
      </c>
      <c r="T201" s="63"/>
      <c r="U201" s="64"/>
      <c r="V201" s="63">
        <f>SUBTOTAL(109,Table850[Debit])</f>
        <v>33634688.240000002</v>
      </c>
      <c r="W201" s="63">
        <f>SUBTOTAL(109,Table850[Credit])</f>
        <v>33587719.600000001</v>
      </c>
      <c r="X201" s="63"/>
      <c r="Y201" s="63"/>
      <c r="Z201" s="63"/>
      <c r="AA201" s="63"/>
      <c r="AB201" s="63">
        <f>SUBTOTAL(109,Table850[Debit\])</f>
        <v>38476056.723225519</v>
      </c>
      <c r="AC201" s="63">
        <f>SUBTOTAL(109,Table850[Credit.])</f>
        <v>38476056.723225571</v>
      </c>
      <c r="AD201" s="63">
        <f>SUBTOTAL(109,Table850[[Debit ]])</f>
        <v>0</v>
      </c>
      <c r="AE201" s="63">
        <f>SUBTOTAL(109,Table850[Credit,])</f>
        <v>0</v>
      </c>
      <c r="AF201" s="63"/>
      <c r="AG201" s="63">
        <f>SUBTOTAL(109,Table850[Debit .])</f>
        <v>38476056.723225519</v>
      </c>
      <c r="AH201" s="63">
        <f>SUBTOTAL(109,Table850[Credit''])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98" priority="8">
      <formula>"Balanced"</formula>
    </cfRule>
  </conditionalFormatting>
  <dataValidations count="3">
    <dataValidation type="list" allowBlank="1" showInputMessage="1" showErrorMessage="1" sqref="T8:T200" xr:uid="{00000000-0002-0000-07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700-000001000000}">
      <formula1>P_LSub_Group</formula1>
    </dataValidation>
    <dataValidation type="list" allowBlank="1" showInputMessage="1" showErrorMessage="1" sqref="N8:N200" xr:uid="{00000000-0002-0000-07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21C0AD3F-2276-472F-9484-0D241BA51F1E}">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0089532E-9C50-4ADC-81F9-9DDE43488D0F}">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E2F932AA-F0D9-4BEA-99D2-706D7D0E0FF9}">
            <xm:f>NOT(ISERROR(SEARCH($T$407,T8)))</xm:f>
            <xm:f>$T$407</xm:f>
            <x14:dxf>
              <fill>
                <patternFill>
                  <bgColor rgb="FF7030A0"/>
                </patternFill>
              </fill>
            </x14:dxf>
          </x14:cfRule>
          <x14:cfRule type="containsText" priority="2" operator="containsText" id="{B11873FE-6307-4685-B7E3-5C1F4854F9F8}">
            <xm:f>NOT(ISERROR(SEARCH($T$406,T8)))</xm:f>
            <xm:f>$T$406</xm:f>
            <x14:dxf>
              <fill>
                <patternFill>
                  <bgColor rgb="FFFFFF00"/>
                </patternFill>
              </fill>
            </x14:dxf>
          </x14:cfRule>
          <x14:cfRule type="containsText" priority="3" operator="containsText" id="{E94223C8-7D88-48EE-82E4-D616722AB900}">
            <xm:f>NOT(ISERROR(SEARCH($T$405,T8)))</xm:f>
            <xm:f>$T$405</xm:f>
            <x14:dxf>
              <fill>
                <patternFill>
                  <bgColor rgb="FF00B050"/>
                </patternFill>
              </fill>
            </x14:dxf>
          </x14:cfRule>
          <x14:cfRule type="containsText" priority="4" operator="containsText" id="{19CEC30A-9F39-4929-AAFB-379D09C5B8B4}">
            <xm:f>NOT(ISERROR(SEARCH($T$404,T8)))</xm:f>
            <xm:f>$T$404</xm:f>
            <x14:dxf>
              <fill>
                <patternFill>
                  <bgColor theme="0"/>
                </patternFill>
              </fill>
            </x14:dxf>
          </x14:cfRule>
          <x14:cfRule type="containsText" priority="5" operator="containsText" id="{3E390C40-2985-4B10-8AFF-CE0209E358CD}">
            <xm:f>NOT(ISERROR(SEARCH($T$403,T8)))</xm:f>
            <xm:f>$T$403</xm:f>
            <x14:dxf>
              <fill>
                <patternFill>
                  <bgColor rgb="FFFF0000"/>
                </patternFill>
              </fill>
            </x14:dxf>
          </x14:cfRule>
          <x14:cfRule type="containsText" priority="6" operator="containsText" id="{B9EEAD57-5D86-4212-9639-ED508E4F3404}">
            <xm:f>NOT(ISERROR(SEARCH($T$402,T8)))</xm:f>
            <xm:f>$T$402</xm:f>
            <x14:dxf>
              <fill>
                <patternFill>
                  <bgColor theme="8" tint="-0.24994659260841701"/>
                </patternFill>
              </fill>
            </x14:dxf>
          </x14:cfRule>
          <xm:sqref>T8:T200</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B1:AN407"/>
  <sheetViews>
    <sheetView showGridLines="0" topLeftCell="R30" workbookViewId="0">
      <selection activeCell="R8" sqref="A8:XFD85"/>
    </sheetView>
  </sheetViews>
  <sheetFormatPr defaultRowHeight="15" outlineLevelCol="2" x14ac:dyDescent="0.25"/>
  <cols>
    <col min="1" max="1" width="3.140625" style="20" customWidth="1"/>
    <col min="2" max="2" width="11" style="20" customWidth="1" outlineLevel="1"/>
    <col min="3" max="3" width="60.42578125" style="20" customWidth="1" outlineLevel="1"/>
    <col min="4" max="4" width="15.42578125" style="20" customWidth="1" outlineLevel="1"/>
    <col min="5" max="5" width="20" style="20" customWidth="1" outlineLevel="1"/>
    <col min="6" max="6" width="4.7109375" style="20" customWidth="1"/>
    <col min="7" max="7" width="14.7109375" style="20" customWidth="1" outlineLevel="1"/>
    <col min="8" max="8" width="70.42578125" style="20" customWidth="1" outlineLevel="1"/>
    <col min="9" max="9" width="18.140625" style="20" customWidth="1" outlineLevel="1"/>
    <col min="10" max="10" width="17" style="20" customWidth="1" outlineLevel="1"/>
    <col min="11" max="11" width="9.140625" style="20"/>
    <col min="12" max="12" width="7.140625" style="20" customWidth="1" outlineLevel="1"/>
    <col min="13" max="13" width="33.7109375" style="20" customWidth="1" outlineLevel="1"/>
    <col min="14" max="14" width="71.85546875" style="20" customWidth="1" outlineLevel="1"/>
    <col min="15" max="15" width="22.5703125" style="20" customWidth="1" outlineLevel="2"/>
    <col min="16" max="16" width="21.7109375" style="20" customWidth="1" outlineLevel="2"/>
    <col min="17" max="18" width="9.140625" style="20"/>
    <col min="19" max="19" width="11.140625" style="20" customWidth="1" outlineLevel="1"/>
    <col min="20" max="20" width="18.85546875" style="20" bestFit="1" customWidth="1" outlineLevel="1"/>
    <col min="21" max="21" width="37.7109375" style="20" customWidth="1" outlineLevel="1"/>
    <col min="22" max="22" width="19.5703125" style="20" customWidth="1" outlineLevel="2"/>
    <col min="23" max="23" width="19.85546875" style="20" customWidth="1" outlineLevel="2"/>
    <col min="24" max="24" width="3.85546875" style="20" customWidth="1" outlineLevel="1"/>
    <col min="25" max="25" width="17.5703125" style="20" customWidth="1" outlineLevel="1"/>
    <col min="26" max="27" width="19.85546875" style="20" customWidth="1" outlineLevel="2"/>
    <col min="28" max="29" width="19.85546875" style="20" customWidth="1" outlineLevel="1"/>
    <col min="30" max="30" width="17.7109375" style="20" customWidth="1" outlineLevel="2"/>
    <col min="31" max="31" width="17.85546875" style="20" customWidth="1" outlineLevel="2"/>
    <col min="32" max="32" width="3.42578125" style="20" customWidth="1" outlineLevel="1"/>
    <col min="33" max="33" width="19.5703125" style="20" customWidth="1" outlineLevel="2"/>
    <col min="34" max="34" width="22.42578125" style="20" customWidth="1" outlineLevel="2"/>
    <col min="35" max="37" width="9.140625" style="20"/>
    <col min="38" max="39" width="12" style="20" bestFit="1" customWidth="1"/>
    <col min="40" max="44" width="9.140625" style="20"/>
    <col min="45" max="46" width="12" style="20" bestFit="1" customWidth="1"/>
    <col min="47" max="16384" width="9.140625" style="20"/>
  </cols>
  <sheetData>
    <row r="1" spans="2:40" s="1" customFormat="1" ht="13.5" customHeight="1" x14ac:dyDescent="0.25"/>
    <row r="2" spans="2:40" s="1" customFormat="1" ht="27" customHeight="1" x14ac:dyDescent="0.25">
      <c r="B2" s="529" t="s">
        <v>43</v>
      </c>
      <c r="C2" s="530"/>
      <c r="D2" s="530"/>
      <c r="E2" s="530"/>
      <c r="G2" s="529" t="s">
        <v>42</v>
      </c>
      <c r="H2" s="530"/>
      <c r="I2" s="530"/>
      <c r="J2" s="530"/>
      <c r="L2" s="529" t="s">
        <v>50</v>
      </c>
      <c r="M2" s="530"/>
      <c r="N2" s="530"/>
      <c r="O2" s="530"/>
      <c r="P2" s="530"/>
      <c r="S2" s="529" t="s">
        <v>58</v>
      </c>
      <c r="T2" s="530"/>
      <c r="U2" s="530"/>
      <c r="V2" s="530"/>
      <c r="W2" s="530"/>
      <c r="X2" s="530"/>
      <c r="Y2" s="530"/>
      <c r="Z2" s="530"/>
      <c r="AA2" s="530"/>
      <c r="AB2" s="530"/>
      <c r="AC2" s="530"/>
      <c r="AD2" s="530"/>
      <c r="AE2" s="530"/>
      <c r="AF2" s="530"/>
      <c r="AG2" s="530"/>
      <c r="AH2" s="531"/>
    </row>
    <row r="3" spans="2:40" s="1" customFormat="1" ht="15" customHeight="1" x14ac:dyDescent="0.25"/>
    <row r="4" spans="2:40" s="1" customFormat="1" ht="8.25" customHeight="1" x14ac:dyDescent="0.25">
      <c r="S4" s="532"/>
      <c r="T4" s="532"/>
      <c r="U4" s="532"/>
      <c r="V4" s="532"/>
      <c r="W4" s="532"/>
      <c r="X4" s="532"/>
      <c r="Y4" s="532"/>
      <c r="Z4" s="532"/>
      <c r="AA4" s="532"/>
      <c r="AB4" s="532"/>
      <c r="AC4" s="532"/>
      <c r="AD4" s="532"/>
      <c r="AE4" s="532"/>
      <c r="AF4" s="532"/>
      <c r="AG4" s="532"/>
      <c r="AH4" s="532"/>
    </row>
    <row r="5" spans="2:40" customFormat="1" ht="13.5" customHeight="1" x14ac:dyDescent="0.25">
      <c r="S5" s="534" t="str">
        <f>IF(AL200=0,"Balanced",IF(AL200&lt;=-1,"Not Balanced",""))</f>
        <v>Balanced</v>
      </c>
      <c r="T5" s="535"/>
      <c r="U5" s="535"/>
      <c r="V5" s="535"/>
      <c r="W5" s="535"/>
      <c r="X5" s="535"/>
      <c r="Y5" s="535"/>
      <c r="Z5" s="535"/>
      <c r="AA5" s="535"/>
      <c r="AB5" s="535"/>
      <c r="AC5" s="535"/>
      <c r="AD5" s="535"/>
      <c r="AE5" s="535"/>
      <c r="AF5" s="535"/>
      <c r="AG5" s="535"/>
      <c r="AH5" s="536"/>
    </row>
    <row r="6" spans="2:40" x14ac:dyDescent="0.25">
      <c r="S6" s="58"/>
      <c r="T6" s="58"/>
      <c r="U6" s="59" t="s">
        <v>53</v>
      </c>
      <c r="V6" s="533" t="s">
        <v>196</v>
      </c>
      <c r="W6" s="533"/>
      <c r="X6" s="60"/>
      <c r="Y6" s="60"/>
      <c r="Z6" s="533" t="s">
        <v>230</v>
      </c>
      <c r="AA6" s="533"/>
      <c r="AB6" s="533" t="s">
        <v>199</v>
      </c>
      <c r="AC6" s="533"/>
      <c r="AD6" s="533" t="s">
        <v>55</v>
      </c>
      <c r="AE6" s="533"/>
      <c r="AF6" s="60"/>
      <c r="AG6" s="533" t="s">
        <v>56</v>
      </c>
      <c r="AH6" s="533"/>
    </row>
    <row r="7" spans="2:40" x14ac:dyDescent="0.25">
      <c r="B7" s="26" t="s">
        <v>35</v>
      </c>
      <c r="C7" s="26" t="s">
        <v>1</v>
      </c>
      <c r="D7" s="26" t="s">
        <v>36</v>
      </c>
      <c r="E7" s="26" t="s">
        <v>37</v>
      </c>
      <c r="G7" s="26" t="s">
        <v>35</v>
      </c>
      <c r="H7" s="26" t="s">
        <v>1</v>
      </c>
      <c r="I7" s="26" t="s">
        <v>57</v>
      </c>
      <c r="J7" s="26" t="s">
        <v>37</v>
      </c>
      <c r="L7" s="56" t="s">
        <v>45</v>
      </c>
      <c r="M7" s="26" t="s">
        <v>47</v>
      </c>
      <c r="N7" s="26" t="s">
        <v>51</v>
      </c>
      <c r="O7" s="26" t="s">
        <v>57</v>
      </c>
      <c r="P7" s="26" t="s">
        <v>37</v>
      </c>
      <c r="S7" s="27" t="s">
        <v>59</v>
      </c>
      <c r="T7" s="28" t="s">
        <v>52</v>
      </c>
      <c r="U7" s="29" t="s">
        <v>54</v>
      </c>
      <c r="V7" s="28" t="s">
        <v>57</v>
      </c>
      <c r="W7" s="28" t="s">
        <v>37</v>
      </c>
      <c r="X7" s="30" t="s">
        <v>198</v>
      </c>
      <c r="Y7" s="31" t="s">
        <v>223</v>
      </c>
      <c r="Z7" s="28" t="s">
        <v>200</v>
      </c>
      <c r="AA7" s="28" t="s">
        <v>201</v>
      </c>
      <c r="AB7" s="28" t="s">
        <v>202</v>
      </c>
      <c r="AC7" s="28" t="s">
        <v>203</v>
      </c>
      <c r="AD7" s="28" t="s">
        <v>10</v>
      </c>
      <c r="AE7" s="28" t="s">
        <v>204</v>
      </c>
      <c r="AF7" s="30" t="s">
        <v>197</v>
      </c>
      <c r="AG7" s="28" t="s">
        <v>205</v>
      </c>
      <c r="AH7" s="28" t="s">
        <v>206</v>
      </c>
      <c r="AL7" s="61">
        <v>331505533.32677442</v>
      </c>
      <c r="AM7" s="61">
        <v>339846574.44999999</v>
      </c>
      <c r="AN7" s="61">
        <f>AM7-AL7</f>
        <v>8341041.1232255697</v>
      </c>
    </row>
    <row r="8" spans="2:40" x14ac:dyDescent="0.25">
      <c r="B8" s="31" t="s">
        <v>41</v>
      </c>
      <c r="C8" s="32" t="s">
        <v>38</v>
      </c>
      <c r="D8" s="32" t="s">
        <v>40</v>
      </c>
      <c r="E8" s="33" t="s">
        <v>39</v>
      </c>
      <c r="G8" s="31" t="s">
        <v>183</v>
      </c>
      <c r="H8" s="27" t="s">
        <v>44</v>
      </c>
      <c r="I8" s="27" t="s">
        <v>40</v>
      </c>
      <c r="J8" s="27" t="s">
        <v>39</v>
      </c>
      <c r="L8" s="34">
        <v>1</v>
      </c>
      <c r="M8" s="35" t="s">
        <v>138</v>
      </c>
      <c r="N8" s="35" t="s">
        <v>63</v>
      </c>
      <c r="O8" s="34">
        <f>IFERROR(SUMIF(Table415[,],Table617[[#This Row],[Accounts Name]],Table415[,3]),"")</f>
        <v>3977142.74</v>
      </c>
      <c r="P8" s="34">
        <f>IFERROR(SUMIF(Table415[,],Table617[[#This Row],[Accounts Name]],Table415[,2]),"")</f>
        <v>0</v>
      </c>
      <c r="S8" s="36">
        <v>1</v>
      </c>
      <c r="T8" s="34" t="s">
        <v>11</v>
      </c>
      <c r="U8" s="37" t="s">
        <v>138</v>
      </c>
      <c r="V8" s="34">
        <f>IFERROR(SUMIF(Table617[Sub-Accounts],Table818[[#This Row],[Update your chart of accounts here]],Table617[Debit]),"")</f>
        <v>5942202.0100000007</v>
      </c>
      <c r="W8" s="34">
        <f>IFERROR(SUMIF(Table617[Sub-Accounts],Table818[[#This Row],[Update your chart of accounts here]],Table617[Credit]),"")</f>
        <v>0</v>
      </c>
      <c r="X8" s="34"/>
      <c r="Y8" s="34" t="s">
        <v>228</v>
      </c>
      <c r="Z8" s="34"/>
      <c r="AA8" s="34">
        <f>J25</f>
        <v>21</v>
      </c>
      <c r="AB8" s="34">
        <f>MAX(Table818[[#This Row],[Debit]]+Table818[[#This Row],[Debit -]]-Table818[[#This Row],[Credit]]-Table818[[#This Row],[Credit +]],0)</f>
        <v>5942181.0100000007</v>
      </c>
      <c r="AC8" s="34">
        <f>MAX(Table818[[#This Row],[Credit]]-Table818[[#This Row],[Debit]]+Table818[[#This Row],[Credit +]]-Table818[[#This Row],[Debit -]],0)</f>
        <v>0</v>
      </c>
      <c r="AD8" s="34" t="str">
        <f>IFERROR(IF(AND(OR(Table818[[#This Row],[Classification]]="Expense",Table818[[#This Row],[Classification]]="Cost of Goods Sold"),Table818[[#This Row],[Debit\]]&gt;Table818[[#This Row],[Credit.]]),Table818[[#This Row],[Debit\]]-Table818[[#This Row],[Credit.]],""),"")</f>
        <v/>
      </c>
      <c r="AE8" s="34" t="str">
        <f>IFERROR(IF(AND(OR(Table818[[#This Row],[Classification]]="Income",Table818[[#This Row],[Classification]]="Cost of Goods Sold"),Table818[[#This Row],[Credit.]]&gt;Table818[[#This Row],[Debit\]]),Table818[[#This Row],[Credit.]]-Table818[[#This Row],[Debit\]],""),"")</f>
        <v/>
      </c>
      <c r="AF8" s="34"/>
      <c r="AG8" s="34">
        <f>IFERROR(IF(AND(Table818[[#This Row],[Classification]]="Assets",Table818[[#This Row],[Debit\]]-Table818[[#This Row],[Credit.]]),Table818[[#This Row],[Debit\]]-Table818[[#This Row],[Credit.]],""),"")</f>
        <v>5942181.0100000007</v>
      </c>
      <c r="AH8" s="34" t="str">
        <f>IFERROR(IF(AND(OR(Table818[[#This Row],[Classification]]="Liabilities",Table818[[#This Row],[Classification]]="Owner´s Equity"),Table818[[#This Row],[Credit.]]&gt;Table818[[#This Row],[Debit\]]),Table818[[#This Row],[Credit.]]-Table818[[#This Row],[Debit\]],""),"")</f>
        <v/>
      </c>
    </row>
    <row r="9" spans="2:40" x14ac:dyDescent="0.25">
      <c r="B9" s="34"/>
      <c r="C9" s="38" t="s">
        <v>63</v>
      </c>
      <c r="D9" s="34">
        <v>3977142.74</v>
      </c>
      <c r="E9" s="34"/>
      <c r="G9" s="39" t="s">
        <v>181</v>
      </c>
      <c r="H9" s="40" t="s">
        <v>171</v>
      </c>
      <c r="I9" s="41">
        <v>409278.51677448238</v>
      </c>
      <c r="J9" s="41"/>
      <c r="L9" s="34">
        <v>2</v>
      </c>
      <c r="M9" s="35" t="s">
        <v>139</v>
      </c>
      <c r="N9" s="35" t="s">
        <v>64</v>
      </c>
      <c r="O9" s="34">
        <f>IFERROR(SUMIF(Table415[,],Table617[[#This Row],[Accounts Name]],Table415[,3]),"")</f>
        <v>0</v>
      </c>
      <c r="P9" s="34">
        <f>IFERROR(SUMIF(Table415[,],Table617[[#This Row],[Accounts Name]],Table415[,2]),"")</f>
        <v>1699952.7</v>
      </c>
      <c r="S9" s="36">
        <f>S8+1</f>
        <v>2</v>
      </c>
      <c r="T9" s="34" t="s">
        <v>12</v>
      </c>
      <c r="U9" s="37" t="s">
        <v>139</v>
      </c>
      <c r="V9" s="34">
        <f>IFERROR(SUMIF(Table617[Sub-Accounts],Table818[[#This Row],[Update your chart of accounts here]],Table617[Debit]),"")</f>
        <v>0</v>
      </c>
      <c r="W9" s="34">
        <f>IFERROR(SUMIF(Table617[Sub-Accounts],Table818[[#This Row],[Update your chart of accounts here]],Table617[Credit]),"")</f>
        <v>3699952.7</v>
      </c>
      <c r="X9" s="34"/>
      <c r="Y9" s="34"/>
      <c r="Z9" s="34"/>
      <c r="AA9" s="34"/>
      <c r="AB9" s="34">
        <f>MAX(Table818[[#This Row],[Debit]]+Table818[[#This Row],[Debit -]]-Table818[[#This Row],[Credit]]-Table818[[#This Row],[Credit +]],0)</f>
        <v>0</v>
      </c>
      <c r="AC9" s="34">
        <f>MAX(Table818[[#This Row],[Credit]]-Table818[[#This Row],[Debit]]+Table818[[#This Row],[Credit +]]-Table818[[#This Row],[Debit -]],0)</f>
        <v>3699952.7</v>
      </c>
      <c r="AD9" s="34" t="str">
        <f>IFERROR(IF(AND(OR(Table818[[#This Row],[Classification]]="Expense",Table818[[#This Row],[Classification]]="Cost of Goods Sold"),Table818[[#This Row],[Debit\]]&gt;Table818[[#This Row],[Credit.]]),Table818[[#This Row],[Debit\]]-Table818[[#This Row],[Credit.]],""),"")</f>
        <v/>
      </c>
      <c r="AE9" s="34" t="str">
        <f>IFERROR(IF(AND(OR(Table818[[#This Row],[Classification]]="Income",Table818[[#This Row],[Classification]]="Cost of Goods Sold"),Table818[[#This Row],[Credit.]]&gt;Table818[[#This Row],[Debit\]]),Table818[[#This Row],[Credit.]]-Table818[[#This Row],[Debit\]],""),"")</f>
        <v/>
      </c>
      <c r="AF9" s="34"/>
      <c r="AG9" s="34" t="str">
        <f>IFERROR(IF(AND(Table818[[#This Row],[Classification]]="Assets",Table818[[#This Row],[Debit\]]-Table818[[#This Row],[Credit.]]),Table818[[#This Row],[Debit\]]-Table818[[#This Row],[Credit.]],""),"")</f>
        <v/>
      </c>
      <c r="AH9" s="34">
        <f>IFERROR(IF(AND(OR(Table818[[#This Row],[Classification]]="Liabilities",Table818[[#This Row],[Classification]]="Owner´s Equity"),Table818[[#This Row],[Credit.]]&gt;Table818[[#This Row],[Debit\]]),Table818[[#This Row],[Credit.]]-Table818[[#This Row],[Debit\]],""),"")</f>
        <v>3699952.7</v>
      </c>
    </row>
    <row r="10" spans="2:40" ht="15" customHeight="1" x14ac:dyDescent="0.25">
      <c r="B10" s="34"/>
      <c r="C10" s="38" t="s">
        <v>64</v>
      </c>
      <c r="D10" s="34"/>
      <c r="E10" s="34">
        <v>1699952.7</v>
      </c>
      <c r="G10" s="39"/>
      <c r="H10" s="40" t="s">
        <v>143</v>
      </c>
      <c r="I10" s="41"/>
      <c r="J10" s="41">
        <f>I9</f>
        <v>409278.51677448238</v>
      </c>
      <c r="L10" s="34">
        <v>3</v>
      </c>
      <c r="M10" s="35" t="s">
        <v>139</v>
      </c>
      <c r="N10" s="35" t="s">
        <v>65</v>
      </c>
      <c r="O10" s="34">
        <f>IFERROR(SUMIF(Table415[,],Table617[[#This Row],[Accounts Name]],Table415[,3]),"")</f>
        <v>0</v>
      </c>
      <c r="P10" s="34">
        <f>IFERROR(SUMIF(Table415[,],Table617[[#This Row],[Accounts Name]],Table415[,2]),"")</f>
        <v>2000000</v>
      </c>
      <c r="S10" s="36">
        <f t="shared" ref="S10:S73" si="0">S9+1</f>
        <v>3</v>
      </c>
      <c r="T10" s="34" t="s">
        <v>11</v>
      </c>
      <c r="U10" s="37" t="s">
        <v>172</v>
      </c>
      <c r="V10" s="34">
        <f>IFERROR(SUMIF(Table617[Sub-Accounts],Table818[[#This Row],[Update your chart of accounts here]],Table617[Debit]),"")</f>
        <v>4355552.28</v>
      </c>
      <c r="W10" s="34">
        <f>IFERROR(SUMIF(Table617[Sub-Accounts],Table818[[#This Row],[Update your chart of accounts here]],Table617[Credit]),"")</f>
        <v>2517904</v>
      </c>
      <c r="X10" s="34"/>
      <c r="Y10" s="34" t="s">
        <v>224</v>
      </c>
      <c r="Z10" s="34">
        <f>I12</f>
        <v>251563</v>
      </c>
      <c r="AA10" s="34">
        <f>Table516[[#This Row],[,2]]</f>
        <v>409278.51677448238</v>
      </c>
      <c r="AB10" s="34">
        <f>MAX(Table818[[#This Row],[Debit]]+Table818[[#This Row],[Debit -]]-Table818[[#This Row],[Credit]]-Table818[[#This Row],[Credit +]],0)</f>
        <v>1679932.7632255179</v>
      </c>
      <c r="AC10" s="34">
        <f>MAX(Table818[[#This Row],[Credit]]-Table818[[#This Row],[Debit]]+Table818[[#This Row],[Credit +]]-Table818[[#This Row],[Debit -]],0)</f>
        <v>0</v>
      </c>
      <c r="AD10" s="34" t="str">
        <f>IFERROR(IF(AND(OR(Table818[[#This Row],[Classification]]="Expense",Table818[[#This Row],[Classification]]="Cost of Goods Sold"),Table818[[#This Row],[Debit\]]&gt;Table818[[#This Row],[Credit.]]),Table818[[#This Row],[Debit\]]-Table818[[#This Row],[Credit.]],""),"")</f>
        <v/>
      </c>
      <c r="AE10" s="34" t="str">
        <f>IFERROR(IF(AND(OR(Table818[[#This Row],[Classification]]="Income",Table818[[#This Row],[Classification]]="Cost of Goods Sold"),Table818[[#This Row],[Credit.]]&gt;Table818[[#This Row],[Debit\]]),Table818[[#This Row],[Credit.]]-Table818[[#This Row],[Debit\]],""),"")</f>
        <v/>
      </c>
      <c r="AF10" s="34"/>
      <c r="AG10" s="34">
        <f>IFERROR(IF(AND(Table818[[#This Row],[Classification]]="Assets",Table818[[#This Row],[Debit\]]-Table818[[#This Row],[Credit.]]),Table818[[#This Row],[Debit\]]-Table818[[#This Row],[Credit.]],""),"")</f>
        <v>1679932.7632255179</v>
      </c>
      <c r="AH10" s="34" t="str">
        <f>IFERROR(IF(AND(OR(Table818[[#This Row],[Classification]]="Liabilities",Table818[[#This Row],[Classification]]="Owner´s Equity"),Table818[[#This Row],[Credit.]]&gt;Table818[[#This Row],[Debit\]]),Table818[[#This Row],[Credit.]]-Table818[[#This Row],[Debit\]],""),"")</f>
        <v/>
      </c>
    </row>
    <row r="11" spans="2:40" x14ac:dyDescent="0.25">
      <c r="B11" s="34"/>
      <c r="C11" s="42" t="s">
        <v>65</v>
      </c>
      <c r="D11" s="34"/>
      <c r="E11" s="34">
        <v>2000000</v>
      </c>
      <c r="G11" s="39"/>
      <c r="H11" s="43" t="s">
        <v>180</v>
      </c>
      <c r="I11" s="41"/>
      <c r="J11" s="41"/>
      <c r="L11" s="34">
        <v>4</v>
      </c>
      <c r="M11" s="35" t="s">
        <v>138</v>
      </c>
      <c r="N11" s="35" t="s">
        <v>66</v>
      </c>
      <c r="O11" s="34">
        <f>IFERROR(SUMIF(Table415[,],Table617[[#This Row],[Accounts Name]],Table415[,3]),"")</f>
        <v>219779.97</v>
      </c>
      <c r="P11" s="34">
        <f>IFERROR(SUMIF(Table415[,],Table617[[#This Row],[Accounts Name]],Table415[,2]),"")</f>
        <v>0</v>
      </c>
      <c r="S11" s="36">
        <f t="shared" si="0"/>
        <v>4</v>
      </c>
      <c r="T11" s="34" t="s">
        <v>11</v>
      </c>
      <c r="U11" s="37" t="s">
        <v>140</v>
      </c>
      <c r="V11" s="34">
        <f>IFERROR(SUMIF(Table617[Sub-Accounts],Table818[[#This Row],[Update your chart of accounts here]],Table617[Debit]),"")</f>
        <v>21108825.949999999</v>
      </c>
      <c r="W11" s="34">
        <f>IFERROR(SUMIF(Table617[Sub-Accounts],Table818[[#This Row],[Update your chart of accounts here]],Table617[Credit]),"")</f>
        <v>0</v>
      </c>
      <c r="X11" s="34"/>
      <c r="Y11" s="34" t="s">
        <v>231</v>
      </c>
      <c r="Z11" s="34"/>
      <c r="AA11" s="34">
        <f>J31</f>
        <v>2551250</v>
      </c>
      <c r="AB11" s="34">
        <f>MAX(Table818[[#This Row],[Debit]]+Table818[[#This Row],[Debit -]]-Table818[[#This Row],[Credit]]-Table818[[#This Row],[Credit +]],0)</f>
        <v>18557575.949999999</v>
      </c>
      <c r="AC11" s="34">
        <f>MAX(Table818[[#This Row],[Credit]]-Table818[[#This Row],[Debit]]+Table818[[#This Row],[Credit +]]-Table818[[#This Row],[Debit -]],0)</f>
        <v>0</v>
      </c>
      <c r="AD11" s="34" t="str">
        <f>IFERROR(IF(AND(OR(Table818[[#This Row],[Classification]]="Expense",Table818[[#This Row],[Classification]]="Cost of Goods Sold"),Table818[[#This Row],[Debit\]]&gt;Table818[[#This Row],[Credit.]]),Table818[[#This Row],[Debit\]]-Table818[[#This Row],[Credit.]],""),"")</f>
        <v/>
      </c>
      <c r="AE11" s="34" t="str">
        <f>IFERROR(IF(AND(OR(Table818[[#This Row],[Classification]]="Income",Table818[[#This Row],[Classification]]="Cost of Goods Sold"),Table818[[#This Row],[Credit.]]&gt;Table818[[#This Row],[Debit\]]),Table818[[#This Row],[Credit.]]-Table818[[#This Row],[Debit\]],""),"")</f>
        <v/>
      </c>
      <c r="AF11" s="34"/>
      <c r="AG11" s="34">
        <f>IFERROR(IF(AND(Table818[[#This Row],[Classification]]="Assets",Table818[[#This Row],[Debit\]]-Table818[[#This Row],[Credit.]]),Table818[[#This Row],[Debit\]]-Table818[[#This Row],[Credit.]],""),"")</f>
        <v>18557575.949999999</v>
      </c>
      <c r="AH11" s="34" t="str">
        <f>IFERROR(IF(AND(OR(Table818[[#This Row],[Classification]]="Liabilities",Table818[[#This Row],[Classification]]="Owner´s Equity"),Table818[[#This Row],[Credit.]]&gt;Table818[[#This Row],[Debit\]]),Table818[[#This Row],[Credit.]]-Table818[[#This Row],[Debit\]],""),"")</f>
        <v/>
      </c>
    </row>
    <row r="12" spans="2:40" ht="15" customHeight="1" x14ac:dyDescent="0.25">
      <c r="B12" s="34"/>
      <c r="C12" s="38" t="s">
        <v>66</v>
      </c>
      <c r="D12" s="34">
        <v>219779.97</v>
      </c>
      <c r="E12" s="34"/>
      <c r="G12" s="39" t="s">
        <v>182</v>
      </c>
      <c r="H12" s="40" t="s">
        <v>143</v>
      </c>
      <c r="I12" s="41">
        <v>251563</v>
      </c>
      <c r="J12" s="41"/>
      <c r="L12" s="34">
        <v>5</v>
      </c>
      <c r="M12" s="35" t="s">
        <v>138</v>
      </c>
      <c r="N12" s="35" t="s">
        <v>67</v>
      </c>
      <c r="O12" s="34">
        <f>IFERROR(SUMIF(Table415[,],Table617[[#This Row],[Accounts Name]],Table415[,3]),"")</f>
        <v>1054457.3500000001</v>
      </c>
      <c r="P12" s="34">
        <f>IFERROR(SUMIF(Table415[,],Table617[[#This Row],[Accounts Name]],Table415[,2]),"")</f>
        <v>0</v>
      </c>
      <c r="S12" s="36">
        <f t="shared" si="0"/>
        <v>5</v>
      </c>
      <c r="T12" s="34" t="s">
        <v>61</v>
      </c>
      <c r="U12" s="37" t="s">
        <v>207</v>
      </c>
      <c r="V12" s="34">
        <f>IFERROR(SUMIF(Table617[Sub-Accounts],Table818[[#This Row],[Update your chart of accounts here]],Table617[Debit]),"")</f>
        <v>0</v>
      </c>
      <c r="W12" s="34">
        <f>IFERROR(SUMIF(Table617[Sub-Accounts],Table818[[#This Row],[Update your chart of accounts here]],Table617[Credit]),"")</f>
        <v>0</v>
      </c>
      <c r="X12" s="34"/>
      <c r="Y12" s="34"/>
      <c r="Z12" s="34">
        <f>AN7</f>
        <v>8341041.1232255697</v>
      </c>
      <c r="AA12" s="34">
        <f>AU6</f>
        <v>0</v>
      </c>
      <c r="AB12" s="34">
        <f>MAX(Table818[[#This Row],[Debit]]+Table818[[#This Row],[Debit -]]-Table818[[#This Row],[Credit]]-Table818[[#This Row],[Credit +]],0)</f>
        <v>8341041.1232255697</v>
      </c>
      <c r="AC12" s="34">
        <f>MAX(Table818[[#This Row],[Credit]]-Table818[[#This Row],[Debit]]+Table818[[#This Row],[Credit +]]-Table818[[#This Row],[Debit -]],0)</f>
        <v>0</v>
      </c>
      <c r="AD12" s="34">
        <f>IFERROR(IF(AND(OR(Table818[[#This Row],[Classification]]="Expense",Table818[[#This Row],[Classification]]="Cost of Goods Sold"),Table818[[#This Row],[Debit\]]&gt;Table818[[#This Row],[Credit.]]),Table818[[#This Row],[Debit\]]-Table818[[#This Row],[Credit.]],""),"")</f>
        <v>8341041.1232255697</v>
      </c>
      <c r="AE12" s="34" t="str">
        <f>IFERROR(IF(AND(OR(Table818[[#This Row],[Classification]]="Income",Table818[[#This Row],[Classification]]="Cost of Goods Sold"),Table818[[#This Row],[Credit.]]&gt;Table818[[#This Row],[Debit\]]),Table818[[#This Row],[Credit.]]-Table818[[#This Row],[Debit\]],""),"")</f>
        <v/>
      </c>
      <c r="AF12" s="34"/>
      <c r="AG12" s="34" t="str">
        <f>IFERROR(IF(AND(Table818[[#This Row],[Classification]]="Assets",Table818[[#This Row],[Debit\]]-Table818[[#This Row],[Credit.]]),Table818[[#This Row],[Debit\]]-Table818[[#This Row],[Credit.]],""),"")</f>
        <v/>
      </c>
      <c r="AH12" s="34" t="str">
        <f>IFERROR(IF(AND(OR(Table818[[#This Row],[Classification]]="Liabilities",Table818[[#This Row],[Classification]]="Owner´s Equity"),Table818[[#This Row],[Credit.]]&gt;Table818[[#This Row],[Debit\]]),Table818[[#This Row],[Credit.]]-Table818[[#This Row],[Debit\]],""),"")</f>
        <v/>
      </c>
    </row>
    <row r="13" spans="2:40" x14ac:dyDescent="0.25">
      <c r="B13" s="34"/>
      <c r="C13" s="38" t="s">
        <v>67</v>
      </c>
      <c r="D13" s="34">
        <v>1054457.3500000001</v>
      </c>
      <c r="E13" s="34"/>
      <c r="G13" s="39"/>
      <c r="H13" s="40" t="s">
        <v>173</v>
      </c>
      <c r="I13" s="41"/>
      <c r="J13" s="41">
        <v>251563</v>
      </c>
      <c r="L13" s="34">
        <v>6</v>
      </c>
      <c r="M13" s="35" t="s">
        <v>138</v>
      </c>
      <c r="N13" s="35" t="s">
        <v>68</v>
      </c>
      <c r="O13" s="34">
        <f>IFERROR(SUMIF(Table415[,],Table617[[#This Row],[Accounts Name]],Table415[,3]),"")</f>
        <v>230653</v>
      </c>
      <c r="P13" s="34">
        <f>IFERROR(SUMIF(Table415[,],Table617[[#This Row],[Accounts Name]],Table415[,2]),"")</f>
        <v>0</v>
      </c>
      <c r="S13" s="36">
        <f t="shared" si="0"/>
        <v>6</v>
      </c>
      <c r="T13" s="34" t="s">
        <v>6</v>
      </c>
      <c r="U13" s="37" t="s">
        <v>142</v>
      </c>
      <c r="V13" s="34">
        <f>IFERROR(SUMIF(Table617[Sub-Accounts],Table818[[#This Row],[Update your chart of accounts here]],Table617[Debit]),"")</f>
        <v>3296400</v>
      </c>
      <c r="W13" s="34">
        <f>IFERROR(SUMIF(Table617[Sub-Accounts],Table818[[#This Row],[Update your chart of accounts here]],Table617[Credit]),"")</f>
        <v>0</v>
      </c>
      <c r="X13" s="34"/>
      <c r="Y13" s="34" t="s">
        <v>227</v>
      </c>
      <c r="Z13" s="65"/>
      <c r="AA13" s="34"/>
      <c r="AB13" s="34">
        <f>MAX(Table818[[#This Row],[Debit]]+Table818[[#This Row],[Debit -]]-Table818[[#This Row],[Credit]]-Table818[[#This Row],[Credit +]],0)</f>
        <v>3296400</v>
      </c>
      <c r="AC13" s="34">
        <f>MAX(Table818[[#This Row],[Credit]]-Table818[[#This Row],[Debit]]+Table818[[#This Row],[Credit +]]-Table818[[#This Row],[Debit -]],0)</f>
        <v>0</v>
      </c>
      <c r="AD13" s="34">
        <f>IFERROR(IF(AND(OR(Table818[[#This Row],[Classification]]="Expense",Table818[[#This Row],[Classification]]="Cost of Goods Sold"),Table818[[#This Row],[Debit\]]&gt;Table818[[#This Row],[Credit.]]),Table818[[#This Row],[Debit\]]-Table818[[#This Row],[Credit.]],""),"")</f>
        <v>3296400</v>
      </c>
      <c r="AE13" s="34" t="str">
        <f>IFERROR(IF(AND(OR(Table818[[#This Row],[Classification]]="Income",Table818[[#This Row],[Classification]]="Cost of Goods Sold"),Table818[[#This Row],[Credit.]]&gt;Table818[[#This Row],[Debit\]]),Table818[[#This Row],[Credit.]]-Table818[[#This Row],[Debit\]],""),"")</f>
        <v/>
      </c>
      <c r="AF13" s="34"/>
      <c r="AG13" s="34" t="str">
        <f>IFERROR(IF(AND(Table818[[#This Row],[Classification]]="Assets",Table818[[#This Row],[Debit\]]-Table818[[#This Row],[Credit.]]),Table818[[#This Row],[Debit\]]-Table818[[#This Row],[Credit.]],""),"")</f>
        <v/>
      </c>
      <c r="AH13" s="34" t="str">
        <f>IFERROR(IF(AND(OR(Table818[[#This Row],[Classification]]="Liabilities",Table818[[#This Row],[Classification]]="Owner´s Equity"),Table818[[#This Row],[Credit.]]&gt;Table818[[#This Row],[Debit\]]),Table818[[#This Row],[Credit.]]-Table818[[#This Row],[Debit\]],""),"")</f>
        <v/>
      </c>
    </row>
    <row r="14" spans="2:40" x14ac:dyDescent="0.25">
      <c r="B14" s="34"/>
      <c r="C14" s="38" t="s">
        <v>68</v>
      </c>
      <c r="D14" s="34">
        <v>230653</v>
      </c>
      <c r="E14" s="34"/>
      <c r="G14" s="39"/>
      <c r="H14" s="43" t="s">
        <v>184</v>
      </c>
      <c r="I14" s="41"/>
      <c r="J14" s="41"/>
      <c r="L14" s="34">
        <v>7</v>
      </c>
      <c r="M14" s="35" t="s">
        <v>138</v>
      </c>
      <c r="N14" s="35" t="s">
        <v>69</v>
      </c>
      <c r="O14" s="34">
        <f>IFERROR(SUMIF(Table415[,],Table617[[#This Row],[Accounts Name]],Table415[,3]),"")</f>
        <v>460168.95</v>
      </c>
      <c r="P14" s="34">
        <f>IFERROR(SUMIF(Table415[,],Table617[[#This Row],[Accounts Name]],Table415[,2]),"")</f>
        <v>0</v>
      </c>
      <c r="S14" s="36">
        <f t="shared" si="0"/>
        <v>7</v>
      </c>
      <c r="T14" s="34" t="s">
        <v>12</v>
      </c>
      <c r="U14" s="37" t="s">
        <v>141</v>
      </c>
      <c r="V14" s="34">
        <f>IFERROR(SUMIF(Table617[Sub-Accounts],Table818[[#This Row],[Update your chart of accounts here]],Table617[Debit]),"")</f>
        <v>0</v>
      </c>
      <c r="W14" s="34">
        <f>IFERROR(SUMIF(Table617[Sub-Accounts],Table818[[#This Row],[Update your chart of accounts here]],Table617[Credit]),"")</f>
        <v>15517383.640000001</v>
      </c>
      <c r="X14" s="34"/>
      <c r="Y14" s="34" t="s">
        <v>233</v>
      </c>
      <c r="Z14" s="34">
        <f>I18</f>
        <v>50000</v>
      </c>
      <c r="AA14" s="34">
        <f>J22</f>
        <v>115200</v>
      </c>
      <c r="AB14" s="34">
        <f>MAX(Table818[[#This Row],[Debit]]+Table818[[#This Row],[Debit -]]-Table818[[#This Row],[Credit]]-Table818[[#This Row],[Credit +]],0)</f>
        <v>0</v>
      </c>
      <c r="AC14" s="34">
        <f>MAX(Table818[[#This Row],[Credit]]-Table818[[#This Row],[Debit]]+Table818[[#This Row],[Credit +]]-Table818[[#This Row],[Debit -]],0)</f>
        <v>15582583.640000001</v>
      </c>
      <c r="AD14" s="34" t="str">
        <f>IFERROR(IF(AND(OR(Table818[[#This Row],[Classification]]="Expense",Table818[[#This Row],[Classification]]="Cost of Goods Sold"),Table818[[#This Row],[Debit\]]&gt;Table818[[#This Row],[Credit.]]),Table818[[#This Row],[Debit\]]-Table818[[#This Row],[Credit.]],""),"")</f>
        <v/>
      </c>
      <c r="AE14" s="34" t="str">
        <f>IFERROR(IF(AND(OR(Table818[[#This Row],[Classification]]="Income",Table818[[#This Row],[Classification]]="Cost of Goods Sold"),Table818[[#This Row],[Credit.]]&gt;Table818[[#This Row],[Debit\]]),Table818[[#This Row],[Credit.]]-Table818[[#This Row],[Debit\]],""),"")</f>
        <v/>
      </c>
      <c r="AF14" s="34"/>
      <c r="AG14" s="34" t="str">
        <f>IFERROR(IF(AND(Table818[[#This Row],[Classification]]="Assets",Table818[[#This Row],[Debit\]]-Table818[[#This Row],[Credit.]]),Table818[[#This Row],[Debit\]]-Table818[[#This Row],[Credit.]],""),"")</f>
        <v/>
      </c>
      <c r="AH14" s="34">
        <f>IFERROR(IF(AND(OR(Table818[[#This Row],[Classification]]="Liabilities",Table818[[#This Row],[Classification]]="Owner´s Equity"),Table818[[#This Row],[Credit.]]&gt;Table818[[#This Row],[Debit\]]),Table818[[#This Row],[Credit.]]-Table818[[#This Row],[Debit\]],""),"")</f>
        <v>15582583.640000001</v>
      </c>
    </row>
    <row r="15" spans="2:40" x14ac:dyDescent="0.25">
      <c r="B15" s="34"/>
      <c r="C15" s="37" t="s">
        <v>69</v>
      </c>
      <c r="D15" s="34">
        <v>460168.95</v>
      </c>
      <c r="E15" s="34"/>
      <c r="G15" s="39" t="s">
        <v>191</v>
      </c>
      <c r="H15" s="40" t="s">
        <v>174</v>
      </c>
      <c r="I15" s="41"/>
      <c r="J15" s="41">
        <v>1000000</v>
      </c>
      <c r="L15" s="34">
        <v>8</v>
      </c>
      <c r="M15" s="35" t="s">
        <v>140</v>
      </c>
      <c r="N15" s="35" t="s">
        <v>70</v>
      </c>
      <c r="O15" s="34">
        <f>IFERROR(SUMIF(Table415[,],Table617[[#This Row],[Accounts Name]],Table415[,3]),"")</f>
        <v>17870623.949999999</v>
      </c>
      <c r="P15" s="34">
        <f>IFERROR(SUMIF(Table415[,],Table617[[#This Row],[Accounts Name]],Table415[,2]),"")</f>
        <v>0</v>
      </c>
      <c r="S15" s="36">
        <f t="shared" si="0"/>
        <v>8</v>
      </c>
      <c r="T15" s="34"/>
      <c r="U15" s="37" t="s">
        <v>208</v>
      </c>
      <c r="V15" s="34">
        <f>IFERROR(SUMIF(Table617[Sub-Accounts],Table818[[#This Row],[Update your chart of accounts here]],Table617[Debit]),"")</f>
        <v>0</v>
      </c>
      <c r="W15" s="34">
        <f>IFERROR(SUMIF(Table617[Sub-Accounts],Table818[[#This Row],[Update your chart of accounts here]],Table617[Credit]),"")</f>
        <v>0</v>
      </c>
      <c r="X15" s="34"/>
      <c r="Y15" s="34"/>
      <c r="Z15" s="34"/>
      <c r="AA15" s="34"/>
      <c r="AB15" s="34">
        <f>MAX(Table818[[#This Row],[Debit]]+Table818[[#This Row],[Debit -]]-Table818[[#This Row],[Credit]]-Table818[[#This Row],[Credit +]],0)</f>
        <v>0</v>
      </c>
      <c r="AC15" s="34">
        <f>MAX(Table818[[#This Row],[Credit]]-Table818[[#This Row],[Debit]]+Table818[[#This Row],[Credit +]]-Table818[[#This Row],[Debit -]],0)</f>
        <v>0</v>
      </c>
      <c r="AD15" s="34" t="str">
        <f>IFERROR(IF(AND(OR(Table818[[#This Row],[Classification]]="Expense",Table818[[#This Row],[Classification]]="Cost of Goods Sold"),Table818[[#This Row],[Debit\]]&gt;Table818[[#This Row],[Credit.]]),Table818[[#This Row],[Debit\]]-Table818[[#This Row],[Credit.]],""),"")</f>
        <v/>
      </c>
      <c r="AE15" s="34" t="str">
        <f>IFERROR(IF(AND(OR(Table818[[#This Row],[Classification]]="Income",Table818[[#This Row],[Classification]]="Cost of Goods Sold"),Table818[[#This Row],[Credit.]]&gt;Table818[[#This Row],[Debit\]]),Table818[[#This Row],[Credit.]]-Table818[[#This Row],[Debit\]],""),"")</f>
        <v/>
      </c>
      <c r="AF15" s="34"/>
      <c r="AG15" s="34" t="str">
        <f>IFERROR(IF(AND(Table818[[#This Row],[Classification]]="Assets",Table818[[#This Row],[Debit\]]-Table818[[#This Row],[Credit.]]),Table818[[#This Row],[Debit\]]-Table818[[#This Row],[Credit.]],""),"")</f>
        <v/>
      </c>
      <c r="AH15" s="34" t="str">
        <f>IFERROR(IF(AND(OR(Table818[[#This Row],[Classification]]="Liabilities",Table818[[#This Row],[Classification]]="Owner´s Equity"),Table818[[#This Row],[Credit.]]&gt;Table818[[#This Row],[Debit\]]),Table818[[#This Row],[Credit.]]-Table818[[#This Row],[Debit\]],""),"")</f>
        <v/>
      </c>
    </row>
    <row r="16" spans="2:40" x14ac:dyDescent="0.25">
      <c r="B16" s="34"/>
      <c r="C16" s="37" t="s">
        <v>70</v>
      </c>
      <c r="D16" s="34">
        <v>17870623.949999999</v>
      </c>
      <c r="E16" s="34"/>
      <c r="G16" s="39"/>
      <c r="H16" s="40" t="s">
        <v>145</v>
      </c>
      <c r="I16" s="41">
        <v>1000000</v>
      </c>
      <c r="J16" s="41"/>
      <c r="L16" s="34">
        <v>9</v>
      </c>
      <c r="M16" s="35" t="s">
        <v>141</v>
      </c>
      <c r="N16" s="35" t="s">
        <v>71</v>
      </c>
      <c r="O16" s="34">
        <f>IFERROR(SUMIF(Table415[,],Table617[[#This Row],[Accounts Name]],Table415[,3]),"")</f>
        <v>0</v>
      </c>
      <c r="P16" s="34">
        <f>IFERROR(SUMIF(Table415[,],Table617[[#This Row],[Accounts Name]],Table415[,2]),"")</f>
        <v>8925200</v>
      </c>
      <c r="S16" s="36">
        <f t="shared" si="0"/>
        <v>9</v>
      </c>
      <c r="T16" s="34"/>
      <c r="U16" s="37" t="s">
        <v>209</v>
      </c>
      <c r="V16" s="34">
        <f>IFERROR(SUMIF(Table617[Sub-Accounts],Table818[[#This Row],[Update your chart of accounts here]],Table617[Debit]),"")</f>
        <v>0</v>
      </c>
      <c r="W16" s="34">
        <f>IFERROR(SUMIF(Table617[Sub-Accounts],Table818[[#This Row],[Update your chart of accounts here]],Table617[Credit]),"")</f>
        <v>0</v>
      </c>
      <c r="X16" s="34"/>
      <c r="Y16" s="34"/>
      <c r="Z16" s="34"/>
      <c r="AA16" s="34"/>
      <c r="AB16" s="34">
        <f>MAX(Table818[[#This Row],[Debit]]+Table818[[#This Row],[Debit -]]-Table818[[#This Row],[Credit]]-Table818[[#This Row],[Credit +]],0)</f>
        <v>0</v>
      </c>
      <c r="AC16" s="34">
        <f>MAX(Table818[[#This Row],[Credit]]-Table818[[#This Row],[Debit]]+Table818[[#This Row],[Credit +]]-Table818[[#This Row],[Debit -]],0)</f>
        <v>0</v>
      </c>
      <c r="AD16" s="34" t="str">
        <f>IFERROR(IF(AND(OR(Table818[[#This Row],[Classification]]="Expense",Table818[[#This Row],[Classification]]="Cost of Goods Sold"),Table818[[#This Row],[Debit\]]&gt;Table818[[#This Row],[Credit.]]),Table818[[#This Row],[Debit\]]-Table818[[#This Row],[Credit.]],""),"")</f>
        <v/>
      </c>
      <c r="AE16" s="34" t="str">
        <f>IFERROR(IF(AND(OR(Table818[[#This Row],[Classification]]="Income",Table818[[#This Row],[Classification]]="Cost of Goods Sold"),Table818[[#This Row],[Credit.]]&gt;Table818[[#This Row],[Debit\]]),Table818[[#This Row],[Credit.]]-Table818[[#This Row],[Debit\]],""),"")</f>
        <v/>
      </c>
      <c r="AF16" s="34"/>
      <c r="AG16" s="34" t="str">
        <f>IFERROR(IF(AND(Table818[[#This Row],[Classification]]="Assets",Table818[[#This Row],[Debit\]]-Table818[[#This Row],[Credit.]]),Table818[[#This Row],[Debit\]]-Table818[[#This Row],[Credit.]],""),"")</f>
        <v/>
      </c>
      <c r="AH16" s="34" t="str">
        <f>IFERROR(IF(AND(OR(Table818[[#This Row],[Classification]]="Liabilities",Table818[[#This Row],[Classification]]="Owner´s Equity"),Table818[[#This Row],[Credit.]]&gt;Table818[[#This Row],[Debit\]]),Table818[[#This Row],[Credit.]]-Table818[[#This Row],[Debit\]],""),"")</f>
        <v/>
      </c>
    </row>
    <row r="17" spans="2:34" x14ac:dyDescent="0.25">
      <c r="B17" s="34"/>
      <c r="C17" s="37" t="s">
        <v>71</v>
      </c>
      <c r="D17" s="34"/>
      <c r="E17" s="34">
        <v>8925200</v>
      </c>
      <c r="G17" s="39"/>
      <c r="H17" s="43" t="s">
        <v>185</v>
      </c>
      <c r="I17" s="41"/>
      <c r="J17" s="41"/>
      <c r="L17" s="34">
        <v>10</v>
      </c>
      <c r="M17" s="35" t="s">
        <v>142</v>
      </c>
      <c r="N17" s="35" t="s">
        <v>72</v>
      </c>
      <c r="O17" s="34">
        <f>IFERROR(SUMIF(Table415[,],Table617[[#This Row],[Accounts Name]],Table415[,3]),"")</f>
        <v>3296400</v>
      </c>
      <c r="P17" s="34">
        <f>IFERROR(SUMIF(Table415[,],Table617[[#This Row],[Accounts Name]],Table415[,2]),"")</f>
        <v>0</v>
      </c>
      <c r="S17" s="36">
        <f t="shared" si="0"/>
        <v>10</v>
      </c>
      <c r="T17" s="34" t="s">
        <v>48</v>
      </c>
      <c r="U17" s="37" t="s">
        <v>146</v>
      </c>
      <c r="V17" s="34">
        <f>IFERROR(SUMIF(Table617[Sub-Accounts],Table818[[#This Row],[Update your chart of accounts here]],Table617[Debit]),"")</f>
        <v>0</v>
      </c>
      <c r="W17" s="34">
        <f>IFERROR(SUMIF(Table617[Sub-Accounts],Table818[[#This Row],[Update your chart of accounts here]],Table617[Credit]),"")</f>
        <v>400</v>
      </c>
      <c r="X17" s="34"/>
      <c r="Y17" s="34"/>
      <c r="Z17" s="34"/>
      <c r="AA17" s="34"/>
      <c r="AB17" s="34">
        <f>MAX(Table818[[#This Row],[Debit]]+Table818[[#This Row],[Debit -]]-Table818[[#This Row],[Credit]]-Table818[[#This Row],[Credit +]],0)</f>
        <v>0</v>
      </c>
      <c r="AC17" s="34">
        <f>MAX(Table818[[#This Row],[Credit]]-Table818[[#This Row],[Debit]]+Table818[[#This Row],[Credit +]]-Table818[[#This Row],[Debit -]],0)</f>
        <v>400</v>
      </c>
      <c r="AD17" s="34" t="str">
        <f>IFERROR(IF(AND(OR(Table818[[#This Row],[Classification]]="Expense",Table818[[#This Row],[Classification]]="Cost of Goods Sold"),Table818[[#This Row],[Debit\]]&gt;Table818[[#This Row],[Credit.]]),Table818[[#This Row],[Debit\]]-Table818[[#This Row],[Credit.]],""),"")</f>
        <v/>
      </c>
      <c r="AE17" s="34" t="str">
        <f>IFERROR(IF(AND(OR(Table818[[#This Row],[Classification]]="Income",Table818[[#This Row],[Classification]]="Cost of Goods Sold"),Table818[[#This Row],[Credit.]]&gt;Table818[[#This Row],[Debit\]]),Table818[[#This Row],[Credit.]]-Table818[[#This Row],[Debit\]],""),"")</f>
        <v/>
      </c>
      <c r="AF17" s="34"/>
      <c r="AG17" s="34" t="str">
        <f>IFERROR(IF(AND(Table818[[#This Row],[Classification]]="Assets",Table818[[#This Row],[Debit\]]-Table818[[#This Row],[Credit.]]),Table818[[#This Row],[Debit\]]-Table818[[#This Row],[Credit.]],""),"")</f>
        <v/>
      </c>
      <c r="AH17" s="34">
        <f>IFERROR(IF(AND(OR(Table818[[#This Row],[Classification]]="Liabilities",Table818[[#This Row],[Classification]]="Owner´s Equity"),Table818[[#This Row],[Credit.]]&gt;Table818[[#This Row],[Debit\]]),Table818[[#This Row],[Credit.]]-Table818[[#This Row],[Debit\]],""),"")</f>
        <v>400</v>
      </c>
    </row>
    <row r="18" spans="2:34" x14ac:dyDescent="0.25">
      <c r="B18" s="34"/>
      <c r="C18" s="37" t="s">
        <v>72</v>
      </c>
      <c r="D18" s="34">
        <v>3296400</v>
      </c>
      <c r="E18" s="34"/>
      <c r="G18" s="39" t="s">
        <v>192</v>
      </c>
      <c r="H18" s="40" t="s">
        <v>186</v>
      </c>
      <c r="I18" s="41">
        <v>50000</v>
      </c>
      <c r="J18" s="41"/>
      <c r="L18" s="34">
        <v>11</v>
      </c>
      <c r="M18" s="35" t="s">
        <v>140</v>
      </c>
      <c r="N18" s="35" t="s">
        <v>73</v>
      </c>
      <c r="O18" s="34">
        <f>IFERROR(SUMIF(Table415[,],Table617[[#This Row],[Accounts Name]],Table415[,3]),"")</f>
        <v>165000</v>
      </c>
      <c r="P18" s="34">
        <f>IFERROR(SUMIF(Table415[,],Table617[[#This Row],[Accounts Name]],Table415[,2]),"")</f>
        <v>0</v>
      </c>
      <c r="S18" s="36">
        <f t="shared" si="0"/>
        <v>11</v>
      </c>
      <c r="T18" s="34"/>
      <c r="U18" s="37" t="s">
        <v>210</v>
      </c>
      <c r="V18" s="34">
        <f>IFERROR(SUMIF(Table617[Sub-Accounts],Table818[[#This Row],[Update your chart of accounts here]],Table617[Debit]),"")</f>
        <v>0</v>
      </c>
      <c r="W18" s="34">
        <f>IFERROR(SUMIF(Table617[Sub-Accounts],Table818[[#This Row],[Update your chart of accounts here]],Table617[Credit]),"")</f>
        <v>0</v>
      </c>
      <c r="X18" s="34"/>
      <c r="Y18" s="34"/>
      <c r="Z18" s="34"/>
      <c r="AA18" s="34"/>
      <c r="AB18" s="34">
        <f>MAX(Table818[[#This Row],[Debit]]+Table818[[#This Row],[Debit -]]-Table818[[#This Row],[Credit]]-Table818[[#This Row],[Credit +]],0)</f>
        <v>0</v>
      </c>
      <c r="AC18" s="34">
        <f>MAX(Table818[[#This Row],[Credit]]-Table818[[#This Row],[Debit]]+Table818[[#This Row],[Credit +]]-Table818[[#This Row],[Debit -]],0)</f>
        <v>0</v>
      </c>
      <c r="AD18" s="34" t="str">
        <f>IFERROR(IF(AND(OR(Table818[[#This Row],[Classification]]="Expense",Table818[[#This Row],[Classification]]="Cost of Goods Sold"),Table818[[#This Row],[Debit\]]&gt;Table818[[#This Row],[Credit.]]),Table818[[#This Row],[Debit\]]-Table818[[#This Row],[Credit.]],""),"")</f>
        <v/>
      </c>
      <c r="AE18" s="34" t="str">
        <f>IFERROR(IF(AND(OR(Table818[[#This Row],[Classification]]="Income",Table818[[#This Row],[Classification]]="Cost of Goods Sold"),Table818[[#This Row],[Credit.]]&gt;Table818[[#This Row],[Debit\]]),Table818[[#This Row],[Credit.]]-Table818[[#This Row],[Debit\]],""),"")</f>
        <v/>
      </c>
      <c r="AF18" s="34"/>
      <c r="AG18" s="34" t="str">
        <f>IFERROR(IF(AND(Table818[[#This Row],[Classification]]="Assets",Table818[[#This Row],[Debit\]]-Table818[[#This Row],[Credit.]]),Table818[[#This Row],[Debit\]]-Table818[[#This Row],[Credit.]],""),"")</f>
        <v/>
      </c>
      <c r="AH18" s="34" t="str">
        <f>IFERROR(IF(AND(OR(Table818[[#This Row],[Classification]]="Liabilities",Table818[[#This Row],[Classification]]="Owner´s Equity"),Table818[[#This Row],[Credit.]]&gt;Table818[[#This Row],[Debit\]]),Table818[[#This Row],[Credit.]]-Table818[[#This Row],[Debit\]],""),"")</f>
        <v/>
      </c>
    </row>
    <row r="19" spans="2:34" x14ac:dyDescent="0.25">
      <c r="B19" s="34"/>
      <c r="C19" s="37" t="s">
        <v>73</v>
      </c>
      <c r="D19" s="34">
        <v>165000</v>
      </c>
      <c r="E19" s="34"/>
      <c r="G19" s="39"/>
      <c r="H19" s="40" t="s">
        <v>178</v>
      </c>
      <c r="I19" s="41"/>
      <c r="J19" s="41">
        <v>50000</v>
      </c>
      <c r="L19" s="34">
        <v>12</v>
      </c>
      <c r="M19" s="35" t="s">
        <v>143</v>
      </c>
      <c r="N19" s="35" t="s">
        <v>74</v>
      </c>
      <c r="O19" s="34">
        <f>IFERROR(SUMIF(Table415[,],Table617[[#This Row],[Accounts Name]],Table415[,3]),"")</f>
        <v>676160</v>
      </c>
      <c r="P19" s="34">
        <f>IFERROR(SUMIF(Table415[,],Table617[[#This Row],[Accounts Name]],Table415[,2]),"")</f>
        <v>0</v>
      </c>
      <c r="S19" s="36">
        <f t="shared" si="0"/>
        <v>12</v>
      </c>
      <c r="T19" s="34"/>
      <c r="U19" s="37" t="s">
        <v>211</v>
      </c>
      <c r="V19" s="34">
        <f>IFERROR(SUMIF(Table617[Sub-Accounts],Table818[[#This Row],[Update your chart of accounts here]],Table617[Debit]),"")</f>
        <v>0</v>
      </c>
      <c r="W19" s="34">
        <f>IFERROR(SUMIF(Table617[Sub-Accounts],Table818[[#This Row],[Update your chart of accounts here]],Table617[Credit]),"")</f>
        <v>0</v>
      </c>
      <c r="X19" s="34"/>
      <c r="Y19" s="34"/>
      <c r="Z19" s="34"/>
      <c r="AA19" s="34"/>
      <c r="AB19" s="34">
        <f>MAX(Table818[[#This Row],[Debit]]+Table818[[#This Row],[Debit -]]-Table818[[#This Row],[Credit]]-Table818[[#This Row],[Credit +]],0)</f>
        <v>0</v>
      </c>
      <c r="AC19" s="34">
        <f>MAX(Table818[[#This Row],[Credit]]-Table818[[#This Row],[Debit]]+Table818[[#This Row],[Credit +]]-Table818[[#This Row],[Debit -]],0)</f>
        <v>0</v>
      </c>
      <c r="AD19" s="34" t="str">
        <f>IFERROR(IF(AND(OR(Table818[[#This Row],[Classification]]="Expense",Table818[[#This Row],[Classification]]="Cost of Goods Sold"),Table818[[#This Row],[Debit\]]&gt;Table818[[#This Row],[Credit.]]),Table818[[#This Row],[Debit\]]-Table818[[#This Row],[Credit.]],""),"")</f>
        <v/>
      </c>
      <c r="AE19" s="34" t="str">
        <f>IFERROR(IF(AND(OR(Table818[[#This Row],[Classification]]="Income",Table818[[#This Row],[Classification]]="Cost of Goods Sold"),Table818[[#This Row],[Credit.]]&gt;Table818[[#This Row],[Debit\]]),Table818[[#This Row],[Credit.]]-Table818[[#This Row],[Debit\]],""),"")</f>
        <v/>
      </c>
      <c r="AF19" s="34"/>
      <c r="AG19" s="34" t="str">
        <f>IFERROR(IF(AND(Table818[[#This Row],[Classification]]="Assets",Table818[[#This Row],[Debit\]]-Table818[[#This Row],[Credit.]]),Table818[[#This Row],[Debit\]]-Table818[[#This Row],[Credit.]],""),"")</f>
        <v/>
      </c>
      <c r="AH19" s="34" t="str">
        <f>IFERROR(IF(AND(OR(Table818[[#This Row],[Classification]]="Liabilities",Table818[[#This Row],[Classification]]="Owner´s Equity"),Table818[[#This Row],[Credit.]]&gt;Table818[[#This Row],[Debit\]]),Table818[[#This Row],[Credit.]]-Table818[[#This Row],[Debit\]],""),"")</f>
        <v/>
      </c>
    </row>
    <row r="20" spans="2:34" x14ac:dyDescent="0.25">
      <c r="B20" s="34"/>
      <c r="C20" s="37" t="s">
        <v>74</v>
      </c>
      <c r="D20" s="34">
        <v>676160</v>
      </c>
      <c r="E20" s="34"/>
      <c r="G20" s="39"/>
      <c r="H20" s="43" t="s">
        <v>187</v>
      </c>
      <c r="I20" s="41"/>
      <c r="J20" s="41"/>
      <c r="L20" s="34">
        <v>13</v>
      </c>
      <c r="M20" s="35" t="s">
        <v>143</v>
      </c>
      <c r="N20" s="35" t="s">
        <v>75</v>
      </c>
      <c r="O20" s="34">
        <f>IFERROR(SUMIF(Table415[,],Table617[[#This Row],[Accounts Name]],Table415[,3]),"")</f>
        <v>0</v>
      </c>
      <c r="P20" s="34">
        <f>IFERROR(SUMIF(Table415[,],Table617[[#This Row],[Accounts Name]],Table415[,2]),"")</f>
        <v>654898</v>
      </c>
      <c r="S20" s="36">
        <f t="shared" si="0"/>
        <v>13</v>
      </c>
      <c r="T20" s="34"/>
      <c r="U20" s="37" t="s">
        <v>212</v>
      </c>
      <c r="V20" s="34">
        <f>IFERROR(SUMIF(Table617[Sub-Accounts],Table818[[#This Row],[Update your chart of accounts here]],Table617[Debit]),"")</f>
        <v>0</v>
      </c>
      <c r="W20" s="34">
        <f>IFERROR(SUMIF(Table617[Sub-Accounts],Table818[[#This Row],[Update your chart of accounts here]],Table617[Credit]),"")</f>
        <v>0</v>
      </c>
      <c r="X20" s="34"/>
      <c r="Y20" s="34"/>
      <c r="Z20" s="34"/>
      <c r="AA20" s="34"/>
      <c r="AB20" s="34">
        <f>MAX(Table818[[#This Row],[Debit]]+Table818[[#This Row],[Debit -]]-Table818[[#This Row],[Credit]]-Table818[[#This Row],[Credit +]],0)</f>
        <v>0</v>
      </c>
      <c r="AC20" s="34">
        <f>MAX(Table818[[#This Row],[Credit]]-Table818[[#This Row],[Debit]]+Table818[[#This Row],[Credit +]]-Table818[[#This Row],[Debit -]],0)</f>
        <v>0</v>
      </c>
      <c r="AD20" s="34" t="str">
        <f>IFERROR(IF(AND(OR(Table818[[#This Row],[Classification]]="Expense",Table818[[#This Row],[Classification]]="Cost of Goods Sold"),Table818[[#This Row],[Debit\]]&gt;Table818[[#This Row],[Credit.]]),Table818[[#This Row],[Debit\]]-Table818[[#This Row],[Credit.]],""),"")</f>
        <v/>
      </c>
      <c r="AE20" s="34" t="str">
        <f>IFERROR(IF(AND(OR(Table818[[#This Row],[Classification]]="Income",Table818[[#This Row],[Classification]]="Cost of Goods Sold"),Table818[[#This Row],[Credit.]]&gt;Table818[[#This Row],[Debit\]]),Table818[[#This Row],[Credit.]]-Table818[[#This Row],[Debit\]],""),"")</f>
        <v/>
      </c>
      <c r="AF20" s="34"/>
      <c r="AG20" s="34" t="str">
        <f>IFERROR(IF(AND(Table818[[#This Row],[Classification]]="Assets",Table818[[#This Row],[Debit\]]-Table818[[#This Row],[Credit.]]),Table818[[#This Row],[Debit\]]-Table818[[#This Row],[Credit.]],""),"")</f>
        <v/>
      </c>
      <c r="AH20" s="34" t="str">
        <f>IFERROR(IF(AND(OR(Table818[[#This Row],[Classification]]="Liabilities",Table818[[#This Row],[Classification]]="Owner´s Equity"),Table818[[#This Row],[Credit.]]&gt;Table818[[#This Row],[Debit\]]),Table818[[#This Row],[Credit.]]-Table818[[#This Row],[Debit\]],""),"")</f>
        <v/>
      </c>
    </row>
    <row r="21" spans="2:34" x14ac:dyDescent="0.25">
      <c r="B21" s="34"/>
      <c r="C21" s="37" t="s">
        <v>75</v>
      </c>
      <c r="D21" s="34"/>
      <c r="E21" s="34">
        <v>654898</v>
      </c>
      <c r="G21" s="39" t="s">
        <v>193</v>
      </c>
      <c r="H21" s="40" t="s">
        <v>178</v>
      </c>
      <c r="I21" s="41">
        <v>115200</v>
      </c>
      <c r="J21" s="41"/>
      <c r="L21" s="34">
        <v>14</v>
      </c>
      <c r="M21" s="35" t="s">
        <v>143</v>
      </c>
      <c r="N21" s="35" t="s">
        <v>76</v>
      </c>
      <c r="O21" s="34">
        <f>IFERROR(SUMIF(Table415[,],Table617[[#This Row],[Accounts Name]],Table415[,3]),"")</f>
        <v>828735.28</v>
      </c>
      <c r="P21" s="34">
        <f>IFERROR(SUMIF(Table415[,],Table617[[#This Row],[Accounts Name]],Table415[,2]),"")</f>
        <v>0</v>
      </c>
      <c r="S21" s="36">
        <f t="shared" si="0"/>
        <v>14</v>
      </c>
      <c r="T21" s="34"/>
      <c r="U21" s="37" t="s">
        <v>213</v>
      </c>
      <c r="V21" s="34">
        <f>IFERROR(SUMIF(Table617[Sub-Accounts],Table818[[#This Row],[Update your chart of accounts here]],Table617[Debit]),"")</f>
        <v>0</v>
      </c>
      <c r="W21" s="34">
        <f>IFERROR(SUMIF(Table617[Sub-Accounts],Table818[[#This Row],[Update your chart of accounts here]],Table617[Credit]),"")</f>
        <v>0</v>
      </c>
      <c r="X21" s="34"/>
      <c r="Y21" s="34"/>
      <c r="Z21" s="34"/>
      <c r="AA21" s="34"/>
      <c r="AB21" s="34">
        <f>MAX(Table818[[#This Row],[Debit]]+Table818[[#This Row],[Debit -]]-Table818[[#This Row],[Credit]]-Table818[[#This Row],[Credit +]],0)</f>
        <v>0</v>
      </c>
      <c r="AC21" s="34">
        <f>MAX(Table818[[#This Row],[Credit]]-Table818[[#This Row],[Debit]]+Table818[[#This Row],[Credit +]]-Table818[[#This Row],[Debit -]],0)</f>
        <v>0</v>
      </c>
      <c r="AD21" s="34" t="str">
        <f>IFERROR(IF(AND(OR(Table818[[#This Row],[Classification]]="Expense",Table818[[#This Row],[Classification]]="Cost of Goods Sold"),Table818[[#This Row],[Debit\]]&gt;Table818[[#This Row],[Credit.]]),Table818[[#This Row],[Debit\]]-Table818[[#This Row],[Credit.]],""),"")</f>
        <v/>
      </c>
      <c r="AE21" s="34" t="str">
        <f>IFERROR(IF(AND(OR(Table818[[#This Row],[Classification]]="Income",Table818[[#This Row],[Classification]]="Cost of Goods Sold"),Table818[[#This Row],[Credit.]]&gt;Table818[[#This Row],[Debit\]]),Table818[[#This Row],[Credit.]]-Table818[[#This Row],[Debit\]],""),"")</f>
        <v/>
      </c>
      <c r="AF21" s="34"/>
      <c r="AG21" s="34" t="str">
        <f>IFERROR(IF(AND(Table818[[#This Row],[Classification]]="Assets",Table818[[#This Row],[Debit\]]-Table818[[#This Row],[Credit.]]),Table818[[#This Row],[Debit\]]-Table818[[#This Row],[Credit.]],""),"")</f>
        <v/>
      </c>
      <c r="AH21" s="34" t="str">
        <f>IFERROR(IF(AND(OR(Table818[[#This Row],[Classification]]="Liabilities",Table818[[#This Row],[Classification]]="Owner´s Equity"),Table818[[#This Row],[Credit.]]&gt;Table818[[#This Row],[Debit\]]),Table818[[#This Row],[Credit.]]-Table818[[#This Row],[Debit\]],""),"")</f>
        <v/>
      </c>
    </row>
    <row r="22" spans="2:34" x14ac:dyDescent="0.25">
      <c r="B22" s="34"/>
      <c r="C22" s="37" t="s">
        <v>76</v>
      </c>
      <c r="D22" s="34">
        <v>828735.28</v>
      </c>
      <c r="E22" s="34"/>
      <c r="G22" s="39"/>
      <c r="H22" s="40" t="s">
        <v>179</v>
      </c>
      <c r="I22" s="41"/>
      <c r="J22" s="41">
        <v>115200</v>
      </c>
      <c r="L22" s="34">
        <v>15</v>
      </c>
      <c r="M22" s="35" t="s">
        <v>143</v>
      </c>
      <c r="N22" s="35" t="s">
        <v>77</v>
      </c>
      <c r="O22" s="34">
        <f>IFERROR(SUMIF(Table415[,],Table617[[#This Row],[Accounts Name]],Table415[,3]),"")</f>
        <v>0</v>
      </c>
      <c r="P22" s="34">
        <f>IFERROR(SUMIF(Table415[,],Table617[[#This Row],[Accounts Name]],Table415[,2]),"")</f>
        <v>347656</v>
      </c>
      <c r="S22" s="36">
        <f t="shared" si="0"/>
        <v>15</v>
      </c>
      <c r="T22" s="34" t="s">
        <v>11</v>
      </c>
      <c r="U22" s="37" t="s">
        <v>144</v>
      </c>
      <c r="V22" s="34">
        <f>IFERROR(SUMIF(Table617[Sub-Accounts],Table818[[#This Row],[Update your chart of accounts here]],Table617[Debit]),"")</f>
        <v>2228108</v>
      </c>
      <c r="W22" s="34">
        <f>IFERROR(SUMIF(Table617[Sub-Accounts],Table818[[#This Row],[Update your chart of accounts here]],Table617[Credit]),"")</f>
        <v>0</v>
      </c>
      <c r="X22" s="34"/>
      <c r="Y22" s="34" t="s">
        <v>227</v>
      </c>
      <c r="Z22" s="34"/>
      <c r="AA22" s="34">
        <f>J19</f>
        <v>50000</v>
      </c>
      <c r="AB22" s="34">
        <f>MAX(Table818[[#This Row],[Debit]]+Table818[[#This Row],[Debit -]]-Table818[[#This Row],[Credit]]-Table818[[#This Row],[Credit +]],0)</f>
        <v>2178108</v>
      </c>
      <c r="AC22" s="34">
        <f>MAX(Table818[[#This Row],[Credit]]-Table818[[#This Row],[Debit]]+Table818[[#This Row],[Credit +]]-Table818[[#This Row],[Debit -]],0)</f>
        <v>0</v>
      </c>
      <c r="AD22" s="34" t="str">
        <f>IFERROR(IF(AND(OR(Table818[[#This Row],[Classification]]="Expense",Table818[[#This Row],[Classification]]="Cost of Goods Sold"),Table818[[#This Row],[Debit\]]&gt;Table818[[#This Row],[Credit.]]),Table818[[#This Row],[Debit\]]-Table818[[#This Row],[Credit.]],""),"")</f>
        <v/>
      </c>
      <c r="AE22" s="34" t="str">
        <f>IFERROR(IF(AND(OR(Table818[[#This Row],[Classification]]="Income",Table818[[#This Row],[Classification]]="Cost of Goods Sold"),Table818[[#This Row],[Credit.]]&gt;Table818[[#This Row],[Debit\]]),Table818[[#This Row],[Credit.]]-Table818[[#This Row],[Debit\]],""),"")</f>
        <v/>
      </c>
      <c r="AF22" s="34"/>
      <c r="AG22" s="34">
        <f>IFERROR(IF(AND(Table818[[#This Row],[Classification]]="Assets",Table818[[#This Row],[Debit\]]-Table818[[#This Row],[Credit.]]),Table818[[#This Row],[Debit\]]-Table818[[#This Row],[Credit.]],""),"")</f>
        <v>2178108</v>
      </c>
      <c r="AH22" s="34" t="str">
        <f>IFERROR(IF(AND(OR(Table818[[#This Row],[Classification]]="Liabilities",Table818[[#This Row],[Classification]]="Owner´s Equity"),Table818[[#This Row],[Credit.]]&gt;Table818[[#This Row],[Debit\]]),Table818[[#This Row],[Credit.]]-Table818[[#This Row],[Debit\]],""),"")</f>
        <v/>
      </c>
    </row>
    <row r="23" spans="2:34" x14ac:dyDescent="0.25">
      <c r="B23" s="34"/>
      <c r="C23" s="37" t="s">
        <v>77</v>
      </c>
      <c r="D23" s="34"/>
      <c r="E23" s="34">
        <v>347656</v>
      </c>
      <c r="G23" s="39"/>
      <c r="H23" s="43" t="s">
        <v>188</v>
      </c>
      <c r="I23" s="41"/>
      <c r="J23" s="41"/>
      <c r="L23" s="34">
        <v>16</v>
      </c>
      <c r="M23" s="35" t="s">
        <v>143</v>
      </c>
      <c r="N23" s="35" t="s">
        <v>78</v>
      </c>
      <c r="O23" s="34">
        <f>IFERROR(SUMIF(Table415[,],Table617[[#This Row],[Accounts Name]],Table415[,3]),"")</f>
        <v>1150000</v>
      </c>
      <c r="P23" s="34">
        <f>IFERROR(SUMIF(Table415[,],Table617[[#This Row],[Accounts Name]],Table415[,2]),"")</f>
        <v>0</v>
      </c>
      <c r="S23" s="36">
        <f t="shared" si="0"/>
        <v>16</v>
      </c>
      <c r="T23" s="34"/>
      <c r="U23" s="37" t="s">
        <v>214</v>
      </c>
      <c r="V23" s="34">
        <f>IFERROR(SUMIF(Table617[Sub-Accounts],Table818[[#This Row],[Update your chart of accounts here]],Table617[Debit]),"")</f>
        <v>0</v>
      </c>
      <c r="W23" s="34">
        <f>IFERROR(SUMIF(Table617[Sub-Accounts],Table818[[#This Row],[Update your chart of accounts here]],Table617[Credit]),"")</f>
        <v>0</v>
      </c>
      <c r="X23" s="34"/>
      <c r="Y23" s="34"/>
      <c r="Z23" s="34"/>
      <c r="AA23" s="34"/>
      <c r="AB23" s="34">
        <f>MAX(Table818[[#This Row],[Debit]]+Table818[[#This Row],[Debit -]]-Table818[[#This Row],[Credit]]-Table818[[#This Row],[Credit +]],0)</f>
        <v>0</v>
      </c>
      <c r="AC23" s="34">
        <f>MAX(Table818[[#This Row],[Credit]]-Table818[[#This Row],[Debit]]+Table818[[#This Row],[Credit +]]-Table818[[#This Row],[Debit -]],0)</f>
        <v>0</v>
      </c>
      <c r="AD23" s="34" t="str">
        <f>IFERROR(IF(AND(OR(Table818[[#This Row],[Classification]]="Expense",Table818[[#This Row],[Classification]]="Cost of Goods Sold"),Table818[[#This Row],[Debit\]]&gt;Table818[[#This Row],[Credit.]]),Table818[[#This Row],[Debit\]]-Table818[[#This Row],[Credit.]],""),"")</f>
        <v/>
      </c>
      <c r="AE23" s="34" t="str">
        <f>IFERROR(IF(AND(OR(Table818[[#This Row],[Classification]]="Income",Table818[[#This Row],[Classification]]="Cost of Goods Sold"),Table818[[#This Row],[Credit.]]&gt;Table818[[#This Row],[Debit\]]),Table818[[#This Row],[Credit.]]-Table818[[#This Row],[Debit\]],""),"")</f>
        <v/>
      </c>
      <c r="AF23" s="34"/>
      <c r="AG23" s="34" t="str">
        <f>IFERROR(IF(AND(Table818[[#This Row],[Classification]]="Assets",Table818[[#This Row],[Debit\]]-Table818[[#This Row],[Credit.]]),Table818[[#This Row],[Debit\]]-Table818[[#This Row],[Credit.]],""),"")</f>
        <v/>
      </c>
      <c r="AH23" s="34" t="str">
        <f>IFERROR(IF(AND(OR(Table818[[#This Row],[Classification]]="Liabilities",Table818[[#This Row],[Classification]]="Owner´s Equity"),Table818[[#This Row],[Credit.]]&gt;Table818[[#This Row],[Debit\]]),Table818[[#This Row],[Credit.]]-Table818[[#This Row],[Debit\]],""),"")</f>
        <v/>
      </c>
    </row>
    <row r="24" spans="2:34" x14ac:dyDescent="0.25">
      <c r="B24" s="34"/>
      <c r="C24" s="37" t="s">
        <v>78</v>
      </c>
      <c r="D24" s="34">
        <v>1150000</v>
      </c>
      <c r="E24" s="34"/>
      <c r="G24" s="39" t="s">
        <v>194</v>
      </c>
      <c r="H24" s="40" t="s">
        <v>62</v>
      </c>
      <c r="I24" s="41">
        <v>21</v>
      </c>
      <c r="J24" s="41"/>
      <c r="L24" s="34">
        <v>17</v>
      </c>
      <c r="M24" s="35" t="s">
        <v>143</v>
      </c>
      <c r="N24" s="35" t="s">
        <v>79</v>
      </c>
      <c r="O24" s="34">
        <f>IFERROR(SUMIF(Table415[,],Table617[[#This Row],[Accounts Name]],Table415[,3]),"")</f>
        <v>375657</v>
      </c>
      <c r="P24" s="34">
        <f>IFERROR(SUMIF(Table415[,],Table617[[#This Row],[Accounts Name]],Table415[,2]),"")</f>
        <v>0</v>
      </c>
      <c r="S24" s="36">
        <f t="shared" si="0"/>
        <v>17</v>
      </c>
      <c r="T24" s="34" t="s">
        <v>48</v>
      </c>
      <c r="U24" s="37" t="s">
        <v>145</v>
      </c>
      <c r="V24" s="34">
        <f>IFERROR(SUMIF(Table617[Sub-Accounts],Table818[[#This Row],[Update your chart of accounts here]],Table617[Debit]),"")</f>
        <v>0</v>
      </c>
      <c r="W24" s="34">
        <f>IFERROR(SUMIF(Table617[Sub-Accounts],Table818[[#This Row],[Update your chart of accounts here]],Table617[Credit]),"")</f>
        <v>11852079.26</v>
      </c>
      <c r="X24" s="34"/>
      <c r="Y24" s="34" t="s">
        <v>226</v>
      </c>
      <c r="Z24" s="34">
        <f>I16</f>
        <v>1000000</v>
      </c>
      <c r="AA24" s="34"/>
      <c r="AB24" s="34">
        <f>MAX(Table818[[#This Row],[Debit]]+Table818[[#This Row],[Debit -]]-Table818[[#This Row],[Credit]]-Table818[[#This Row],[Credit +]],0)</f>
        <v>0</v>
      </c>
      <c r="AC24" s="34">
        <f>MAX(Table818[[#This Row],[Credit]]-Table818[[#This Row],[Debit]]+Table818[[#This Row],[Credit +]]-Table818[[#This Row],[Debit -]],0)</f>
        <v>10852079.26</v>
      </c>
      <c r="AD24" s="34" t="str">
        <f>IFERROR(IF(AND(OR(Table818[[#This Row],[Classification]]="Expense",Table818[[#This Row],[Classification]]="Cost of Goods Sold"),Table818[[#This Row],[Debit\]]&gt;Table818[[#This Row],[Credit.]]),Table818[[#This Row],[Debit\]]-Table818[[#This Row],[Credit.]],""),"")</f>
        <v/>
      </c>
      <c r="AE24" s="34" t="str">
        <f>IFERROR(IF(AND(OR(Table818[[#This Row],[Classification]]="Income",Table818[[#This Row],[Classification]]="Cost of Goods Sold"),Table818[[#This Row],[Credit.]]&gt;Table818[[#This Row],[Debit\]]),Table818[[#This Row],[Credit.]]-Table818[[#This Row],[Debit\]],""),"")</f>
        <v/>
      </c>
      <c r="AF24" s="34"/>
      <c r="AG24" s="34" t="str">
        <f>IFERROR(IF(AND(Table818[[#This Row],[Classification]]="Assets",Table818[[#This Row],[Debit\]]-Table818[[#This Row],[Credit.]]),Table818[[#This Row],[Debit\]]-Table818[[#This Row],[Credit.]],""),"")</f>
        <v/>
      </c>
      <c r="AH24" s="34">
        <f>IFERROR(IF(AND(OR(Table818[[#This Row],[Classification]]="Liabilities",Table818[[#This Row],[Classification]]="Owner´s Equity"),Table818[[#This Row],[Credit.]]&gt;Table818[[#This Row],[Debit\]]),Table818[[#This Row],[Credit.]]-Table818[[#This Row],[Debit\]],""),"")</f>
        <v>10852079.26</v>
      </c>
    </row>
    <row r="25" spans="2:34" x14ac:dyDescent="0.25">
      <c r="B25" s="34"/>
      <c r="C25" s="37" t="s">
        <v>79</v>
      </c>
      <c r="D25" s="34">
        <v>375657</v>
      </c>
      <c r="E25" s="34"/>
      <c r="G25" s="39"/>
      <c r="H25" s="40" t="s">
        <v>177</v>
      </c>
      <c r="I25" s="41"/>
      <c r="J25" s="41">
        <v>21</v>
      </c>
      <c r="L25" s="34">
        <v>18</v>
      </c>
      <c r="M25" s="35" t="s">
        <v>143</v>
      </c>
      <c r="N25" s="35" t="s">
        <v>80</v>
      </c>
      <c r="O25" s="34">
        <f>IFERROR(SUMIF(Table415[,],Table617[[#This Row],[Accounts Name]],Table415[,3]),"")</f>
        <v>0</v>
      </c>
      <c r="P25" s="34">
        <f>IFERROR(SUMIF(Table415[,],Table617[[#This Row],[Accounts Name]],Table415[,2]),"")</f>
        <v>288789</v>
      </c>
      <c r="S25" s="36">
        <f t="shared" si="0"/>
        <v>18</v>
      </c>
      <c r="T25" s="34"/>
      <c r="U25" s="37" t="s">
        <v>215</v>
      </c>
      <c r="V25" s="34">
        <f>IFERROR(SUMIF(Table617[Sub-Accounts],Table818[[#This Row],[Update your chart of accounts here]],Table617[Debit]),"")</f>
        <v>0</v>
      </c>
      <c r="W25" s="34">
        <f>IFERROR(SUMIF(Table617[Sub-Accounts],Table818[[#This Row],[Update your chart of accounts here]],Table617[Credit]),"")</f>
        <v>0</v>
      </c>
      <c r="X25" s="34"/>
      <c r="Y25" s="34"/>
      <c r="Z25" s="34"/>
      <c r="AA25" s="34"/>
      <c r="AB25" s="34">
        <f>MAX(Table818[[#This Row],[Debit]]+Table818[[#This Row],[Debit -]]-Table818[[#This Row],[Credit]]-Table818[[#This Row],[Credit +]],0)</f>
        <v>0</v>
      </c>
      <c r="AC25" s="34">
        <f>MAX(Table818[[#This Row],[Credit]]-Table818[[#This Row],[Debit]]+Table818[[#This Row],[Credit +]]-Table818[[#This Row],[Debit -]],0)</f>
        <v>0</v>
      </c>
      <c r="AD25" s="34" t="str">
        <f>IFERROR(IF(AND(OR(Table818[[#This Row],[Classification]]="Expense",Table818[[#This Row],[Classification]]="Cost of Goods Sold"),Table818[[#This Row],[Debit\]]&gt;Table818[[#This Row],[Credit.]]),Table818[[#This Row],[Debit\]]-Table818[[#This Row],[Credit.]],""),"")</f>
        <v/>
      </c>
      <c r="AE25" s="34" t="str">
        <f>IFERROR(IF(AND(OR(Table818[[#This Row],[Classification]]="Income",Table818[[#This Row],[Classification]]="Cost of Goods Sold"),Table818[[#This Row],[Credit.]]&gt;Table818[[#This Row],[Debit\]]),Table818[[#This Row],[Credit.]]-Table818[[#This Row],[Debit\]],""),"")</f>
        <v/>
      </c>
      <c r="AF25" s="34"/>
      <c r="AG25" s="34" t="str">
        <f>IFERROR(IF(AND(Table818[[#This Row],[Classification]]="Assets",Table818[[#This Row],[Debit\]]-Table818[[#This Row],[Credit.]]),Table818[[#This Row],[Debit\]]-Table818[[#This Row],[Credit.]],""),"")</f>
        <v/>
      </c>
      <c r="AH25" s="34" t="str">
        <f>IFERROR(IF(AND(OR(Table818[[#This Row],[Classification]]="Liabilities",Table818[[#This Row],[Classification]]="Owner´s Equity"),Table818[[#This Row],[Credit.]]&gt;Table818[[#This Row],[Debit\]]),Table818[[#This Row],[Credit.]]-Table818[[#This Row],[Debit\]],""),"")</f>
        <v/>
      </c>
    </row>
    <row r="26" spans="2:34" x14ac:dyDescent="0.25">
      <c r="B26" s="34"/>
      <c r="C26" s="37" t="s">
        <v>80</v>
      </c>
      <c r="D26" s="34"/>
      <c r="E26" s="34">
        <v>288789</v>
      </c>
      <c r="G26" s="39"/>
      <c r="H26" s="43" t="s">
        <v>189</v>
      </c>
      <c r="I26" s="41"/>
      <c r="J26" s="41"/>
      <c r="L26" s="34">
        <v>19</v>
      </c>
      <c r="M26" s="35" t="s">
        <v>143</v>
      </c>
      <c r="N26" s="35" t="s">
        <v>81</v>
      </c>
      <c r="O26" s="34">
        <f>IFERROR(SUMIF(Table415[,],Table617[[#This Row],[Accounts Name]],Table415[,3]),"")</f>
        <v>975000</v>
      </c>
      <c r="P26" s="34">
        <f>IFERROR(SUMIF(Table415[,],Table617[[#This Row],[Accounts Name]],Table415[,2]),"")</f>
        <v>0</v>
      </c>
      <c r="S26" s="36">
        <f t="shared" si="0"/>
        <v>19</v>
      </c>
      <c r="T26" s="34" t="s">
        <v>62</v>
      </c>
      <c r="U26" s="37" t="s">
        <v>62</v>
      </c>
      <c r="V26" s="34">
        <f>IFERROR(SUMIF(Table617[Sub-Accounts],Table818[[#This Row],[Update your chart of accounts here]],Table617[Debit]),"")</f>
        <v>0</v>
      </c>
      <c r="W26" s="34">
        <f>IFERROR(SUMIF(Table617[Sub-Accounts],Table818[[#This Row],[Update your chart of accounts here]],Table617[Credit]),"")</f>
        <v>332888373.44999999</v>
      </c>
      <c r="X26" s="34"/>
      <c r="Y26" s="34" t="s">
        <v>228</v>
      </c>
      <c r="Z26" s="34">
        <f>I24</f>
        <v>21</v>
      </c>
      <c r="AA26" s="34"/>
      <c r="AB26" s="34">
        <f>MAX(Table818[[#This Row],[Debit]]+Table818[[#This Row],[Debit -]]-Table818[[#This Row],[Credit]]-Table818[[#This Row],[Credit +]],0)</f>
        <v>0</v>
      </c>
      <c r="AC26" s="34">
        <f>MAX(Table818[[#This Row],[Credit]]-Table818[[#This Row],[Debit]]+Table818[[#This Row],[Credit +]]-Table818[[#This Row],[Debit -]],0)</f>
        <v>332888352.44999999</v>
      </c>
      <c r="AD26" s="34" t="str">
        <f>IFERROR(IF(AND(OR(Table818[[#This Row],[Classification]]="Expense",Table818[[#This Row],[Classification]]="Cost of Goods Sold"),Table818[[#This Row],[Debit\]]&gt;Table818[[#This Row],[Credit.]]),Table818[[#This Row],[Debit\]]-Table818[[#This Row],[Credit.]],""),"")</f>
        <v/>
      </c>
      <c r="AE26" s="34">
        <f>IFERROR(IF(AND(OR(Table818[[#This Row],[Classification]]="Income",Table818[[#This Row],[Classification]]="Cost of Goods Sold"),Table818[[#This Row],[Credit.]]&gt;Table818[[#This Row],[Debit\]]),Table818[[#This Row],[Credit.]]-Table818[[#This Row],[Debit\]],""),"")</f>
        <v>332888352.44999999</v>
      </c>
      <c r="AF26" s="34"/>
      <c r="AG26" s="34" t="str">
        <f>IFERROR(IF(AND(Table818[[#This Row],[Classification]]="Assets",Table818[[#This Row],[Debit\]]-Table818[[#This Row],[Credit.]]),Table818[[#This Row],[Debit\]]-Table818[[#This Row],[Credit.]],""),"")</f>
        <v/>
      </c>
      <c r="AH26" s="34" t="str">
        <f>IFERROR(IF(AND(OR(Table818[[#This Row],[Classification]]="Liabilities",Table818[[#This Row],[Classification]]="Owner´s Equity"),Table818[[#This Row],[Credit.]]&gt;Table818[[#This Row],[Debit\]]),Table818[[#This Row],[Credit.]]-Table818[[#This Row],[Debit\]],""),"")</f>
        <v/>
      </c>
    </row>
    <row r="27" spans="2:34" x14ac:dyDescent="0.25">
      <c r="B27" s="34"/>
      <c r="C27" s="37" t="s">
        <v>81</v>
      </c>
      <c r="D27" s="34">
        <v>975000</v>
      </c>
      <c r="E27" s="34"/>
      <c r="G27" s="39" t="s">
        <v>195</v>
      </c>
      <c r="H27" s="40" t="s">
        <v>175</v>
      </c>
      <c r="I27" s="41">
        <v>845624</v>
      </c>
      <c r="J27" s="41"/>
      <c r="L27" s="34">
        <v>20</v>
      </c>
      <c r="M27" s="35" t="s">
        <v>143</v>
      </c>
      <c r="N27" s="35" t="s">
        <v>82</v>
      </c>
      <c r="O27" s="34">
        <f>IFERROR(SUMIF(Table415[,],Table617[[#This Row],[Accounts Name]],Table415[,3]),"")</f>
        <v>0</v>
      </c>
      <c r="P27" s="34">
        <f>IFERROR(SUMIF(Table415[,],Table617[[#This Row],[Accounts Name]],Table415[,2]),"")</f>
        <v>426561</v>
      </c>
      <c r="S27" s="36">
        <f t="shared" si="0"/>
        <v>20</v>
      </c>
      <c r="T27" s="34" t="s">
        <v>62</v>
      </c>
      <c r="U27" s="37" t="s">
        <v>216</v>
      </c>
      <c r="V27" s="34">
        <f>IFERROR(SUMIF(Table617[Sub-Accounts],Table818[[#This Row],[Update your chart of accounts here]],Table617[Debit]),"")</f>
        <v>0</v>
      </c>
      <c r="W27" s="34">
        <f>IFERROR(SUMIF(Table617[Sub-Accounts],Table818[[#This Row],[Update your chart of accounts here]],Table617[Credit]),"")</f>
        <v>0</v>
      </c>
      <c r="X27" s="34"/>
      <c r="Y27" s="34" t="s">
        <v>225</v>
      </c>
      <c r="Z27" s="34"/>
      <c r="AA27" s="34">
        <f>J13</f>
        <v>251563</v>
      </c>
      <c r="AB27" s="34">
        <f>MAX(Table818[[#This Row],[Debit]]+Table818[[#This Row],[Debit -]]-Table818[[#This Row],[Credit]]-Table818[[#This Row],[Credit +]],0)</f>
        <v>0</v>
      </c>
      <c r="AC27" s="34">
        <f>MAX(Table818[[#This Row],[Credit]]-Table818[[#This Row],[Debit]]+Table818[[#This Row],[Credit +]]-Table818[[#This Row],[Debit -]],0)</f>
        <v>251563</v>
      </c>
      <c r="AD27" s="34" t="str">
        <f>IFERROR(IF(AND(OR(Table818[[#This Row],[Classification]]="Expense",Table818[[#This Row],[Classification]]="Cost of Goods Sold"),Table818[[#This Row],[Debit\]]&gt;Table818[[#This Row],[Credit.]]),Table818[[#This Row],[Debit\]]-Table818[[#This Row],[Credit.]],""),"")</f>
        <v/>
      </c>
      <c r="AE27" s="34">
        <f>IFERROR(IF(AND(OR(Table818[[#This Row],[Classification]]="Income",Table818[[#This Row],[Classification]]="Cost of Goods Sold"),Table818[[#This Row],[Credit.]]&gt;Table818[[#This Row],[Debit\]]),Table818[[#This Row],[Credit.]]-Table818[[#This Row],[Debit\]],""),"")</f>
        <v>251563</v>
      </c>
      <c r="AF27" s="34"/>
      <c r="AG27" s="34" t="str">
        <f>IFERROR(IF(AND(Table818[[#This Row],[Classification]]="Assets",Table818[[#This Row],[Debit\]]-Table818[[#This Row],[Credit.]]),Table818[[#This Row],[Debit\]]-Table818[[#This Row],[Credit.]],""),"")</f>
        <v/>
      </c>
      <c r="AH27" s="34" t="str">
        <f>IFERROR(IF(AND(OR(Table818[[#This Row],[Classification]]="Liabilities",Table818[[#This Row],[Classification]]="Owner´s Equity"),Table818[[#This Row],[Credit.]]&gt;Table818[[#This Row],[Debit\]]),Table818[[#This Row],[Credit.]]-Table818[[#This Row],[Debit\]],""),"")</f>
        <v/>
      </c>
    </row>
    <row r="28" spans="2:34" x14ac:dyDescent="0.25">
      <c r="B28" s="34"/>
      <c r="C28" s="37" t="s">
        <v>82</v>
      </c>
      <c r="D28" s="34"/>
      <c r="E28" s="34">
        <v>426561</v>
      </c>
      <c r="G28" s="39"/>
      <c r="H28" s="40" t="s">
        <v>162</v>
      </c>
      <c r="I28" s="41">
        <v>0</v>
      </c>
      <c r="J28" s="41"/>
      <c r="L28" s="34">
        <v>21</v>
      </c>
      <c r="M28" s="35" t="s">
        <v>143</v>
      </c>
      <c r="N28" s="35" t="s">
        <v>83</v>
      </c>
      <c r="O28" s="34">
        <f>IFERROR(SUMIF(Table415[,],Table617[[#This Row],[Accounts Name]],Table415[,3]),"")</f>
        <v>350000</v>
      </c>
      <c r="P28" s="34">
        <f>IFERROR(SUMIF(Table415[,],Table617[[#This Row],[Accounts Name]],Table415[,2]),"")</f>
        <v>0</v>
      </c>
      <c r="S28" s="36">
        <f t="shared" si="0"/>
        <v>21</v>
      </c>
      <c r="T28" s="34" t="s">
        <v>6</v>
      </c>
      <c r="U28" s="37" t="s">
        <v>147</v>
      </c>
      <c r="V28" s="34">
        <f>IFERROR(SUMIF(Table617[Sub-Accounts],Table818[[#This Row],[Update your chart of accounts here]],Table617[Debit]),"")</f>
        <v>316209838.63</v>
      </c>
      <c r="W28" s="34">
        <f>IFERROR(SUMIF(Table617[Sub-Accounts],Table818[[#This Row],[Update your chart of accounts here]],Table617[Credit]),"")</f>
        <v>0</v>
      </c>
      <c r="X28" s="34"/>
      <c r="Y28" s="34" t="s">
        <v>231</v>
      </c>
      <c r="Z28" s="34">
        <f>I30</f>
        <v>1379881</v>
      </c>
      <c r="AA28" s="34"/>
      <c r="AB28" s="34">
        <f>MAX(Table818[[#This Row],[Debit]]+Table818[[#This Row],[Debit -]]-Table818[[#This Row],[Credit]]-Table818[[#This Row],[Credit +]],0)</f>
        <v>317589719.63</v>
      </c>
      <c r="AC28" s="34">
        <f>MAX(Table818[[#This Row],[Credit]]-Table818[[#This Row],[Debit]]+Table818[[#This Row],[Credit +]]-Table818[[#This Row],[Debit -]],0)</f>
        <v>0</v>
      </c>
      <c r="AD28" s="34">
        <f>IFERROR(IF(AND(OR(Table818[[#This Row],[Classification]]="Expense",Table818[[#This Row],[Classification]]="Cost of Goods Sold"),Table818[[#This Row],[Debit\]]&gt;Table818[[#This Row],[Credit.]]),Table818[[#This Row],[Debit\]]-Table818[[#This Row],[Credit.]],""),"")</f>
        <v>317589719.63</v>
      </c>
      <c r="AE28" s="34" t="str">
        <f>IFERROR(IF(AND(OR(Table818[[#This Row],[Classification]]="Income",Table818[[#This Row],[Classification]]="Cost of Goods Sold"),Table818[[#This Row],[Credit.]]&gt;Table818[[#This Row],[Debit\]]),Table818[[#This Row],[Credit.]]-Table818[[#This Row],[Debit\]],""),"")</f>
        <v/>
      </c>
      <c r="AF28" s="34"/>
      <c r="AG28" s="34" t="str">
        <f>IFERROR(IF(AND(Table818[[#This Row],[Classification]]="Assets",Table818[[#This Row],[Debit\]]-Table818[[#This Row],[Credit.]]),Table818[[#This Row],[Debit\]]-Table818[[#This Row],[Credit.]],""),"")</f>
        <v/>
      </c>
      <c r="AH28" s="34" t="str">
        <f>IFERROR(IF(AND(OR(Table818[[#This Row],[Classification]]="Liabilities",Table818[[#This Row],[Classification]]="Owner´s Equity"),Table818[[#This Row],[Credit.]]&gt;Table818[[#This Row],[Debit\]]),Table818[[#This Row],[Credit.]]-Table818[[#This Row],[Debit\]],""),"")</f>
        <v/>
      </c>
    </row>
    <row r="29" spans="2:34" x14ac:dyDescent="0.25">
      <c r="B29" s="34"/>
      <c r="C29" s="37" t="s">
        <v>83</v>
      </c>
      <c r="D29" s="34">
        <v>350000</v>
      </c>
      <c r="E29" s="34"/>
      <c r="G29" s="39"/>
      <c r="H29" s="40" t="s">
        <v>167</v>
      </c>
      <c r="I29" s="41">
        <v>325745</v>
      </c>
      <c r="J29" s="41"/>
      <c r="L29" s="34">
        <v>22</v>
      </c>
      <c r="M29" s="35" t="s">
        <v>141</v>
      </c>
      <c r="N29" s="35" t="s">
        <v>84</v>
      </c>
      <c r="O29" s="34">
        <f>IFERROR(SUMIF(Table415[,],Table617[[#This Row],[Accounts Name]],Table415[,3]),"")</f>
        <v>0</v>
      </c>
      <c r="P29" s="34">
        <f>IFERROR(SUMIF(Table415[,],Table617[[#This Row],[Accounts Name]],Table415[,2]),"")</f>
        <v>4840392.6399999997</v>
      </c>
      <c r="S29" s="36">
        <f t="shared" si="0"/>
        <v>22</v>
      </c>
      <c r="T29" s="34" t="s">
        <v>61</v>
      </c>
      <c r="U29" s="37" t="s">
        <v>151</v>
      </c>
      <c r="V29" s="34">
        <f>IFERROR(SUMIF(Table617[Sub-Accounts],Table818[[#This Row],[Update your chart of accounts here]],Table617[Debit]),"")</f>
        <v>3516485</v>
      </c>
      <c r="W29" s="34">
        <f>IFERROR(SUMIF(Table617[Sub-Accounts],Table818[[#This Row],[Update your chart of accounts here]],Table617[Credit]),"")</f>
        <v>0</v>
      </c>
      <c r="X29" s="34"/>
      <c r="Y29" s="34"/>
      <c r="Z29" s="34"/>
      <c r="AA29" s="34"/>
      <c r="AB29" s="34">
        <f>MAX(Table818[[#This Row],[Debit]]+Table818[[#This Row],[Debit -]]-Table818[[#This Row],[Credit]]-Table818[[#This Row],[Credit +]],0)</f>
        <v>3516485</v>
      </c>
      <c r="AC29" s="34">
        <f>MAX(Table818[[#This Row],[Credit]]-Table818[[#This Row],[Debit]]+Table818[[#This Row],[Credit +]]-Table818[[#This Row],[Debit -]],0)</f>
        <v>0</v>
      </c>
      <c r="AD29" s="34">
        <f>IFERROR(IF(AND(OR(Table818[[#This Row],[Classification]]="Expense",Table818[[#This Row],[Classification]]="Cost of Goods Sold"),Table818[[#This Row],[Debit\]]&gt;Table818[[#This Row],[Credit.]]),Table818[[#This Row],[Debit\]]-Table818[[#This Row],[Credit.]],""),"")</f>
        <v>3516485</v>
      </c>
      <c r="AE29" s="34" t="str">
        <f>IFERROR(IF(AND(OR(Table818[[#This Row],[Classification]]="Income",Table818[[#This Row],[Classification]]="Cost of Goods Sold"),Table818[[#This Row],[Credit.]]&gt;Table818[[#This Row],[Debit\]]),Table818[[#This Row],[Credit.]]-Table818[[#This Row],[Debit\]],""),"")</f>
        <v/>
      </c>
      <c r="AF29" s="34"/>
      <c r="AG29" s="34" t="str">
        <f>IFERROR(IF(AND(Table818[[#This Row],[Classification]]="Assets",Table818[[#This Row],[Debit\]]-Table818[[#This Row],[Credit.]]),Table818[[#This Row],[Debit\]]-Table818[[#This Row],[Credit.]],""),"")</f>
        <v/>
      </c>
      <c r="AH29" s="34" t="str">
        <f>IFERROR(IF(AND(OR(Table818[[#This Row],[Classification]]="Liabilities",Table818[[#This Row],[Classification]]="Owner´s Equity"),Table818[[#This Row],[Credit.]]&gt;Table818[[#This Row],[Debit\]]),Table818[[#This Row],[Credit.]]-Table818[[#This Row],[Debit\]],""),"")</f>
        <v/>
      </c>
    </row>
    <row r="30" spans="2:34" x14ac:dyDescent="0.25">
      <c r="B30" s="34"/>
      <c r="C30" s="37" t="s">
        <v>84</v>
      </c>
      <c r="D30" s="34"/>
      <c r="E30" s="34">
        <v>4840392.6399999997</v>
      </c>
      <c r="G30" s="39"/>
      <c r="H30" s="40" t="s">
        <v>147</v>
      </c>
      <c r="I30" s="41">
        <v>1379881</v>
      </c>
      <c r="J30" s="41"/>
      <c r="L30" s="34">
        <v>23</v>
      </c>
      <c r="M30" s="35" t="s">
        <v>141</v>
      </c>
      <c r="N30" s="35" t="s">
        <v>85</v>
      </c>
      <c r="O30" s="34">
        <f>IFERROR(SUMIF(Table415[,],Table617[[#This Row],[Accounts Name]],Table415[,3]),"")</f>
        <v>0</v>
      </c>
      <c r="P30" s="34">
        <f>IFERROR(SUMIF(Table415[,],Table617[[#This Row],[Accounts Name]],Table415[,2]),"")</f>
        <v>175000</v>
      </c>
      <c r="S30" s="36">
        <f t="shared" si="0"/>
        <v>23</v>
      </c>
      <c r="T30" s="34" t="s">
        <v>61</v>
      </c>
      <c r="U30" s="37" t="s">
        <v>167</v>
      </c>
      <c r="V30" s="34">
        <f>IFERROR(SUMIF(Table617[Sub-Accounts],Table818[[#This Row],[Update your chart of accounts here]],Table617[Debit]),"")</f>
        <v>395822.76</v>
      </c>
      <c r="W30" s="34">
        <f>IFERROR(SUMIF(Table617[Sub-Accounts],Table818[[#This Row],[Update your chart of accounts here]],Table617[Credit]),"")</f>
        <v>0</v>
      </c>
      <c r="X30" s="34"/>
      <c r="Y30" s="34" t="s">
        <v>231</v>
      </c>
      <c r="Z30" s="34">
        <f>I29</f>
        <v>325745</v>
      </c>
      <c r="AA30" s="34"/>
      <c r="AB30" s="34">
        <f>MAX(Table818[[#This Row],[Debit]]+Table818[[#This Row],[Debit -]]-Table818[[#This Row],[Credit]]-Table818[[#This Row],[Credit +]],0)</f>
        <v>721567.76</v>
      </c>
      <c r="AC30" s="34">
        <f>MAX(Table818[[#This Row],[Credit]]-Table818[[#This Row],[Debit]]+Table818[[#This Row],[Credit +]]-Table818[[#This Row],[Debit -]],0)</f>
        <v>0</v>
      </c>
      <c r="AD30" s="34">
        <f>IFERROR(IF(AND(OR(Table818[[#This Row],[Classification]]="Expense",Table818[[#This Row],[Classification]]="Cost of Goods Sold"),Table818[[#This Row],[Debit\]]&gt;Table818[[#This Row],[Credit.]]),Table818[[#This Row],[Debit\]]-Table818[[#This Row],[Credit.]],""),"")</f>
        <v>721567.76</v>
      </c>
      <c r="AE30" s="34" t="str">
        <f>IFERROR(IF(AND(OR(Table818[[#This Row],[Classification]]="Income",Table818[[#This Row],[Classification]]="Cost of Goods Sold"),Table818[[#This Row],[Credit.]]&gt;Table818[[#This Row],[Debit\]]),Table818[[#This Row],[Credit.]]-Table818[[#This Row],[Debit\]],""),"")</f>
        <v/>
      </c>
      <c r="AF30" s="34"/>
      <c r="AG30" s="34" t="str">
        <f>IFERROR(IF(AND(Table818[[#This Row],[Classification]]="Assets",Table818[[#This Row],[Debit\]]-Table818[[#This Row],[Credit.]]),Table818[[#This Row],[Debit\]]-Table818[[#This Row],[Credit.]],""),"")</f>
        <v/>
      </c>
      <c r="AH30" s="34" t="str">
        <f>IFERROR(IF(AND(OR(Table818[[#This Row],[Classification]]="Liabilities",Table818[[#This Row],[Classification]]="Owner´s Equity"),Table818[[#This Row],[Credit.]]&gt;Table818[[#This Row],[Debit\]]),Table818[[#This Row],[Credit.]]-Table818[[#This Row],[Debit\]],""),"")</f>
        <v/>
      </c>
    </row>
    <row r="31" spans="2:34" x14ac:dyDescent="0.25">
      <c r="B31" s="34"/>
      <c r="C31" s="37" t="s">
        <v>85</v>
      </c>
      <c r="D31" s="34"/>
      <c r="E31" s="34">
        <v>175000</v>
      </c>
      <c r="G31" s="39"/>
      <c r="H31" s="40" t="s">
        <v>176</v>
      </c>
      <c r="I31" s="41"/>
      <c r="J31" s="41">
        <v>2551250</v>
      </c>
      <c r="L31" s="34">
        <v>24</v>
      </c>
      <c r="M31" s="35" t="s">
        <v>141</v>
      </c>
      <c r="N31" s="35" t="s">
        <v>86</v>
      </c>
      <c r="O31" s="34">
        <f>IFERROR(SUMIF(Table415[,],Table617[[#This Row],[Accounts Name]],Table415[,3]),"")</f>
        <v>0</v>
      </c>
      <c r="P31" s="34">
        <f>IFERROR(SUMIF(Table415[,],Table617[[#This Row],[Accounts Name]],Table415[,2]),"")</f>
        <v>100000</v>
      </c>
      <c r="S31" s="36">
        <f t="shared" si="0"/>
        <v>24</v>
      </c>
      <c r="T31" s="34" t="s">
        <v>61</v>
      </c>
      <c r="U31" s="37" t="s">
        <v>166</v>
      </c>
      <c r="V31" s="34">
        <f>IFERROR(SUMIF(Table617[Sub-Accounts],Table818[[#This Row],[Update your chart of accounts here]],Table617[Debit]),"")</f>
        <v>1409746.56</v>
      </c>
      <c r="W31" s="34">
        <f>IFERROR(SUMIF(Table617[Sub-Accounts],Table818[[#This Row],[Update your chart of accounts here]],Table617[Credit]),"")</f>
        <v>0</v>
      </c>
      <c r="X31" s="34"/>
      <c r="Y31" s="34"/>
      <c r="Z31" s="34"/>
      <c r="AA31" s="34"/>
      <c r="AB31" s="34">
        <f>MAX(Table818[[#This Row],[Debit]]+Table818[[#This Row],[Debit -]]-Table818[[#This Row],[Credit]]-Table818[[#This Row],[Credit +]],0)</f>
        <v>1409746.56</v>
      </c>
      <c r="AC31" s="34">
        <f>MAX(Table818[[#This Row],[Credit]]-Table818[[#This Row],[Debit]]+Table818[[#This Row],[Credit +]]-Table818[[#This Row],[Debit -]],0)</f>
        <v>0</v>
      </c>
      <c r="AD31" s="34">
        <f>IFERROR(IF(AND(OR(Table818[[#This Row],[Classification]]="Expense",Table818[[#This Row],[Classification]]="Cost of Goods Sold"),Table818[[#This Row],[Debit\]]&gt;Table818[[#This Row],[Credit.]]),Table818[[#This Row],[Debit\]]-Table818[[#This Row],[Credit.]],""),"")</f>
        <v>1409746.56</v>
      </c>
      <c r="AE31" s="34" t="str">
        <f>IFERROR(IF(AND(OR(Table818[[#This Row],[Classification]]="Income",Table818[[#This Row],[Classification]]="Cost of Goods Sold"),Table818[[#This Row],[Credit.]]&gt;Table818[[#This Row],[Debit\]]),Table818[[#This Row],[Credit.]]-Table818[[#This Row],[Debit\]],""),"")</f>
        <v/>
      </c>
      <c r="AF31" s="34"/>
      <c r="AG31" s="34" t="str">
        <f>IFERROR(IF(AND(Table818[[#This Row],[Classification]]="Assets",Table818[[#This Row],[Debit\]]-Table818[[#This Row],[Credit.]]),Table818[[#This Row],[Debit\]]-Table818[[#This Row],[Credit.]],""),"")</f>
        <v/>
      </c>
      <c r="AH31" s="34" t="str">
        <f>IFERROR(IF(AND(OR(Table818[[#This Row],[Classification]]="Liabilities",Table818[[#This Row],[Classification]]="Owner´s Equity"),Table818[[#This Row],[Credit.]]&gt;Table818[[#This Row],[Debit\]]),Table818[[#This Row],[Credit.]]-Table818[[#This Row],[Debit\]],""),"")</f>
        <v/>
      </c>
    </row>
    <row r="32" spans="2:34" ht="16.5" x14ac:dyDescent="0.35">
      <c r="B32" s="34"/>
      <c r="C32" s="37" t="s">
        <v>86</v>
      </c>
      <c r="D32" s="34"/>
      <c r="E32" s="34">
        <v>100000</v>
      </c>
      <c r="G32" s="44"/>
      <c r="H32" s="43" t="s">
        <v>190</v>
      </c>
      <c r="I32" s="41"/>
      <c r="J32" s="41"/>
      <c r="L32" s="34">
        <v>25</v>
      </c>
      <c r="M32" s="35" t="s">
        <v>141</v>
      </c>
      <c r="N32" s="35" t="s">
        <v>87</v>
      </c>
      <c r="O32" s="34">
        <f>IFERROR(SUMIF(Table415[,],Table617[[#This Row],[Accounts Name]],Table415[,3]),"")</f>
        <v>0</v>
      </c>
      <c r="P32" s="34">
        <f>IFERROR(SUMIF(Table415[,],Table617[[#This Row],[Accounts Name]],Table415[,2]),"")</f>
        <v>10050</v>
      </c>
      <c r="S32" s="36">
        <f t="shared" si="0"/>
        <v>25</v>
      </c>
      <c r="T32" s="34" t="s">
        <v>61</v>
      </c>
      <c r="U32" s="37" t="s">
        <v>175</v>
      </c>
      <c r="V32" s="34">
        <f>IFERROR(SUMIF(Table617[Sub-Accounts],Table818[[#This Row],[Update your chart of accounts here]],Table617[Debit]),"")</f>
        <v>0</v>
      </c>
      <c r="W32" s="34">
        <f>IFERROR(SUMIF(Table617[Sub-Accounts],Table818[[#This Row],[Update your chart of accounts here]],Table617[Credit]),"")</f>
        <v>0</v>
      </c>
      <c r="X32" s="34"/>
      <c r="Y32" s="34" t="s">
        <v>231</v>
      </c>
      <c r="Z32" s="34">
        <f>I27</f>
        <v>845624</v>
      </c>
      <c r="AA32" s="34"/>
      <c r="AB32" s="34">
        <f>MAX(Table818[[#This Row],[Debit]]+Table818[[#This Row],[Debit -]]-Table818[[#This Row],[Credit]]-Table818[[#This Row],[Credit +]],0)</f>
        <v>845624</v>
      </c>
      <c r="AC32" s="34">
        <f>MAX(Table818[[#This Row],[Credit]]-Table818[[#This Row],[Debit]]+Table818[[#This Row],[Credit +]]-Table818[[#This Row],[Debit -]],0)</f>
        <v>0</v>
      </c>
      <c r="AD32" s="34">
        <f>IFERROR(IF(AND(OR(Table818[[#This Row],[Classification]]="Expense",Table818[[#This Row],[Classification]]="Cost of Goods Sold"),Table818[[#This Row],[Debit\]]&gt;Table818[[#This Row],[Credit.]]),Table818[[#This Row],[Debit\]]-Table818[[#This Row],[Credit.]],""),"")</f>
        <v>845624</v>
      </c>
      <c r="AE32" s="34" t="str">
        <f>IFERROR(IF(AND(OR(Table818[[#This Row],[Classification]]="Income",Table818[[#This Row],[Classification]]="Cost of Goods Sold"),Table818[[#This Row],[Credit.]]&gt;Table818[[#This Row],[Debit\]]),Table818[[#This Row],[Credit.]]-Table818[[#This Row],[Debit\]],""),"")</f>
        <v/>
      </c>
      <c r="AF32" s="34"/>
      <c r="AG32" s="34" t="str">
        <f>IFERROR(IF(AND(Table818[[#This Row],[Classification]]="Assets",Table818[[#This Row],[Debit\]]-Table818[[#This Row],[Credit.]]),Table818[[#This Row],[Debit\]]-Table818[[#This Row],[Credit.]],""),"")</f>
        <v/>
      </c>
      <c r="AH32" s="34" t="str">
        <f>IFERROR(IF(AND(OR(Table818[[#This Row],[Classification]]="Liabilities",Table818[[#This Row],[Classification]]="Owner´s Equity"),Table818[[#This Row],[Credit.]]&gt;Table818[[#This Row],[Debit\]]),Table818[[#This Row],[Credit.]]-Table818[[#This Row],[Debit\]],""),"")</f>
        <v/>
      </c>
    </row>
    <row r="33" spans="2:34" x14ac:dyDescent="0.25">
      <c r="B33" s="34"/>
      <c r="C33" s="37" t="s">
        <v>87</v>
      </c>
      <c r="D33" s="34"/>
      <c r="E33" s="34">
        <v>10050</v>
      </c>
      <c r="G33" s="39"/>
      <c r="H33" s="40"/>
      <c r="I33" s="41"/>
      <c r="J33" s="41"/>
      <c r="L33" s="34">
        <v>26</v>
      </c>
      <c r="M33" s="35" t="s">
        <v>141</v>
      </c>
      <c r="N33" s="35" t="s">
        <v>88</v>
      </c>
      <c r="O33" s="34">
        <f>IFERROR(SUMIF(Table415[,],Table617[[#This Row],[Accounts Name]],Table415[,3]),"")</f>
        <v>0</v>
      </c>
      <c r="P33" s="34">
        <f>IFERROR(SUMIF(Table415[,],Table617[[#This Row],[Accounts Name]],Table415[,2]),"")</f>
        <v>4800</v>
      </c>
      <c r="S33" s="36">
        <f t="shared" si="0"/>
        <v>26</v>
      </c>
      <c r="T33" s="34" t="s">
        <v>61</v>
      </c>
      <c r="U33" s="37" t="s">
        <v>154</v>
      </c>
      <c r="V33" s="34">
        <f>IFERROR(SUMIF(Table617[Sub-Accounts],Table818[[#This Row],[Update your chart of accounts here]],Table617[Debit]),"")</f>
        <v>2500001</v>
      </c>
      <c r="W33" s="34">
        <f>IFERROR(SUMIF(Table617[Sub-Accounts],Table818[[#This Row],[Update your chart of accounts here]],Table617[Credit]),"")</f>
        <v>0</v>
      </c>
      <c r="X33" s="34"/>
      <c r="Y33" s="34"/>
      <c r="Z33" s="34"/>
      <c r="AA33" s="34"/>
      <c r="AB33" s="34">
        <f>MAX(Table818[[#This Row],[Debit]]+Table818[[#This Row],[Debit -]]-Table818[[#This Row],[Credit]]-Table818[[#This Row],[Credit +]],0)</f>
        <v>2500001</v>
      </c>
      <c r="AC33" s="34">
        <f>MAX(Table818[[#This Row],[Credit]]-Table818[[#This Row],[Debit]]+Table818[[#This Row],[Credit +]]-Table818[[#This Row],[Debit -]],0)</f>
        <v>0</v>
      </c>
      <c r="AD33" s="34">
        <f>IFERROR(IF(AND(OR(Table818[[#This Row],[Classification]]="Expense",Table818[[#This Row],[Classification]]="Cost of Goods Sold"),Table818[[#This Row],[Debit\]]&gt;Table818[[#This Row],[Credit.]]),Table818[[#This Row],[Debit\]]-Table818[[#This Row],[Credit.]],""),"")</f>
        <v>2500001</v>
      </c>
      <c r="AE33" s="34" t="str">
        <f>IFERROR(IF(AND(OR(Table818[[#This Row],[Classification]]="Income",Table818[[#This Row],[Classification]]="Cost of Goods Sold"),Table818[[#This Row],[Credit.]]&gt;Table818[[#This Row],[Debit\]]),Table818[[#This Row],[Credit.]]-Table818[[#This Row],[Debit\]],""),"")</f>
        <v/>
      </c>
      <c r="AF33" s="34"/>
      <c r="AG33" s="34" t="str">
        <f>IFERROR(IF(AND(Table818[[#This Row],[Classification]]="Assets",Table818[[#This Row],[Debit\]]-Table818[[#This Row],[Credit.]]),Table818[[#This Row],[Debit\]]-Table818[[#This Row],[Credit.]],""),"")</f>
        <v/>
      </c>
      <c r="AH33" s="34" t="str">
        <f>IFERROR(IF(AND(OR(Table818[[#This Row],[Classification]]="Liabilities",Table818[[#This Row],[Classification]]="Owner´s Equity"),Table818[[#This Row],[Credit.]]&gt;Table818[[#This Row],[Debit\]]),Table818[[#This Row],[Credit.]]-Table818[[#This Row],[Debit\]],""),"")</f>
        <v/>
      </c>
    </row>
    <row r="34" spans="2:34" x14ac:dyDescent="0.25">
      <c r="B34" s="34"/>
      <c r="C34" s="37" t="s">
        <v>88</v>
      </c>
      <c r="D34" s="34"/>
      <c r="E34" s="34">
        <v>4800</v>
      </c>
      <c r="G34" s="39"/>
      <c r="H34" s="40"/>
      <c r="I34" s="41"/>
      <c r="J34" s="41"/>
      <c r="L34" s="34">
        <v>27</v>
      </c>
      <c r="M34" s="35" t="s">
        <v>141</v>
      </c>
      <c r="N34" s="35" t="s">
        <v>89</v>
      </c>
      <c r="O34" s="34">
        <f>IFERROR(SUMIF(Table415[,],Table617[[#This Row],[Accounts Name]],Table415[,3]),"")</f>
        <v>0</v>
      </c>
      <c r="P34" s="34">
        <f>IFERROR(SUMIF(Table415[,],Table617[[#This Row],[Accounts Name]],Table415[,2]),"")</f>
        <v>110610</v>
      </c>
      <c r="S34" s="36">
        <f t="shared" si="0"/>
        <v>27</v>
      </c>
      <c r="T34" s="34" t="s">
        <v>61</v>
      </c>
      <c r="U34" s="37" t="s">
        <v>161</v>
      </c>
      <c r="V34" s="34">
        <f>IFERROR(SUMIF(Table617[Sub-Accounts],Table818[[#This Row],[Update your chart of accounts here]],Table617[Debit]),"")</f>
        <v>77850</v>
      </c>
      <c r="W34" s="34">
        <f>IFERROR(SUMIF(Table617[Sub-Accounts],Table818[[#This Row],[Update your chart of accounts here]],Table617[Credit]),"")</f>
        <v>0</v>
      </c>
      <c r="X34" s="34"/>
      <c r="Y34" s="34"/>
      <c r="Z34" s="34"/>
      <c r="AA34" s="34"/>
      <c r="AB34" s="34">
        <f>MAX(Table818[[#This Row],[Debit]]+Table818[[#This Row],[Debit -]]-Table818[[#This Row],[Credit]]-Table818[[#This Row],[Credit +]],0)</f>
        <v>77850</v>
      </c>
      <c r="AC34" s="34">
        <f>MAX(Table818[[#This Row],[Credit]]-Table818[[#This Row],[Debit]]+Table818[[#This Row],[Credit +]]-Table818[[#This Row],[Debit -]],0)</f>
        <v>0</v>
      </c>
      <c r="AD34" s="34">
        <f>IFERROR(IF(AND(OR(Table818[[#This Row],[Classification]]="Expense",Table818[[#This Row],[Classification]]="Cost of Goods Sold"),Table818[[#This Row],[Debit\]]&gt;Table818[[#This Row],[Credit.]]),Table818[[#This Row],[Debit\]]-Table818[[#This Row],[Credit.]],""),"")</f>
        <v>77850</v>
      </c>
      <c r="AE34" s="34" t="str">
        <f>IFERROR(IF(AND(OR(Table818[[#This Row],[Classification]]="Income",Table818[[#This Row],[Classification]]="Cost of Goods Sold"),Table818[[#This Row],[Credit.]]&gt;Table818[[#This Row],[Debit\]]),Table818[[#This Row],[Credit.]]-Table818[[#This Row],[Debit\]],""),"")</f>
        <v/>
      </c>
      <c r="AF34" s="34"/>
      <c r="AG34" s="34" t="str">
        <f>IFERROR(IF(AND(Table818[[#This Row],[Classification]]="Assets",Table818[[#This Row],[Debit\]]-Table818[[#This Row],[Credit.]]),Table818[[#This Row],[Debit\]]-Table818[[#This Row],[Credit.]],""),"")</f>
        <v/>
      </c>
      <c r="AH34" s="34" t="str">
        <f>IFERROR(IF(AND(OR(Table818[[#This Row],[Classification]]="Liabilities",Table818[[#This Row],[Classification]]="Owner´s Equity"),Table818[[#This Row],[Credit.]]&gt;Table818[[#This Row],[Debit\]]),Table818[[#This Row],[Credit.]]-Table818[[#This Row],[Debit\]],""),"")</f>
        <v/>
      </c>
    </row>
    <row r="35" spans="2:34" x14ac:dyDescent="0.25">
      <c r="B35" s="34"/>
      <c r="C35" s="37" t="s">
        <v>89</v>
      </c>
      <c r="D35" s="34"/>
      <c r="E35" s="34">
        <v>110610</v>
      </c>
      <c r="G35" s="39"/>
      <c r="H35" s="43"/>
      <c r="I35" s="41"/>
      <c r="J35" s="41"/>
      <c r="L35" s="34">
        <v>28</v>
      </c>
      <c r="M35" s="35" t="s">
        <v>141</v>
      </c>
      <c r="N35" s="35" t="s">
        <v>90</v>
      </c>
      <c r="O35" s="34">
        <f>IFERROR(SUMIF(Table415[,],Table617[[#This Row],[Accounts Name]],Table415[,3]),"")</f>
        <v>0</v>
      </c>
      <c r="P35" s="34">
        <f>IFERROR(SUMIF(Table415[,],Table617[[#This Row],[Accounts Name]],Table415[,2]),"")</f>
        <v>33200</v>
      </c>
      <c r="S35" s="36">
        <f t="shared" si="0"/>
        <v>28</v>
      </c>
      <c r="T35" s="34" t="s">
        <v>61</v>
      </c>
      <c r="U35" s="37" t="s">
        <v>162</v>
      </c>
      <c r="V35" s="34">
        <f>IFERROR(SUMIF(Table617[Sub-Accounts],Table818[[#This Row],[Update your chart of accounts here]],Table617[Debit]),"")</f>
        <v>268183.07</v>
      </c>
      <c r="W35" s="34">
        <f>IFERROR(SUMIF(Table617[Sub-Accounts],Table818[[#This Row],[Update your chart of accounts here]],Table617[Credit]),"")</f>
        <v>0</v>
      </c>
      <c r="X35" s="34"/>
      <c r="Y35" s="34"/>
      <c r="Z35" s="34">
        <f>I28</f>
        <v>0</v>
      </c>
      <c r="AA35" s="34"/>
      <c r="AB35" s="34">
        <f>MAX(Table818[[#This Row],[Debit]]+Table818[[#This Row],[Debit -]]-Table818[[#This Row],[Credit]]-Table818[[#This Row],[Credit +]],0)</f>
        <v>268183.07</v>
      </c>
      <c r="AC35" s="34">
        <f>MAX(Table818[[#This Row],[Credit]]-Table818[[#This Row],[Debit]]+Table818[[#This Row],[Credit +]]-Table818[[#This Row],[Debit -]],0)</f>
        <v>0</v>
      </c>
      <c r="AD35" s="34">
        <f>IFERROR(IF(AND(OR(Table818[[#This Row],[Classification]]="Expense",Table818[[#This Row],[Classification]]="Cost of Goods Sold"),Table818[[#This Row],[Debit\]]&gt;Table818[[#This Row],[Credit.]]),Table818[[#This Row],[Debit\]]-Table818[[#This Row],[Credit.]],""),"")</f>
        <v>268183.07</v>
      </c>
      <c r="AE35" s="34" t="str">
        <f>IFERROR(IF(AND(OR(Table818[[#This Row],[Classification]]="Income",Table818[[#This Row],[Classification]]="Cost of Goods Sold"),Table818[[#This Row],[Credit.]]&gt;Table818[[#This Row],[Debit\]]),Table818[[#This Row],[Credit.]]-Table818[[#This Row],[Debit\]],""),"")</f>
        <v/>
      </c>
      <c r="AF35" s="34"/>
      <c r="AG35" s="34" t="str">
        <f>IFERROR(IF(AND(Table818[[#This Row],[Classification]]="Assets",Table818[[#This Row],[Debit\]]-Table818[[#This Row],[Credit.]]),Table818[[#This Row],[Debit\]]-Table818[[#This Row],[Credit.]],""),"")</f>
        <v/>
      </c>
      <c r="AH35" s="34" t="str">
        <f>IFERROR(IF(AND(OR(Table818[[#This Row],[Classification]]="Liabilities",Table818[[#This Row],[Classification]]="Owner´s Equity"),Table818[[#This Row],[Credit.]]&gt;Table818[[#This Row],[Debit\]]),Table818[[#This Row],[Credit.]]-Table818[[#This Row],[Debit\]],""),"")</f>
        <v/>
      </c>
    </row>
    <row r="36" spans="2:34" x14ac:dyDescent="0.25">
      <c r="B36" s="34"/>
      <c r="C36" s="37" t="s">
        <v>90</v>
      </c>
      <c r="D36" s="34"/>
      <c r="E36" s="34">
        <v>33200</v>
      </c>
      <c r="G36" s="39"/>
      <c r="H36" s="40"/>
      <c r="I36" s="41"/>
      <c r="J36" s="41"/>
      <c r="L36" s="34">
        <v>29</v>
      </c>
      <c r="M36" s="35" t="s">
        <v>140</v>
      </c>
      <c r="N36" s="35" t="s">
        <v>91</v>
      </c>
      <c r="O36" s="34">
        <f>IFERROR(SUMIF(Table415[,],Table617[[#This Row],[Accounts Name]],Table415[,3]),"")</f>
        <v>124460</v>
      </c>
      <c r="P36" s="34">
        <f>IFERROR(SUMIF(Table415[,],Table617[[#This Row],[Accounts Name]],Table415[,2]),"")</f>
        <v>0</v>
      </c>
      <c r="S36" s="36">
        <f t="shared" si="0"/>
        <v>29</v>
      </c>
      <c r="T36" s="34" t="s">
        <v>61</v>
      </c>
      <c r="U36" s="37" t="s">
        <v>165</v>
      </c>
      <c r="V36" s="34">
        <f>IFERROR(SUMIF(Table617[Sub-Accounts],Table818[[#This Row],[Update your chart of accounts here]],Table617[Debit]),"")</f>
        <v>653656.38</v>
      </c>
      <c r="W36" s="34">
        <f>IFERROR(SUMIF(Table617[Sub-Accounts],Table818[[#This Row],[Update your chart of accounts here]],Table617[Credit]),"")</f>
        <v>0</v>
      </c>
      <c r="X36" s="34"/>
      <c r="Y36" s="34"/>
      <c r="Z36" s="34"/>
      <c r="AA36" s="34"/>
      <c r="AB36" s="34">
        <f>MAX(Table818[[#This Row],[Debit]]+Table818[[#This Row],[Debit -]]-Table818[[#This Row],[Credit]]-Table818[[#This Row],[Credit +]],0)</f>
        <v>653656.38</v>
      </c>
      <c r="AC36" s="34">
        <f>MAX(Table818[[#This Row],[Credit]]-Table818[[#This Row],[Debit]]+Table818[[#This Row],[Credit +]]-Table818[[#This Row],[Debit -]],0)</f>
        <v>0</v>
      </c>
      <c r="AD36" s="34">
        <f>IFERROR(IF(AND(OR(Table818[[#This Row],[Classification]]="Expense",Table818[[#This Row],[Classification]]="Cost of Goods Sold"),Table818[[#This Row],[Debit\]]&gt;Table818[[#This Row],[Credit.]]),Table818[[#This Row],[Debit\]]-Table818[[#This Row],[Credit.]],""),"")</f>
        <v>653656.38</v>
      </c>
      <c r="AE36" s="34" t="str">
        <f>IFERROR(IF(AND(OR(Table818[[#This Row],[Classification]]="Income",Table818[[#This Row],[Classification]]="Cost of Goods Sold"),Table818[[#This Row],[Credit.]]&gt;Table818[[#This Row],[Debit\]]),Table818[[#This Row],[Credit.]]-Table818[[#This Row],[Debit\]],""),"")</f>
        <v/>
      </c>
      <c r="AF36" s="34"/>
      <c r="AG36" s="34" t="str">
        <f>IFERROR(IF(AND(Table818[[#This Row],[Classification]]="Assets",Table818[[#This Row],[Debit\]]-Table818[[#This Row],[Credit.]]),Table818[[#This Row],[Debit\]]-Table818[[#This Row],[Credit.]],""),"")</f>
        <v/>
      </c>
      <c r="AH36" s="34" t="str">
        <f>IFERROR(IF(AND(OR(Table818[[#This Row],[Classification]]="Liabilities",Table818[[#This Row],[Classification]]="Owner´s Equity"),Table818[[#This Row],[Credit.]]&gt;Table818[[#This Row],[Debit\]]),Table818[[#This Row],[Credit.]]-Table818[[#This Row],[Debit\]],""),"")</f>
        <v/>
      </c>
    </row>
    <row r="37" spans="2:34" x14ac:dyDescent="0.25">
      <c r="B37" s="34"/>
      <c r="C37" s="37" t="s">
        <v>91</v>
      </c>
      <c r="D37" s="34">
        <v>124460</v>
      </c>
      <c r="E37" s="34"/>
      <c r="G37" s="39"/>
      <c r="H37" s="40"/>
      <c r="I37" s="41"/>
      <c r="J37" s="41"/>
      <c r="L37" s="34">
        <v>30</v>
      </c>
      <c r="M37" s="35" t="s">
        <v>144</v>
      </c>
      <c r="N37" s="35" t="s">
        <v>92</v>
      </c>
      <c r="O37" s="34">
        <f>IFERROR(SUMIF(Table415[,],Table617[[#This Row],[Accounts Name]],Table415[,3]),"")</f>
        <v>2228108</v>
      </c>
      <c r="P37" s="34">
        <f>IFERROR(SUMIF(Table415[,],Table617[[#This Row],[Accounts Name]],Table415[,2]),"")</f>
        <v>0</v>
      </c>
      <c r="S37" s="36">
        <f t="shared" si="0"/>
        <v>30</v>
      </c>
      <c r="T37" s="34" t="s">
        <v>61</v>
      </c>
      <c r="U37" s="37" t="s">
        <v>159</v>
      </c>
      <c r="V37" s="34">
        <f>IFERROR(SUMIF(Table617[Sub-Accounts],Table818[[#This Row],[Update your chart of accounts here]],Table617[Debit]),"")</f>
        <v>208578.65</v>
      </c>
      <c r="W37" s="34">
        <f>IFERROR(SUMIF(Table617[Sub-Accounts],Table818[[#This Row],[Update your chart of accounts here]],Table617[Credit]),"")</f>
        <v>0</v>
      </c>
      <c r="X37" s="34"/>
      <c r="Y37" s="34"/>
      <c r="Z37" s="34"/>
      <c r="AA37" s="34"/>
      <c r="AB37" s="34">
        <f>MAX(Table818[[#This Row],[Debit]]+Table818[[#This Row],[Debit -]]-Table818[[#This Row],[Credit]]-Table818[[#This Row],[Credit +]],0)</f>
        <v>208578.65</v>
      </c>
      <c r="AC37" s="34">
        <f>MAX(Table818[[#This Row],[Credit]]-Table818[[#This Row],[Debit]]+Table818[[#This Row],[Credit +]]-Table818[[#This Row],[Debit -]],0)</f>
        <v>0</v>
      </c>
      <c r="AD37" s="34">
        <f>IFERROR(IF(AND(OR(Table818[[#This Row],[Classification]]="Expense",Table818[[#This Row],[Classification]]="Cost of Goods Sold"),Table818[[#This Row],[Debit\]]&gt;Table818[[#This Row],[Credit.]]),Table818[[#This Row],[Debit\]]-Table818[[#This Row],[Credit.]],""),"")</f>
        <v>208578.65</v>
      </c>
      <c r="AE37" s="34" t="str">
        <f>IFERROR(IF(AND(OR(Table818[[#This Row],[Classification]]="Income",Table818[[#This Row],[Classification]]="Cost of Goods Sold"),Table818[[#This Row],[Credit.]]&gt;Table818[[#This Row],[Debit\]]),Table818[[#This Row],[Credit.]]-Table818[[#This Row],[Debit\]],""),"")</f>
        <v/>
      </c>
      <c r="AF37" s="34"/>
      <c r="AG37" s="34" t="str">
        <f>IFERROR(IF(AND(Table818[[#This Row],[Classification]]="Assets",Table818[[#This Row],[Debit\]]-Table818[[#This Row],[Credit.]]),Table818[[#This Row],[Debit\]]-Table818[[#This Row],[Credit.]],""),"")</f>
        <v/>
      </c>
      <c r="AH37" s="34" t="str">
        <f>IFERROR(IF(AND(OR(Table818[[#This Row],[Classification]]="Liabilities",Table818[[#This Row],[Classification]]="Owner´s Equity"),Table818[[#This Row],[Credit.]]&gt;Table818[[#This Row],[Debit\]]),Table818[[#This Row],[Credit.]]-Table818[[#This Row],[Debit\]],""),"")</f>
        <v/>
      </c>
    </row>
    <row r="38" spans="2:34" x14ac:dyDescent="0.25">
      <c r="B38" s="34"/>
      <c r="C38" s="37" t="s">
        <v>92</v>
      </c>
      <c r="D38" s="34">
        <v>2228108</v>
      </c>
      <c r="E38" s="34"/>
      <c r="G38" s="39"/>
      <c r="H38" s="43"/>
      <c r="I38" s="41"/>
      <c r="J38" s="41"/>
      <c r="L38" s="34">
        <v>31</v>
      </c>
      <c r="M38" s="35" t="s">
        <v>140</v>
      </c>
      <c r="N38" s="35" t="s">
        <v>93</v>
      </c>
      <c r="O38" s="34">
        <f>IFERROR(SUMIF(Table415[,],Table617[[#This Row],[Accounts Name]],Table415[,3]),"")</f>
        <v>510902</v>
      </c>
      <c r="P38" s="34">
        <f>IFERROR(SUMIF(Table415[,],Table617[[#This Row],[Accounts Name]],Table415[,2]),"")</f>
        <v>0</v>
      </c>
      <c r="S38" s="36">
        <f t="shared" si="0"/>
        <v>31</v>
      </c>
      <c r="T38" s="34" t="s">
        <v>61</v>
      </c>
      <c r="U38" s="37" t="s">
        <v>157</v>
      </c>
      <c r="V38" s="34">
        <f>IFERROR(SUMIF(Table617[Sub-Accounts],Table818[[#This Row],[Update your chart of accounts here]],Table617[Debit]),"")</f>
        <v>542263</v>
      </c>
      <c r="W38" s="34">
        <f>IFERROR(SUMIF(Table617[Sub-Accounts],Table818[[#This Row],[Update your chart of accounts here]],Table617[Credit]),"")</f>
        <v>0</v>
      </c>
      <c r="X38" s="34"/>
      <c r="Y38" s="34"/>
      <c r="Z38" s="34"/>
      <c r="AA38" s="34"/>
      <c r="AB38" s="34">
        <f>MAX(Table818[[#This Row],[Debit]]+Table818[[#This Row],[Debit -]]-Table818[[#This Row],[Credit]]-Table818[[#This Row],[Credit +]],0)</f>
        <v>542263</v>
      </c>
      <c r="AC38" s="34">
        <f>MAX(Table818[[#This Row],[Credit]]-Table818[[#This Row],[Debit]]+Table818[[#This Row],[Credit +]]-Table818[[#This Row],[Debit -]],0)</f>
        <v>0</v>
      </c>
      <c r="AD38" s="34">
        <f>IFERROR(IF(AND(OR(Table818[[#This Row],[Classification]]="Expense",Table818[[#This Row],[Classification]]="Cost of Goods Sold"),Table818[[#This Row],[Debit\]]&gt;Table818[[#This Row],[Credit.]]),Table818[[#This Row],[Debit\]]-Table818[[#This Row],[Credit.]],""),"")</f>
        <v>542263</v>
      </c>
      <c r="AE38" s="34" t="str">
        <f>IFERROR(IF(AND(OR(Table818[[#This Row],[Classification]]="Income",Table818[[#This Row],[Classification]]="Cost of Goods Sold"),Table818[[#This Row],[Credit.]]&gt;Table818[[#This Row],[Debit\]]),Table818[[#This Row],[Credit.]]-Table818[[#This Row],[Debit\]],""),"")</f>
        <v/>
      </c>
      <c r="AF38" s="34"/>
      <c r="AG38" s="34" t="str">
        <f>IFERROR(IF(AND(Table818[[#This Row],[Classification]]="Assets",Table818[[#This Row],[Debit\]]-Table818[[#This Row],[Credit.]]),Table818[[#This Row],[Debit\]]-Table818[[#This Row],[Credit.]],""),"")</f>
        <v/>
      </c>
      <c r="AH38" s="34" t="str">
        <f>IFERROR(IF(AND(OR(Table818[[#This Row],[Classification]]="Liabilities",Table818[[#This Row],[Classification]]="Owner´s Equity"),Table818[[#This Row],[Credit.]]&gt;Table818[[#This Row],[Debit\]]),Table818[[#This Row],[Credit.]]-Table818[[#This Row],[Debit\]],""),"")</f>
        <v/>
      </c>
    </row>
    <row r="39" spans="2:34" x14ac:dyDescent="0.25">
      <c r="B39" s="34"/>
      <c r="C39" s="37" t="s">
        <v>93</v>
      </c>
      <c r="D39" s="34">
        <v>510902</v>
      </c>
      <c r="E39" s="34"/>
      <c r="G39" s="39"/>
      <c r="H39" s="40"/>
      <c r="I39" s="41"/>
      <c r="J39" s="41"/>
      <c r="L39" s="34">
        <v>32</v>
      </c>
      <c r="M39" s="35" t="s">
        <v>140</v>
      </c>
      <c r="N39" s="35" t="s">
        <v>94</v>
      </c>
      <c r="O39" s="34">
        <f>IFERROR(SUMIF(Table415[,],Table617[[#This Row],[Accounts Name]],Table415[,3]),"")</f>
        <v>1702569</v>
      </c>
      <c r="P39" s="34">
        <f>IFERROR(SUMIF(Table415[,],Table617[[#This Row],[Accounts Name]],Table415[,2]),"")</f>
        <v>0</v>
      </c>
      <c r="S39" s="36">
        <f t="shared" si="0"/>
        <v>32</v>
      </c>
      <c r="T39" s="34" t="s">
        <v>61</v>
      </c>
      <c r="U39" s="37" t="s">
        <v>168</v>
      </c>
      <c r="V39" s="34">
        <f>IFERROR(SUMIF(Table617[Sub-Accounts],Table818[[#This Row],[Update your chart of accounts here]],Table617[Debit]),"")</f>
        <v>302989.64</v>
      </c>
      <c r="W39" s="34">
        <f>IFERROR(SUMIF(Table617[Sub-Accounts],Table818[[#This Row],[Update your chart of accounts here]],Table617[Credit]),"")</f>
        <v>0</v>
      </c>
      <c r="X39" s="34"/>
      <c r="Y39" s="34"/>
      <c r="Z39" s="34"/>
      <c r="AA39" s="34"/>
      <c r="AB39" s="34">
        <f>MAX(Table818[[#This Row],[Debit]]+Table818[[#This Row],[Debit -]]-Table818[[#This Row],[Credit]]-Table818[[#This Row],[Credit +]],0)</f>
        <v>302989.64</v>
      </c>
      <c r="AC39" s="34">
        <f>MAX(Table818[[#This Row],[Credit]]-Table818[[#This Row],[Debit]]+Table818[[#This Row],[Credit +]]-Table818[[#This Row],[Debit -]],0)</f>
        <v>0</v>
      </c>
      <c r="AD39" s="34">
        <f>IFERROR(IF(AND(OR(Table818[[#This Row],[Classification]]="Expense",Table818[[#This Row],[Classification]]="Cost of Goods Sold"),Table818[[#This Row],[Debit\]]&gt;Table818[[#This Row],[Credit.]]),Table818[[#This Row],[Debit\]]-Table818[[#This Row],[Credit.]],""),"")</f>
        <v>302989.64</v>
      </c>
      <c r="AE39" s="34" t="str">
        <f>IFERROR(IF(AND(OR(Table818[[#This Row],[Classification]]="Income",Table818[[#This Row],[Classification]]="Cost of Goods Sold"),Table818[[#This Row],[Credit.]]&gt;Table818[[#This Row],[Debit\]]),Table818[[#This Row],[Credit.]]-Table818[[#This Row],[Debit\]],""),"")</f>
        <v/>
      </c>
      <c r="AF39" s="34"/>
      <c r="AG39" s="34" t="str">
        <f>IFERROR(IF(AND(Table818[[#This Row],[Classification]]="Assets",Table818[[#This Row],[Debit\]]-Table818[[#This Row],[Credit.]]),Table818[[#This Row],[Debit\]]-Table818[[#This Row],[Credit.]],""),"")</f>
        <v/>
      </c>
      <c r="AH39" s="34" t="str">
        <f>IFERROR(IF(AND(OR(Table818[[#This Row],[Classification]]="Liabilities",Table818[[#This Row],[Classification]]="Owner´s Equity"),Table818[[#This Row],[Credit.]]&gt;Table818[[#This Row],[Debit\]]),Table818[[#This Row],[Credit.]]-Table818[[#This Row],[Debit\]],""),"")</f>
        <v/>
      </c>
    </row>
    <row r="40" spans="2:34" x14ac:dyDescent="0.25">
      <c r="B40" s="34"/>
      <c r="C40" s="37" t="s">
        <v>94</v>
      </c>
      <c r="D40" s="34">
        <v>1702569</v>
      </c>
      <c r="E40" s="34"/>
      <c r="G40" s="39"/>
      <c r="H40" s="40"/>
      <c r="I40" s="41"/>
      <c r="J40" s="41"/>
      <c r="L40" s="34">
        <v>33</v>
      </c>
      <c r="M40" s="35" t="s">
        <v>140</v>
      </c>
      <c r="N40" s="35" t="s">
        <v>95</v>
      </c>
      <c r="O40" s="34">
        <f>IFERROR(SUMIF(Table415[,],Table617[[#This Row],[Accounts Name]],Table415[,3]),"")</f>
        <v>735271</v>
      </c>
      <c r="P40" s="34">
        <f>IFERROR(SUMIF(Table415[,],Table617[[#This Row],[Accounts Name]],Table415[,2]),"")</f>
        <v>0</v>
      </c>
      <c r="S40" s="36">
        <f t="shared" si="0"/>
        <v>33</v>
      </c>
      <c r="T40" s="34" t="s">
        <v>61</v>
      </c>
      <c r="U40" s="37" t="s">
        <v>153</v>
      </c>
      <c r="V40" s="34">
        <f>IFERROR(SUMIF(Table617[Sub-Accounts],Table818[[#This Row],[Update your chart of accounts here]],Table617[Debit]),"")</f>
        <v>233250</v>
      </c>
      <c r="W40" s="34">
        <f>IFERROR(SUMIF(Table617[Sub-Accounts],Table818[[#This Row],[Update your chart of accounts here]],Table617[Credit]),"")</f>
        <v>0</v>
      </c>
      <c r="X40" s="34"/>
      <c r="Y40" s="34"/>
      <c r="Z40" s="34"/>
      <c r="AA40" s="34"/>
      <c r="AB40" s="34">
        <f>MAX(Table818[[#This Row],[Debit]]+Table818[[#This Row],[Debit -]]-Table818[[#This Row],[Credit]]-Table818[[#This Row],[Credit +]],0)</f>
        <v>233250</v>
      </c>
      <c r="AC40" s="34">
        <f>MAX(Table818[[#This Row],[Credit]]-Table818[[#This Row],[Debit]]+Table818[[#This Row],[Credit +]]-Table818[[#This Row],[Debit -]],0)</f>
        <v>0</v>
      </c>
      <c r="AD40" s="34">
        <f>IFERROR(IF(AND(OR(Table818[[#This Row],[Classification]]="Expense",Table818[[#This Row],[Classification]]="Cost of Goods Sold"),Table818[[#This Row],[Debit\]]&gt;Table818[[#This Row],[Credit.]]),Table818[[#This Row],[Debit\]]-Table818[[#This Row],[Credit.]],""),"")</f>
        <v>233250</v>
      </c>
      <c r="AE40" s="34" t="str">
        <f>IFERROR(IF(AND(OR(Table818[[#This Row],[Classification]]="Income",Table818[[#This Row],[Classification]]="Cost of Goods Sold"),Table818[[#This Row],[Credit.]]&gt;Table818[[#This Row],[Debit\]]),Table818[[#This Row],[Credit.]]-Table818[[#This Row],[Debit\]],""),"")</f>
        <v/>
      </c>
      <c r="AF40" s="34"/>
      <c r="AG40" s="34" t="str">
        <f>IFERROR(IF(AND(Table818[[#This Row],[Classification]]="Assets",Table818[[#This Row],[Debit\]]-Table818[[#This Row],[Credit.]]),Table818[[#This Row],[Debit\]]-Table818[[#This Row],[Credit.]],""),"")</f>
        <v/>
      </c>
      <c r="AH40" s="34" t="str">
        <f>IFERROR(IF(AND(OR(Table818[[#This Row],[Classification]]="Liabilities",Table818[[#This Row],[Classification]]="Owner´s Equity"),Table818[[#This Row],[Credit.]]&gt;Table818[[#This Row],[Debit\]]),Table818[[#This Row],[Credit.]]-Table818[[#This Row],[Debit\]],""),"")</f>
        <v/>
      </c>
    </row>
    <row r="41" spans="2:34" x14ac:dyDescent="0.25">
      <c r="B41" s="34"/>
      <c r="C41" s="37" t="s">
        <v>95</v>
      </c>
      <c r="D41" s="34">
        <v>735271</v>
      </c>
      <c r="E41" s="34"/>
      <c r="G41" s="39"/>
      <c r="H41" s="43"/>
      <c r="I41" s="41"/>
      <c r="J41" s="41"/>
      <c r="L41" s="34">
        <v>34</v>
      </c>
      <c r="M41" s="35" t="s">
        <v>141</v>
      </c>
      <c r="N41" s="35" t="s">
        <v>96</v>
      </c>
      <c r="O41" s="34">
        <f>IFERROR(SUMIF(Table415[,],Table617[[#This Row],[Accounts Name]],Table415[,3]),"")</f>
        <v>0</v>
      </c>
      <c r="P41" s="34">
        <f>IFERROR(SUMIF(Table415[,],Table617[[#This Row],[Accounts Name]],Table415[,2]),"")</f>
        <v>1318131</v>
      </c>
      <c r="S41" s="36">
        <f t="shared" si="0"/>
        <v>34</v>
      </c>
      <c r="T41" s="34" t="s">
        <v>61</v>
      </c>
      <c r="U41" s="37" t="s">
        <v>152</v>
      </c>
      <c r="V41" s="34">
        <f>IFERROR(SUMIF(Table617[Sub-Accounts],Table818[[#This Row],[Update your chart of accounts here]],Table617[Debit]),"")</f>
        <v>51948.32</v>
      </c>
      <c r="W41" s="34">
        <f>IFERROR(SUMIF(Table617[Sub-Accounts],Table818[[#This Row],[Update your chart of accounts here]],Table617[Credit]),"")</f>
        <v>0</v>
      </c>
      <c r="X41" s="34"/>
      <c r="Y41" s="34"/>
      <c r="Z41" s="34"/>
      <c r="AA41" s="34"/>
      <c r="AB41" s="34">
        <f>MAX(Table818[[#This Row],[Debit]]+Table818[[#This Row],[Debit -]]-Table818[[#This Row],[Credit]]-Table818[[#This Row],[Credit +]],0)</f>
        <v>51948.32</v>
      </c>
      <c r="AC41" s="34">
        <f>MAX(Table818[[#This Row],[Credit]]-Table818[[#This Row],[Debit]]+Table818[[#This Row],[Credit +]]-Table818[[#This Row],[Debit -]],0)</f>
        <v>0</v>
      </c>
      <c r="AD41" s="34">
        <f>IFERROR(IF(AND(OR(Table818[[#This Row],[Classification]]="Expense",Table818[[#This Row],[Classification]]="Cost of Goods Sold"),Table818[[#This Row],[Debit\]]&gt;Table818[[#This Row],[Credit.]]),Table818[[#This Row],[Debit\]]-Table818[[#This Row],[Credit.]],""),"")</f>
        <v>51948.32</v>
      </c>
      <c r="AE41" s="34" t="str">
        <f>IFERROR(IF(AND(OR(Table818[[#This Row],[Classification]]="Income",Table818[[#This Row],[Classification]]="Cost of Goods Sold"),Table818[[#This Row],[Credit.]]&gt;Table818[[#This Row],[Debit\]]),Table818[[#This Row],[Credit.]]-Table818[[#This Row],[Debit\]],""),"")</f>
        <v/>
      </c>
      <c r="AF41" s="34"/>
      <c r="AG41" s="34" t="str">
        <f>IFERROR(IF(AND(Table818[[#This Row],[Classification]]="Assets",Table818[[#This Row],[Debit\]]-Table818[[#This Row],[Credit.]]),Table818[[#This Row],[Debit\]]-Table818[[#This Row],[Credit.]],""),"")</f>
        <v/>
      </c>
      <c r="AH41" s="34" t="str">
        <f>IFERROR(IF(AND(OR(Table818[[#This Row],[Classification]]="Liabilities",Table818[[#This Row],[Classification]]="Owner´s Equity"),Table818[[#This Row],[Credit.]]&gt;Table818[[#This Row],[Debit\]]),Table818[[#This Row],[Credit.]]-Table818[[#This Row],[Debit\]],""),"")</f>
        <v/>
      </c>
    </row>
    <row r="42" spans="2:34" x14ac:dyDescent="0.25">
      <c r="B42" s="34"/>
      <c r="C42" s="37" t="s">
        <v>96</v>
      </c>
      <c r="D42" s="34"/>
      <c r="E42" s="34">
        <v>1318131</v>
      </c>
      <c r="G42" s="39"/>
      <c r="H42" s="40"/>
      <c r="I42" s="41"/>
      <c r="J42" s="41"/>
      <c r="L42" s="34">
        <v>35</v>
      </c>
      <c r="M42" s="35" t="s">
        <v>145</v>
      </c>
      <c r="N42" s="35" t="s">
        <v>97</v>
      </c>
      <c r="O42" s="34">
        <f>IFERROR(SUMIF(Table415[,],Table617[[#This Row],[Accounts Name]],Table415[,3]),"")</f>
        <v>0</v>
      </c>
      <c r="P42" s="34">
        <f>IFERROR(SUMIF(Table415[,],Table617[[#This Row],[Accounts Name]],Table415[,2]),"")</f>
        <v>11852079.26</v>
      </c>
      <c r="S42" s="36">
        <f t="shared" si="0"/>
        <v>35</v>
      </c>
      <c r="T42" s="34" t="s">
        <v>61</v>
      </c>
      <c r="U42" s="37" t="s">
        <v>156</v>
      </c>
      <c r="V42" s="34">
        <f>IFERROR(SUMIF(Table617[Sub-Accounts],Table818[[#This Row],[Update your chart of accounts here]],Table617[Debit]),"")</f>
        <v>219706</v>
      </c>
      <c r="W42" s="34">
        <f>IFERROR(SUMIF(Table617[Sub-Accounts],Table818[[#This Row],[Update your chart of accounts here]],Table617[Credit]),"")</f>
        <v>0</v>
      </c>
      <c r="X42" s="34"/>
      <c r="Y42" s="34"/>
      <c r="Z42" s="34"/>
      <c r="AA42" s="34"/>
      <c r="AB42" s="34">
        <f>MAX(Table818[[#This Row],[Debit]]+Table818[[#This Row],[Debit -]]-Table818[[#This Row],[Credit]]-Table818[[#This Row],[Credit +]],0)</f>
        <v>219706</v>
      </c>
      <c r="AC42" s="34">
        <f>MAX(Table818[[#This Row],[Credit]]-Table818[[#This Row],[Debit]]+Table818[[#This Row],[Credit +]]-Table818[[#This Row],[Debit -]],0)</f>
        <v>0</v>
      </c>
      <c r="AD42" s="34">
        <f>IFERROR(IF(AND(OR(Table818[[#This Row],[Classification]]="Expense",Table818[[#This Row],[Classification]]="Cost of Goods Sold"),Table818[[#This Row],[Debit\]]&gt;Table818[[#This Row],[Credit.]]),Table818[[#This Row],[Debit\]]-Table818[[#This Row],[Credit.]],""),"")</f>
        <v>219706</v>
      </c>
      <c r="AE42" s="34" t="str">
        <f>IFERROR(IF(AND(OR(Table818[[#This Row],[Classification]]="Income",Table818[[#This Row],[Classification]]="Cost of Goods Sold"),Table818[[#This Row],[Credit.]]&gt;Table818[[#This Row],[Debit\]]),Table818[[#This Row],[Credit.]]-Table818[[#This Row],[Debit\]],""),"")</f>
        <v/>
      </c>
      <c r="AF42" s="34"/>
      <c r="AG42" s="34" t="str">
        <f>IFERROR(IF(AND(Table818[[#This Row],[Classification]]="Assets",Table818[[#This Row],[Debit\]]-Table818[[#This Row],[Credit.]]),Table818[[#This Row],[Debit\]]-Table818[[#This Row],[Credit.]],""),"")</f>
        <v/>
      </c>
      <c r="AH42" s="34" t="str">
        <f>IFERROR(IF(AND(OR(Table818[[#This Row],[Classification]]="Liabilities",Table818[[#This Row],[Classification]]="Owner´s Equity"),Table818[[#This Row],[Credit.]]&gt;Table818[[#This Row],[Debit\]]),Table818[[#This Row],[Credit.]]-Table818[[#This Row],[Debit\]],""),"")</f>
        <v/>
      </c>
    </row>
    <row r="43" spans="2:34" x14ac:dyDescent="0.25">
      <c r="B43" s="34"/>
      <c r="C43" s="37" t="s">
        <v>97</v>
      </c>
      <c r="D43" s="34"/>
      <c r="E43" s="34">
        <v>11852079.26</v>
      </c>
      <c r="G43" s="39"/>
      <c r="H43" s="40"/>
      <c r="I43" s="41"/>
      <c r="J43" s="41"/>
      <c r="L43" s="34">
        <v>36</v>
      </c>
      <c r="M43" s="35" t="s">
        <v>146</v>
      </c>
      <c r="N43" s="35" t="s">
        <v>98</v>
      </c>
      <c r="O43" s="34">
        <f>IFERROR(SUMIF(Table415[,],Table617[[#This Row],[Accounts Name]],Table415[,3]),"")</f>
        <v>0</v>
      </c>
      <c r="P43" s="34">
        <f>IFERROR(SUMIF(Table415[,],Table617[[#This Row],[Accounts Name]],Table415[,2]),"")</f>
        <v>400</v>
      </c>
      <c r="S43" s="36">
        <f t="shared" si="0"/>
        <v>36</v>
      </c>
      <c r="T43" s="34" t="s">
        <v>61</v>
      </c>
      <c r="U43" s="37" t="s">
        <v>217</v>
      </c>
      <c r="V43" s="34">
        <f>IFERROR(SUMIF(Table617[Sub-Accounts],Table818[[#This Row],[Update your chart of accounts here]],Table617[Debit]),"")</f>
        <v>0</v>
      </c>
      <c r="W43" s="34">
        <f>IFERROR(SUMIF(Table617[Sub-Accounts],Table818[[#This Row],[Update your chart of accounts here]],Table617[Credit]),"")</f>
        <v>0</v>
      </c>
      <c r="X43" s="34"/>
      <c r="Y43" s="34"/>
      <c r="Z43" s="34"/>
      <c r="AA43" s="34"/>
      <c r="AB43" s="34">
        <f>MAX(Table818[[#This Row],[Debit]]+Table818[[#This Row],[Debit -]]-Table818[[#This Row],[Credit]]-Table818[[#This Row],[Credit +]],0)</f>
        <v>0</v>
      </c>
      <c r="AC43" s="34">
        <f>MAX(Table818[[#This Row],[Credit]]-Table818[[#This Row],[Debit]]+Table818[[#This Row],[Credit +]]-Table818[[#This Row],[Debit -]],0)</f>
        <v>0</v>
      </c>
      <c r="AD43" s="34" t="str">
        <f>IFERROR(IF(AND(OR(Table818[[#This Row],[Classification]]="Expense",Table818[[#This Row],[Classification]]="Cost of Goods Sold"),Table818[[#This Row],[Debit\]]&gt;Table818[[#This Row],[Credit.]]),Table818[[#This Row],[Debit\]]-Table818[[#This Row],[Credit.]],""),"")</f>
        <v/>
      </c>
      <c r="AE43" s="34" t="str">
        <f>IFERROR(IF(AND(OR(Table818[[#This Row],[Classification]]="Income",Table818[[#This Row],[Classification]]="Cost of Goods Sold"),Table818[[#This Row],[Credit.]]&gt;Table818[[#This Row],[Debit\]]),Table818[[#This Row],[Credit.]]-Table818[[#This Row],[Debit\]],""),"")</f>
        <v/>
      </c>
      <c r="AF43" s="34"/>
      <c r="AG43" s="34" t="str">
        <f>IFERROR(IF(AND(Table818[[#This Row],[Classification]]="Assets",Table818[[#This Row],[Debit\]]-Table818[[#This Row],[Credit.]]),Table818[[#This Row],[Debit\]]-Table818[[#This Row],[Credit.]],""),"")</f>
        <v/>
      </c>
      <c r="AH43" s="34" t="str">
        <f>IFERROR(IF(AND(OR(Table818[[#This Row],[Classification]]="Liabilities",Table818[[#This Row],[Classification]]="Owner´s Equity"),Table818[[#This Row],[Credit.]]&gt;Table818[[#This Row],[Debit\]]),Table818[[#This Row],[Credit.]]-Table818[[#This Row],[Debit\]],""),"")</f>
        <v/>
      </c>
    </row>
    <row r="44" spans="2:34" x14ac:dyDescent="0.25">
      <c r="B44" s="34"/>
      <c r="C44" s="37" t="s">
        <v>98</v>
      </c>
      <c r="D44" s="34"/>
      <c r="E44" s="34">
        <v>400</v>
      </c>
      <c r="G44" s="39"/>
      <c r="H44" s="43"/>
      <c r="I44" s="41"/>
      <c r="J44" s="41"/>
      <c r="L44" s="34">
        <v>37</v>
      </c>
      <c r="M44" s="35" t="s">
        <v>143</v>
      </c>
      <c r="N44" s="35" t="s">
        <v>99</v>
      </c>
      <c r="O44" s="34">
        <f>IFERROR(SUMIF(Table415[,],Table617[[#This Row],[Accounts Name]],Table415[,3]),"")</f>
        <v>0</v>
      </c>
      <c r="P44" s="34">
        <f>IFERROR(SUMIF(Table415[,],Table617[[#This Row],[Accounts Name]],Table415[,2]),"")</f>
        <v>800000</v>
      </c>
      <c r="S44" s="36">
        <f t="shared" si="0"/>
        <v>37</v>
      </c>
      <c r="T44" s="34" t="s">
        <v>61</v>
      </c>
      <c r="U44" s="37" t="s">
        <v>218</v>
      </c>
      <c r="V44" s="34">
        <f>IFERROR(SUMIF(Table617[Sub-Accounts],Table818[[#This Row],[Update your chart of accounts here]],Table617[Debit]),"")</f>
        <v>0</v>
      </c>
      <c r="W44" s="34">
        <f>IFERROR(SUMIF(Table617[Sub-Accounts],Table818[[#This Row],[Update your chart of accounts here]],Table617[Credit]),"")</f>
        <v>0</v>
      </c>
      <c r="X44" s="34"/>
      <c r="Y44" s="34"/>
      <c r="Z44" s="34"/>
      <c r="AA44" s="34"/>
      <c r="AB44" s="34">
        <f>MAX(Table818[[#This Row],[Debit]]+Table818[[#This Row],[Debit -]]-Table818[[#This Row],[Credit]]-Table818[[#This Row],[Credit +]],0)</f>
        <v>0</v>
      </c>
      <c r="AC44" s="34">
        <f>MAX(Table818[[#This Row],[Credit]]-Table818[[#This Row],[Debit]]+Table818[[#This Row],[Credit +]]-Table818[[#This Row],[Debit -]],0)</f>
        <v>0</v>
      </c>
      <c r="AD44" s="34" t="str">
        <f>IFERROR(IF(AND(OR(Table818[[#This Row],[Classification]]="Expense",Table818[[#This Row],[Classification]]="Cost of Goods Sold"),Table818[[#This Row],[Debit\]]&gt;Table818[[#This Row],[Credit.]]),Table818[[#This Row],[Debit\]]-Table818[[#This Row],[Credit.]],""),"")</f>
        <v/>
      </c>
      <c r="AE44" s="34" t="str">
        <f>IFERROR(IF(AND(OR(Table818[[#This Row],[Classification]]="Income",Table818[[#This Row],[Classification]]="Cost of Goods Sold"),Table818[[#This Row],[Credit.]]&gt;Table818[[#This Row],[Debit\]]),Table818[[#This Row],[Credit.]]-Table818[[#This Row],[Debit\]],""),"")</f>
        <v/>
      </c>
      <c r="AF44" s="34"/>
      <c r="AG44" s="34" t="str">
        <f>IFERROR(IF(AND(Table818[[#This Row],[Classification]]="Assets",Table818[[#This Row],[Debit\]]-Table818[[#This Row],[Credit.]]),Table818[[#This Row],[Debit\]]-Table818[[#This Row],[Credit.]],""),"")</f>
        <v/>
      </c>
      <c r="AH44" s="34" t="str">
        <f>IFERROR(IF(AND(OR(Table818[[#This Row],[Classification]]="Liabilities",Table818[[#This Row],[Classification]]="Owner´s Equity"),Table818[[#This Row],[Credit.]]&gt;Table818[[#This Row],[Debit\]]),Table818[[#This Row],[Credit.]]-Table818[[#This Row],[Debit\]],""),"")</f>
        <v/>
      </c>
    </row>
    <row r="45" spans="2:34" x14ac:dyDescent="0.25">
      <c r="B45" s="34"/>
      <c r="C45" s="37" t="s">
        <v>99</v>
      </c>
      <c r="D45" s="34"/>
      <c r="E45" s="34">
        <v>800000</v>
      </c>
      <c r="G45" s="39"/>
      <c r="H45" s="40"/>
      <c r="I45" s="41"/>
      <c r="J45" s="41"/>
      <c r="L45" s="34">
        <v>38</v>
      </c>
      <c r="M45" s="35" t="s">
        <v>62</v>
      </c>
      <c r="N45" s="35" t="s">
        <v>100</v>
      </c>
      <c r="O45" s="34">
        <f>IFERROR(SUMIF(Table415[,],Table617[[#This Row],[Accounts Name]],Table415[,3]),"")</f>
        <v>0</v>
      </c>
      <c r="P45" s="34">
        <f>IFERROR(SUMIF(Table415[,],Table617[[#This Row],[Accounts Name]],Table415[,2]),"")</f>
        <v>332888373.44999999</v>
      </c>
      <c r="S45" s="36">
        <f t="shared" si="0"/>
        <v>38</v>
      </c>
      <c r="T45" s="34" t="s">
        <v>61</v>
      </c>
      <c r="U45" s="37" t="s">
        <v>163</v>
      </c>
      <c r="V45" s="34">
        <f>IFERROR(SUMIF(Table617[Sub-Accounts],Table818[[#This Row],[Update your chart of accounts here]],Table617[Debit]),"")</f>
        <v>300</v>
      </c>
      <c r="W45" s="34">
        <f>IFERROR(SUMIF(Table617[Sub-Accounts],Table818[[#This Row],[Update your chart of accounts here]],Table617[Credit]),"")</f>
        <v>0</v>
      </c>
      <c r="X45" s="34"/>
      <c r="Y45" s="34"/>
      <c r="Z45" s="34"/>
      <c r="AA45" s="34"/>
      <c r="AB45" s="34">
        <f>MAX(Table818[[#This Row],[Debit]]+Table818[[#This Row],[Debit -]]-Table818[[#This Row],[Credit]]-Table818[[#This Row],[Credit +]],0)</f>
        <v>300</v>
      </c>
      <c r="AC45" s="34">
        <f>MAX(Table818[[#This Row],[Credit]]-Table818[[#This Row],[Debit]]+Table818[[#This Row],[Credit +]]-Table818[[#This Row],[Debit -]],0)</f>
        <v>0</v>
      </c>
      <c r="AD45" s="34">
        <f>IFERROR(IF(AND(OR(Table818[[#This Row],[Classification]]="Expense",Table818[[#This Row],[Classification]]="Cost of Goods Sold"),Table818[[#This Row],[Debit\]]&gt;Table818[[#This Row],[Credit.]]),Table818[[#This Row],[Debit\]]-Table818[[#This Row],[Credit.]],""),"")</f>
        <v>300</v>
      </c>
      <c r="AE45" s="34" t="str">
        <f>IFERROR(IF(AND(OR(Table818[[#This Row],[Classification]]="Income",Table818[[#This Row],[Classification]]="Cost of Goods Sold"),Table818[[#This Row],[Credit.]]&gt;Table818[[#This Row],[Debit\]]),Table818[[#This Row],[Credit.]]-Table818[[#This Row],[Debit\]],""),"")</f>
        <v/>
      </c>
      <c r="AF45" s="34"/>
      <c r="AG45" s="34" t="str">
        <f>IFERROR(IF(AND(Table818[[#This Row],[Classification]]="Assets",Table818[[#This Row],[Debit\]]-Table818[[#This Row],[Credit.]]),Table818[[#This Row],[Debit\]]-Table818[[#This Row],[Credit.]],""),"")</f>
        <v/>
      </c>
      <c r="AH45" s="34" t="str">
        <f>IFERROR(IF(AND(OR(Table818[[#This Row],[Classification]]="Liabilities",Table818[[#This Row],[Classification]]="Owner´s Equity"),Table818[[#This Row],[Credit.]]&gt;Table818[[#This Row],[Debit\]]),Table818[[#This Row],[Credit.]]-Table818[[#This Row],[Debit\]],""),"")</f>
        <v/>
      </c>
    </row>
    <row r="46" spans="2:34" x14ac:dyDescent="0.25">
      <c r="B46" s="34"/>
      <c r="C46" s="37" t="s">
        <v>100</v>
      </c>
      <c r="D46" s="34"/>
      <c r="E46" s="34">
        <v>332888373.44999999</v>
      </c>
      <c r="G46" s="39"/>
      <c r="H46" s="40"/>
      <c r="I46" s="41"/>
      <c r="J46" s="41"/>
      <c r="L46" s="34">
        <v>39</v>
      </c>
      <c r="M46" s="35" t="s">
        <v>147</v>
      </c>
      <c r="N46" s="35" t="s">
        <v>101</v>
      </c>
      <c r="O46" s="34">
        <f>IFERROR(SUMIF(Table415[,],Table617[[#This Row],[Accounts Name]],Table415[,3]),"")</f>
        <v>316209838.63</v>
      </c>
      <c r="P46" s="34">
        <f>IFERROR(SUMIF(Table415[,],Table617[[#This Row],[Accounts Name]],Table415[,2]),"")</f>
        <v>0</v>
      </c>
      <c r="S46" s="36">
        <f t="shared" si="0"/>
        <v>39</v>
      </c>
      <c r="T46" s="34" t="s">
        <v>61</v>
      </c>
      <c r="U46" s="37" t="s">
        <v>164</v>
      </c>
      <c r="V46" s="34">
        <f>IFERROR(SUMIF(Table617[Sub-Accounts],Table818[[#This Row],[Update your chart of accounts here]],Table617[Debit]),"")</f>
        <v>436840.42</v>
      </c>
      <c r="W46" s="34">
        <f>IFERROR(SUMIF(Table617[Sub-Accounts],Table818[[#This Row],[Update your chart of accounts here]],Table617[Credit]),"")</f>
        <v>0</v>
      </c>
      <c r="X46" s="34"/>
      <c r="Y46" s="34"/>
      <c r="Z46" s="34"/>
      <c r="AA46" s="34"/>
      <c r="AB46" s="34">
        <f>MAX(Table818[[#This Row],[Debit]]+Table818[[#This Row],[Debit -]]-Table818[[#This Row],[Credit]]-Table818[[#This Row],[Credit +]],0)</f>
        <v>436840.42</v>
      </c>
      <c r="AC46" s="34">
        <f>MAX(Table818[[#This Row],[Credit]]-Table818[[#This Row],[Debit]]+Table818[[#This Row],[Credit +]]-Table818[[#This Row],[Debit -]],0)</f>
        <v>0</v>
      </c>
      <c r="AD46" s="34">
        <f>IFERROR(IF(AND(OR(Table818[[#This Row],[Classification]]="Expense",Table818[[#This Row],[Classification]]="Cost of Goods Sold"),Table818[[#This Row],[Debit\]]&gt;Table818[[#This Row],[Credit.]]),Table818[[#This Row],[Debit\]]-Table818[[#This Row],[Credit.]],""),"")</f>
        <v>436840.42</v>
      </c>
      <c r="AE46" s="34" t="str">
        <f>IFERROR(IF(AND(OR(Table818[[#This Row],[Classification]]="Income",Table818[[#This Row],[Classification]]="Cost of Goods Sold"),Table818[[#This Row],[Credit.]]&gt;Table818[[#This Row],[Debit\]]),Table818[[#This Row],[Credit.]]-Table818[[#This Row],[Debit\]],""),"")</f>
        <v/>
      </c>
      <c r="AF46" s="34"/>
      <c r="AG46" s="34" t="str">
        <f>IFERROR(IF(AND(Table818[[#This Row],[Classification]]="Assets",Table818[[#This Row],[Debit\]]-Table818[[#This Row],[Credit.]]),Table818[[#This Row],[Debit\]]-Table818[[#This Row],[Credit.]],""),"")</f>
        <v/>
      </c>
      <c r="AH46" s="34" t="str">
        <f>IFERROR(IF(AND(OR(Table818[[#This Row],[Classification]]="Liabilities",Table818[[#This Row],[Classification]]="Owner´s Equity"),Table818[[#This Row],[Credit.]]&gt;Table818[[#This Row],[Debit\]]),Table818[[#This Row],[Credit.]]-Table818[[#This Row],[Debit\]],""),"")</f>
        <v/>
      </c>
    </row>
    <row r="47" spans="2:34" x14ac:dyDescent="0.25">
      <c r="B47" s="34"/>
      <c r="C47" s="37" t="s">
        <v>101</v>
      </c>
      <c r="D47" s="34">
        <v>316209838.63</v>
      </c>
      <c r="E47" s="34"/>
      <c r="G47" s="39"/>
      <c r="H47" s="43"/>
      <c r="I47" s="41"/>
      <c r="J47" s="41"/>
      <c r="L47" s="34">
        <v>40</v>
      </c>
      <c r="M47" s="35" t="s">
        <v>148</v>
      </c>
      <c r="N47" s="35" t="s">
        <v>102</v>
      </c>
      <c r="O47" s="34">
        <f>IFERROR(SUMIF(Table415[,],Table617[[#This Row],[Accounts Name]],Table415[,3]),"")</f>
        <v>568965.54</v>
      </c>
      <c r="P47" s="34">
        <f>IFERROR(SUMIF(Table415[,],Table617[[#This Row],[Accounts Name]],Table415[,2]),"")</f>
        <v>0</v>
      </c>
      <c r="S47" s="36">
        <f t="shared" si="0"/>
        <v>40</v>
      </c>
      <c r="T47" s="34" t="s">
        <v>61</v>
      </c>
      <c r="U47" s="37" t="s">
        <v>219</v>
      </c>
      <c r="V47" s="34">
        <f>IFERROR(SUMIF(Table617[Sub-Accounts],Table818[[#This Row],[Update your chart of accounts here]],Table617[Debit]),"")</f>
        <v>0</v>
      </c>
      <c r="W47" s="34">
        <f>IFERROR(SUMIF(Table617[Sub-Accounts],Table818[[#This Row],[Update your chart of accounts here]],Table617[Credit]),"")</f>
        <v>0</v>
      </c>
      <c r="X47" s="34"/>
      <c r="Y47" s="34"/>
      <c r="Z47" s="34"/>
      <c r="AA47" s="34"/>
      <c r="AB47" s="34">
        <f>MAX(Table818[[#This Row],[Debit]]+Table818[[#This Row],[Debit -]]-Table818[[#This Row],[Credit]]-Table818[[#This Row],[Credit +]],0)</f>
        <v>0</v>
      </c>
      <c r="AC47" s="34">
        <f>MAX(Table818[[#This Row],[Credit]]-Table818[[#This Row],[Debit]]+Table818[[#This Row],[Credit +]]-Table818[[#This Row],[Debit -]],0)</f>
        <v>0</v>
      </c>
      <c r="AD47" s="34" t="str">
        <f>IFERROR(IF(AND(OR(Table818[[#This Row],[Classification]]="Expense",Table818[[#This Row],[Classification]]="Cost of Goods Sold"),Table818[[#This Row],[Debit\]]&gt;Table818[[#This Row],[Credit.]]),Table818[[#This Row],[Debit\]]-Table818[[#This Row],[Credit.]],""),"")</f>
        <v/>
      </c>
      <c r="AE47" s="34" t="str">
        <f>IFERROR(IF(AND(OR(Table818[[#This Row],[Classification]]="Income",Table818[[#This Row],[Classification]]="Cost of Goods Sold"),Table818[[#This Row],[Credit.]]&gt;Table818[[#This Row],[Debit\]]),Table818[[#This Row],[Credit.]]-Table818[[#This Row],[Debit\]],""),"")</f>
        <v/>
      </c>
      <c r="AF47" s="34"/>
      <c r="AG47" s="34" t="str">
        <f>IFERROR(IF(AND(Table818[[#This Row],[Classification]]="Assets",Table818[[#This Row],[Debit\]]-Table818[[#This Row],[Credit.]]),Table818[[#This Row],[Debit\]]-Table818[[#This Row],[Credit.]],""),"")</f>
        <v/>
      </c>
      <c r="AH47" s="34" t="str">
        <f>IFERROR(IF(AND(OR(Table818[[#This Row],[Classification]]="Liabilities",Table818[[#This Row],[Classification]]="Owner´s Equity"),Table818[[#This Row],[Credit.]]&gt;Table818[[#This Row],[Debit\]]),Table818[[#This Row],[Credit.]]-Table818[[#This Row],[Debit\]],""),"")</f>
        <v/>
      </c>
    </row>
    <row r="48" spans="2:34" x14ac:dyDescent="0.25">
      <c r="B48" s="34"/>
      <c r="C48" s="37" t="s">
        <v>102</v>
      </c>
      <c r="D48" s="34">
        <v>568965.54</v>
      </c>
      <c r="E48" s="34"/>
      <c r="G48" s="39"/>
      <c r="H48" s="40"/>
      <c r="I48" s="41"/>
      <c r="J48" s="41"/>
      <c r="L48" s="34">
        <v>41</v>
      </c>
      <c r="M48" s="35" t="s">
        <v>149</v>
      </c>
      <c r="N48" s="35" t="s">
        <v>103</v>
      </c>
      <c r="O48" s="34">
        <f>IFERROR(SUMIF(Table415[,],Table617[[#This Row],[Accounts Name]],Table415[,3]),"")</f>
        <v>175000</v>
      </c>
      <c r="P48" s="34">
        <f>IFERROR(SUMIF(Table415[,],Table617[[#This Row],[Accounts Name]],Table415[,2]),"")</f>
        <v>0</v>
      </c>
      <c r="S48" s="36">
        <f t="shared" si="0"/>
        <v>41</v>
      </c>
      <c r="T48" s="34" t="s">
        <v>61</v>
      </c>
      <c r="U48" s="37" t="s">
        <v>169</v>
      </c>
      <c r="V48" s="34">
        <f>IFERROR(SUMIF(Table617[Sub-Accounts],Table818[[#This Row],[Update your chart of accounts here]],Table617[Debit]),"")</f>
        <v>2000</v>
      </c>
      <c r="W48" s="34">
        <f>IFERROR(SUMIF(Table617[Sub-Accounts],Table818[[#This Row],[Update your chart of accounts here]],Table617[Credit]),"")</f>
        <v>0</v>
      </c>
      <c r="X48" s="34"/>
      <c r="Y48" s="34"/>
      <c r="Z48" s="34"/>
      <c r="AA48" s="34"/>
      <c r="AB48" s="34">
        <f>MAX(Table818[[#This Row],[Debit]]+Table818[[#This Row],[Debit -]]-Table818[[#This Row],[Credit]]-Table818[[#This Row],[Credit +]],0)</f>
        <v>2000</v>
      </c>
      <c r="AC48" s="34">
        <f>MAX(Table818[[#This Row],[Credit]]-Table818[[#This Row],[Debit]]+Table818[[#This Row],[Credit +]]-Table818[[#This Row],[Debit -]],0)</f>
        <v>0</v>
      </c>
      <c r="AD48" s="34">
        <f>IFERROR(IF(AND(OR(Table818[[#This Row],[Classification]]="Expense",Table818[[#This Row],[Classification]]="Cost of Goods Sold"),Table818[[#This Row],[Debit\]]&gt;Table818[[#This Row],[Credit.]]),Table818[[#This Row],[Debit\]]-Table818[[#This Row],[Credit.]],""),"")</f>
        <v>2000</v>
      </c>
      <c r="AE48" s="34" t="str">
        <f>IFERROR(IF(AND(OR(Table818[[#This Row],[Classification]]="Income",Table818[[#This Row],[Classification]]="Cost of Goods Sold"),Table818[[#This Row],[Credit.]]&gt;Table818[[#This Row],[Debit\]]),Table818[[#This Row],[Credit.]]-Table818[[#This Row],[Debit\]],""),"")</f>
        <v/>
      </c>
      <c r="AF48" s="34"/>
      <c r="AG48" s="34" t="str">
        <f>IFERROR(IF(AND(Table818[[#This Row],[Classification]]="Assets",Table818[[#This Row],[Debit\]]-Table818[[#This Row],[Credit.]]),Table818[[#This Row],[Debit\]]-Table818[[#This Row],[Credit.]],""),"")</f>
        <v/>
      </c>
      <c r="AH48" s="34" t="str">
        <f>IFERROR(IF(AND(OR(Table818[[#This Row],[Classification]]="Liabilities",Table818[[#This Row],[Classification]]="Owner´s Equity"),Table818[[#This Row],[Credit.]]&gt;Table818[[#This Row],[Debit\]]),Table818[[#This Row],[Credit.]]-Table818[[#This Row],[Debit\]],""),"")</f>
        <v/>
      </c>
    </row>
    <row r="49" spans="2:34" x14ac:dyDescent="0.25">
      <c r="B49" s="34"/>
      <c r="C49" s="37" t="s">
        <v>103</v>
      </c>
      <c r="D49" s="34">
        <v>175000</v>
      </c>
      <c r="E49" s="34"/>
      <c r="G49" s="39"/>
      <c r="H49" s="40"/>
      <c r="I49" s="41"/>
      <c r="J49" s="41"/>
      <c r="L49" s="34">
        <v>42</v>
      </c>
      <c r="M49" s="35" t="s">
        <v>150</v>
      </c>
      <c r="N49" s="35" t="s">
        <v>104</v>
      </c>
      <c r="O49" s="34">
        <f>IFERROR(SUMIF(Table415[,],Table617[[#This Row],[Accounts Name]],Table415[,3]),"")</f>
        <v>176009.84</v>
      </c>
      <c r="P49" s="34">
        <f>IFERROR(SUMIF(Table415[,],Table617[[#This Row],[Accounts Name]],Table415[,2]),"")</f>
        <v>0</v>
      </c>
      <c r="S49" s="36">
        <f t="shared" si="0"/>
        <v>42</v>
      </c>
      <c r="T49" s="34" t="s">
        <v>61</v>
      </c>
      <c r="U49" s="37" t="s">
        <v>170</v>
      </c>
      <c r="V49" s="34">
        <f>IFERROR(SUMIF(Table617[Sub-Accounts],Table818[[#This Row],[Update your chart of accounts here]],Table617[Debit]),"")</f>
        <v>13250</v>
      </c>
      <c r="W49" s="34">
        <f>IFERROR(SUMIF(Table617[Sub-Accounts],Table818[[#This Row],[Update your chart of accounts here]],Table617[Credit]),"")</f>
        <v>0</v>
      </c>
      <c r="X49" s="34"/>
      <c r="Y49" s="34"/>
      <c r="Z49" s="34"/>
      <c r="AA49" s="34"/>
      <c r="AB49" s="34">
        <f>MAX(Table818[[#This Row],[Debit]]+Table818[[#This Row],[Debit -]]-Table818[[#This Row],[Credit]]-Table818[[#This Row],[Credit +]],0)</f>
        <v>13250</v>
      </c>
      <c r="AC49" s="34">
        <f>MAX(Table818[[#This Row],[Credit]]-Table818[[#This Row],[Debit]]+Table818[[#This Row],[Credit +]]-Table818[[#This Row],[Debit -]],0)</f>
        <v>0</v>
      </c>
      <c r="AD49" s="34">
        <f>IFERROR(IF(AND(OR(Table818[[#This Row],[Classification]]="Expense",Table818[[#This Row],[Classification]]="Cost of Goods Sold"),Table818[[#This Row],[Debit\]]&gt;Table818[[#This Row],[Credit.]]),Table818[[#This Row],[Debit\]]-Table818[[#This Row],[Credit.]],""),"")</f>
        <v>13250</v>
      </c>
      <c r="AE49" s="34" t="str">
        <f>IFERROR(IF(AND(OR(Table818[[#This Row],[Classification]]="Income",Table818[[#This Row],[Classification]]="Cost of Goods Sold"),Table818[[#This Row],[Credit.]]&gt;Table818[[#This Row],[Debit\]]),Table818[[#This Row],[Credit.]]-Table818[[#This Row],[Debit\]],""),"")</f>
        <v/>
      </c>
      <c r="AF49" s="34"/>
      <c r="AG49" s="34" t="str">
        <f>IFERROR(IF(AND(Table818[[#This Row],[Classification]]="Assets",Table818[[#This Row],[Debit\]]-Table818[[#This Row],[Credit.]]),Table818[[#This Row],[Debit\]]-Table818[[#This Row],[Credit.]],""),"")</f>
        <v/>
      </c>
      <c r="AH49" s="34" t="str">
        <f>IFERROR(IF(AND(OR(Table818[[#This Row],[Classification]]="Liabilities",Table818[[#This Row],[Classification]]="Owner´s Equity"),Table818[[#This Row],[Credit.]]&gt;Table818[[#This Row],[Debit\]]),Table818[[#This Row],[Credit.]]-Table818[[#This Row],[Debit\]],""),"")</f>
        <v/>
      </c>
    </row>
    <row r="50" spans="2:34" x14ac:dyDescent="0.25">
      <c r="B50" s="34"/>
      <c r="C50" s="37" t="s">
        <v>104</v>
      </c>
      <c r="D50" s="34">
        <v>176009.84</v>
      </c>
      <c r="E50" s="34"/>
      <c r="G50" s="39"/>
      <c r="H50" s="43"/>
      <c r="I50" s="41"/>
      <c r="J50" s="41"/>
      <c r="L50" s="34">
        <v>43</v>
      </c>
      <c r="M50" s="35" t="s">
        <v>151</v>
      </c>
      <c r="N50" s="35" t="s">
        <v>105</v>
      </c>
      <c r="O50" s="34">
        <f>IFERROR(SUMIF(Table415[,],Table617[[#This Row],[Accounts Name]],Table415[,3]),"")</f>
        <v>4000</v>
      </c>
      <c r="P50" s="34">
        <f>IFERROR(SUMIF(Table415[,],Table617[[#This Row],[Accounts Name]],Table415[,2]),"")</f>
        <v>0</v>
      </c>
      <c r="S50" s="36">
        <f t="shared" si="0"/>
        <v>43</v>
      </c>
      <c r="T50" s="34" t="s">
        <v>61</v>
      </c>
      <c r="U50" s="37" t="s">
        <v>220</v>
      </c>
      <c r="V50" s="34">
        <f>IFERROR(SUMIF(Table617[Sub-Accounts],Table818[[#This Row],[Update your chart of accounts here]],Table617[Debit]),"")</f>
        <v>0</v>
      </c>
      <c r="W50" s="34">
        <f>IFERROR(SUMIF(Table617[Sub-Accounts],Table818[[#This Row],[Update your chart of accounts here]],Table617[Credit]),"")</f>
        <v>0</v>
      </c>
      <c r="X50" s="34"/>
      <c r="Y50" s="34"/>
      <c r="Z50" s="34"/>
      <c r="AA50" s="34"/>
      <c r="AB50" s="34">
        <f>MAX(Table818[[#This Row],[Debit]]+Table818[[#This Row],[Debit -]]-Table818[[#This Row],[Credit]]-Table818[[#This Row],[Credit +]],0)</f>
        <v>0</v>
      </c>
      <c r="AC50" s="34">
        <f>MAX(Table818[[#This Row],[Credit]]-Table818[[#This Row],[Debit]]+Table818[[#This Row],[Credit +]]-Table818[[#This Row],[Debit -]],0)</f>
        <v>0</v>
      </c>
      <c r="AD50" s="34" t="str">
        <f>IFERROR(IF(AND(OR(Table818[[#This Row],[Classification]]="Expense",Table818[[#This Row],[Classification]]="Cost of Goods Sold"),Table818[[#This Row],[Debit\]]&gt;Table818[[#This Row],[Credit.]]),Table818[[#This Row],[Debit\]]-Table818[[#This Row],[Credit.]],""),"")</f>
        <v/>
      </c>
      <c r="AE50" s="34" t="str">
        <f>IFERROR(IF(AND(OR(Table818[[#This Row],[Classification]]="Income",Table818[[#This Row],[Classification]]="Cost of Goods Sold"),Table818[[#This Row],[Credit.]]&gt;Table818[[#This Row],[Debit\]]),Table818[[#This Row],[Credit.]]-Table818[[#This Row],[Debit\]],""),"")</f>
        <v/>
      </c>
      <c r="AF50" s="34"/>
      <c r="AG50" s="34" t="str">
        <f>IFERROR(IF(AND(Table818[[#This Row],[Classification]]="Assets",Table818[[#This Row],[Debit\]]-Table818[[#This Row],[Credit.]]),Table818[[#This Row],[Debit\]]-Table818[[#This Row],[Credit.]],""),"")</f>
        <v/>
      </c>
      <c r="AH50" s="34" t="str">
        <f>IFERROR(IF(AND(OR(Table818[[#This Row],[Classification]]="Liabilities",Table818[[#This Row],[Classification]]="Owner´s Equity"),Table818[[#This Row],[Credit.]]&gt;Table818[[#This Row],[Debit\]]),Table818[[#This Row],[Credit.]]-Table818[[#This Row],[Debit\]],""),"")</f>
        <v/>
      </c>
    </row>
    <row r="51" spans="2:34" x14ac:dyDescent="0.25">
      <c r="B51" s="34"/>
      <c r="C51" s="37" t="s">
        <v>105</v>
      </c>
      <c r="D51" s="34">
        <v>4000</v>
      </c>
      <c r="E51" s="34"/>
      <c r="G51" s="39"/>
      <c r="H51" s="40"/>
      <c r="I51" s="41"/>
      <c r="J51" s="41"/>
      <c r="L51" s="34">
        <v>44</v>
      </c>
      <c r="M51" s="35" t="s">
        <v>152</v>
      </c>
      <c r="N51" s="35" t="s">
        <v>106</v>
      </c>
      <c r="O51" s="34">
        <f>IFERROR(SUMIF(Table415[,],Table617[[#This Row],[Accounts Name]],Table415[,3]),"")</f>
        <v>50190.32</v>
      </c>
      <c r="P51" s="34">
        <f>IFERROR(SUMIF(Table415[,],Table617[[#This Row],[Accounts Name]],Table415[,2]),"")</f>
        <v>0</v>
      </c>
      <c r="S51" s="36">
        <f t="shared" si="0"/>
        <v>44</v>
      </c>
      <c r="T51" s="34" t="s">
        <v>61</v>
      </c>
      <c r="U51" s="37" t="s">
        <v>155</v>
      </c>
      <c r="V51" s="34">
        <f>IFERROR(SUMIF(Table617[Sub-Accounts],Table818[[#This Row],[Update your chart of accounts here]],Table617[Debit]),"")</f>
        <v>1000000</v>
      </c>
      <c r="W51" s="34">
        <f>IFERROR(SUMIF(Table617[Sub-Accounts],Table818[[#This Row],[Update your chart of accounts here]],Table617[Credit]),"")</f>
        <v>0</v>
      </c>
      <c r="X51" s="34"/>
      <c r="Y51" s="34" t="s">
        <v>226</v>
      </c>
      <c r="Z51" s="34"/>
      <c r="AA51" s="34">
        <f>J15</f>
        <v>1000000</v>
      </c>
      <c r="AB51" s="34">
        <f>MAX(Table818[[#This Row],[Debit]]+Table818[[#This Row],[Debit -]]-Table818[[#This Row],[Credit]]-Table818[[#This Row],[Credit +]],0)</f>
        <v>0</v>
      </c>
      <c r="AC51" s="34">
        <f>MAX(Table818[[#This Row],[Credit]]-Table818[[#This Row],[Debit]]+Table818[[#This Row],[Credit +]]-Table818[[#This Row],[Debit -]],0)</f>
        <v>0</v>
      </c>
      <c r="AD51" s="34" t="str">
        <f>IFERROR(IF(AND(OR(Table818[[#This Row],[Classification]]="Expense",Table818[[#This Row],[Classification]]="Cost of Goods Sold"),Table818[[#This Row],[Debit\]]&gt;Table818[[#This Row],[Credit.]]),Table818[[#This Row],[Debit\]]-Table818[[#This Row],[Credit.]],""),"")</f>
        <v/>
      </c>
      <c r="AE51" s="34" t="str">
        <f>IFERROR(IF(AND(OR(Table818[[#This Row],[Classification]]="Income",Table818[[#This Row],[Classification]]="Cost of Goods Sold"),Table818[[#This Row],[Credit.]]&gt;Table818[[#This Row],[Debit\]]),Table818[[#This Row],[Credit.]]-Table818[[#This Row],[Debit\]],""),"")</f>
        <v/>
      </c>
      <c r="AF51" s="34"/>
      <c r="AG51" s="34" t="str">
        <f>IFERROR(IF(AND(Table818[[#This Row],[Classification]]="Assets",Table818[[#This Row],[Debit\]]-Table818[[#This Row],[Credit.]]),Table818[[#This Row],[Debit\]]-Table818[[#This Row],[Credit.]],""),"")</f>
        <v/>
      </c>
      <c r="AH51" s="34" t="str">
        <f>IFERROR(IF(AND(OR(Table818[[#This Row],[Classification]]="Liabilities",Table818[[#This Row],[Classification]]="Owner´s Equity"),Table818[[#This Row],[Credit.]]&gt;Table818[[#This Row],[Debit\]]),Table818[[#This Row],[Credit.]]-Table818[[#This Row],[Debit\]],""),"")</f>
        <v/>
      </c>
    </row>
    <row r="52" spans="2:34" x14ac:dyDescent="0.25">
      <c r="B52" s="34"/>
      <c r="C52" s="37" t="s">
        <v>106</v>
      </c>
      <c r="D52" s="34">
        <v>50190.32</v>
      </c>
      <c r="E52" s="34"/>
      <c r="G52" s="39"/>
      <c r="H52" s="40"/>
      <c r="I52" s="41"/>
      <c r="J52" s="41"/>
      <c r="L52" s="34">
        <v>45</v>
      </c>
      <c r="M52" s="35" t="s">
        <v>153</v>
      </c>
      <c r="N52" s="35" t="s">
        <v>107</v>
      </c>
      <c r="O52" s="34">
        <f>IFERROR(SUMIF(Table415[,],Table617[[#This Row],[Accounts Name]],Table415[,3]),"")</f>
        <v>233250</v>
      </c>
      <c r="P52" s="34">
        <f>IFERROR(SUMIF(Table415[,],Table617[[#This Row],[Accounts Name]],Table415[,2]),"")</f>
        <v>0</v>
      </c>
      <c r="S52" s="36">
        <f t="shared" si="0"/>
        <v>45</v>
      </c>
      <c r="T52" s="34" t="s">
        <v>61</v>
      </c>
      <c r="U52" s="37" t="s">
        <v>171</v>
      </c>
      <c r="V52" s="34">
        <f>IFERROR(SUMIF(Table617[Sub-Accounts],Table818[[#This Row],[Update your chart of accounts here]],Table617[Debit]),"")</f>
        <v>0</v>
      </c>
      <c r="W52" s="34">
        <f>IFERROR(SUMIF(Table617[Sub-Accounts],Table818[[#This Row],[Update your chart of accounts here]],Table617[Credit]),"")</f>
        <v>0</v>
      </c>
      <c r="X52" s="34"/>
      <c r="Y52" s="34" t="s">
        <v>224</v>
      </c>
      <c r="Z52" s="34">
        <f>I9</f>
        <v>409278.51677448238</v>
      </c>
      <c r="AA52" s="34"/>
      <c r="AB52" s="34">
        <f>MAX(Table818[[#This Row],[Debit]]+Table818[[#This Row],[Debit -]]-Table818[[#This Row],[Credit]]-Table818[[#This Row],[Credit +]],0)</f>
        <v>409278.51677448238</v>
      </c>
      <c r="AC52" s="34">
        <f>MAX(Table818[[#This Row],[Credit]]-Table818[[#This Row],[Debit]]+Table818[[#This Row],[Credit +]]-Table818[[#This Row],[Debit -]],0)</f>
        <v>0</v>
      </c>
      <c r="AD52" s="34">
        <f>IFERROR(IF(AND(OR(Table818[[#This Row],[Classification]]="Expense",Table818[[#This Row],[Classification]]="Cost of Goods Sold"),Table818[[#This Row],[Debit\]]&gt;Table818[[#This Row],[Credit.]]),Table818[[#This Row],[Debit\]]-Table818[[#This Row],[Credit.]],""),"")</f>
        <v>409278.51677448238</v>
      </c>
      <c r="AE52" s="34" t="str">
        <f>IFERROR(IF(AND(OR(Table818[[#This Row],[Classification]]="Income",Table818[[#This Row],[Classification]]="Cost of Goods Sold"),Table818[[#This Row],[Credit.]]&gt;Table818[[#This Row],[Debit\]]),Table818[[#This Row],[Credit.]]-Table818[[#This Row],[Debit\]],""),"")</f>
        <v/>
      </c>
      <c r="AF52" s="34"/>
      <c r="AG52" s="34" t="str">
        <f>IFERROR(IF(AND(Table818[[#This Row],[Classification]]="Assets",Table818[[#This Row],[Debit\]]-Table818[[#This Row],[Credit.]]),Table818[[#This Row],[Debit\]]-Table818[[#This Row],[Credit.]],""),"")</f>
        <v/>
      </c>
      <c r="AH52" s="34" t="str">
        <f>IFERROR(IF(AND(OR(Table818[[#This Row],[Classification]]="Liabilities",Table818[[#This Row],[Classification]]="Owner´s Equity"),Table818[[#This Row],[Credit.]]&gt;Table818[[#This Row],[Debit\]]),Table818[[#This Row],[Credit.]]-Table818[[#This Row],[Debit\]],""),"")</f>
        <v/>
      </c>
    </row>
    <row r="53" spans="2:34" x14ac:dyDescent="0.25">
      <c r="B53" s="34"/>
      <c r="C53" s="37" t="s">
        <v>107</v>
      </c>
      <c r="D53" s="34">
        <v>233250</v>
      </c>
      <c r="E53" s="34"/>
      <c r="G53" s="39"/>
      <c r="H53" s="43"/>
      <c r="I53" s="41"/>
      <c r="J53" s="41"/>
      <c r="L53" s="34">
        <v>46</v>
      </c>
      <c r="M53" s="35" t="s">
        <v>154</v>
      </c>
      <c r="N53" s="35" t="s">
        <v>108</v>
      </c>
      <c r="O53" s="34">
        <f>IFERROR(SUMIF(Table415[,],Table617[[#This Row],[Accounts Name]],Table415[,3]),"")</f>
        <v>2500001</v>
      </c>
      <c r="P53" s="34">
        <f>IFERROR(SUMIF(Table415[,],Table617[[#This Row],[Accounts Name]],Table415[,2]),"")</f>
        <v>0</v>
      </c>
      <c r="S53" s="36">
        <f t="shared" si="0"/>
        <v>46</v>
      </c>
      <c r="T53" s="34" t="s">
        <v>61</v>
      </c>
      <c r="U53" s="37" t="s">
        <v>148</v>
      </c>
      <c r="V53" s="34">
        <f>IFERROR(SUMIF(Table617[Sub-Accounts],Table818[[#This Row],[Update your chart of accounts here]],Table617[Debit]),"")</f>
        <v>568965.54</v>
      </c>
      <c r="W53" s="34">
        <f>IFERROR(SUMIF(Table617[Sub-Accounts],Table818[[#This Row],[Update your chart of accounts here]],Table617[Credit]),"")</f>
        <v>0</v>
      </c>
      <c r="X53" s="34"/>
      <c r="Y53" s="34"/>
      <c r="Z53" s="34"/>
      <c r="AA53" s="34"/>
      <c r="AB53" s="34">
        <f>MAX(Table818[[#This Row],[Debit]]+Table818[[#This Row],[Debit -]]-Table818[[#This Row],[Credit]]-Table818[[#This Row],[Credit +]],0)</f>
        <v>568965.54</v>
      </c>
      <c r="AC53" s="34">
        <f>MAX(Table818[[#This Row],[Credit]]-Table818[[#This Row],[Debit]]+Table818[[#This Row],[Credit +]]-Table818[[#This Row],[Debit -]],0)</f>
        <v>0</v>
      </c>
      <c r="AD53" s="34">
        <f>IFERROR(IF(AND(OR(Table818[[#This Row],[Classification]]="Expense",Table818[[#This Row],[Classification]]="Cost of Goods Sold"),Table818[[#This Row],[Debit\]]&gt;Table818[[#This Row],[Credit.]]),Table818[[#This Row],[Debit\]]-Table818[[#This Row],[Credit.]],""),"")</f>
        <v>568965.54</v>
      </c>
      <c r="AE53" s="34" t="str">
        <f>IFERROR(IF(AND(OR(Table818[[#This Row],[Classification]]="Income",Table818[[#This Row],[Classification]]="Cost of Goods Sold"),Table818[[#This Row],[Credit.]]&gt;Table818[[#This Row],[Debit\]]),Table818[[#This Row],[Credit.]]-Table818[[#This Row],[Debit\]],""),"")</f>
        <v/>
      </c>
      <c r="AF53" s="34"/>
      <c r="AG53" s="34" t="str">
        <f>IFERROR(IF(AND(Table818[[#This Row],[Classification]]="Assets",Table818[[#This Row],[Debit\]]-Table818[[#This Row],[Credit.]]),Table818[[#This Row],[Debit\]]-Table818[[#This Row],[Credit.]],""),"")</f>
        <v/>
      </c>
      <c r="AH53" s="34" t="str">
        <f>IFERROR(IF(AND(OR(Table818[[#This Row],[Classification]]="Liabilities",Table818[[#This Row],[Classification]]="Owner´s Equity"),Table818[[#This Row],[Credit.]]&gt;Table818[[#This Row],[Debit\]]),Table818[[#This Row],[Credit.]]-Table818[[#This Row],[Debit\]],""),"")</f>
        <v/>
      </c>
    </row>
    <row r="54" spans="2:34" x14ac:dyDescent="0.25">
      <c r="B54" s="34"/>
      <c r="C54" s="37" t="s">
        <v>108</v>
      </c>
      <c r="D54" s="34">
        <v>2500001</v>
      </c>
      <c r="E54" s="34"/>
      <c r="G54" s="39"/>
      <c r="H54" s="40"/>
      <c r="I54" s="41"/>
      <c r="J54" s="41"/>
      <c r="L54" s="34">
        <v>47</v>
      </c>
      <c r="M54" s="35" t="s">
        <v>155</v>
      </c>
      <c r="N54" s="35" t="s">
        <v>109</v>
      </c>
      <c r="O54" s="34">
        <f>IFERROR(SUMIF(Table415[,],Table617[[#This Row],[Accounts Name]],Table415[,3]),"")</f>
        <v>1000000</v>
      </c>
      <c r="P54" s="34">
        <f>IFERROR(SUMIF(Table415[,],Table617[[#This Row],[Accounts Name]],Table415[,2]),"")</f>
        <v>0</v>
      </c>
      <c r="S54" s="36">
        <f t="shared" si="0"/>
        <v>47</v>
      </c>
      <c r="T54" s="34" t="s">
        <v>61</v>
      </c>
      <c r="U54" s="37" t="s">
        <v>158</v>
      </c>
      <c r="V54" s="34">
        <f>IFERROR(SUMIF(Table617[Sub-Accounts],Table818[[#This Row],[Update your chart of accounts here]],Table617[Debit]),"")</f>
        <v>436880</v>
      </c>
      <c r="W54" s="34">
        <f>IFERROR(SUMIF(Table617[Sub-Accounts],Table818[[#This Row],[Update your chart of accounts here]],Table617[Credit]),"")</f>
        <v>0</v>
      </c>
      <c r="X54" s="34"/>
      <c r="Y54" s="34"/>
      <c r="Z54" s="34"/>
      <c r="AA54" s="34"/>
      <c r="AB54" s="34">
        <f>MAX(Table818[[#This Row],[Debit]]+Table818[[#This Row],[Debit -]]-Table818[[#This Row],[Credit]]-Table818[[#This Row],[Credit +]],0)</f>
        <v>436880</v>
      </c>
      <c r="AC54" s="34">
        <f>MAX(Table818[[#This Row],[Credit]]-Table818[[#This Row],[Debit]]+Table818[[#This Row],[Credit +]]-Table818[[#This Row],[Debit -]],0)</f>
        <v>0</v>
      </c>
      <c r="AD54" s="34">
        <f>IFERROR(IF(AND(OR(Table818[[#This Row],[Classification]]="Expense",Table818[[#This Row],[Classification]]="Cost of Goods Sold"),Table818[[#This Row],[Debit\]]&gt;Table818[[#This Row],[Credit.]]),Table818[[#This Row],[Debit\]]-Table818[[#This Row],[Credit.]],""),"")</f>
        <v>436880</v>
      </c>
      <c r="AE54" s="34" t="str">
        <f>IFERROR(IF(AND(OR(Table818[[#This Row],[Classification]]="Income",Table818[[#This Row],[Classification]]="Cost of Goods Sold"),Table818[[#This Row],[Credit.]]&gt;Table818[[#This Row],[Debit\]]),Table818[[#This Row],[Credit.]]-Table818[[#This Row],[Debit\]],""),"")</f>
        <v/>
      </c>
      <c r="AF54" s="34"/>
      <c r="AG54" s="34" t="str">
        <f>IFERROR(IF(AND(Table818[[#This Row],[Classification]]="Assets",Table818[[#This Row],[Debit\]]-Table818[[#This Row],[Credit.]]),Table818[[#This Row],[Debit\]]-Table818[[#This Row],[Credit.]],""),"")</f>
        <v/>
      </c>
      <c r="AH54" s="34" t="str">
        <f>IFERROR(IF(AND(OR(Table818[[#This Row],[Classification]]="Liabilities",Table818[[#This Row],[Classification]]="Owner´s Equity"),Table818[[#This Row],[Credit.]]&gt;Table818[[#This Row],[Debit\]]),Table818[[#This Row],[Credit.]]-Table818[[#This Row],[Debit\]],""),"")</f>
        <v/>
      </c>
    </row>
    <row r="55" spans="2:34" x14ac:dyDescent="0.25">
      <c r="B55" s="34"/>
      <c r="C55" s="37" t="s">
        <v>109</v>
      </c>
      <c r="D55" s="34">
        <v>1000000</v>
      </c>
      <c r="E55" s="34"/>
      <c r="G55" s="39"/>
      <c r="H55" s="40"/>
      <c r="I55" s="41"/>
      <c r="J55" s="41"/>
      <c r="L55" s="34">
        <v>48</v>
      </c>
      <c r="M55" s="35" t="s">
        <v>156</v>
      </c>
      <c r="N55" s="35" t="s">
        <v>110</v>
      </c>
      <c r="O55" s="34">
        <f>IFERROR(SUMIF(Table415[,],Table617[[#This Row],[Accounts Name]],Table415[,3]),"")</f>
        <v>900</v>
      </c>
      <c r="P55" s="34">
        <f>IFERROR(SUMIF(Table415[,],Table617[[#This Row],[Accounts Name]],Table415[,2]),"")</f>
        <v>0</v>
      </c>
      <c r="S55" s="36">
        <f t="shared" si="0"/>
        <v>48</v>
      </c>
      <c r="T55" s="34" t="s">
        <v>61</v>
      </c>
      <c r="U55" s="37" t="s">
        <v>149</v>
      </c>
      <c r="V55" s="34">
        <f>IFERROR(SUMIF(Table617[Sub-Accounts],Table818[[#This Row],[Update your chart of accounts here]],Table617[Debit]),"")</f>
        <v>175000</v>
      </c>
      <c r="W55" s="34">
        <f>IFERROR(SUMIF(Table617[Sub-Accounts],Table818[[#This Row],[Update your chart of accounts here]],Table617[Credit]),"")</f>
        <v>0</v>
      </c>
      <c r="X55" s="34"/>
      <c r="Y55" s="34"/>
      <c r="Z55" s="34"/>
      <c r="AA55" s="34"/>
      <c r="AB55" s="34">
        <f>MAX(Table818[[#This Row],[Debit]]+Table818[[#This Row],[Debit -]]-Table818[[#This Row],[Credit]]-Table818[[#This Row],[Credit +]],0)</f>
        <v>175000</v>
      </c>
      <c r="AC55" s="34">
        <f>MAX(Table818[[#This Row],[Credit]]-Table818[[#This Row],[Debit]]+Table818[[#This Row],[Credit +]]-Table818[[#This Row],[Debit -]],0)</f>
        <v>0</v>
      </c>
      <c r="AD55" s="34">
        <f>IFERROR(IF(AND(OR(Table818[[#This Row],[Classification]]="Expense",Table818[[#This Row],[Classification]]="Cost of Goods Sold"),Table818[[#This Row],[Debit\]]&gt;Table818[[#This Row],[Credit.]]),Table818[[#This Row],[Debit\]]-Table818[[#This Row],[Credit.]],""),"")</f>
        <v>175000</v>
      </c>
      <c r="AE55" s="34" t="str">
        <f>IFERROR(IF(AND(OR(Table818[[#This Row],[Classification]]="Income",Table818[[#This Row],[Classification]]="Cost of Goods Sold"),Table818[[#This Row],[Credit.]]&gt;Table818[[#This Row],[Debit\]]),Table818[[#This Row],[Credit.]]-Table818[[#This Row],[Debit\]],""),"")</f>
        <v/>
      </c>
      <c r="AF55" s="34"/>
      <c r="AG55" s="34" t="str">
        <f>IFERROR(IF(AND(Table818[[#This Row],[Classification]]="Assets",Table818[[#This Row],[Debit\]]-Table818[[#This Row],[Credit.]]),Table818[[#This Row],[Debit\]]-Table818[[#This Row],[Credit.]],""),"")</f>
        <v/>
      </c>
      <c r="AH55" s="34" t="str">
        <f>IFERROR(IF(AND(OR(Table818[[#This Row],[Classification]]="Liabilities",Table818[[#This Row],[Classification]]="Owner´s Equity"),Table818[[#This Row],[Credit.]]&gt;Table818[[#This Row],[Debit\]]),Table818[[#This Row],[Credit.]]-Table818[[#This Row],[Debit\]],""),"")</f>
        <v/>
      </c>
    </row>
    <row r="56" spans="2:34" x14ac:dyDescent="0.25">
      <c r="B56" s="34"/>
      <c r="C56" s="37" t="s">
        <v>110</v>
      </c>
      <c r="D56" s="34">
        <v>900</v>
      </c>
      <c r="E56" s="34"/>
      <c r="G56" s="39"/>
      <c r="H56" s="43"/>
      <c r="I56" s="41"/>
      <c r="J56" s="41"/>
      <c r="L56" s="34">
        <v>49</v>
      </c>
      <c r="M56" s="35" t="s">
        <v>157</v>
      </c>
      <c r="N56" s="35" t="s">
        <v>111</v>
      </c>
      <c r="O56" s="34">
        <f>IFERROR(SUMIF(Table415[,],Table617[[#This Row],[Accounts Name]],Table415[,3]),"")</f>
        <v>542263</v>
      </c>
      <c r="P56" s="34">
        <f>IFERROR(SUMIF(Table415[,],Table617[[#This Row],[Accounts Name]],Table415[,2]),"")</f>
        <v>0</v>
      </c>
      <c r="S56" s="36">
        <f t="shared" si="0"/>
        <v>49</v>
      </c>
      <c r="T56" s="34" t="s">
        <v>61</v>
      </c>
      <c r="U56" s="37" t="s">
        <v>160</v>
      </c>
      <c r="V56" s="34">
        <f>IFERROR(SUMIF(Table617[Sub-Accounts],Table818[[#This Row],[Update your chart of accounts here]],Table617[Debit]),"")</f>
        <v>145440</v>
      </c>
      <c r="W56" s="34">
        <f>IFERROR(SUMIF(Table617[Sub-Accounts],Table818[[#This Row],[Update your chart of accounts here]],Table617[Credit]),"")</f>
        <v>0</v>
      </c>
      <c r="X56" s="34"/>
      <c r="Y56" s="34"/>
      <c r="Z56" s="34"/>
      <c r="AA56" s="34"/>
      <c r="AB56" s="34">
        <f>MAX(Table818[[#This Row],[Debit]]+Table818[[#This Row],[Debit -]]-Table818[[#This Row],[Credit]]-Table818[[#This Row],[Credit +]],0)</f>
        <v>145440</v>
      </c>
      <c r="AC56" s="34">
        <f>MAX(Table818[[#This Row],[Credit]]-Table818[[#This Row],[Debit]]+Table818[[#This Row],[Credit +]]-Table818[[#This Row],[Debit -]],0)</f>
        <v>0</v>
      </c>
      <c r="AD56" s="34">
        <f>IFERROR(IF(AND(OR(Table818[[#This Row],[Classification]]="Expense",Table818[[#This Row],[Classification]]="Cost of Goods Sold"),Table818[[#This Row],[Debit\]]&gt;Table818[[#This Row],[Credit.]]),Table818[[#This Row],[Debit\]]-Table818[[#This Row],[Credit.]],""),"")</f>
        <v>145440</v>
      </c>
      <c r="AE56" s="34" t="str">
        <f>IFERROR(IF(AND(OR(Table818[[#This Row],[Classification]]="Income",Table818[[#This Row],[Classification]]="Cost of Goods Sold"),Table818[[#This Row],[Credit.]]&gt;Table818[[#This Row],[Debit\]]),Table818[[#This Row],[Credit.]]-Table818[[#This Row],[Debit\]],""),"")</f>
        <v/>
      </c>
      <c r="AF56" s="34"/>
      <c r="AG56" s="34" t="str">
        <f>IFERROR(IF(AND(Table818[[#This Row],[Classification]]="Assets",Table818[[#This Row],[Debit\]]-Table818[[#This Row],[Credit.]]),Table818[[#This Row],[Debit\]]-Table818[[#This Row],[Credit.]],""),"")</f>
        <v/>
      </c>
      <c r="AH56" s="34" t="str">
        <f>IFERROR(IF(AND(OR(Table818[[#This Row],[Classification]]="Liabilities",Table818[[#This Row],[Classification]]="Owner´s Equity"),Table818[[#This Row],[Credit.]]&gt;Table818[[#This Row],[Debit\]]),Table818[[#This Row],[Credit.]]-Table818[[#This Row],[Debit\]],""),"")</f>
        <v/>
      </c>
    </row>
    <row r="57" spans="2:34" x14ac:dyDescent="0.25">
      <c r="B57" s="34"/>
      <c r="C57" s="37" t="s">
        <v>111</v>
      </c>
      <c r="D57" s="34">
        <v>542263</v>
      </c>
      <c r="E57" s="34"/>
      <c r="G57" s="39"/>
      <c r="H57" s="40"/>
      <c r="I57" s="41"/>
      <c r="J57" s="41"/>
      <c r="L57" s="34">
        <v>50</v>
      </c>
      <c r="M57" s="35" t="s">
        <v>158</v>
      </c>
      <c r="N57" s="35" t="s">
        <v>112</v>
      </c>
      <c r="O57" s="34">
        <f>IFERROR(SUMIF(Table415[,],Table617[[#This Row],[Accounts Name]],Table415[,3]),"")</f>
        <v>20412.8</v>
      </c>
      <c r="P57" s="34">
        <f>IFERROR(SUMIF(Table415[,],Table617[[#This Row],[Accounts Name]],Table415[,2]),"")</f>
        <v>0</v>
      </c>
      <c r="S57" s="36">
        <f t="shared" si="0"/>
        <v>50</v>
      </c>
      <c r="T57" s="34" t="s">
        <v>61</v>
      </c>
      <c r="U57" s="37" t="s">
        <v>150</v>
      </c>
      <c r="V57" s="34">
        <f>IFERROR(SUMIF(Table617[Sub-Accounts],Table818[[#This Row],[Update your chart of accounts here]],Table617[Debit]),"")</f>
        <v>176009.84</v>
      </c>
      <c r="W57" s="34">
        <f>IFERROR(SUMIF(Table617[Sub-Accounts],Table818[[#This Row],[Update your chart of accounts here]],Table617[Credit]),"")</f>
        <v>0</v>
      </c>
      <c r="X57" s="34"/>
      <c r="Y57" s="34"/>
      <c r="Z57" s="34"/>
      <c r="AA57" s="34"/>
      <c r="AB57" s="34">
        <f>MAX(Table818[[#This Row],[Debit]]+Table818[[#This Row],[Debit -]]-Table818[[#This Row],[Credit]]-Table818[[#This Row],[Credit +]],0)</f>
        <v>176009.84</v>
      </c>
      <c r="AC57" s="34">
        <f>MAX(Table818[[#This Row],[Credit]]-Table818[[#This Row],[Debit]]+Table818[[#This Row],[Credit +]]-Table818[[#This Row],[Debit -]],0)</f>
        <v>0</v>
      </c>
      <c r="AD57" s="34">
        <f>IFERROR(IF(AND(OR(Table818[[#This Row],[Classification]]="Expense",Table818[[#This Row],[Classification]]="Cost of Goods Sold"),Table818[[#This Row],[Debit\]]&gt;Table818[[#This Row],[Credit.]]),Table818[[#This Row],[Debit\]]-Table818[[#This Row],[Credit.]],""),"")</f>
        <v>176009.84</v>
      </c>
      <c r="AE57" s="34" t="str">
        <f>IFERROR(IF(AND(OR(Table818[[#This Row],[Classification]]="Income",Table818[[#This Row],[Classification]]="Cost of Goods Sold"),Table818[[#This Row],[Credit.]]&gt;Table818[[#This Row],[Debit\]]),Table818[[#This Row],[Credit.]]-Table818[[#This Row],[Debit\]],""),"")</f>
        <v/>
      </c>
      <c r="AF57" s="34"/>
      <c r="AG57" s="34" t="str">
        <f>IFERROR(IF(AND(Table818[[#This Row],[Classification]]="Assets",Table818[[#This Row],[Debit\]]-Table818[[#This Row],[Credit.]]),Table818[[#This Row],[Debit\]]-Table818[[#This Row],[Credit.]],""),"")</f>
        <v/>
      </c>
      <c r="AH57" s="34" t="str">
        <f>IFERROR(IF(AND(OR(Table818[[#This Row],[Classification]]="Liabilities",Table818[[#This Row],[Classification]]="Owner´s Equity"),Table818[[#This Row],[Credit.]]&gt;Table818[[#This Row],[Debit\]]),Table818[[#This Row],[Credit.]]-Table818[[#This Row],[Debit\]],""),"")</f>
        <v/>
      </c>
    </row>
    <row r="58" spans="2:34" x14ac:dyDescent="0.25">
      <c r="B58" s="34"/>
      <c r="C58" s="37" t="s">
        <v>112</v>
      </c>
      <c r="D58" s="34">
        <v>20412.8</v>
      </c>
      <c r="E58" s="34"/>
      <c r="G58" s="39"/>
      <c r="H58" s="40"/>
      <c r="I58" s="41"/>
      <c r="J58" s="41"/>
      <c r="L58" s="34">
        <v>51</v>
      </c>
      <c r="M58" s="35" t="s">
        <v>158</v>
      </c>
      <c r="N58" s="35" t="s">
        <v>113</v>
      </c>
      <c r="O58" s="34">
        <f>IFERROR(SUMIF(Table415[,],Table617[[#This Row],[Accounts Name]],Table415[,3]),"")</f>
        <v>416467.20000000001</v>
      </c>
      <c r="P58" s="34">
        <f>IFERROR(SUMIF(Table415[,],Table617[[#This Row],[Accounts Name]],Table415[,2]),"")</f>
        <v>0</v>
      </c>
      <c r="S58" s="36">
        <f t="shared" si="0"/>
        <v>51</v>
      </c>
      <c r="T58" s="34" t="s">
        <v>61</v>
      </c>
      <c r="U58" s="37" t="s">
        <v>221</v>
      </c>
      <c r="V58" s="34">
        <f>IFERROR(SUMIF(Table617[Sub-Accounts],Table818[[#This Row],[Update your chart of accounts here]],Table617[Debit]),"")</f>
        <v>0</v>
      </c>
      <c r="W58" s="34">
        <f>IFERROR(SUMIF(Table617[Sub-Accounts],Table818[[#This Row],[Update your chart of accounts here]],Table617[Credit]),"")</f>
        <v>0</v>
      </c>
      <c r="X58" s="34"/>
      <c r="Y58" s="34"/>
      <c r="Z58" s="34"/>
      <c r="AA58" s="34"/>
      <c r="AB58" s="34">
        <f>MAX(Table818[[#This Row],[Debit]]+Table818[[#This Row],[Debit -]]-Table818[[#This Row],[Credit]]-Table818[[#This Row],[Credit +]],0)</f>
        <v>0</v>
      </c>
      <c r="AC58" s="34">
        <f>MAX(Table818[[#This Row],[Credit]]-Table818[[#This Row],[Debit]]+Table818[[#This Row],[Credit +]]-Table818[[#This Row],[Debit -]],0)</f>
        <v>0</v>
      </c>
      <c r="AD58" s="34" t="str">
        <f>IFERROR(IF(AND(OR(Table818[[#This Row],[Classification]]="Expense",Table818[[#This Row],[Classification]]="Cost of Goods Sold"),Table818[[#This Row],[Debit\]]&gt;Table818[[#This Row],[Credit.]]),Table818[[#This Row],[Debit\]]-Table818[[#This Row],[Credit.]],""),"")</f>
        <v/>
      </c>
      <c r="AE58" s="34" t="str">
        <f>IFERROR(IF(AND(OR(Table818[[#This Row],[Classification]]="Income",Table818[[#This Row],[Classification]]="Cost of Goods Sold"),Table818[[#This Row],[Credit.]]&gt;Table818[[#This Row],[Debit\]]),Table818[[#This Row],[Credit.]]-Table818[[#This Row],[Debit\]],""),"")</f>
        <v/>
      </c>
      <c r="AF58" s="34"/>
      <c r="AG58" s="34" t="str">
        <f>IFERROR(IF(AND(Table818[[#This Row],[Classification]]="Assets",Table818[[#This Row],[Debit\]]-Table818[[#This Row],[Credit.]]),Table818[[#This Row],[Debit\]]-Table818[[#This Row],[Credit.]],""),"")</f>
        <v/>
      </c>
      <c r="AH58" s="34" t="str">
        <f>IFERROR(IF(AND(OR(Table818[[#This Row],[Classification]]="Liabilities",Table818[[#This Row],[Classification]]="Owner´s Equity"),Table818[[#This Row],[Credit.]]&gt;Table818[[#This Row],[Debit\]]),Table818[[#This Row],[Credit.]]-Table818[[#This Row],[Debit\]],""),"")</f>
        <v/>
      </c>
    </row>
    <row r="59" spans="2:34" x14ac:dyDescent="0.25">
      <c r="B59" s="34"/>
      <c r="C59" s="37" t="s">
        <v>113</v>
      </c>
      <c r="D59" s="34">
        <v>416467.20000000001</v>
      </c>
      <c r="E59" s="34"/>
      <c r="G59" s="39"/>
      <c r="H59" s="43"/>
      <c r="I59" s="41"/>
      <c r="J59" s="41"/>
      <c r="L59" s="34">
        <v>52</v>
      </c>
      <c r="M59" s="35" t="s">
        <v>159</v>
      </c>
      <c r="N59" s="35" t="s">
        <v>114</v>
      </c>
      <c r="O59" s="34">
        <f>IFERROR(SUMIF(Table415[,],Table617[[#This Row],[Accounts Name]],Table415[,3]),"")</f>
        <v>27500</v>
      </c>
      <c r="P59" s="34">
        <f>IFERROR(SUMIF(Table415[,],Table617[[#This Row],[Accounts Name]],Table415[,2]),"")</f>
        <v>0</v>
      </c>
      <c r="S59" s="36">
        <f t="shared" si="0"/>
        <v>52</v>
      </c>
      <c r="T59" s="34" t="s">
        <v>61</v>
      </c>
      <c r="U59" s="37" t="s">
        <v>222</v>
      </c>
      <c r="V59" s="34">
        <f>IFERROR(SUMIF(Table617[Sub-Accounts],Table818[[#This Row],[Update your chart of accounts here]],Table617[Debit]),"")</f>
        <v>0</v>
      </c>
      <c r="W59" s="34">
        <f>IFERROR(SUMIF(Table617[Sub-Accounts],Table818[[#This Row],[Update your chart of accounts here]],Table617[Credit]),"")</f>
        <v>0</v>
      </c>
      <c r="X59" s="34"/>
      <c r="Y59" s="34"/>
      <c r="Z59" s="34"/>
      <c r="AA59" s="34"/>
      <c r="AB59" s="34">
        <f>MAX(Table818[[#This Row],[Debit]]+Table818[[#This Row],[Debit -]]-Table818[[#This Row],[Credit]]-Table818[[#This Row],[Credit +]],0)</f>
        <v>0</v>
      </c>
      <c r="AC59" s="34">
        <f>MAX(Table818[[#This Row],[Credit]]-Table818[[#This Row],[Debit]]+Table818[[#This Row],[Credit +]]-Table818[[#This Row],[Debit -]],0)</f>
        <v>0</v>
      </c>
      <c r="AD59" s="34" t="str">
        <f>IFERROR(IF(AND(OR(Table818[[#This Row],[Classification]]="Expense",Table818[[#This Row],[Classification]]="Cost of Goods Sold"),Table818[[#This Row],[Debit\]]&gt;Table818[[#This Row],[Credit.]]),Table818[[#This Row],[Debit\]]-Table818[[#This Row],[Credit.]],""),"")</f>
        <v/>
      </c>
      <c r="AE59" s="34" t="str">
        <f>IFERROR(IF(AND(OR(Table818[[#This Row],[Classification]]="Income",Table818[[#This Row],[Classification]]="Cost of Goods Sold"),Table818[[#This Row],[Credit.]]&gt;Table818[[#This Row],[Debit\]]),Table818[[#This Row],[Credit.]]-Table818[[#This Row],[Debit\]],""),"")</f>
        <v/>
      </c>
      <c r="AF59" s="34"/>
      <c r="AG59" s="34" t="str">
        <f>IFERROR(IF(AND(Table818[[#This Row],[Classification]]="Assets",Table818[[#This Row],[Debit\]]-Table818[[#This Row],[Credit.]]),Table818[[#This Row],[Debit\]]-Table818[[#This Row],[Credit.]],""),"")</f>
        <v/>
      </c>
      <c r="AH59" s="34" t="str">
        <f>IFERROR(IF(AND(OR(Table818[[#This Row],[Classification]]="Liabilities",Table818[[#This Row],[Classification]]="Owner´s Equity"),Table818[[#This Row],[Credit.]]&gt;Table818[[#This Row],[Debit\]]),Table818[[#This Row],[Credit.]]-Table818[[#This Row],[Debit\]],""),"")</f>
        <v/>
      </c>
    </row>
    <row r="60" spans="2:34" x14ac:dyDescent="0.25">
      <c r="B60" s="34"/>
      <c r="C60" s="37" t="s">
        <v>114</v>
      </c>
      <c r="D60" s="34">
        <v>27500</v>
      </c>
      <c r="E60" s="34"/>
      <c r="G60" s="39"/>
      <c r="H60" s="40"/>
      <c r="I60" s="41"/>
      <c r="J60" s="41"/>
      <c r="L60" s="34">
        <v>53</v>
      </c>
      <c r="M60" s="35" t="s">
        <v>160</v>
      </c>
      <c r="N60" s="35" t="s">
        <v>115</v>
      </c>
      <c r="O60" s="34">
        <f>IFERROR(SUMIF(Table415[,],Table617[[#This Row],[Accounts Name]],Table415[,3]),"")</f>
        <v>30000</v>
      </c>
      <c r="P60" s="34">
        <f>IFERROR(SUMIF(Table415[,],Table617[[#This Row],[Accounts Name]],Table415[,2]),"")</f>
        <v>0</v>
      </c>
      <c r="S60" s="36">
        <f t="shared" si="0"/>
        <v>53</v>
      </c>
      <c r="T60" s="34" t="s">
        <v>11</v>
      </c>
      <c r="U60" s="37" t="s">
        <v>229</v>
      </c>
      <c r="V60" s="34">
        <f>IFERROR(SUMIF(Table617[Sub-Accounts],Table818[[#This Row],[Update your chart of accounts here]],Table617[Debit]),"")</f>
        <v>0</v>
      </c>
      <c r="W60" s="34">
        <f>IFERROR(SUMIF(Table617[Sub-Accounts],Table818[[#This Row],[Update your chart of accounts here]],Table617[Credit]),"")</f>
        <v>0</v>
      </c>
      <c r="X60" s="34"/>
      <c r="Y60" s="34"/>
      <c r="Z60" s="34">
        <f>AA62</f>
        <v>10003059</v>
      </c>
      <c r="AA60" s="34"/>
      <c r="AB60" s="34">
        <f>MAX(Table818[[#This Row],[Debit]]+Table818[[#This Row],[Debit -]]-Table818[[#This Row],[Credit]]-Table818[[#This Row],[Credit +]],0)</f>
        <v>10003059</v>
      </c>
      <c r="AC60" s="34">
        <f>MAX(Table818[[#This Row],[Credit]]-Table818[[#This Row],[Debit]]+Table818[[#This Row],[Credit +]]-Table818[[#This Row],[Debit -]],0)</f>
        <v>0</v>
      </c>
      <c r="AD60" s="34" t="str">
        <f>IFERROR(IF(AND(OR(Table818[[#This Row],[Classification]]="Expense",Table818[[#This Row],[Classification]]="Cost of Goods Sold"),Table818[[#This Row],[Debit\]]&gt;Table818[[#This Row],[Credit.]]),Table818[[#This Row],[Debit\]]-Table818[[#This Row],[Credit.]],""),"")</f>
        <v/>
      </c>
      <c r="AE60" s="34" t="str">
        <f>IFERROR(IF(AND(OR(Table818[[#This Row],[Classification]]="Income",Table818[[#This Row],[Classification]]="Cost of Goods Sold"),Table818[[#This Row],[Credit.]]&gt;Table818[[#This Row],[Debit\]]),Table818[[#This Row],[Credit.]]-Table818[[#This Row],[Debit\]],""),"")</f>
        <v/>
      </c>
      <c r="AF60" s="34"/>
      <c r="AG60" s="34">
        <f>IFERROR(IF(AND(Table818[[#This Row],[Classification]]="Assets",Table818[[#This Row],[Debit\]]-Table818[[#This Row],[Credit.]]),Table818[[#This Row],[Debit\]]-Table818[[#This Row],[Credit.]],""),"")</f>
        <v>10003059</v>
      </c>
      <c r="AH60" s="34" t="str">
        <f>IFERROR(IF(AND(OR(Table818[[#This Row],[Classification]]="Liabilities",Table818[[#This Row],[Classification]]="Owner´s Equity"),Table818[[#This Row],[Credit.]]&gt;Table818[[#This Row],[Debit\]]),Table818[[#This Row],[Credit.]]-Table818[[#This Row],[Debit\]],""),"")</f>
        <v/>
      </c>
    </row>
    <row r="61" spans="2:34" x14ac:dyDescent="0.25">
      <c r="B61" s="34"/>
      <c r="C61" s="37" t="s">
        <v>115</v>
      </c>
      <c r="D61" s="34">
        <v>30000</v>
      </c>
      <c r="E61" s="34"/>
      <c r="G61" s="39"/>
      <c r="H61" s="40"/>
      <c r="I61" s="41"/>
      <c r="J61" s="41"/>
      <c r="L61" s="34">
        <v>54</v>
      </c>
      <c r="M61" s="35" t="s">
        <v>161</v>
      </c>
      <c r="N61" s="35" t="s">
        <v>116</v>
      </c>
      <c r="O61" s="34">
        <f>IFERROR(SUMIF(Table415[,],Table617[[#This Row],[Accounts Name]],Table415[,3]),"")</f>
        <v>77850</v>
      </c>
      <c r="P61" s="34">
        <f>IFERROR(SUMIF(Table415[,],Table617[[#This Row],[Accounts Name]],Table415[,2]),"")</f>
        <v>0</v>
      </c>
      <c r="S61" s="36">
        <f t="shared" si="0"/>
        <v>54</v>
      </c>
      <c r="T61" s="34" t="s">
        <v>48</v>
      </c>
      <c r="U61" s="37" t="s">
        <v>207</v>
      </c>
      <c r="V61" s="34">
        <f>IFERROR(SUMIF(Table617[Sub-Accounts],Table818[[#This Row],[Update your chart of accounts here]],Table617[Debit]),"")</f>
        <v>0</v>
      </c>
      <c r="W61" s="34">
        <f>IFERROR(SUMIF(Table617[Sub-Accounts],Table818[[#This Row],[Update your chart of accounts here]],Table617[Credit]),"")</f>
        <v>0</v>
      </c>
      <c r="X61" s="34"/>
      <c r="Y61" s="34"/>
      <c r="Z61" s="34"/>
      <c r="AA61" s="34">
        <f>Z12</f>
        <v>8341041.1232255697</v>
      </c>
      <c r="AB61" s="34">
        <f>MAX(Table818[[#This Row],[Debit]]+Table818[[#This Row],[Debit -]]-Table818[[#This Row],[Credit]]-Table818[[#This Row],[Credit +]],0)</f>
        <v>0</v>
      </c>
      <c r="AC61" s="34">
        <f>MAX(Table818[[#This Row],[Credit]]-Table818[[#This Row],[Debit]]+Table818[[#This Row],[Credit +]]-Table818[[#This Row],[Debit -]],0)</f>
        <v>8341041.1232255697</v>
      </c>
      <c r="AD61" s="34" t="str">
        <f>IFERROR(IF(AND(OR(Table818[[#This Row],[Classification]]="Expense",Table818[[#This Row],[Classification]]="Cost of Goods Sold"),Table818[[#This Row],[Debit\]]&gt;Table818[[#This Row],[Credit.]]),Table818[[#This Row],[Debit\]]-Table818[[#This Row],[Credit.]],""),"")</f>
        <v/>
      </c>
      <c r="AE61" s="34" t="str">
        <f>IFERROR(IF(AND(OR(Table818[[#This Row],[Classification]]="Income",Table818[[#This Row],[Classification]]="Cost of Goods Sold"),Table818[[#This Row],[Credit.]]&gt;Table818[[#This Row],[Debit\]]),Table818[[#This Row],[Credit.]]-Table818[[#This Row],[Debit\]],""),"")</f>
        <v/>
      </c>
      <c r="AF61" s="34"/>
      <c r="AG61" s="34" t="str">
        <f>IFERROR(IF(AND(Table818[[#This Row],[Classification]]="Assets",Table818[[#This Row],[Debit\]]-Table818[[#This Row],[Credit.]]),Table818[[#This Row],[Debit\]]-Table818[[#This Row],[Credit.]],""),"")</f>
        <v/>
      </c>
      <c r="AH61" s="34">
        <f>IFERROR(IF(AND(OR(Table818[[#This Row],[Classification]]="Liabilities",Table818[[#This Row],[Classification]]="Owner´s Equity"),Table818[[#This Row],[Credit.]]&gt;Table818[[#This Row],[Debit\]]),Table818[[#This Row],[Credit.]]-Table818[[#This Row],[Debit\]],""),"")</f>
        <v>8341041.1232255697</v>
      </c>
    </row>
    <row r="62" spans="2:34" x14ac:dyDescent="0.25">
      <c r="B62" s="34"/>
      <c r="C62" s="37" t="s">
        <v>116</v>
      </c>
      <c r="D62" s="34">
        <v>77850</v>
      </c>
      <c r="E62" s="34"/>
      <c r="G62" s="39"/>
      <c r="H62" s="43"/>
      <c r="I62" s="41"/>
      <c r="J62" s="41"/>
      <c r="L62" s="34">
        <v>55</v>
      </c>
      <c r="M62" s="35" t="s">
        <v>162</v>
      </c>
      <c r="N62" s="35" t="s">
        <v>117</v>
      </c>
      <c r="O62" s="34">
        <f>IFERROR(SUMIF(Table415[,],Table617[[#This Row],[Accounts Name]],Table415[,3]),"")</f>
        <v>129108.59</v>
      </c>
      <c r="P62" s="34">
        <f>IFERROR(SUMIF(Table415[,],Table617[[#This Row],[Accounts Name]],Table415[,2]),"")</f>
        <v>0</v>
      </c>
      <c r="S62" s="36">
        <f t="shared" si="0"/>
        <v>55</v>
      </c>
      <c r="T62" s="34" t="s">
        <v>62</v>
      </c>
      <c r="U62" s="37" t="s">
        <v>229</v>
      </c>
      <c r="V62" s="34">
        <f>IFERROR(SUMIF(Table617[Sub-Accounts],Table818[[#This Row],[Update your chart of accounts here]],Table617[Debit]),"")</f>
        <v>0</v>
      </c>
      <c r="W62" s="34">
        <f>IFERROR(SUMIF(Table617[Sub-Accounts],Table818[[#This Row],[Update your chart of accounts here]],Table617[Credit]),"")</f>
        <v>0</v>
      </c>
      <c r="X62" s="34"/>
      <c r="Y62" s="34"/>
      <c r="Z62" s="34"/>
      <c r="AA62" s="34">
        <v>10003059</v>
      </c>
      <c r="AB62" s="34">
        <f>MAX(Table818[[#This Row],[Debit]]+Table818[[#This Row],[Debit -]]-Table818[[#This Row],[Credit]]-Table818[[#This Row],[Credit +]],0)</f>
        <v>0</v>
      </c>
      <c r="AC62" s="34">
        <f>MAX(Table818[[#This Row],[Credit]]-Table818[[#This Row],[Debit]]+Table818[[#This Row],[Credit +]]-Table818[[#This Row],[Debit -]],0)</f>
        <v>10003059</v>
      </c>
      <c r="AD62" s="34" t="str">
        <f>IFERROR(IF(AND(OR(Table818[[#This Row],[Classification]]="Expense",Table818[[#This Row],[Classification]]="Cost of Goods Sold"),Table818[[#This Row],[Debit\]]&gt;Table818[[#This Row],[Credit.]]),Table818[[#This Row],[Debit\]]-Table818[[#This Row],[Credit.]],""),"")</f>
        <v/>
      </c>
      <c r="AE62" s="34">
        <f>IFERROR(IF(AND(OR(Table818[[#This Row],[Classification]]="Income",Table818[[#This Row],[Classification]]="Cost of Goods Sold"),Table818[[#This Row],[Credit.]]&gt;Table818[[#This Row],[Debit\]]),Table818[[#This Row],[Credit.]]-Table818[[#This Row],[Debit\]],""),"")</f>
        <v>10003059</v>
      </c>
      <c r="AF62" s="34"/>
      <c r="AG62" s="34" t="str">
        <f>IFERROR(IF(AND(Table818[[#This Row],[Classification]]="Assets",Table818[[#This Row],[Debit\]]-Table818[[#This Row],[Credit.]]),Table818[[#This Row],[Debit\]]-Table818[[#This Row],[Credit.]],""),"")</f>
        <v/>
      </c>
      <c r="AH62" s="34" t="str">
        <f>IFERROR(IF(AND(OR(Table818[[#This Row],[Classification]]="Liabilities",Table818[[#This Row],[Classification]]="Owner´s Equity"),Table818[[#This Row],[Credit.]]&gt;Table818[[#This Row],[Debit\]]),Table818[[#This Row],[Credit.]]-Table818[[#This Row],[Debit\]],""),"")</f>
        <v/>
      </c>
    </row>
    <row r="63" spans="2:34" x14ac:dyDescent="0.25">
      <c r="B63" s="34"/>
      <c r="C63" s="37" t="s">
        <v>117</v>
      </c>
      <c r="D63" s="34">
        <v>129108.59</v>
      </c>
      <c r="E63" s="34"/>
      <c r="G63" s="39"/>
      <c r="H63" s="40"/>
      <c r="I63" s="41"/>
      <c r="J63" s="41"/>
      <c r="L63" s="34">
        <v>56</v>
      </c>
      <c r="M63" s="35" t="s">
        <v>156</v>
      </c>
      <c r="N63" s="35" t="s">
        <v>118</v>
      </c>
      <c r="O63" s="34">
        <f>IFERROR(SUMIF(Table415[,],Table617[[#This Row],[Accounts Name]],Table415[,3]),"")</f>
        <v>131390</v>
      </c>
      <c r="P63" s="34">
        <f>IFERROR(SUMIF(Table415[,],Table617[[#This Row],[Accounts Name]],Table415[,2]),"")</f>
        <v>0</v>
      </c>
      <c r="S63" s="36">
        <f t="shared" si="0"/>
        <v>56</v>
      </c>
      <c r="T63" s="34" t="s">
        <v>11</v>
      </c>
      <c r="U63" s="37" t="s">
        <v>232</v>
      </c>
      <c r="V63" s="34">
        <f>IFERROR(SUMIF(Table617[Sub-Accounts],Table818[[#This Row],[Update your chart of accounts here]],Table617[Debit]),"")</f>
        <v>0</v>
      </c>
      <c r="W63" s="34">
        <f>IFERROR(SUMIF(Table617[Sub-Accounts],Table818[[#This Row],[Update your chart of accounts here]],Table617[Credit]),"")</f>
        <v>0</v>
      </c>
      <c r="X63" s="34"/>
      <c r="Y63" s="34" t="s">
        <v>233</v>
      </c>
      <c r="Z63" s="34">
        <f>I21</f>
        <v>115200</v>
      </c>
      <c r="AA63" s="34"/>
      <c r="AB63" s="34">
        <f>MAX(Table818[[#This Row],[Debit]]+Table818[[#This Row],[Debit -]]-Table818[[#This Row],[Credit]]-Table818[[#This Row],[Credit +]],0)</f>
        <v>115200</v>
      </c>
      <c r="AC63" s="34">
        <f>MAX(Table818[[#This Row],[Credit]]-Table818[[#This Row],[Debit]]+Table818[[#This Row],[Credit +]]-Table818[[#This Row],[Debit -]],0)</f>
        <v>0</v>
      </c>
      <c r="AD63" s="34" t="str">
        <f>IFERROR(IF(AND(OR(Table818[[#This Row],[Classification]]="Expense",Table818[[#This Row],[Classification]]="Cost of Goods Sold"),Table818[[#This Row],[Debit\]]&gt;Table818[[#This Row],[Credit.]]),Table818[[#This Row],[Debit\]]-Table818[[#This Row],[Credit.]],""),"")</f>
        <v/>
      </c>
      <c r="AE63" s="34" t="str">
        <f>IFERROR(IF(AND(OR(Table818[[#This Row],[Classification]]="Income",Table818[[#This Row],[Classification]]="Cost of Goods Sold"),Table818[[#This Row],[Credit.]]&gt;Table818[[#This Row],[Debit\]]),Table818[[#This Row],[Credit.]]-Table818[[#This Row],[Debit\]],""),"")</f>
        <v/>
      </c>
      <c r="AF63" s="34"/>
      <c r="AG63" s="34">
        <f>IFERROR(IF(AND(Table818[[#This Row],[Classification]]="Assets",Table818[[#This Row],[Debit\]]-Table818[[#This Row],[Credit.]]),Table818[[#This Row],[Debit\]]-Table818[[#This Row],[Credit.]],""),"")</f>
        <v>115200</v>
      </c>
      <c r="AH63" s="34" t="str">
        <f>IFERROR(IF(AND(OR(Table818[[#This Row],[Classification]]="Liabilities",Table818[[#This Row],[Classification]]="Owner´s Equity"),Table818[[#This Row],[Credit.]]&gt;Table818[[#This Row],[Debit\]]),Table818[[#This Row],[Credit.]]-Table818[[#This Row],[Debit\]],""),"")</f>
        <v/>
      </c>
    </row>
    <row r="64" spans="2:34" x14ac:dyDescent="0.25">
      <c r="B64" s="34"/>
      <c r="C64" s="37" t="s">
        <v>118</v>
      </c>
      <c r="D64" s="34">
        <v>131390</v>
      </c>
      <c r="E64" s="34"/>
      <c r="G64" s="39"/>
      <c r="H64" s="40"/>
      <c r="I64" s="41"/>
      <c r="J64" s="41"/>
      <c r="L64" s="34">
        <v>57</v>
      </c>
      <c r="M64" s="35" t="s">
        <v>163</v>
      </c>
      <c r="N64" s="35" t="s">
        <v>119</v>
      </c>
      <c r="O64" s="34">
        <f>IFERROR(SUMIF(Table415[,],Table617[[#This Row],[Accounts Name]],Table415[,3]),"")</f>
        <v>300</v>
      </c>
      <c r="P64" s="34">
        <f>IFERROR(SUMIF(Table415[,],Table617[[#This Row],[Accounts Name]],Table415[,2]),"")</f>
        <v>0</v>
      </c>
      <c r="S64" s="36">
        <f t="shared" si="0"/>
        <v>57</v>
      </c>
      <c r="T64" s="34"/>
      <c r="U64" s="37"/>
      <c r="V64" s="34">
        <f>IFERROR(SUMIF(Table617[Sub-Accounts],Table818[[#This Row],[Update your chart of accounts here]],Table617[Debit]),"")</f>
        <v>0</v>
      </c>
      <c r="W64" s="34">
        <f>IFERROR(SUMIF(Table617[Sub-Accounts],Table818[[#This Row],[Update your chart of accounts here]],Table617[Credit]),"")</f>
        <v>0</v>
      </c>
      <c r="X64" s="34"/>
      <c r="Y64" s="34"/>
      <c r="Z64" s="34"/>
      <c r="AA64" s="34"/>
      <c r="AB64" s="34">
        <f>MAX(Table818[[#This Row],[Debit]]+Table818[[#This Row],[Debit -]]-Table818[[#This Row],[Credit]]-Table818[[#This Row],[Credit +]],0)</f>
        <v>0</v>
      </c>
      <c r="AC64" s="34">
        <f>MAX(Table818[[#This Row],[Credit]]-Table818[[#This Row],[Debit]]+Table818[[#This Row],[Credit +]]-Table818[[#This Row],[Debit -]],0)</f>
        <v>0</v>
      </c>
      <c r="AD64" s="34" t="str">
        <f>IFERROR(IF(AND(OR(Table818[[#This Row],[Classification]]="Expense",Table818[[#This Row],[Classification]]="Cost of Goods Sold"),Table818[[#This Row],[Debit\]]&gt;Table818[[#This Row],[Credit.]]),Table818[[#This Row],[Debit\]]-Table818[[#This Row],[Credit.]],""),"")</f>
        <v/>
      </c>
      <c r="AE64" s="34" t="str">
        <f>IFERROR(IF(AND(OR(Table818[[#This Row],[Classification]]="Income",Table818[[#This Row],[Classification]]="Cost of Goods Sold"),Table818[[#This Row],[Credit.]]&gt;Table818[[#This Row],[Debit\]]),Table818[[#This Row],[Credit.]]-Table818[[#This Row],[Debit\]],""),"")</f>
        <v/>
      </c>
      <c r="AF64" s="34"/>
      <c r="AG64" s="34" t="str">
        <f>IFERROR(IF(AND(Table818[[#This Row],[Classification]]="Assets",Table818[[#This Row],[Debit\]]-Table818[[#This Row],[Credit.]]),Table818[[#This Row],[Debit\]]-Table818[[#This Row],[Credit.]],""),"")</f>
        <v/>
      </c>
      <c r="AH64" s="34" t="str">
        <f>IFERROR(IF(AND(OR(Table818[[#This Row],[Classification]]="Liabilities",Table818[[#This Row],[Classification]]="Owner´s Equity"),Table818[[#This Row],[Credit.]]&gt;Table818[[#This Row],[Debit\]]),Table818[[#This Row],[Credit.]]-Table818[[#This Row],[Debit\]],""),"")</f>
        <v/>
      </c>
    </row>
    <row r="65" spans="2:34" x14ac:dyDescent="0.25">
      <c r="B65" s="34"/>
      <c r="C65" s="37" t="s">
        <v>119</v>
      </c>
      <c r="D65" s="34">
        <v>300</v>
      </c>
      <c r="E65" s="34"/>
      <c r="G65" s="39"/>
      <c r="H65" s="43"/>
      <c r="I65" s="41"/>
      <c r="J65" s="41"/>
      <c r="L65" s="34">
        <v>58</v>
      </c>
      <c r="M65" s="35" t="s">
        <v>164</v>
      </c>
      <c r="N65" s="35" t="s">
        <v>120</v>
      </c>
      <c r="O65" s="34">
        <f>IFERROR(SUMIF(Table415[,],Table617[[#This Row],[Accounts Name]],Table415[,3]),"")</f>
        <v>436840.42</v>
      </c>
      <c r="P65" s="34">
        <f>IFERROR(SUMIF(Table415[,],Table617[[#This Row],[Accounts Name]],Table415[,2]),"")</f>
        <v>0</v>
      </c>
      <c r="S65" s="36">
        <f t="shared" si="0"/>
        <v>58</v>
      </c>
      <c r="T65" s="34"/>
      <c r="U65" s="37"/>
      <c r="V65" s="34">
        <f>IFERROR(SUMIF(Table617[Sub-Accounts],Table818[[#This Row],[Update your chart of accounts here]],Table617[Debit]),"")</f>
        <v>0</v>
      </c>
      <c r="W65" s="34">
        <f>IFERROR(SUMIF(Table617[Sub-Accounts],Table818[[#This Row],[Update your chart of accounts here]],Table617[Credit]),"")</f>
        <v>0</v>
      </c>
      <c r="X65" s="34"/>
      <c r="Y65" s="34"/>
      <c r="Z65" s="34"/>
      <c r="AA65" s="34"/>
      <c r="AB65" s="34">
        <f>MAX(Table818[[#This Row],[Debit]]+Table818[[#This Row],[Debit -]]-Table818[[#This Row],[Credit]]-Table818[[#This Row],[Credit +]],0)</f>
        <v>0</v>
      </c>
      <c r="AC65" s="34">
        <f>MAX(Table818[[#This Row],[Credit]]-Table818[[#This Row],[Debit]]+Table818[[#This Row],[Credit +]]-Table818[[#This Row],[Debit -]],0)</f>
        <v>0</v>
      </c>
      <c r="AD65" s="34" t="str">
        <f>IFERROR(IF(AND(OR(Table818[[#This Row],[Classification]]="Expense",Table818[[#This Row],[Classification]]="Cost of Goods Sold"),Table818[[#This Row],[Debit\]]&gt;Table818[[#This Row],[Credit.]]),Table818[[#This Row],[Debit\]]-Table818[[#This Row],[Credit.]],""),"")</f>
        <v/>
      </c>
      <c r="AE65" s="34" t="str">
        <f>IFERROR(IF(AND(OR(Table818[[#This Row],[Classification]]="Income",Table818[[#This Row],[Classification]]="Cost of Goods Sold"),Table818[[#This Row],[Credit.]]&gt;Table818[[#This Row],[Debit\]]),Table818[[#This Row],[Credit.]]-Table818[[#This Row],[Debit\]],""),"")</f>
        <v/>
      </c>
      <c r="AF65" s="34"/>
      <c r="AG65" s="34" t="str">
        <f>IFERROR(IF(AND(Table818[[#This Row],[Classification]]="Assets",Table818[[#This Row],[Debit\]]-Table818[[#This Row],[Credit.]]),Table818[[#This Row],[Debit\]]-Table818[[#This Row],[Credit.]],""),"")</f>
        <v/>
      </c>
      <c r="AH65" s="34" t="str">
        <f>IFERROR(IF(AND(OR(Table818[[#This Row],[Classification]]="Liabilities",Table818[[#This Row],[Classification]]="Owner´s Equity"),Table818[[#This Row],[Credit.]]&gt;Table818[[#This Row],[Debit\]]),Table818[[#This Row],[Credit.]]-Table818[[#This Row],[Debit\]],""),"")</f>
        <v/>
      </c>
    </row>
    <row r="66" spans="2:34" x14ac:dyDescent="0.25">
      <c r="B66" s="34"/>
      <c r="C66" s="37" t="s">
        <v>120</v>
      </c>
      <c r="D66" s="34">
        <v>436840.42</v>
      </c>
      <c r="E66" s="34"/>
      <c r="G66" s="39"/>
      <c r="H66" s="40"/>
      <c r="I66" s="41"/>
      <c r="J66" s="41"/>
      <c r="L66" s="34">
        <v>59</v>
      </c>
      <c r="M66" s="35" t="s">
        <v>151</v>
      </c>
      <c r="N66" s="35" t="s">
        <v>121</v>
      </c>
      <c r="O66" s="34">
        <f>IFERROR(SUMIF(Table415[,],Table617[[#This Row],[Accounts Name]],Table415[,3]),"")</f>
        <v>102350</v>
      </c>
      <c r="P66" s="34">
        <f>IFERROR(SUMIF(Table415[,],Table617[[#This Row],[Accounts Name]],Table415[,2]),"")</f>
        <v>0</v>
      </c>
      <c r="S66" s="36">
        <f t="shared" si="0"/>
        <v>59</v>
      </c>
      <c r="T66" s="34"/>
      <c r="U66" s="37"/>
      <c r="V66" s="34">
        <f>IFERROR(SUMIF(Table617[Sub-Accounts],Table818[[#This Row],[Update your chart of accounts here]],Table617[Debit]),"")</f>
        <v>0</v>
      </c>
      <c r="W66" s="34">
        <f>IFERROR(SUMIF(Table617[Sub-Accounts],Table818[[#This Row],[Update your chart of accounts here]],Table617[Credit]),"")</f>
        <v>0</v>
      </c>
      <c r="X66" s="34"/>
      <c r="Y66" s="34"/>
      <c r="Z66" s="34"/>
      <c r="AA66" s="34"/>
      <c r="AB66" s="34">
        <f>MAX(Table818[[#This Row],[Debit]]+Table818[[#This Row],[Debit -]]-Table818[[#This Row],[Credit]]-Table818[[#This Row],[Credit +]],0)</f>
        <v>0</v>
      </c>
      <c r="AC66" s="34">
        <f>MAX(Table818[[#This Row],[Credit]]-Table818[[#This Row],[Debit]]+Table818[[#This Row],[Credit +]]-Table818[[#This Row],[Debit -]],0)</f>
        <v>0</v>
      </c>
      <c r="AD66" s="34" t="str">
        <f>IFERROR(IF(AND(OR(Table818[[#This Row],[Classification]]="Expense",Table818[[#This Row],[Classification]]="Cost of Goods Sold"),Table818[[#This Row],[Debit\]]&gt;Table818[[#This Row],[Credit.]]),Table818[[#This Row],[Debit\]]-Table818[[#This Row],[Credit.]],""),"")</f>
        <v/>
      </c>
      <c r="AE66" s="34" t="str">
        <f>IFERROR(IF(AND(OR(Table818[[#This Row],[Classification]]="Income",Table818[[#This Row],[Classification]]="Cost of Goods Sold"),Table818[[#This Row],[Credit.]]&gt;Table818[[#This Row],[Debit\]]),Table818[[#This Row],[Credit.]]-Table818[[#This Row],[Debit\]],""),"")</f>
        <v/>
      </c>
      <c r="AF66" s="34"/>
      <c r="AG66" s="34" t="str">
        <f>IFERROR(IF(AND(Table818[[#This Row],[Classification]]="Assets",Table818[[#This Row],[Debit\]]-Table818[[#This Row],[Credit.]]),Table818[[#This Row],[Debit\]]-Table818[[#This Row],[Credit.]],""),"")</f>
        <v/>
      </c>
      <c r="AH66" s="34" t="str">
        <f>IFERROR(IF(AND(OR(Table818[[#This Row],[Classification]]="Liabilities",Table818[[#This Row],[Classification]]="Owner´s Equity"),Table818[[#This Row],[Credit.]]&gt;Table818[[#This Row],[Debit\]]),Table818[[#This Row],[Credit.]]-Table818[[#This Row],[Debit\]],""),"")</f>
        <v/>
      </c>
    </row>
    <row r="67" spans="2:34" x14ac:dyDescent="0.25">
      <c r="B67" s="34"/>
      <c r="C67" s="37" t="s">
        <v>121</v>
      </c>
      <c r="D67" s="34">
        <v>102350</v>
      </c>
      <c r="E67" s="34"/>
      <c r="G67" s="39"/>
      <c r="H67" s="40"/>
      <c r="I67" s="41"/>
      <c r="J67" s="41"/>
      <c r="L67" s="34">
        <v>60</v>
      </c>
      <c r="M67" s="35" t="s">
        <v>151</v>
      </c>
      <c r="N67" s="35" t="s">
        <v>122</v>
      </c>
      <c r="O67" s="34">
        <f>IFERROR(SUMIF(Table415[,],Table617[[#This Row],[Accounts Name]],Table415[,3]),"")</f>
        <v>62000</v>
      </c>
      <c r="P67" s="34">
        <f>IFERROR(SUMIF(Table415[,],Table617[[#This Row],[Accounts Name]],Table415[,2]),"")</f>
        <v>0</v>
      </c>
      <c r="S67" s="36">
        <f t="shared" si="0"/>
        <v>60</v>
      </c>
      <c r="T67" s="34"/>
      <c r="U67" s="37"/>
      <c r="V67" s="34">
        <f>IFERROR(SUMIF(Table617[Sub-Accounts],Table818[[#This Row],[Update your chart of accounts here]],Table617[Debit]),"")</f>
        <v>0</v>
      </c>
      <c r="W67" s="34">
        <f>IFERROR(SUMIF(Table617[Sub-Accounts],Table818[[#This Row],[Update your chart of accounts here]],Table617[Credit]),"")</f>
        <v>0</v>
      </c>
      <c r="X67" s="34"/>
      <c r="Y67" s="34"/>
      <c r="Z67" s="34"/>
      <c r="AA67" s="34"/>
      <c r="AB67" s="34">
        <f>MAX(Table818[[#This Row],[Debit]]+Table818[[#This Row],[Debit -]]-Table818[[#This Row],[Credit]]-Table818[[#This Row],[Credit +]],0)</f>
        <v>0</v>
      </c>
      <c r="AC67" s="34">
        <f>MAX(Table818[[#This Row],[Credit]]-Table818[[#This Row],[Debit]]+Table818[[#This Row],[Credit +]]-Table818[[#This Row],[Debit -]],0)</f>
        <v>0</v>
      </c>
      <c r="AD67" s="34" t="str">
        <f>IFERROR(IF(AND(OR(Table818[[#This Row],[Classification]]="Expense",Table818[[#This Row],[Classification]]="Cost of Goods Sold"),Table818[[#This Row],[Debit\]]&gt;Table818[[#This Row],[Credit.]]),Table818[[#This Row],[Debit\]]-Table818[[#This Row],[Credit.]],""),"")</f>
        <v/>
      </c>
      <c r="AE67" s="34" t="str">
        <f>IFERROR(IF(AND(OR(Table818[[#This Row],[Classification]]="Income",Table818[[#This Row],[Classification]]="Cost of Goods Sold"),Table818[[#This Row],[Credit.]]&gt;Table818[[#This Row],[Debit\]]),Table818[[#This Row],[Credit.]]-Table818[[#This Row],[Debit\]],""),"")</f>
        <v/>
      </c>
      <c r="AF67" s="34"/>
      <c r="AG67" s="34" t="str">
        <f>IFERROR(IF(AND(Table818[[#This Row],[Classification]]="Assets",Table818[[#This Row],[Debit\]]-Table818[[#This Row],[Credit.]]),Table818[[#This Row],[Debit\]]-Table818[[#This Row],[Credit.]],""),"")</f>
        <v/>
      </c>
      <c r="AH67" s="34" t="str">
        <f>IFERROR(IF(AND(OR(Table818[[#This Row],[Classification]]="Liabilities",Table818[[#This Row],[Classification]]="Owner´s Equity"),Table818[[#This Row],[Credit.]]&gt;Table818[[#This Row],[Debit\]]),Table818[[#This Row],[Credit.]]-Table818[[#This Row],[Debit\]],""),"")</f>
        <v/>
      </c>
    </row>
    <row r="68" spans="2:34" x14ac:dyDescent="0.25">
      <c r="B68" s="34"/>
      <c r="C68" s="37" t="s">
        <v>122</v>
      </c>
      <c r="D68" s="34">
        <v>62000</v>
      </c>
      <c r="E68" s="34"/>
      <c r="G68" s="39"/>
      <c r="H68" s="43"/>
      <c r="I68" s="41"/>
      <c r="J68" s="41"/>
      <c r="L68" s="34">
        <v>61</v>
      </c>
      <c r="M68" s="35" t="s">
        <v>151</v>
      </c>
      <c r="N68" s="35" t="s">
        <v>123</v>
      </c>
      <c r="O68" s="34">
        <f>IFERROR(SUMIF(Table415[,],Table617[[#This Row],[Accounts Name]],Table415[,3]),"")</f>
        <v>278343</v>
      </c>
      <c r="P68" s="34">
        <f>IFERROR(SUMIF(Table415[,],Table617[[#This Row],[Accounts Name]],Table415[,2]),"")</f>
        <v>0</v>
      </c>
      <c r="S68" s="36">
        <f t="shared" si="0"/>
        <v>61</v>
      </c>
      <c r="T68" s="34"/>
      <c r="U68" s="37"/>
      <c r="V68" s="34">
        <f>IFERROR(SUMIF(Table617[Sub-Accounts],Table818[[#This Row],[Update your chart of accounts here]],Table617[Debit]),"")</f>
        <v>0</v>
      </c>
      <c r="W68" s="34">
        <f>IFERROR(SUMIF(Table617[Sub-Accounts],Table818[[#This Row],[Update your chart of accounts here]],Table617[Credit]),"")</f>
        <v>0</v>
      </c>
      <c r="X68" s="34"/>
      <c r="Y68" s="34"/>
      <c r="Z68" s="34"/>
      <c r="AA68" s="34"/>
      <c r="AB68" s="34">
        <f>MAX(Table818[[#This Row],[Debit]]+Table818[[#This Row],[Debit -]]-Table818[[#This Row],[Credit]]-Table818[[#This Row],[Credit +]],0)</f>
        <v>0</v>
      </c>
      <c r="AC68" s="34">
        <f>MAX(Table818[[#This Row],[Credit]]-Table818[[#This Row],[Debit]]+Table818[[#This Row],[Credit +]]-Table818[[#This Row],[Debit -]],0)</f>
        <v>0</v>
      </c>
      <c r="AD68" s="34" t="str">
        <f>IFERROR(IF(AND(OR(Table818[[#This Row],[Classification]]="Expense",Table818[[#This Row],[Classification]]="Cost of Goods Sold"),Table818[[#This Row],[Debit\]]&gt;Table818[[#This Row],[Credit.]]),Table818[[#This Row],[Debit\]]-Table818[[#This Row],[Credit.]],""),"")</f>
        <v/>
      </c>
      <c r="AE68" s="34" t="str">
        <f>IFERROR(IF(AND(OR(Table818[[#This Row],[Classification]]="Income",Table818[[#This Row],[Classification]]="Cost of Goods Sold"),Table818[[#This Row],[Credit.]]&gt;Table818[[#This Row],[Debit\]]),Table818[[#This Row],[Credit.]]-Table818[[#This Row],[Debit\]],""),"")</f>
        <v/>
      </c>
      <c r="AF68" s="34"/>
      <c r="AG68" s="34" t="str">
        <f>IFERROR(IF(AND(Table818[[#This Row],[Classification]]="Assets",Table818[[#This Row],[Debit\]]-Table818[[#This Row],[Credit.]]),Table818[[#This Row],[Debit\]]-Table818[[#This Row],[Credit.]],""),"")</f>
        <v/>
      </c>
      <c r="AH68" s="34" t="str">
        <f>IFERROR(IF(AND(OR(Table818[[#This Row],[Classification]]="Liabilities",Table818[[#This Row],[Classification]]="Owner´s Equity"),Table818[[#This Row],[Credit.]]&gt;Table818[[#This Row],[Debit\]]),Table818[[#This Row],[Credit.]]-Table818[[#This Row],[Debit\]],""),"")</f>
        <v/>
      </c>
    </row>
    <row r="69" spans="2:34" x14ac:dyDescent="0.25">
      <c r="B69" s="34"/>
      <c r="C69" s="37" t="s">
        <v>123</v>
      </c>
      <c r="D69" s="34">
        <v>278343</v>
      </c>
      <c r="E69" s="34"/>
      <c r="G69" s="39"/>
      <c r="H69" s="40"/>
      <c r="I69" s="41"/>
      <c r="J69" s="41"/>
      <c r="L69" s="34">
        <v>62</v>
      </c>
      <c r="M69" s="35" t="s">
        <v>159</v>
      </c>
      <c r="N69" s="35" t="s">
        <v>124</v>
      </c>
      <c r="O69" s="34">
        <f>IFERROR(SUMIF(Table415[,],Table617[[#This Row],[Accounts Name]],Table415[,3]),"")</f>
        <v>181078.65</v>
      </c>
      <c r="P69" s="34">
        <f>IFERROR(SUMIF(Table415[,],Table617[[#This Row],[Accounts Name]],Table415[,2]),"")</f>
        <v>0</v>
      </c>
      <c r="S69" s="36">
        <f t="shared" si="0"/>
        <v>62</v>
      </c>
      <c r="T69" s="34"/>
      <c r="U69" s="37"/>
      <c r="V69" s="34">
        <f>IFERROR(SUMIF(Table617[Sub-Accounts],Table818[[#This Row],[Update your chart of accounts here]],Table617[Debit]),"")</f>
        <v>0</v>
      </c>
      <c r="W69" s="34">
        <f>IFERROR(SUMIF(Table617[Sub-Accounts],Table818[[#This Row],[Update your chart of accounts here]],Table617[Credit]),"")</f>
        <v>0</v>
      </c>
      <c r="X69" s="34"/>
      <c r="Y69" s="34"/>
      <c r="Z69" s="34"/>
      <c r="AA69" s="34"/>
      <c r="AB69" s="34">
        <f>MAX(Table818[[#This Row],[Debit]]+Table818[[#This Row],[Debit -]]-Table818[[#This Row],[Credit]]-Table818[[#This Row],[Credit +]],0)</f>
        <v>0</v>
      </c>
      <c r="AC69" s="34">
        <f>MAX(Table818[[#This Row],[Credit]]-Table818[[#This Row],[Debit]]+Table818[[#This Row],[Credit +]]-Table818[[#This Row],[Debit -]],0)</f>
        <v>0</v>
      </c>
      <c r="AD69" s="34" t="str">
        <f>IFERROR(IF(AND(OR(Table818[[#This Row],[Classification]]="Expense",Table818[[#This Row],[Classification]]="Cost of Goods Sold"),Table818[[#This Row],[Debit\]]&gt;Table818[[#This Row],[Credit.]]),Table818[[#This Row],[Debit\]]-Table818[[#This Row],[Credit.]],""),"")</f>
        <v/>
      </c>
      <c r="AE69" s="34" t="str">
        <f>IFERROR(IF(AND(OR(Table818[[#This Row],[Classification]]="Income",Table818[[#This Row],[Classification]]="Cost of Goods Sold"),Table818[[#This Row],[Credit.]]&gt;Table818[[#This Row],[Debit\]]),Table818[[#This Row],[Credit.]]-Table818[[#This Row],[Debit\]],""),"")</f>
        <v/>
      </c>
      <c r="AF69" s="34"/>
      <c r="AG69" s="34" t="str">
        <f>IFERROR(IF(AND(Table818[[#This Row],[Classification]]="Assets",Table818[[#This Row],[Debit\]]-Table818[[#This Row],[Credit.]]),Table818[[#This Row],[Debit\]]-Table818[[#This Row],[Credit.]],""),"")</f>
        <v/>
      </c>
      <c r="AH69" s="34" t="str">
        <f>IFERROR(IF(AND(OR(Table818[[#This Row],[Classification]]="Liabilities",Table818[[#This Row],[Classification]]="Owner´s Equity"),Table818[[#This Row],[Credit.]]&gt;Table818[[#This Row],[Debit\]]),Table818[[#This Row],[Credit.]]-Table818[[#This Row],[Debit\]],""),"")</f>
        <v/>
      </c>
    </row>
    <row r="70" spans="2:34" x14ac:dyDescent="0.25">
      <c r="B70" s="34"/>
      <c r="C70" s="37" t="s">
        <v>124</v>
      </c>
      <c r="D70" s="34">
        <v>181078.65</v>
      </c>
      <c r="E70" s="34"/>
      <c r="G70" s="39"/>
      <c r="H70" s="40"/>
      <c r="I70" s="41"/>
      <c r="J70" s="41"/>
      <c r="L70" s="34">
        <v>63</v>
      </c>
      <c r="M70" s="35" t="s">
        <v>165</v>
      </c>
      <c r="N70" s="35" t="s">
        <v>125</v>
      </c>
      <c r="O70" s="34">
        <f>IFERROR(SUMIF(Table415[,],Table617[[#This Row],[Accounts Name]],Table415[,3]),"")</f>
        <v>653656.38</v>
      </c>
      <c r="P70" s="34">
        <f>IFERROR(SUMIF(Table415[,],Table617[[#This Row],[Accounts Name]],Table415[,2]),"")</f>
        <v>0</v>
      </c>
      <c r="S70" s="36">
        <f t="shared" si="0"/>
        <v>63</v>
      </c>
      <c r="T70" s="34"/>
      <c r="U70" s="37"/>
      <c r="V70" s="34">
        <f>IFERROR(SUMIF(Table617[Sub-Accounts],Table818[[#This Row],[Update your chart of accounts here]],Table617[Debit]),"")</f>
        <v>0</v>
      </c>
      <c r="W70" s="34">
        <f>IFERROR(SUMIF(Table617[Sub-Accounts],Table818[[#This Row],[Update your chart of accounts here]],Table617[Credit]),"")</f>
        <v>0</v>
      </c>
      <c r="X70" s="34"/>
      <c r="Y70" s="34"/>
      <c r="Z70" s="34"/>
      <c r="AA70" s="34"/>
      <c r="AB70" s="34">
        <f>MAX(Table818[[#This Row],[Debit]]+Table818[[#This Row],[Debit -]]-Table818[[#This Row],[Credit]]-Table818[[#This Row],[Credit +]],0)</f>
        <v>0</v>
      </c>
      <c r="AC70" s="34">
        <f>MAX(Table818[[#This Row],[Credit]]-Table818[[#This Row],[Debit]]+Table818[[#This Row],[Credit +]]-Table818[[#This Row],[Debit -]],0)</f>
        <v>0</v>
      </c>
      <c r="AD70" s="34" t="str">
        <f>IFERROR(IF(AND(OR(Table818[[#This Row],[Classification]]="Expense",Table818[[#This Row],[Classification]]="Cost of Goods Sold"),Table818[[#This Row],[Debit\]]&gt;Table818[[#This Row],[Credit.]]),Table818[[#This Row],[Debit\]]-Table818[[#This Row],[Credit.]],""),"")</f>
        <v/>
      </c>
      <c r="AE70" s="34" t="str">
        <f>IFERROR(IF(AND(OR(Table818[[#This Row],[Classification]]="Income",Table818[[#This Row],[Classification]]="Cost of Goods Sold"),Table818[[#This Row],[Credit.]]&gt;Table818[[#This Row],[Debit\]]),Table818[[#This Row],[Credit.]]-Table818[[#This Row],[Debit\]],""),"")</f>
        <v/>
      </c>
      <c r="AF70" s="34"/>
      <c r="AG70" s="34" t="str">
        <f>IFERROR(IF(AND(Table818[[#This Row],[Classification]]="Assets",Table818[[#This Row],[Debit\]]-Table818[[#This Row],[Credit.]]),Table818[[#This Row],[Debit\]]-Table818[[#This Row],[Credit.]],""),"")</f>
        <v/>
      </c>
      <c r="AH70" s="34" t="str">
        <f>IFERROR(IF(AND(OR(Table818[[#This Row],[Classification]]="Liabilities",Table818[[#This Row],[Classification]]="Owner´s Equity"),Table818[[#This Row],[Credit.]]&gt;Table818[[#This Row],[Debit\]]),Table818[[#This Row],[Credit.]]-Table818[[#This Row],[Debit\]],""),"")</f>
        <v/>
      </c>
    </row>
    <row r="71" spans="2:34" x14ac:dyDescent="0.25">
      <c r="B71" s="34"/>
      <c r="C71" s="37" t="s">
        <v>125</v>
      </c>
      <c r="D71" s="34">
        <v>653656.38</v>
      </c>
      <c r="E71" s="34"/>
      <c r="G71" s="39"/>
      <c r="H71" s="43"/>
      <c r="I71" s="41"/>
      <c r="J71" s="41"/>
      <c r="L71" s="34">
        <v>64</v>
      </c>
      <c r="M71" s="35" t="s">
        <v>160</v>
      </c>
      <c r="N71" s="35" t="s">
        <v>126</v>
      </c>
      <c r="O71" s="34">
        <f>IFERROR(SUMIF(Table415[,],Table617[[#This Row],[Accounts Name]],Table415[,3]),"")</f>
        <v>115440</v>
      </c>
      <c r="P71" s="34">
        <f>IFERROR(SUMIF(Table415[,],Table617[[#This Row],[Accounts Name]],Table415[,2]),"")</f>
        <v>0</v>
      </c>
      <c r="S71" s="36">
        <f t="shared" si="0"/>
        <v>64</v>
      </c>
      <c r="T71" s="34"/>
      <c r="U71" s="37"/>
      <c r="V71" s="34">
        <f>IFERROR(SUMIF(Table617[Sub-Accounts],Table818[[#This Row],[Update your chart of accounts here]],Table617[Debit]),"")</f>
        <v>0</v>
      </c>
      <c r="W71" s="34">
        <f>IFERROR(SUMIF(Table617[Sub-Accounts],Table818[[#This Row],[Update your chart of accounts here]],Table617[Credit]),"")</f>
        <v>0</v>
      </c>
      <c r="X71" s="34"/>
      <c r="Y71" s="34"/>
      <c r="Z71" s="34"/>
      <c r="AA71" s="34"/>
      <c r="AB71" s="34">
        <f>MAX(Table818[[#This Row],[Debit]]+Table818[[#This Row],[Debit -]]-Table818[[#This Row],[Credit]]-Table818[[#This Row],[Credit +]],0)</f>
        <v>0</v>
      </c>
      <c r="AC71" s="34">
        <f>MAX(Table818[[#This Row],[Credit]]-Table818[[#This Row],[Debit]]+Table818[[#This Row],[Credit +]]-Table818[[#This Row],[Debit -]],0)</f>
        <v>0</v>
      </c>
      <c r="AD71" s="34" t="str">
        <f>IFERROR(IF(AND(OR(Table818[[#This Row],[Classification]]="Expense",Table818[[#This Row],[Classification]]="Cost of Goods Sold"),Table818[[#This Row],[Debit\]]&gt;Table818[[#This Row],[Credit.]]),Table818[[#This Row],[Debit\]]-Table818[[#This Row],[Credit.]],""),"")</f>
        <v/>
      </c>
      <c r="AE71" s="34" t="str">
        <f>IFERROR(IF(AND(OR(Table818[[#This Row],[Classification]]="Income",Table818[[#This Row],[Classification]]="Cost of Goods Sold"),Table818[[#This Row],[Credit.]]&gt;Table818[[#This Row],[Debit\]]),Table818[[#This Row],[Credit.]]-Table818[[#This Row],[Debit\]],""),"")</f>
        <v/>
      </c>
      <c r="AF71" s="34"/>
      <c r="AG71" s="34" t="str">
        <f>IFERROR(IF(AND(Table818[[#This Row],[Classification]]="Assets",Table818[[#This Row],[Debit\]]-Table818[[#This Row],[Credit.]]),Table818[[#This Row],[Debit\]]-Table818[[#This Row],[Credit.]],""),"")</f>
        <v/>
      </c>
      <c r="AH71" s="34" t="str">
        <f>IFERROR(IF(AND(OR(Table818[[#This Row],[Classification]]="Liabilities",Table818[[#This Row],[Classification]]="Owner´s Equity"),Table818[[#This Row],[Credit.]]&gt;Table818[[#This Row],[Debit\]]),Table818[[#This Row],[Credit.]]-Table818[[#This Row],[Debit\]],""),"")</f>
        <v/>
      </c>
    </row>
    <row r="72" spans="2:34" x14ac:dyDescent="0.25">
      <c r="B72" s="34"/>
      <c r="C72" s="37" t="s">
        <v>126</v>
      </c>
      <c r="D72" s="34">
        <v>115440</v>
      </c>
      <c r="E72" s="34"/>
      <c r="G72" s="39"/>
      <c r="H72" s="40"/>
      <c r="I72" s="41"/>
      <c r="J72" s="41"/>
      <c r="L72" s="34">
        <v>65</v>
      </c>
      <c r="M72" s="35" t="s">
        <v>166</v>
      </c>
      <c r="N72" s="35" t="s">
        <v>127</v>
      </c>
      <c r="O72" s="34">
        <f>IFERROR(SUMIF(Table415[,],Table617[[#This Row],[Accounts Name]],Table415[,3]),"")</f>
        <v>1409746.56</v>
      </c>
      <c r="P72" s="34">
        <f>IFERROR(SUMIF(Table415[,],Table617[[#This Row],[Accounts Name]],Table415[,2]),"")</f>
        <v>0</v>
      </c>
      <c r="S72" s="36">
        <f t="shared" si="0"/>
        <v>65</v>
      </c>
      <c r="T72" s="34"/>
      <c r="U72" s="37"/>
      <c r="V72" s="34">
        <f>IFERROR(SUMIF(Table617[Sub-Accounts],Table818[[#This Row],[Update your chart of accounts here]],Table617[Debit]),"")</f>
        <v>0</v>
      </c>
      <c r="W72" s="34">
        <f>IFERROR(SUMIF(Table617[Sub-Accounts],Table818[[#This Row],[Update your chart of accounts here]],Table617[Credit]),"")</f>
        <v>0</v>
      </c>
      <c r="X72" s="34"/>
      <c r="Y72" s="34"/>
      <c r="Z72" s="34"/>
      <c r="AA72" s="34"/>
      <c r="AB72" s="34">
        <f>MAX(Table818[[#This Row],[Debit]]+Table818[[#This Row],[Debit -]]-Table818[[#This Row],[Credit]]-Table818[[#This Row],[Credit +]],0)</f>
        <v>0</v>
      </c>
      <c r="AC72" s="34">
        <f>MAX(Table818[[#This Row],[Credit]]-Table818[[#This Row],[Debit]]+Table818[[#This Row],[Credit +]]-Table818[[#This Row],[Debit -]],0)</f>
        <v>0</v>
      </c>
      <c r="AD72" s="34" t="str">
        <f>IFERROR(IF(AND(OR(Table818[[#This Row],[Classification]]="Expense",Table818[[#This Row],[Classification]]="Cost of Goods Sold"),Table818[[#This Row],[Debit\]]&gt;Table818[[#This Row],[Credit.]]),Table818[[#This Row],[Debit\]]-Table818[[#This Row],[Credit.]],""),"")</f>
        <v/>
      </c>
      <c r="AE72" s="34" t="str">
        <f>IFERROR(IF(AND(OR(Table818[[#This Row],[Classification]]="Income",Table818[[#This Row],[Classification]]="Cost of Goods Sold"),Table818[[#This Row],[Credit.]]&gt;Table818[[#This Row],[Debit\]]),Table818[[#This Row],[Credit.]]-Table818[[#This Row],[Debit\]],""),"")</f>
        <v/>
      </c>
      <c r="AF72" s="34"/>
      <c r="AG72" s="34" t="str">
        <f>IFERROR(IF(AND(Table818[[#This Row],[Classification]]="Assets",Table818[[#This Row],[Debit\]]-Table818[[#This Row],[Credit.]]),Table818[[#This Row],[Debit\]]-Table818[[#This Row],[Credit.]],""),"")</f>
        <v/>
      </c>
      <c r="AH72" s="34" t="str">
        <f>IFERROR(IF(AND(OR(Table818[[#This Row],[Classification]]="Liabilities",Table818[[#This Row],[Classification]]="Owner´s Equity"),Table818[[#This Row],[Credit.]]&gt;Table818[[#This Row],[Debit\]]),Table818[[#This Row],[Credit.]]-Table818[[#This Row],[Debit\]],""),"")</f>
        <v/>
      </c>
    </row>
    <row r="73" spans="2:34" x14ac:dyDescent="0.25">
      <c r="B73" s="34"/>
      <c r="C73" s="37" t="s">
        <v>127</v>
      </c>
      <c r="D73" s="34">
        <v>1409746.56</v>
      </c>
      <c r="E73" s="34"/>
      <c r="G73" s="39"/>
      <c r="H73" s="40"/>
      <c r="I73" s="41"/>
      <c r="J73" s="41"/>
      <c r="L73" s="34">
        <v>66</v>
      </c>
      <c r="M73" s="35" t="s">
        <v>152</v>
      </c>
      <c r="N73" s="35" t="s">
        <v>128</v>
      </c>
      <c r="O73" s="34">
        <f>IFERROR(SUMIF(Table415[,],Table617[[#This Row],[Accounts Name]],Table415[,3]),"")</f>
        <v>1758</v>
      </c>
      <c r="P73" s="34">
        <f>IFERROR(SUMIF(Table415[,],Table617[[#This Row],[Accounts Name]],Table415[,2]),"")</f>
        <v>0</v>
      </c>
      <c r="S73" s="36">
        <f t="shared" si="0"/>
        <v>66</v>
      </c>
      <c r="T73" s="34"/>
      <c r="U73" s="37"/>
      <c r="V73" s="34">
        <f>IFERROR(SUMIF(Table617[Sub-Accounts],Table818[[#This Row],[Update your chart of accounts here]],Table617[Debit]),"")</f>
        <v>0</v>
      </c>
      <c r="W73" s="34">
        <f>IFERROR(SUMIF(Table617[Sub-Accounts],Table818[[#This Row],[Update your chart of accounts here]],Table617[Credit]),"")</f>
        <v>0</v>
      </c>
      <c r="X73" s="34"/>
      <c r="Y73" s="34"/>
      <c r="Z73" s="34"/>
      <c r="AA73" s="34"/>
      <c r="AB73" s="34">
        <f>MAX(Table818[[#This Row],[Debit]]+Table818[[#This Row],[Debit -]]-Table818[[#This Row],[Credit]]-Table818[[#This Row],[Credit +]],0)</f>
        <v>0</v>
      </c>
      <c r="AC73" s="34">
        <f>MAX(Table818[[#This Row],[Credit]]-Table818[[#This Row],[Debit]]+Table818[[#This Row],[Credit +]]-Table818[[#This Row],[Debit -]],0)</f>
        <v>0</v>
      </c>
      <c r="AD73" s="34" t="str">
        <f>IFERROR(IF(AND(OR(Table818[[#This Row],[Classification]]="Expense",Table818[[#This Row],[Classification]]="Cost of Goods Sold"),Table818[[#This Row],[Debit\]]&gt;Table818[[#This Row],[Credit.]]),Table818[[#This Row],[Debit\]]-Table818[[#This Row],[Credit.]],""),"")</f>
        <v/>
      </c>
      <c r="AE73" s="34" t="str">
        <f>IFERROR(IF(AND(OR(Table818[[#This Row],[Classification]]="Income",Table818[[#This Row],[Classification]]="Cost of Goods Sold"),Table818[[#This Row],[Credit.]]&gt;Table818[[#This Row],[Debit\]]),Table818[[#This Row],[Credit.]]-Table818[[#This Row],[Debit\]],""),"")</f>
        <v/>
      </c>
      <c r="AF73" s="34"/>
      <c r="AG73" s="34" t="str">
        <f>IFERROR(IF(AND(Table818[[#This Row],[Classification]]="Assets",Table818[[#This Row],[Debit\]]-Table818[[#This Row],[Credit.]]),Table818[[#This Row],[Debit\]]-Table818[[#This Row],[Credit.]],""),"")</f>
        <v/>
      </c>
      <c r="AH73" s="34" t="str">
        <f>IFERROR(IF(AND(OR(Table818[[#This Row],[Classification]]="Liabilities",Table818[[#This Row],[Classification]]="Owner´s Equity"),Table818[[#This Row],[Credit.]]&gt;Table818[[#This Row],[Debit\]]),Table818[[#This Row],[Credit.]]-Table818[[#This Row],[Debit\]],""),"")</f>
        <v/>
      </c>
    </row>
    <row r="74" spans="2:34" x14ac:dyDescent="0.25">
      <c r="B74" s="34"/>
      <c r="C74" s="37" t="s">
        <v>128</v>
      </c>
      <c r="D74" s="34">
        <v>1758</v>
      </c>
      <c r="E74" s="34"/>
      <c r="G74" s="39"/>
      <c r="H74" s="43"/>
      <c r="I74" s="41"/>
      <c r="J74" s="41"/>
      <c r="L74" s="34">
        <v>67</v>
      </c>
      <c r="M74" s="35" t="s">
        <v>167</v>
      </c>
      <c r="N74" s="35" t="s">
        <v>129</v>
      </c>
      <c r="O74" s="34">
        <f>IFERROR(SUMIF(Table415[,],Table617[[#This Row],[Accounts Name]],Table415[,3]),"")</f>
        <v>196582.42</v>
      </c>
      <c r="P74" s="34">
        <f>IFERROR(SUMIF(Table415[,],Table617[[#This Row],[Accounts Name]],Table415[,2]),"")</f>
        <v>0</v>
      </c>
      <c r="S74" s="36">
        <f t="shared" ref="S74:S137" si="1">S73+1</f>
        <v>67</v>
      </c>
      <c r="T74" s="34"/>
      <c r="U74" s="37"/>
      <c r="V74" s="34">
        <f>IFERROR(SUMIF(Table617[Sub-Accounts],Table818[[#This Row],[Update your chart of accounts here]],Table617[Debit]),"")</f>
        <v>0</v>
      </c>
      <c r="W74" s="34">
        <f>IFERROR(SUMIF(Table617[Sub-Accounts],Table818[[#This Row],[Update your chart of accounts here]],Table617[Credit]),"")</f>
        <v>0</v>
      </c>
      <c r="X74" s="34"/>
      <c r="Y74" s="34"/>
      <c r="Z74" s="34"/>
      <c r="AA74" s="34"/>
      <c r="AB74" s="34">
        <f>MAX(Table818[[#This Row],[Debit]]+Table818[[#This Row],[Debit -]]-Table818[[#This Row],[Credit]]-Table818[[#This Row],[Credit +]],0)</f>
        <v>0</v>
      </c>
      <c r="AC74" s="34">
        <f>MAX(Table818[[#This Row],[Credit]]-Table818[[#This Row],[Debit]]+Table818[[#This Row],[Credit +]]-Table818[[#This Row],[Debit -]],0)</f>
        <v>0</v>
      </c>
      <c r="AD74" s="34" t="str">
        <f>IFERROR(IF(AND(OR(Table818[[#This Row],[Classification]]="Expense",Table818[[#This Row],[Classification]]="Cost of Goods Sold"),Table818[[#This Row],[Debit\]]&gt;Table818[[#This Row],[Credit.]]),Table818[[#This Row],[Debit\]]-Table818[[#This Row],[Credit.]],""),"")</f>
        <v/>
      </c>
      <c r="AE74" s="34" t="str">
        <f>IFERROR(IF(AND(OR(Table818[[#This Row],[Classification]]="Income",Table818[[#This Row],[Classification]]="Cost of Goods Sold"),Table818[[#This Row],[Credit.]]&gt;Table818[[#This Row],[Debit\]]),Table818[[#This Row],[Credit.]]-Table818[[#This Row],[Debit\]],""),"")</f>
        <v/>
      </c>
      <c r="AF74" s="34"/>
      <c r="AG74" s="34" t="str">
        <f>IFERROR(IF(AND(Table818[[#This Row],[Classification]]="Assets",Table818[[#This Row],[Debit\]]-Table818[[#This Row],[Credit.]]),Table818[[#This Row],[Debit\]]-Table818[[#This Row],[Credit.]],""),"")</f>
        <v/>
      </c>
      <c r="AH74" s="34" t="str">
        <f>IFERROR(IF(AND(OR(Table818[[#This Row],[Classification]]="Liabilities",Table818[[#This Row],[Classification]]="Owner´s Equity"),Table818[[#This Row],[Credit.]]&gt;Table818[[#This Row],[Debit\]]),Table818[[#This Row],[Credit.]]-Table818[[#This Row],[Debit\]],""),"")</f>
        <v/>
      </c>
    </row>
    <row r="75" spans="2:34" x14ac:dyDescent="0.25">
      <c r="B75" s="34"/>
      <c r="C75" s="37" t="s">
        <v>129</v>
      </c>
      <c r="D75" s="34">
        <v>196582.42</v>
      </c>
      <c r="E75" s="34"/>
      <c r="G75" s="39"/>
      <c r="H75" s="40"/>
      <c r="I75" s="41"/>
      <c r="J75" s="41"/>
      <c r="L75" s="34">
        <v>68</v>
      </c>
      <c r="M75" s="35" t="s">
        <v>151</v>
      </c>
      <c r="N75" s="35" t="s">
        <v>130</v>
      </c>
      <c r="O75" s="34">
        <f>IFERROR(SUMIF(Table415[,],Table617[[#This Row],[Accounts Name]],Table415[,3]),"")</f>
        <v>3069792</v>
      </c>
      <c r="P75" s="34">
        <f>IFERROR(SUMIF(Table415[,],Table617[[#This Row],[Accounts Name]],Table415[,2]),"")</f>
        <v>0</v>
      </c>
      <c r="S75" s="36">
        <f t="shared" si="1"/>
        <v>68</v>
      </c>
      <c r="T75" s="34"/>
      <c r="U75" s="37"/>
      <c r="V75" s="34">
        <f>IFERROR(SUMIF(Table617[Sub-Accounts],Table818[[#This Row],[Update your chart of accounts here]],Table617[Debit]),"")</f>
        <v>0</v>
      </c>
      <c r="W75" s="34">
        <f>IFERROR(SUMIF(Table617[Sub-Accounts],Table818[[#This Row],[Update your chart of accounts here]],Table617[Credit]),"")</f>
        <v>0</v>
      </c>
      <c r="X75" s="34"/>
      <c r="Y75" s="34"/>
      <c r="Z75" s="34"/>
      <c r="AA75" s="34"/>
      <c r="AB75" s="34">
        <f>MAX(Table818[[#This Row],[Debit]]+Table818[[#This Row],[Debit -]]-Table818[[#This Row],[Credit]]-Table818[[#This Row],[Credit +]],0)</f>
        <v>0</v>
      </c>
      <c r="AC75" s="34">
        <f>MAX(Table818[[#This Row],[Credit]]-Table818[[#This Row],[Debit]]+Table818[[#This Row],[Credit +]]-Table818[[#This Row],[Debit -]],0)</f>
        <v>0</v>
      </c>
      <c r="AD75" s="34" t="str">
        <f>IFERROR(IF(AND(OR(Table818[[#This Row],[Classification]]="Expense",Table818[[#This Row],[Classification]]="Cost of Goods Sold"),Table818[[#This Row],[Debit\]]&gt;Table818[[#This Row],[Credit.]]),Table818[[#This Row],[Debit\]]-Table818[[#This Row],[Credit.]],""),"")</f>
        <v/>
      </c>
      <c r="AE75" s="34" t="str">
        <f>IFERROR(IF(AND(OR(Table818[[#This Row],[Classification]]="Income",Table818[[#This Row],[Classification]]="Cost of Goods Sold"),Table818[[#This Row],[Credit.]]&gt;Table818[[#This Row],[Debit\]]),Table818[[#This Row],[Credit.]]-Table818[[#This Row],[Debit\]],""),"")</f>
        <v/>
      </c>
      <c r="AF75" s="34"/>
      <c r="AG75" s="34" t="str">
        <f>IFERROR(IF(AND(Table818[[#This Row],[Classification]]="Assets",Table818[[#This Row],[Debit\]]-Table818[[#This Row],[Credit.]]),Table818[[#This Row],[Debit\]]-Table818[[#This Row],[Credit.]],""),"")</f>
        <v/>
      </c>
      <c r="AH75" s="34" t="str">
        <f>IFERROR(IF(AND(OR(Table818[[#This Row],[Classification]]="Liabilities",Table818[[#This Row],[Classification]]="Owner´s Equity"),Table818[[#This Row],[Credit.]]&gt;Table818[[#This Row],[Debit\]]),Table818[[#This Row],[Credit.]]-Table818[[#This Row],[Debit\]],""),"")</f>
        <v/>
      </c>
    </row>
    <row r="76" spans="2:34" x14ac:dyDescent="0.25">
      <c r="B76" s="34"/>
      <c r="C76" s="37" t="s">
        <v>130</v>
      </c>
      <c r="D76" s="34">
        <v>3069792</v>
      </c>
      <c r="E76" s="34"/>
      <c r="G76" s="39"/>
      <c r="H76" s="40"/>
      <c r="I76" s="41"/>
      <c r="J76" s="41"/>
      <c r="L76" s="34">
        <v>69</v>
      </c>
      <c r="M76" s="35" t="s">
        <v>168</v>
      </c>
      <c r="N76" s="35" t="s">
        <v>131</v>
      </c>
      <c r="O76" s="34">
        <f>IFERROR(SUMIF(Table415[,],Table617[[#This Row],[Accounts Name]],Table415[,3]),"")</f>
        <v>302989.64</v>
      </c>
      <c r="P76" s="34">
        <f>IFERROR(SUMIF(Table415[,],Table617[[#This Row],[Accounts Name]],Table415[,2]),"")</f>
        <v>0</v>
      </c>
      <c r="S76" s="36">
        <f t="shared" si="1"/>
        <v>69</v>
      </c>
      <c r="T76" s="34"/>
      <c r="U76" s="37"/>
      <c r="V76" s="34">
        <f>IFERROR(SUMIF(Table617[Sub-Accounts],Table818[[#This Row],[Update your chart of accounts here]],Table617[Debit]),"")</f>
        <v>0</v>
      </c>
      <c r="W76" s="34">
        <f>IFERROR(SUMIF(Table617[Sub-Accounts],Table818[[#This Row],[Update your chart of accounts here]],Table617[Credit]),"")</f>
        <v>0</v>
      </c>
      <c r="X76" s="34"/>
      <c r="Y76" s="34"/>
      <c r="Z76" s="34"/>
      <c r="AA76" s="34"/>
      <c r="AB76" s="34">
        <f>MAX(Table818[[#This Row],[Debit]]+Table818[[#This Row],[Debit -]]-Table818[[#This Row],[Credit]]-Table818[[#This Row],[Credit +]],0)</f>
        <v>0</v>
      </c>
      <c r="AC76" s="34">
        <f>MAX(Table818[[#This Row],[Credit]]-Table818[[#This Row],[Debit]]+Table818[[#This Row],[Credit +]]-Table818[[#This Row],[Debit -]],0)</f>
        <v>0</v>
      </c>
      <c r="AD76" s="34" t="str">
        <f>IFERROR(IF(AND(OR(Table818[[#This Row],[Classification]]="Expense",Table818[[#This Row],[Classification]]="Cost of Goods Sold"),Table818[[#This Row],[Debit\]]&gt;Table818[[#This Row],[Credit.]]),Table818[[#This Row],[Debit\]]-Table818[[#This Row],[Credit.]],""),"")</f>
        <v/>
      </c>
      <c r="AE76" s="34" t="str">
        <f>IFERROR(IF(AND(OR(Table818[[#This Row],[Classification]]="Income",Table818[[#This Row],[Classification]]="Cost of Goods Sold"),Table818[[#This Row],[Credit.]]&gt;Table818[[#This Row],[Debit\]]),Table818[[#This Row],[Credit.]]-Table818[[#This Row],[Debit\]],""),"")</f>
        <v/>
      </c>
      <c r="AF76" s="34"/>
      <c r="AG76" s="34" t="str">
        <f>IFERROR(IF(AND(Table818[[#This Row],[Classification]]="Assets",Table818[[#This Row],[Debit\]]-Table818[[#This Row],[Credit.]]),Table818[[#This Row],[Debit\]]-Table818[[#This Row],[Credit.]],""),"")</f>
        <v/>
      </c>
      <c r="AH76" s="34" t="str">
        <f>IFERROR(IF(AND(OR(Table818[[#This Row],[Classification]]="Liabilities",Table818[[#This Row],[Classification]]="Owner´s Equity"),Table818[[#This Row],[Credit.]]&gt;Table818[[#This Row],[Debit\]]),Table818[[#This Row],[Credit.]]-Table818[[#This Row],[Debit\]],""),"")</f>
        <v/>
      </c>
    </row>
    <row r="77" spans="2:34" x14ac:dyDescent="0.25">
      <c r="B77" s="34"/>
      <c r="C77" s="37" t="s">
        <v>131</v>
      </c>
      <c r="D77" s="34">
        <v>302989.64</v>
      </c>
      <c r="E77" s="34"/>
      <c r="G77" s="39"/>
      <c r="H77" s="43"/>
      <c r="I77" s="41"/>
      <c r="J77" s="41"/>
      <c r="L77" s="34">
        <v>70</v>
      </c>
      <c r="M77" s="35" t="s">
        <v>167</v>
      </c>
      <c r="N77" s="35" t="s">
        <v>132</v>
      </c>
      <c r="O77" s="34">
        <f>IFERROR(SUMIF(Table415[,],Table617[[#This Row],[Accounts Name]],Table415[,3]),"")</f>
        <v>35000</v>
      </c>
      <c r="P77" s="34">
        <f>IFERROR(SUMIF(Table415[,],Table617[[#This Row],[Accounts Name]],Table415[,2]),"")</f>
        <v>0</v>
      </c>
      <c r="S77" s="36">
        <f t="shared" si="1"/>
        <v>70</v>
      </c>
      <c r="T77" s="34"/>
      <c r="U77" s="37"/>
      <c r="V77" s="34">
        <f>IFERROR(SUMIF(Table617[Sub-Accounts],Table818[[#This Row],[Update your chart of accounts here]],Table617[Debit]),"")</f>
        <v>0</v>
      </c>
      <c r="W77" s="34">
        <f>IFERROR(SUMIF(Table617[Sub-Accounts],Table818[[#This Row],[Update your chart of accounts here]],Table617[Credit]),"")</f>
        <v>0</v>
      </c>
      <c r="X77" s="34"/>
      <c r="Y77" s="34"/>
      <c r="Z77" s="34"/>
      <c r="AA77" s="34"/>
      <c r="AB77" s="34">
        <f>MAX(Table818[[#This Row],[Debit]]+Table818[[#This Row],[Debit -]]-Table818[[#This Row],[Credit]]-Table818[[#This Row],[Credit +]],0)</f>
        <v>0</v>
      </c>
      <c r="AC77" s="34">
        <f>MAX(Table818[[#This Row],[Credit]]-Table818[[#This Row],[Debit]]+Table818[[#This Row],[Credit +]]-Table818[[#This Row],[Debit -]],0)</f>
        <v>0</v>
      </c>
      <c r="AD77" s="34" t="str">
        <f>IFERROR(IF(AND(OR(Table818[[#This Row],[Classification]]="Expense",Table818[[#This Row],[Classification]]="Cost of Goods Sold"),Table818[[#This Row],[Debit\]]&gt;Table818[[#This Row],[Credit.]]),Table818[[#This Row],[Debit\]]-Table818[[#This Row],[Credit.]],""),"")</f>
        <v/>
      </c>
      <c r="AE77" s="34" t="str">
        <f>IFERROR(IF(AND(OR(Table818[[#This Row],[Classification]]="Income",Table818[[#This Row],[Classification]]="Cost of Goods Sold"),Table818[[#This Row],[Credit.]]&gt;Table818[[#This Row],[Debit\]]),Table818[[#This Row],[Credit.]]-Table818[[#This Row],[Debit\]],""),"")</f>
        <v/>
      </c>
      <c r="AF77" s="34"/>
      <c r="AG77" s="34" t="str">
        <f>IFERROR(IF(AND(Table818[[#This Row],[Classification]]="Assets",Table818[[#This Row],[Debit\]]-Table818[[#This Row],[Credit.]]),Table818[[#This Row],[Debit\]]-Table818[[#This Row],[Credit.]],""),"")</f>
        <v/>
      </c>
      <c r="AH77" s="34" t="str">
        <f>IFERROR(IF(AND(OR(Table818[[#This Row],[Classification]]="Liabilities",Table818[[#This Row],[Classification]]="Owner´s Equity"),Table818[[#This Row],[Credit.]]&gt;Table818[[#This Row],[Debit\]]),Table818[[#This Row],[Credit.]]-Table818[[#This Row],[Debit\]],""),"")</f>
        <v/>
      </c>
    </row>
    <row r="78" spans="2:34" x14ac:dyDescent="0.25">
      <c r="B78" s="34"/>
      <c r="C78" s="37" t="s">
        <v>132</v>
      </c>
      <c r="D78" s="34">
        <v>35000</v>
      </c>
      <c r="E78" s="34"/>
      <c r="G78" s="39"/>
      <c r="H78" s="40"/>
      <c r="I78" s="41"/>
      <c r="J78" s="41"/>
      <c r="L78" s="34">
        <v>71</v>
      </c>
      <c r="M78" s="35" t="s">
        <v>167</v>
      </c>
      <c r="N78" s="35" t="s">
        <v>133</v>
      </c>
      <c r="O78" s="34">
        <f>IFERROR(SUMIF(Table415[,],Table617[[#This Row],[Accounts Name]],Table415[,3]),"")</f>
        <v>164240.34</v>
      </c>
      <c r="P78" s="34">
        <f>IFERROR(SUMIF(Table415[,],Table617[[#This Row],[Accounts Name]],Table415[,2]),"")</f>
        <v>0</v>
      </c>
      <c r="S78" s="36">
        <f t="shared" si="1"/>
        <v>71</v>
      </c>
      <c r="T78" s="34"/>
      <c r="U78" s="37"/>
      <c r="V78" s="34">
        <f>IFERROR(SUMIF(Table617[Sub-Accounts],Table818[[#This Row],[Update your chart of accounts here]],Table617[Debit]),"")</f>
        <v>0</v>
      </c>
      <c r="W78" s="34">
        <f>IFERROR(SUMIF(Table617[Sub-Accounts],Table818[[#This Row],[Update your chart of accounts here]],Table617[Credit]),"")</f>
        <v>0</v>
      </c>
      <c r="X78" s="34"/>
      <c r="Y78" s="34"/>
      <c r="Z78" s="34"/>
      <c r="AA78" s="34"/>
      <c r="AB78" s="34">
        <f>MAX(Table818[[#This Row],[Debit]]+Table818[[#This Row],[Debit -]]-Table818[[#This Row],[Credit]]-Table818[[#This Row],[Credit +]],0)</f>
        <v>0</v>
      </c>
      <c r="AC78" s="34">
        <f>MAX(Table818[[#This Row],[Credit]]-Table818[[#This Row],[Debit]]+Table818[[#This Row],[Credit +]]-Table818[[#This Row],[Debit -]],0)</f>
        <v>0</v>
      </c>
      <c r="AD78" s="34" t="str">
        <f>IFERROR(IF(AND(OR(Table818[[#This Row],[Classification]]="Expense",Table818[[#This Row],[Classification]]="Cost of Goods Sold"),Table818[[#This Row],[Debit\]]&gt;Table818[[#This Row],[Credit.]]),Table818[[#This Row],[Debit\]]-Table818[[#This Row],[Credit.]],""),"")</f>
        <v/>
      </c>
      <c r="AE78" s="34" t="str">
        <f>IFERROR(IF(AND(OR(Table818[[#This Row],[Classification]]="Income",Table818[[#This Row],[Classification]]="Cost of Goods Sold"),Table818[[#This Row],[Credit.]]&gt;Table818[[#This Row],[Debit\]]),Table818[[#This Row],[Credit.]]-Table818[[#This Row],[Debit\]],""),"")</f>
        <v/>
      </c>
      <c r="AF78" s="34"/>
      <c r="AG78" s="34" t="str">
        <f>IFERROR(IF(AND(Table818[[#This Row],[Classification]]="Assets",Table818[[#This Row],[Debit\]]-Table818[[#This Row],[Credit.]]),Table818[[#This Row],[Debit\]]-Table818[[#This Row],[Credit.]],""),"")</f>
        <v/>
      </c>
      <c r="AH78" s="34" t="str">
        <f>IFERROR(IF(AND(OR(Table818[[#This Row],[Classification]]="Liabilities",Table818[[#This Row],[Classification]]="Owner´s Equity"),Table818[[#This Row],[Credit.]]&gt;Table818[[#This Row],[Debit\]]),Table818[[#This Row],[Credit.]]-Table818[[#This Row],[Debit\]],""),"")</f>
        <v/>
      </c>
    </row>
    <row r="79" spans="2:34" x14ac:dyDescent="0.25">
      <c r="B79" s="34"/>
      <c r="C79" s="37" t="s">
        <v>133</v>
      </c>
      <c r="D79" s="34">
        <v>164240.34</v>
      </c>
      <c r="E79" s="34"/>
      <c r="G79" s="39"/>
      <c r="H79" s="40"/>
      <c r="I79" s="41"/>
      <c r="J79" s="41"/>
      <c r="L79" s="34">
        <v>72</v>
      </c>
      <c r="M79" s="35" t="s">
        <v>169</v>
      </c>
      <c r="N79" s="35" t="s">
        <v>134</v>
      </c>
      <c r="O79" s="34">
        <f>IFERROR(SUMIF(Table415[,],Table617[[#This Row],[Accounts Name]],Table415[,3]),"")</f>
        <v>2000</v>
      </c>
      <c r="P79" s="34">
        <f>IFERROR(SUMIF(Table415[,],Table617[[#This Row],[Accounts Name]],Table415[,2]),"")</f>
        <v>0</v>
      </c>
      <c r="S79" s="36">
        <f t="shared" si="1"/>
        <v>72</v>
      </c>
      <c r="T79" s="34"/>
      <c r="U79" s="37"/>
      <c r="V79" s="34">
        <f>IFERROR(SUMIF(Table617[Sub-Accounts],Table818[[#This Row],[Update your chart of accounts here]],Table617[Debit]),"")</f>
        <v>0</v>
      </c>
      <c r="W79" s="34">
        <f>IFERROR(SUMIF(Table617[Sub-Accounts],Table818[[#This Row],[Update your chart of accounts here]],Table617[Credit]),"")</f>
        <v>0</v>
      </c>
      <c r="X79" s="34"/>
      <c r="Y79" s="34"/>
      <c r="Z79" s="34"/>
      <c r="AA79" s="34"/>
      <c r="AB79" s="34">
        <f>MAX(Table818[[#This Row],[Debit]]+Table818[[#This Row],[Debit -]]-Table818[[#This Row],[Credit]]-Table818[[#This Row],[Credit +]],0)</f>
        <v>0</v>
      </c>
      <c r="AC79" s="34">
        <f>MAX(Table818[[#This Row],[Credit]]-Table818[[#This Row],[Debit]]+Table818[[#This Row],[Credit +]]-Table818[[#This Row],[Debit -]],0)</f>
        <v>0</v>
      </c>
      <c r="AD79" s="34" t="str">
        <f>IFERROR(IF(AND(OR(Table818[[#This Row],[Classification]]="Expense",Table818[[#This Row],[Classification]]="Cost of Goods Sold"),Table818[[#This Row],[Debit\]]&gt;Table818[[#This Row],[Credit.]]),Table818[[#This Row],[Debit\]]-Table818[[#This Row],[Credit.]],""),"")</f>
        <v/>
      </c>
      <c r="AE79" s="34" t="str">
        <f>IFERROR(IF(AND(OR(Table818[[#This Row],[Classification]]="Income",Table818[[#This Row],[Classification]]="Cost of Goods Sold"),Table818[[#This Row],[Credit.]]&gt;Table818[[#This Row],[Debit\]]),Table818[[#This Row],[Credit.]]-Table818[[#This Row],[Debit\]],""),"")</f>
        <v/>
      </c>
      <c r="AF79" s="34"/>
      <c r="AG79" s="34" t="str">
        <f>IFERROR(IF(AND(Table818[[#This Row],[Classification]]="Assets",Table818[[#This Row],[Debit\]]-Table818[[#This Row],[Credit.]]),Table818[[#This Row],[Debit\]]-Table818[[#This Row],[Credit.]],""),"")</f>
        <v/>
      </c>
      <c r="AH79" s="34" t="str">
        <f>IFERROR(IF(AND(OR(Table818[[#This Row],[Classification]]="Liabilities",Table818[[#This Row],[Classification]]="Owner´s Equity"),Table818[[#This Row],[Credit.]]&gt;Table818[[#This Row],[Debit\]]),Table818[[#This Row],[Credit.]]-Table818[[#This Row],[Debit\]],""),"")</f>
        <v/>
      </c>
    </row>
    <row r="80" spans="2:34" x14ac:dyDescent="0.25">
      <c r="B80" s="34"/>
      <c r="C80" s="37" t="s">
        <v>134</v>
      </c>
      <c r="D80" s="34">
        <v>2000</v>
      </c>
      <c r="E80" s="34"/>
      <c r="G80" s="39"/>
      <c r="H80" s="43"/>
      <c r="I80" s="41"/>
      <c r="J80" s="41"/>
      <c r="L80" s="34">
        <v>73</v>
      </c>
      <c r="M80" s="35" t="s">
        <v>170</v>
      </c>
      <c r="N80" s="35" t="s">
        <v>135</v>
      </c>
      <c r="O80" s="34">
        <f>IFERROR(SUMIF(Table415[,],Table617[[#This Row],[Accounts Name]],Table415[,3]),"")</f>
        <v>13250</v>
      </c>
      <c r="P80" s="34">
        <f>IFERROR(SUMIF(Table415[,],Table617[[#This Row],[Accounts Name]],Table415[,2]),"")</f>
        <v>0</v>
      </c>
      <c r="S80" s="36">
        <f t="shared" si="1"/>
        <v>73</v>
      </c>
      <c r="T80" s="34"/>
      <c r="U80" s="37"/>
      <c r="V80" s="34">
        <f>IFERROR(SUMIF(Table617[Sub-Accounts],Table818[[#This Row],[Update your chart of accounts here]],Table617[Debit]),"")</f>
        <v>0</v>
      </c>
      <c r="W80" s="34">
        <f>IFERROR(SUMIF(Table617[Sub-Accounts],Table818[[#This Row],[Update your chart of accounts here]],Table617[Credit]),"")</f>
        <v>0</v>
      </c>
      <c r="X80" s="34"/>
      <c r="Y80" s="34"/>
      <c r="Z80" s="34"/>
      <c r="AA80" s="34"/>
      <c r="AB80" s="34">
        <f>MAX(Table818[[#This Row],[Debit]]+Table818[[#This Row],[Debit -]]-Table818[[#This Row],[Credit]]-Table818[[#This Row],[Credit +]],0)</f>
        <v>0</v>
      </c>
      <c r="AC80" s="34">
        <f>MAX(Table818[[#This Row],[Credit]]-Table818[[#This Row],[Debit]]+Table818[[#This Row],[Credit +]]-Table818[[#This Row],[Debit -]],0)</f>
        <v>0</v>
      </c>
      <c r="AD80" s="34" t="str">
        <f>IFERROR(IF(AND(OR(Table818[[#This Row],[Classification]]="Expense",Table818[[#This Row],[Classification]]="Cost of Goods Sold"),Table818[[#This Row],[Debit\]]&gt;Table818[[#This Row],[Credit.]]),Table818[[#This Row],[Debit\]]-Table818[[#This Row],[Credit.]],""),"")</f>
        <v/>
      </c>
      <c r="AE80" s="34" t="str">
        <f>IFERROR(IF(AND(OR(Table818[[#This Row],[Classification]]="Income",Table818[[#This Row],[Classification]]="Cost of Goods Sold"),Table818[[#This Row],[Credit.]]&gt;Table818[[#This Row],[Debit\]]),Table818[[#This Row],[Credit.]]-Table818[[#This Row],[Debit\]],""),"")</f>
        <v/>
      </c>
      <c r="AF80" s="34"/>
      <c r="AG80" s="34" t="str">
        <f>IFERROR(IF(AND(Table818[[#This Row],[Classification]]="Assets",Table818[[#This Row],[Debit\]]-Table818[[#This Row],[Credit.]]),Table818[[#This Row],[Debit\]]-Table818[[#This Row],[Credit.]],""),"")</f>
        <v/>
      </c>
      <c r="AH80" s="34" t="str">
        <f>IFERROR(IF(AND(OR(Table818[[#This Row],[Classification]]="Liabilities",Table818[[#This Row],[Classification]]="Owner´s Equity"),Table818[[#This Row],[Credit.]]&gt;Table818[[#This Row],[Debit\]]),Table818[[#This Row],[Credit.]]-Table818[[#This Row],[Debit\]],""),"")</f>
        <v/>
      </c>
    </row>
    <row r="81" spans="2:34" x14ac:dyDescent="0.25">
      <c r="B81" s="34"/>
      <c r="C81" s="37" t="s">
        <v>135</v>
      </c>
      <c r="D81" s="34">
        <v>13250</v>
      </c>
      <c r="E81" s="34"/>
      <c r="G81" s="39"/>
      <c r="H81" s="40"/>
      <c r="I81" s="41"/>
      <c r="J81" s="41"/>
      <c r="L81" s="34">
        <v>74</v>
      </c>
      <c r="M81" s="35" t="s">
        <v>156</v>
      </c>
      <c r="N81" s="35" t="s">
        <v>136</v>
      </c>
      <c r="O81" s="34">
        <f>IFERROR(SUMIF(Table415[,],Table617[[#This Row],[Accounts Name]],Table415[,3]),"")</f>
        <v>87416</v>
      </c>
      <c r="P81" s="34">
        <f>IFERROR(SUMIF(Table415[,],Table617[[#This Row],[Accounts Name]],Table415[,2]),"")</f>
        <v>0</v>
      </c>
      <c r="S81" s="36">
        <f t="shared" si="1"/>
        <v>74</v>
      </c>
      <c r="T81" s="34"/>
      <c r="U81" s="37"/>
      <c r="V81" s="34">
        <f>IFERROR(SUMIF(Table617[Sub-Accounts],Table818[[#This Row],[Update your chart of accounts here]],Table617[Debit]),"")</f>
        <v>0</v>
      </c>
      <c r="W81" s="34">
        <f>IFERROR(SUMIF(Table617[Sub-Accounts],Table818[[#This Row],[Update your chart of accounts here]],Table617[Credit]),"")</f>
        <v>0</v>
      </c>
      <c r="X81" s="34"/>
      <c r="Y81" s="34"/>
      <c r="Z81" s="34"/>
      <c r="AA81" s="34"/>
      <c r="AB81" s="34">
        <f>MAX(Table818[[#This Row],[Debit]]+Table818[[#This Row],[Debit -]]-Table818[[#This Row],[Credit]]-Table818[[#This Row],[Credit +]],0)</f>
        <v>0</v>
      </c>
      <c r="AC81" s="34">
        <f>MAX(Table818[[#This Row],[Credit]]-Table818[[#This Row],[Debit]]+Table818[[#This Row],[Credit +]]-Table818[[#This Row],[Debit -]],0)</f>
        <v>0</v>
      </c>
      <c r="AD81" s="34" t="str">
        <f>IFERROR(IF(AND(OR(Table818[[#This Row],[Classification]]="Expense",Table818[[#This Row],[Classification]]="Cost of Goods Sold"),Table818[[#This Row],[Debit\]]&gt;Table818[[#This Row],[Credit.]]),Table818[[#This Row],[Debit\]]-Table818[[#This Row],[Credit.]],""),"")</f>
        <v/>
      </c>
      <c r="AE81" s="34" t="str">
        <f>IFERROR(IF(AND(OR(Table818[[#This Row],[Classification]]="Income",Table818[[#This Row],[Classification]]="Cost of Goods Sold"),Table818[[#This Row],[Credit.]]&gt;Table818[[#This Row],[Debit\]]),Table818[[#This Row],[Credit.]]-Table818[[#This Row],[Debit\]],""),"")</f>
        <v/>
      </c>
      <c r="AF81" s="34"/>
      <c r="AG81" s="34" t="str">
        <f>IFERROR(IF(AND(Table818[[#This Row],[Classification]]="Assets",Table818[[#This Row],[Debit\]]-Table818[[#This Row],[Credit.]]),Table818[[#This Row],[Debit\]]-Table818[[#This Row],[Credit.]],""),"")</f>
        <v/>
      </c>
      <c r="AH81" s="34" t="str">
        <f>IFERROR(IF(AND(OR(Table818[[#This Row],[Classification]]="Liabilities",Table818[[#This Row],[Classification]]="Owner´s Equity"),Table818[[#This Row],[Credit.]]&gt;Table818[[#This Row],[Debit\]]),Table818[[#This Row],[Credit.]]-Table818[[#This Row],[Debit\]],""),"")</f>
        <v/>
      </c>
    </row>
    <row r="82" spans="2:34" x14ac:dyDescent="0.25">
      <c r="B82" s="34"/>
      <c r="C82" s="37" t="s">
        <v>136</v>
      </c>
      <c r="D82" s="34">
        <v>87416</v>
      </c>
      <c r="E82" s="34"/>
      <c r="G82" s="39"/>
      <c r="H82" s="40"/>
      <c r="I82" s="41"/>
      <c r="J82" s="41"/>
      <c r="L82" s="34">
        <v>75</v>
      </c>
      <c r="M82" s="35" t="s">
        <v>162</v>
      </c>
      <c r="N82" s="35" t="s">
        <v>137</v>
      </c>
      <c r="O82" s="34">
        <f>IFERROR(SUMIF(Table415[,],Table617[[#This Row],[Accounts Name]],Table415[,3]),"")</f>
        <v>139074.48000000001</v>
      </c>
      <c r="P82" s="34">
        <f>IFERROR(SUMIF(Table415[,],Table617[[#This Row],[Accounts Name]],Table415[,2]),"")</f>
        <v>0</v>
      </c>
      <c r="S82" s="36">
        <f t="shared" si="1"/>
        <v>75</v>
      </c>
      <c r="T82" s="34"/>
      <c r="U82" s="37"/>
      <c r="V82" s="34">
        <f>IFERROR(SUMIF(Table617[Sub-Accounts],Table818[[#This Row],[Update your chart of accounts here]],Table617[Debit]),"")</f>
        <v>0</v>
      </c>
      <c r="W82" s="34">
        <f>IFERROR(SUMIF(Table617[Sub-Accounts],Table818[[#This Row],[Update your chart of accounts here]],Table617[Credit]),"")</f>
        <v>0</v>
      </c>
      <c r="X82" s="34"/>
      <c r="Y82" s="34"/>
      <c r="Z82" s="34"/>
      <c r="AA82" s="34"/>
      <c r="AB82" s="34">
        <f>MAX(Table818[[#This Row],[Debit]]+Table818[[#This Row],[Debit -]]-Table818[[#This Row],[Credit]]-Table818[[#This Row],[Credit +]],0)</f>
        <v>0</v>
      </c>
      <c r="AC82" s="34">
        <f>MAX(Table818[[#This Row],[Credit]]-Table818[[#This Row],[Debit]]+Table818[[#This Row],[Credit +]]-Table818[[#This Row],[Debit -]],0)</f>
        <v>0</v>
      </c>
      <c r="AD82" s="34" t="str">
        <f>IFERROR(IF(AND(OR(Table818[[#This Row],[Classification]]="Expense",Table818[[#This Row],[Classification]]="Cost of Goods Sold"),Table818[[#This Row],[Debit\]]&gt;Table818[[#This Row],[Credit.]]),Table818[[#This Row],[Debit\]]-Table818[[#This Row],[Credit.]],""),"")</f>
        <v/>
      </c>
      <c r="AE82" s="34" t="str">
        <f>IFERROR(IF(AND(OR(Table818[[#This Row],[Classification]]="Income",Table818[[#This Row],[Classification]]="Cost of Goods Sold"),Table818[[#This Row],[Credit.]]&gt;Table818[[#This Row],[Debit\]]),Table818[[#This Row],[Credit.]]-Table818[[#This Row],[Debit\]],""),"")</f>
        <v/>
      </c>
      <c r="AF82" s="34"/>
      <c r="AG82" s="34" t="str">
        <f>IFERROR(IF(AND(Table818[[#This Row],[Classification]]="Assets",Table818[[#This Row],[Debit\]]-Table818[[#This Row],[Credit.]]),Table818[[#This Row],[Debit\]]-Table818[[#This Row],[Credit.]],""),"")</f>
        <v/>
      </c>
      <c r="AH82" s="34" t="str">
        <f>IFERROR(IF(AND(OR(Table818[[#This Row],[Classification]]="Liabilities",Table818[[#This Row],[Classification]]="Owner´s Equity"),Table818[[#This Row],[Credit.]]&gt;Table818[[#This Row],[Debit\]]),Table818[[#This Row],[Credit.]]-Table818[[#This Row],[Debit\]],""),"")</f>
        <v/>
      </c>
    </row>
    <row r="83" spans="2:34" x14ac:dyDescent="0.25">
      <c r="B83" s="34"/>
      <c r="C83" s="37" t="s">
        <v>137</v>
      </c>
      <c r="D83" s="34">
        <v>139074.48000000001</v>
      </c>
      <c r="E83" s="34"/>
      <c r="G83" s="39"/>
      <c r="H83" s="43"/>
      <c r="I83" s="41"/>
      <c r="J83" s="41"/>
      <c r="L83" s="34">
        <v>76</v>
      </c>
      <c r="M83" s="35"/>
      <c r="N83" s="35"/>
      <c r="O83" s="34">
        <f>IFERROR(SUMIF(Table415[,],Table617[[#This Row],[Accounts Name]],Table415[,3]),"")</f>
        <v>0</v>
      </c>
      <c r="P83" s="34">
        <f>IFERROR(SUMIF(Table415[,],Table617[[#This Row],[Accounts Name]],Table415[,2]),"")</f>
        <v>0</v>
      </c>
      <c r="S83" s="36">
        <f t="shared" si="1"/>
        <v>76</v>
      </c>
      <c r="T83" s="34"/>
      <c r="U83" s="37"/>
      <c r="V83" s="34">
        <f>IFERROR(SUMIF(Table617[Sub-Accounts],Table818[[#This Row],[Update your chart of accounts here]],Table617[Debit]),"")</f>
        <v>0</v>
      </c>
      <c r="W83" s="34">
        <f>IFERROR(SUMIF(Table617[Sub-Accounts],Table818[[#This Row],[Update your chart of accounts here]],Table617[Credit]),"")</f>
        <v>0</v>
      </c>
      <c r="X83" s="34"/>
      <c r="Y83" s="34"/>
      <c r="Z83" s="34"/>
      <c r="AA83" s="34"/>
      <c r="AB83" s="34">
        <f>MAX(Table818[[#This Row],[Debit]]+Table818[[#This Row],[Debit -]]-Table818[[#This Row],[Credit]]-Table818[[#This Row],[Credit +]],0)</f>
        <v>0</v>
      </c>
      <c r="AC83" s="34">
        <f>MAX(Table818[[#This Row],[Credit]]-Table818[[#This Row],[Debit]]+Table818[[#This Row],[Credit +]]-Table818[[#This Row],[Debit -]],0)</f>
        <v>0</v>
      </c>
      <c r="AD83" s="34" t="str">
        <f>IFERROR(IF(AND(OR(Table818[[#This Row],[Classification]]="Expense",Table818[[#This Row],[Classification]]="Cost of Goods Sold"),Table818[[#This Row],[Debit\]]&gt;Table818[[#This Row],[Credit.]]),Table818[[#This Row],[Debit\]]-Table818[[#This Row],[Credit.]],""),"")</f>
        <v/>
      </c>
      <c r="AE83" s="34" t="str">
        <f>IFERROR(IF(AND(OR(Table818[[#This Row],[Classification]]="Income",Table818[[#This Row],[Classification]]="Cost of Goods Sold"),Table818[[#This Row],[Credit.]]&gt;Table818[[#This Row],[Debit\]]),Table818[[#This Row],[Credit.]]-Table818[[#This Row],[Debit\]],""),"")</f>
        <v/>
      </c>
      <c r="AF83" s="34"/>
      <c r="AG83" s="34" t="str">
        <f>IFERROR(IF(AND(Table818[[#This Row],[Classification]]="Assets",Table818[[#This Row],[Debit\]]-Table818[[#This Row],[Credit.]]),Table818[[#This Row],[Debit\]]-Table818[[#This Row],[Credit.]],""),"")</f>
        <v/>
      </c>
      <c r="AH83" s="34" t="str">
        <f>IFERROR(IF(AND(OR(Table818[[#This Row],[Classification]]="Liabilities",Table818[[#This Row],[Classification]]="Owner´s Equity"),Table818[[#This Row],[Credit.]]&gt;Table818[[#This Row],[Debit\]]),Table818[[#This Row],[Credit.]]-Table818[[#This Row],[Debit\]],""),"")</f>
        <v/>
      </c>
    </row>
    <row r="84" spans="2:34" x14ac:dyDescent="0.25">
      <c r="B84" s="34"/>
      <c r="C84" s="37"/>
      <c r="D84" s="34"/>
      <c r="E84" s="34"/>
      <c r="G84" s="39"/>
      <c r="H84" s="40"/>
      <c r="I84" s="41"/>
      <c r="J84" s="41"/>
      <c r="L84" s="34">
        <v>77</v>
      </c>
      <c r="M84" s="35"/>
      <c r="N84" s="35"/>
      <c r="O84" s="34">
        <f>IFERROR(SUMIF(Table415[,],Table617[[#This Row],[Accounts Name]],Table415[,3]),"")</f>
        <v>0</v>
      </c>
      <c r="P84" s="34">
        <f>IFERROR(SUMIF(Table415[,],Table617[[#This Row],[Accounts Name]],Table415[,2]),"")</f>
        <v>0</v>
      </c>
      <c r="S84" s="36">
        <f t="shared" si="1"/>
        <v>77</v>
      </c>
      <c r="T84" s="34"/>
      <c r="U84" s="37"/>
      <c r="V84" s="34">
        <f>IFERROR(SUMIF(Table617[Sub-Accounts],Table818[[#This Row],[Update your chart of accounts here]],Table617[Debit]),"")</f>
        <v>0</v>
      </c>
      <c r="W84" s="34">
        <f>IFERROR(SUMIF(Table617[Sub-Accounts],Table818[[#This Row],[Update your chart of accounts here]],Table617[Credit]),"")</f>
        <v>0</v>
      </c>
      <c r="X84" s="34"/>
      <c r="Y84" s="34"/>
      <c r="Z84" s="34"/>
      <c r="AA84" s="34"/>
      <c r="AB84" s="34">
        <f>MAX(Table818[[#This Row],[Debit]]+Table818[[#This Row],[Debit -]]-Table818[[#This Row],[Credit]]-Table818[[#This Row],[Credit +]],0)</f>
        <v>0</v>
      </c>
      <c r="AC84" s="34">
        <f>MAX(Table818[[#This Row],[Credit]]-Table818[[#This Row],[Debit]]+Table818[[#This Row],[Credit +]]-Table818[[#This Row],[Debit -]],0)</f>
        <v>0</v>
      </c>
      <c r="AD84" s="34" t="str">
        <f>IFERROR(IF(AND(OR(Table818[[#This Row],[Classification]]="Expense",Table818[[#This Row],[Classification]]="Cost of Goods Sold"),Table818[[#This Row],[Debit\]]&gt;Table818[[#This Row],[Credit.]]),Table818[[#This Row],[Debit\]]-Table818[[#This Row],[Credit.]],""),"")</f>
        <v/>
      </c>
      <c r="AE84" s="34" t="str">
        <f>IFERROR(IF(AND(OR(Table818[[#This Row],[Classification]]="Income",Table818[[#This Row],[Classification]]="Cost of Goods Sold"),Table818[[#This Row],[Credit.]]&gt;Table818[[#This Row],[Debit\]]),Table818[[#This Row],[Credit.]]-Table818[[#This Row],[Debit\]],""),"")</f>
        <v/>
      </c>
      <c r="AF84" s="34"/>
      <c r="AG84" s="34" t="str">
        <f>IFERROR(IF(AND(Table818[[#This Row],[Classification]]="Assets",Table818[[#This Row],[Debit\]]-Table818[[#This Row],[Credit.]]),Table818[[#This Row],[Debit\]]-Table818[[#This Row],[Credit.]],""),"")</f>
        <v/>
      </c>
      <c r="AH84" s="34" t="str">
        <f>IFERROR(IF(AND(OR(Table818[[#This Row],[Classification]]="Liabilities",Table818[[#This Row],[Classification]]="Owner´s Equity"),Table818[[#This Row],[Credit.]]&gt;Table818[[#This Row],[Debit\]]),Table818[[#This Row],[Credit.]]-Table818[[#This Row],[Debit\]],""),"")</f>
        <v/>
      </c>
    </row>
    <row r="85" spans="2:34" x14ac:dyDescent="0.25">
      <c r="B85" s="34"/>
      <c r="C85" s="37"/>
      <c r="D85" s="34"/>
      <c r="E85" s="34"/>
      <c r="G85" s="39"/>
      <c r="H85" s="40"/>
      <c r="I85" s="41"/>
      <c r="J85" s="41"/>
      <c r="L85" s="34">
        <v>78</v>
      </c>
      <c r="M85" s="35"/>
      <c r="N85" s="35"/>
      <c r="O85" s="34">
        <f>IFERROR(SUMIF(Table415[,],Table617[[#This Row],[Accounts Name]],Table415[,3]),"")</f>
        <v>0</v>
      </c>
      <c r="P85" s="34">
        <f>IFERROR(SUMIF(Table415[,],Table617[[#This Row],[Accounts Name]],Table415[,2]),"")</f>
        <v>0</v>
      </c>
      <c r="S85" s="36">
        <f t="shared" si="1"/>
        <v>78</v>
      </c>
      <c r="T85" s="34"/>
      <c r="U85" s="37"/>
      <c r="V85" s="34">
        <f>IFERROR(SUMIF(Table617[Sub-Accounts],Table818[[#This Row],[Update your chart of accounts here]],Table617[Debit]),"")</f>
        <v>0</v>
      </c>
      <c r="W85" s="34">
        <f>IFERROR(SUMIF(Table617[Sub-Accounts],Table818[[#This Row],[Update your chart of accounts here]],Table617[Credit]),"")</f>
        <v>0</v>
      </c>
      <c r="X85" s="34"/>
      <c r="Y85" s="34"/>
      <c r="Z85" s="34"/>
      <c r="AA85" s="34"/>
      <c r="AB85" s="34">
        <f>MAX(Table818[[#This Row],[Debit]]+Table818[[#This Row],[Debit -]]-Table818[[#This Row],[Credit]]-Table818[[#This Row],[Credit +]],0)</f>
        <v>0</v>
      </c>
      <c r="AC85" s="34">
        <f>MAX(Table818[[#This Row],[Credit]]-Table818[[#This Row],[Debit]]+Table818[[#This Row],[Credit +]]-Table818[[#This Row],[Debit -]],0)</f>
        <v>0</v>
      </c>
      <c r="AD85" s="34" t="str">
        <f>IFERROR(IF(AND(OR(Table818[[#This Row],[Classification]]="Expense",Table818[[#This Row],[Classification]]="Cost of Goods Sold"),Table818[[#This Row],[Debit\]]&gt;Table818[[#This Row],[Credit.]]),Table818[[#This Row],[Debit\]]-Table818[[#This Row],[Credit.]],""),"")</f>
        <v/>
      </c>
      <c r="AE85" s="34" t="str">
        <f>IFERROR(IF(AND(OR(Table818[[#This Row],[Classification]]="Income",Table818[[#This Row],[Classification]]="Cost of Goods Sold"),Table818[[#This Row],[Credit.]]&gt;Table818[[#This Row],[Debit\]]),Table818[[#This Row],[Credit.]]-Table818[[#This Row],[Debit\]],""),"")</f>
        <v/>
      </c>
      <c r="AF85" s="34"/>
      <c r="AG85" s="34" t="str">
        <f>IFERROR(IF(AND(Table818[[#This Row],[Classification]]="Assets",Table818[[#This Row],[Debit\]]-Table818[[#This Row],[Credit.]]),Table818[[#This Row],[Debit\]]-Table818[[#This Row],[Credit.]],""),"")</f>
        <v/>
      </c>
      <c r="AH85" s="34" t="str">
        <f>IFERROR(IF(AND(OR(Table818[[#This Row],[Classification]]="Liabilities",Table818[[#This Row],[Classification]]="Owner´s Equity"),Table818[[#This Row],[Credit.]]&gt;Table818[[#This Row],[Debit\]]),Table818[[#This Row],[Credit.]]-Table818[[#This Row],[Debit\]],""),"")</f>
        <v/>
      </c>
    </row>
    <row r="86" spans="2:34" x14ac:dyDescent="0.25">
      <c r="B86" s="34"/>
      <c r="C86" s="37"/>
      <c r="D86" s="34"/>
      <c r="E86" s="34"/>
      <c r="G86" s="39"/>
      <c r="H86" s="43"/>
      <c r="I86" s="41"/>
      <c r="J86" s="41"/>
      <c r="L86" s="34">
        <v>79</v>
      </c>
      <c r="M86" s="35"/>
      <c r="N86" s="35"/>
      <c r="O86" s="34">
        <f>IFERROR(SUMIF(Table415[,],Table617[[#This Row],[Accounts Name]],Table415[,3]),"")</f>
        <v>0</v>
      </c>
      <c r="P86" s="34">
        <f>IFERROR(SUMIF(Table415[,],Table617[[#This Row],[Accounts Name]],Table415[,2]),"")</f>
        <v>0</v>
      </c>
      <c r="S86" s="36">
        <f t="shared" si="1"/>
        <v>79</v>
      </c>
      <c r="T86" s="34"/>
      <c r="U86" s="37"/>
      <c r="V86" s="34">
        <f>IFERROR(SUMIF(Table617[Sub-Accounts],Table818[[#This Row],[Update your chart of accounts here]],Table617[Debit]),"")</f>
        <v>0</v>
      </c>
      <c r="W86" s="34">
        <f>IFERROR(SUMIF(Table617[Sub-Accounts],Table818[[#This Row],[Update your chart of accounts here]],Table617[Credit]),"")</f>
        <v>0</v>
      </c>
      <c r="X86" s="34"/>
      <c r="Y86" s="34"/>
      <c r="Z86" s="34"/>
      <c r="AA86" s="34"/>
      <c r="AB86" s="34">
        <f>MAX(Table818[[#This Row],[Debit]]+Table818[[#This Row],[Debit -]]-Table818[[#This Row],[Credit]]-Table818[[#This Row],[Credit +]],0)</f>
        <v>0</v>
      </c>
      <c r="AC86" s="34">
        <f>MAX(Table818[[#This Row],[Credit]]-Table818[[#This Row],[Debit]]+Table818[[#This Row],[Credit +]]-Table818[[#This Row],[Debit -]],0)</f>
        <v>0</v>
      </c>
      <c r="AD86" s="34" t="str">
        <f>IFERROR(IF(AND(OR(Table818[[#This Row],[Classification]]="Expense",Table818[[#This Row],[Classification]]="Cost of Goods Sold"),Table818[[#This Row],[Debit\]]&gt;Table818[[#This Row],[Credit.]]),Table818[[#This Row],[Debit\]]-Table818[[#This Row],[Credit.]],""),"")</f>
        <v/>
      </c>
      <c r="AE86" s="34" t="str">
        <f>IFERROR(IF(AND(OR(Table818[[#This Row],[Classification]]="Income",Table818[[#This Row],[Classification]]="Cost of Goods Sold"),Table818[[#This Row],[Credit.]]&gt;Table818[[#This Row],[Debit\]]),Table818[[#This Row],[Credit.]]-Table818[[#This Row],[Debit\]],""),"")</f>
        <v/>
      </c>
      <c r="AF86" s="34"/>
      <c r="AG86" s="34" t="str">
        <f>IFERROR(IF(AND(Table818[[#This Row],[Classification]]="Assets",Table818[[#This Row],[Debit\]]-Table818[[#This Row],[Credit.]]),Table818[[#This Row],[Debit\]]-Table818[[#This Row],[Credit.]],""),"")</f>
        <v/>
      </c>
      <c r="AH86" s="34" t="str">
        <f>IFERROR(IF(AND(OR(Table818[[#This Row],[Classification]]="Liabilities",Table818[[#This Row],[Classification]]="Owner´s Equity"),Table818[[#This Row],[Credit.]]&gt;Table818[[#This Row],[Debit\]]),Table818[[#This Row],[Credit.]]-Table818[[#This Row],[Debit\]],""),"")</f>
        <v/>
      </c>
    </row>
    <row r="87" spans="2:34" x14ac:dyDescent="0.25">
      <c r="B87" s="34"/>
      <c r="C87" s="37"/>
      <c r="D87" s="34"/>
      <c r="E87" s="34"/>
      <c r="G87" s="39"/>
      <c r="H87" s="40"/>
      <c r="I87" s="41"/>
      <c r="J87" s="41"/>
      <c r="L87" s="34">
        <v>80</v>
      </c>
      <c r="M87" s="35"/>
      <c r="N87" s="35"/>
      <c r="O87" s="34">
        <f>IFERROR(SUMIF(Table415[,],Table617[[#This Row],[Accounts Name]],Table415[,3]),"")</f>
        <v>0</v>
      </c>
      <c r="P87" s="34">
        <f>IFERROR(SUMIF(Table415[,],Table617[[#This Row],[Accounts Name]],Table415[,2]),"")</f>
        <v>0</v>
      </c>
      <c r="S87" s="36">
        <f t="shared" si="1"/>
        <v>80</v>
      </c>
      <c r="T87" s="34"/>
      <c r="U87" s="37"/>
      <c r="V87" s="34">
        <f>IFERROR(SUMIF(Table617[Sub-Accounts],Table818[[#This Row],[Update your chart of accounts here]],Table617[Debit]),"")</f>
        <v>0</v>
      </c>
      <c r="W87" s="34">
        <f>IFERROR(SUMIF(Table617[Sub-Accounts],Table818[[#This Row],[Update your chart of accounts here]],Table617[Credit]),"")</f>
        <v>0</v>
      </c>
      <c r="X87" s="34"/>
      <c r="Y87" s="34"/>
      <c r="Z87" s="34"/>
      <c r="AA87" s="34"/>
      <c r="AB87" s="34">
        <f>MAX(Table818[[#This Row],[Debit]]+Table818[[#This Row],[Debit -]]-Table818[[#This Row],[Credit]]-Table818[[#This Row],[Credit +]],0)</f>
        <v>0</v>
      </c>
      <c r="AC87" s="34">
        <f>MAX(Table818[[#This Row],[Credit]]-Table818[[#This Row],[Debit]]+Table818[[#This Row],[Credit +]]-Table818[[#This Row],[Debit -]],0)</f>
        <v>0</v>
      </c>
      <c r="AD87" s="34" t="str">
        <f>IFERROR(IF(AND(OR(Table818[[#This Row],[Classification]]="Expense",Table818[[#This Row],[Classification]]="Cost of Goods Sold"),Table818[[#This Row],[Debit\]]&gt;Table818[[#This Row],[Credit.]]),Table818[[#This Row],[Debit\]]-Table818[[#This Row],[Credit.]],""),"")</f>
        <v/>
      </c>
      <c r="AE87" s="34" t="str">
        <f>IFERROR(IF(AND(OR(Table818[[#This Row],[Classification]]="Income",Table818[[#This Row],[Classification]]="Cost of Goods Sold"),Table818[[#This Row],[Credit.]]&gt;Table818[[#This Row],[Debit\]]),Table818[[#This Row],[Credit.]]-Table818[[#This Row],[Debit\]],""),"")</f>
        <v/>
      </c>
      <c r="AF87" s="34"/>
      <c r="AG87" s="34" t="str">
        <f>IFERROR(IF(AND(Table818[[#This Row],[Classification]]="Assets",Table818[[#This Row],[Debit\]]-Table818[[#This Row],[Credit.]]),Table818[[#This Row],[Debit\]]-Table818[[#This Row],[Credit.]],""),"")</f>
        <v/>
      </c>
      <c r="AH87" s="34" t="str">
        <f>IFERROR(IF(AND(OR(Table818[[#This Row],[Classification]]="Liabilities",Table818[[#This Row],[Classification]]="Owner´s Equity"),Table818[[#This Row],[Credit.]]&gt;Table818[[#This Row],[Debit\]]),Table818[[#This Row],[Credit.]]-Table818[[#This Row],[Debit\]],""),"")</f>
        <v/>
      </c>
    </row>
    <row r="88" spans="2:34" x14ac:dyDescent="0.25">
      <c r="B88" s="34"/>
      <c r="C88" s="37"/>
      <c r="D88" s="34"/>
      <c r="E88" s="34"/>
      <c r="G88" s="39"/>
      <c r="H88" s="40"/>
      <c r="I88" s="41"/>
      <c r="J88" s="41"/>
      <c r="L88" s="34">
        <v>81</v>
      </c>
      <c r="M88" s="35"/>
      <c r="N88" s="35"/>
      <c r="O88" s="34">
        <f>IFERROR(SUMIF(Table415[,],Table617[[#This Row],[Accounts Name]],Table415[,3]),"")</f>
        <v>0</v>
      </c>
      <c r="P88" s="34">
        <f>IFERROR(SUMIF(Table415[,],Table617[[#This Row],[Accounts Name]],Table415[,2]),"")</f>
        <v>0</v>
      </c>
      <c r="S88" s="36">
        <f t="shared" si="1"/>
        <v>81</v>
      </c>
      <c r="T88" s="34"/>
      <c r="U88" s="37"/>
      <c r="V88" s="34">
        <f>IFERROR(SUMIF(Table617[Sub-Accounts],Table818[[#This Row],[Update your chart of accounts here]],Table617[Debit]),"")</f>
        <v>0</v>
      </c>
      <c r="W88" s="34">
        <f>IFERROR(SUMIF(Table617[Sub-Accounts],Table818[[#This Row],[Update your chart of accounts here]],Table617[Credit]),"")</f>
        <v>0</v>
      </c>
      <c r="X88" s="34"/>
      <c r="Y88" s="34"/>
      <c r="Z88" s="34"/>
      <c r="AA88" s="34"/>
      <c r="AB88" s="34">
        <f>MAX(Table818[[#This Row],[Debit]]+Table818[[#This Row],[Debit -]]-Table818[[#This Row],[Credit]]-Table818[[#This Row],[Credit +]],0)</f>
        <v>0</v>
      </c>
      <c r="AC88" s="34">
        <f>MAX(Table818[[#This Row],[Credit]]-Table818[[#This Row],[Debit]]+Table818[[#This Row],[Credit +]]-Table818[[#This Row],[Debit -]],0)</f>
        <v>0</v>
      </c>
      <c r="AD88" s="34" t="str">
        <f>IFERROR(IF(AND(OR(Table818[[#This Row],[Classification]]="Expense",Table818[[#This Row],[Classification]]="Cost of Goods Sold"),Table818[[#This Row],[Debit\]]&gt;Table818[[#This Row],[Credit.]]),Table818[[#This Row],[Debit\]]-Table818[[#This Row],[Credit.]],""),"")</f>
        <v/>
      </c>
      <c r="AE88" s="34" t="str">
        <f>IFERROR(IF(AND(OR(Table818[[#This Row],[Classification]]="Income",Table818[[#This Row],[Classification]]="Cost of Goods Sold"),Table818[[#This Row],[Credit.]]&gt;Table818[[#This Row],[Debit\]]),Table818[[#This Row],[Credit.]]-Table818[[#This Row],[Debit\]],""),"")</f>
        <v/>
      </c>
      <c r="AF88" s="34"/>
      <c r="AG88" s="34" t="str">
        <f>IFERROR(IF(AND(Table818[[#This Row],[Classification]]="Assets",Table818[[#This Row],[Debit\]]-Table818[[#This Row],[Credit.]]),Table818[[#This Row],[Debit\]]-Table818[[#This Row],[Credit.]],""),"")</f>
        <v/>
      </c>
      <c r="AH88" s="34" t="str">
        <f>IFERROR(IF(AND(OR(Table818[[#This Row],[Classification]]="Liabilities",Table818[[#This Row],[Classification]]="Owner´s Equity"),Table818[[#This Row],[Credit.]]&gt;Table818[[#This Row],[Debit\]]),Table818[[#This Row],[Credit.]]-Table818[[#This Row],[Debit\]],""),"")</f>
        <v/>
      </c>
    </row>
    <row r="89" spans="2:34" x14ac:dyDescent="0.25">
      <c r="B89" s="34"/>
      <c r="C89" s="37"/>
      <c r="D89" s="34"/>
      <c r="E89" s="34"/>
      <c r="G89" s="39"/>
      <c r="H89" s="43"/>
      <c r="I89" s="41"/>
      <c r="J89" s="41"/>
      <c r="L89" s="34">
        <v>82</v>
      </c>
      <c r="M89" s="35"/>
      <c r="N89" s="35"/>
      <c r="O89" s="34">
        <f>IFERROR(SUMIF(Table415[,],Table617[[#This Row],[Accounts Name]],Table415[,3]),"")</f>
        <v>0</v>
      </c>
      <c r="P89" s="34">
        <f>IFERROR(SUMIF(Table415[,],Table617[[#This Row],[Accounts Name]],Table415[,2]),"")</f>
        <v>0</v>
      </c>
      <c r="S89" s="36">
        <f t="shared" si="1"/>
        <v>82</v>
      </c>
      <c r="T89" s="34"/>
      <c r="U89" s="37"/>
      <c r="V89" s="34">
        <f>IFERROR(SUMIF(Table617[Sub-Accounts],Table818[[#This Row],[Update your chart of accounts here]],Table617[Debit]),"")</f>
        <v>0</v>
      </c>
      <c r="W89" s="34">
        <f>IFERROR(SUMIF(Table617[Sub-Accounts],Table818[[#This Row],[Update your chart of accounts here]],Table617[Credit]),"")</f>
        <v>0</v>
      </c>
      <c r="X89" s="34"/>
      <c r="Y89" s="34"/>
      <c r="Z89" s="34"/>
      <c r="AA89" s="34"/>
      <c r="AB89" s="34">
        <f>MAX(Table818[[#This Row],[Debit]]+Table818[[#This Row],[Debit -]]-Table818[[#This Row],[Credit]]-Table818[[#This Row],[Credit +]],0)</f>
        <v>0</v>
      </c>
      <c r="AC89" s="34">
        <f>MAX(Table818[[#This Row],[Credit]]-Table818[[#This Row],[Debit]]+Table818[[#This Row],[Credit +]]-Table818[[#This Row],[Debit -]],0)</f>
        <v>0</v>
      </c>
      <c r="AD89" s="34" t="str">
        <f>IFERROR(IF(AND(OR(Table818[[#This Row],[Classification]]="Expense",Table818[[#This Row],[Classification]]="Cost of Goods Sold"),Table818[[#This Row],[Debit\]]&gt;Table818[[#This Row],[Credit.]]),Table818[[#This Row],[Debit\]]-Table818[[#This Row],[Credit.]],""),"")</f>
        <v/>
      </c>
      <c r="AE89" s="34" t="str">
        <f>IFERROR(IF(AND(OR(Table818[[#This Row],[Classification]]="Income",Table818[[#This Row],[Classification]]="Cost of Goods Sold"),Table818[[#This Row],[Credit.]]&gt;Table818[[#This Row],[Debit\]]),Table818[[#This Row],[Credit.]]-Table818[[#This Row],[Debit\]],""),"")</f>
        <v/>
      </c>
      <c r="AF89" s="34"/>
      <c r="AG89" s="34" t="str">
        <f>IFERROR(IF(AND(Table818[[#This Row],[Classification]]="Assets",Table818[[#This Row],[Debit\]]-Table818[[#This Row],[Credit.]]),Table818[[#This Row],[Debit\]]-Table818[[#This Row],[Credit.]],""),"")</f>
        <v/>
      </c>
      <c r="AH89" s="34" t="str">
        <f>IFERROR(IF(AND(OR(Table818[[#This Row],[Classification]]="Liabilities",Table818[[#This Row],[Classification]]="Owner´s Equity"),Table818[[#This Row],[Credit.]]&gt;Table818[[#This Row],[Debit\]]),Table818[[#This Row],[Credit.]]-Table818[[#This Row],[Debit\]],""),"")</f>
        <v/>
      </c>
    </row>
    <row r="90" spans="2:34" x14ac:dyDescent="0.25">
      <c r="B90" s="34"/>
      <c r="C90" s="45"/>
      <c r="D90" s="34"/>
      <c r="E90" s="34"/>
      <c r="G90" s="39"/>
      <c r="H90" s="40"/>
      <c r="I90" s="41"/>
      <c r="J90" s="41"/>
      <c r="L90" s="34">
        <v>83</v>
      </c>
      <c r="M90" s="35"/>
      <c r="N90" s="35"/>
      <c r="O90" s="34">
        <f>IFERROR(SUMIF(Table415[,],Table617[[#This Row],[Accounts Name]],Table415[,3]),"")</f>
        <v>0</v>
      </c>
      <c r="P90" s="34">
        <f>IFERROR(SUMIF(Table415[,],Table617[[#This Row],[Accounts Name]],Table415[,2]),"")</f>
        <v>0</v>
      </c>
      <c r="S90" s="36">
        <f t="shared" si="1"/>
        <v>83</v>
      </c>
      <c r="T90" s="34"/>
      <c r="U90" s="37"/>
      <c r="V90" s="34">
        <f>IFERROR(SUMIF(Table617[Sub-Accounts],Table818[[#This Row],[Update your chart of accounts here]],Table617[Debit]),"")</f>
        <v>0</v>
      </c>
      <c r="W90" s="34">
        <f>IFERROR(SUMIF(Table617[Sub-Accounts],Table818[[#This Row],[Update your chart of accounts here]],Table617[Credit]),"")</f>
        <v>0</v>
      </c>
      <c r="X90" s="34"/>
      <c r="Y90" s="34"/>
      <c r="Z90" s="34"/>
      <c r="AA90" s="34"/>
      <c r="AB90" s="34">
        <f>MAX(Table818[[#This Row],[Debit]]+Table818[[#This Row],[Debit -]]-Table818[[#This Row],[Credit]]-Table818[[#This Row],[Credit +]],0)</f>
        <v>0</v>
      </c>
      <c r="AC90" s="34">
        <f>MAX(Table818[[#This Row],[Credit]]-Table818[[#This Row],[Debit]]+Table818[[#This Row],[Credit +]]-Table818[[#This Row],[Debit -]],0)</f>
        <v>0</v>
      </c>
      <c r="AD90" s="34" t="str">
        <f>IFERROR(IF(AND(OR(Table818[[#This Row],[Classification]]="Expense",Table818[[#This Row],[Classification]]="Cost of Goods Sold"),Table818[[#This Row],[Debit\]]&gt;Table818[[#This Row],[Credit.]]),Table818[[#This Row],[Debit\]]-Table818[[#This Row],[Credit.]],""),"")</f>
        <v/>
      </c>
      <c r="AE90" s="34" t="str">
        <f>IFERROR(IF(AND(OR(Table818[[#This Row],[Classification]]="Income",Table818[[#This Row],[Classification]]="Cost of Goods Sold"),Table818[[#This Row],[Credit.]]&gt;Table818[[#This Row],[Debit\]]),Table818[[#This Row],[Credit.]]-Table818[[#This Row],[Debit\]],""),"")</f>
        <v/>
      </c>
      <c r="AF90" s="34"/>
      <c r="AG90" s="34" t="str">
        <f>IFERROR(IF(AND(Table818[[#This Row],[Classification]]="Assets",Table818[[#This Row],[Debit\]]-Table818[[#This Row],[Credit.]]),Table818[[#This Row],[Debit\]]-Table818[[#This Row],[Credit.]],""),"")</f>
        <v/>
      </c>
      <c r="AH90" s="34" t="str">
        <f>IFERROR(IF(AND(OR(Table818[[#This Row],[Classification]]="Liabilities",Table818[[#This Row],[Classification]]="Owner´s Equity"),Table818[[#This Row],[Credit.]]&gt;Table818[[#This Row],[Debit\]]),Table818[[#This Row],[Credit.]]-Table818[[#This Row],[Debit\]],""),"")</f>
        <v/>
      </c>
    </row>
    <row r="91" spans="2:34" x14ac:dyDescent="0.25">
      <c r="B91" s="34"/>
      <c r="C91" s="45"/>
      <c r="D91" s="34"/>
      <c r="E91" s="34"/>
      <c r="G91" s="39"/>
      <c r="H91" s="40"/>
      <c r="I91" s="41"/>
      <c r="J91" s="41"/>
      <c r="L91" s="34">
        <v>84</v>
      </c>
      <c r="M91" s="35"/>
      <c r="N91" s="35"/>
      <c r="O91" s="34">
        <f>IFERROR(SUMIF(Table415[,],Table617[[#This Row],[Accounts Name]],Table415[,3]),"")</f>
        <v>0</v>
      </c>
      <c r="P91" s="34">
        <f>IFERROR(SUMIF(Table415[,],Table617[[#This Row],[Accounts Name]],Table415[,2]),"")</f>
        <v>0</v>
      </c>
      <c r="S91" s="36">
        <f t="shared" si="1"/>
        <v>84</v>
      </c>
      <c r="T91" s="34"/>
      <c r="U91" s="37"/>
      <c r="V91" s="34">
        <f>IFERROR(SUMIF(Table617[Sub-Accounts],Table818[[#This Row],[Update your chart of accounts here]],Table617[Debit]),"")</f>
        <v>0</v>
      </c>
      <c r="W91" s="34">
        <f>IFERROR(SUMIF(Table617[Sub-Accounts],Table818[[#This Row],[Update your chart of accounts here]],Table617[Credit]),"")</f>
        <v>0</v>
      </c>
      <c r="X91" s="34"/>
      <c r="Y91" s="34"/>
      <c r="Z91" s="34"/>
      <c r="AA91" s="34"/>
      <c r="AB91" s="34">
        <f>MAX(Table818[[#This Row],[Debit]]+Table818[[#This Row],[Debit -]]-Table818[[#This Row],[Credit]]-Table818[[#This Row],[Credit +]],0)</f>
        <v>0</v>
      </c>
      <c r="AC91" s="34">
        <f>MAX(Table818[[#This Row],[Credit]]-Table818[[#This Row],[Debit]]+Table818[[#This Row],[Credit +]]-Table818[[#This Row],[Debit -]],0)</f>
        <v>0</v>
      </c>
      <c r="AD91" s="34" t="str">
        <f>IFERROR(IF(AND(OR(Table818[[#This Row],[Classification]]="Expense",Table818[[#This Row],[Classification]]="Cost of Goods Sold"),Table818[[#This Row],[Debit\]]&gt;Table818[[#This Row],[Credit.]]),Table818[[#This Row],[Debit\]]-Table818[[#This Row],[Credit.]],""),"")</f>
        <v/>
      </c>
      <c r="AE91" s="34" t="str">
        <f>IFERROR(IF(AND(OR(Table818[[#This Row],[Classification]]="Income",Table818[[#This Row],[Classification]]="Cost of Goods Sold"),Table818[[#This Row],[Credit.]]&gt;Table818[[#This Row],[Debit\]]),Table818[[#This Row],[Credit.]]-Table818[[#This Row],[Debit\]],""),"")</f>
        <v/>
      </c>
      <c r="AF91" s="34"/>
      <c r="AG91" s="34" t="str">
        <f>IFERROR(IF(AND(Table818[[#This Row],[Classification]]="Assets",Table818[[#This Row],[Debit\]]-Table818[[#This Row],[Credit.]]),Table818[[#This Row],[Debit\]]-Table818[[#This Row],[Credit.]],""),"")</f>
        <v/>
      </c>
      <c r="AH91" s="34" t="str">
        <f>IFERROR(IF(AND(OR(Table818[[#This Row],[Classification]]="Liabilities",Table818[[#This Row],[Classification]]="Owner´s Equity"),Table818[[#This Row],[Credit.]]&gt;Table818[[#This Row],[Debit\]]),Table818[[#This Row],[Credit.]]-Table818[[#This Row],[Debit\]],""),"")</f>
        <v/>
      </c>
    </row>
    <row r="92" spans="2:34" x14ac:dyDescent="0.25">
      <c r="B92" s="34"/>
      <c r="C92" s="45"/>
      <c r="D92" s="34"/>
      <c r="E92" s="34"/>
      <c r="G92" s="39"/>
      <c r="H92" s="43"/>
      <c r="I92" s="41"/>
      <c r="J92" s="41"/>
      <c r="L92" s="34">
        <v>85</v>
      </c>
      <c r="M92" s="35"/>
      <c r="N92" s="35"/>
      <c r="O92" s="34">
        <f>IFERROR(SUMIF(Table415[,],Table617[[#This Row],[Accounts Name]],Table415[,3]),"")</f>
        <v>0</v>
      </c>
      <c r="P92" s="34">
        <f>IFERROR(SUMIF(Table415[,],Table617[[#This Row],[Accounts Name]],Table415[,2]),"")</f>
        <v>0</v>
      </c>
      <c r="S92" s="36">
        <f t="shared" si="1"/>
        <v>85</v>
      </c>
      <c r="T92" s="34"/>
      <c r="U92" s="37"/>
      <c r="V92" s="34">
        <f>IFERROR(SUMIF(Table617[Sub-Accounts],Table818[[#This Row],[Update your chart of accounts here]],Table617[Debit]),"")</f>
        <v>0</v>
      </c>
      <c r="W92" s="34">
        <f>IFERROR(SUMIF(Table617[Sub-Accounts],Table818[[#This Row],[Update your chart of accounts here]],Table617[Credit]),"")</f>
        <v>0</v>
      </c>
      <c r="X92" s="34"/>
      <c r="Y92" s="34"/>
      <c r="Z92" s="34"/>
      <c r="AA92" s="34"/>
      <c r="AB92" s="34">
        <f>MAX(Table818[[#This Row],[Debit]]+Table818[[#This Row],[Debit -]]-Table818[[#This Row],[Credit]]-Table818[[#This Row],[Credit +]],0)</f>
        <v>0</v>
      </c>
      <c r="AC92" s="34">
        <f>MAX(Table818[[#This Row],[Credit]]-Table818[[#This Row],[Debit]]+Table818[[#This Row],[Credit +]]-Table818[[#This Row],[Debit -]],0)</f>
        <v>0</v>
      </c>
      <c r="AD92" s="34" t="str">
        <f>IFERROR(IF(AND(OR(Table818[[#This Row],[Classification]]="Expense",Table818[[#This Row],[Classification]]="Cost of Goods Sold"),Table818[[#This Row],[Debit\]]&gt;Table818[[#This Row],[Credit.]]),Table818[[#This Row],[Debit\]]-Table818[[#This Row],[Credit.]],""),"")</f>
        <v/>
      </c>
      <c r="AE92" s="34" t="str">
        <f>IFERROR(IF(AND(OR(Table818[[#This Row],[Classification]]="Income",Table818[[#This Row],[Classification]]="Cost of Goods Sold"),Table818[[#This Row],[Credit.]]&gt;Table818[[#This Row],[Debit\]]),Table818[[#This Row],[Credit.]]-Table818[[#This Row],[Debit\]],""),"")</f>
        <v/>
      </c>
      <c r="AF92" s="34"/>
      <c r="AG92" s="34" t="str">
        <f>IFERROR(IF(AND(Table818[[#This Row],[Classification]]="Assets",Table818[[#This Row],[Debit\]]-Table818[[#This Row],[Credit.]]),Table818[[#This Row],[Debit\]]-Table818[[#This Row],[Credit.]],""),"")</f>
        <v/>
      </c>
      <c r="AH92" s="34" t="str">
        <f>IFERROR(IF(AND(OR(Table818[[#This Row],[Classification]]="Liabilities",Table818[[#This Row],[Classification]]="Owner´s Equity"),Table818[[#This Row],[Credit.]]&gt;Table818[[#This Row],[Debit\]]),Table818[[#This Row],[Credit.]]-Table818[[#This Row],[Debit\]],""),"")</f>
        <v/>
      </c>
    </row>
    <row r="93" spans="2:34" x14ac:dyDescent="0.25">
      <c r="B93" s="34"/>
      <c r="C93" s="45"/>
      <c r="D93" s="34"/>
      <c r="E93" s="34"/>
      <c r="G93" s="39"/>
      <c r="H93" s="40"/>
      <c r="I93" s="41"/>
      <c r="J93" s="41"/>
      <c r="L93" s="34">
        <v>86</v>
      </c>
      <c r="M93" s="35"/>
      <c r="N93" s="35"/>
      <c r="O93" s="34">
        <f>IFERROR(SUMIF(Table415[,],Table617[[#This Row],[Accounts Name]],Table415[,3]),"")</f>
        <v>0</v>
      </c>
      <c r="P93" s="34">
        <f>IFERROR(SUMIF(Table415[,],Table617[[#This Row],[Accounts Name]],Table415[,2]),"")</f>
        <v>0</v>
      </c>
      <c r="S93" s="36">
        <f t="shared" si="1"/>
        <v>86</v>
      </c>
      <c r="T93" s="34"/>
      <c r="U93" s="37"/>
      <c r="V93" s="34">
        <f>IFERROR(SUMIF(Table617[Sub-Accounts],Table818[[#This Row],[Update your chart of accounts here]],Table617[Debit]),"")</f>
        <v>0</v>
      </c>
      <c r="W93" s="34">
        <f>IFERROR(SUMIF(Table617[Sub-Accounts],Table818[[#This Row],[Update your chart of accounts here]],Table617[Credit]),"")</f>
        <v>0</v>
      </c>
      <c r="X93" s="34"/>
      <c r="Y93" s="34"/>
      <c r="Z93" s="34"/>
      <c r="AA93" s="34"/>
      <c r="AB93" s="34">
        <f>MAX(Table818[[#This Row],[Debit]]+Table818[[#This Row],[Debit -]]-Table818[[#This Row],[Credit]]-Table818[[#This Row],[Credit +]],0)</f>
        <v>0</v>
      </c>
      <c r="AC93" s="34">
        <f>MAX(Table818[[#This Row],[Credit]]-Table818[[#This Row],[Debit]]+Table818[[#This Row],[Credit +]]-Table818[[#This Row],[Debit -]],0)</f>
        <v>0</v>
      </c>
      <c r="AD93" s="34" t="str">
        <f>IFERROR(IF(AND(OR(Table818[[#This Row],[Classification]]="Expense",Table818[[#This Row],[Classification]]="Cost of Goods Sold"),Table818[[#This Row],[Debit\]]&gt;Table818[[#This Row],[Credit.]]),Table818[[#This Row],[Debit\]]-Table818[[#This Row],[Credit.]],""),"")</f>
        <v/>
      </c>
      <c r="AE93" s="34" t="str">
        <f>IFERROR(IF(AND(OR(Table818[[#This Row],[Classification]]="Income",Table818[[#This Row],[Classification]]="Cost of Goods Sold"),Table818[[#This Row],[Credit.]]&gt;Table818[[#This Row],[Debit\]]),Table818[[#This Row],[Credit.]]-Table818[[#This Row],[Debit\]],""),"")</f>
        <v/>
      </c>
      <c r="AF93" s="34"/>
      <c r="AG93" s="34" t="str">
        <f>IFERROR(IF(AND(Table818[[#This Row],[Classification]]="Assets",Table818[[#This Row],[Debit\]]-Table818[[#This Row],[Credit.]]),Table818[[#This Row],[Debit\]]-Table818[[#This Row],[Credit.]],""),"")</f>
        <v/>
      </c>
      <c r="AH93" s="34" t="str">
        <f>IFERROR(IF(AND(OR(Table818[[#This Row],[Classification]]="Liabilities",Table818[[#This Row],[Classification]]="Owner´s Equity"),Table818[[#This Row],[Credit.]]&gt;Table818[[#This Row],[Debit\]]),Table818[[#This Row],[Credit.]]-Table818[[#This Row],[Debit\]],""),"")</f>
        <v/>
      </c>
    </row>
    <row r="94" spans="2:34" x14ac:dyDescent="0.25">
      <c r="B94" s="34"/>
      <c r="C94" s="45"/>
      <c r="D94" s="34"/>
      <c r="E94" s="34"/>
      <c r="G94" s="39"/>
      <c r="H94" s="40"/>
      <c r="I94" s="41"/>
      <c r="J94" s="41"/>
      <c r="L94" s="34">
        <v>87</v>
      </c>
      <c r="M94" s="35"/>
      <c r="N94" s="35"/>
      <c r="O94" s="34">
        <f>IFERROR(SUMIF(Table415[,],Table617[[#This Row],[Accounts Name]],Table415[,3]),"")</f>
        <v>0</v>
      </c>
      <c r="P94" s="34">
        <f>IFERROR(SUMIF(Table415[,],Table617[[#This Row],[Accounts Name]],Table415[,2]),"")</f>
        <v>0</v>
      </c>
      <c r="S94" s="36">
        <f t="shared" si="1"/>
        <v>87</v>
      </c>
      <c r="T94" s="34"/>
      <c r="U94" s="37"/>
      <c r="V94" s="34">
        <f>IFERROR(SUMIF(Table617[Sub-Accounts],Table818[[#This Row],[Update your chart of accounts here]],Table617[Debit]),"")</f>
        <v>0</v>
      </c>
      <c r="W94" s="34">
        <f>IFERROR(SUMIF(Table617[Sub-Accounts],Table818[[#This Row],[Update your chart of accounts here]],Table617[Credit]),"")</f>
        <v>0</v>
      </c>
      <c r="X94" s="34"/>
      <c r="Y94" s="34"/>
      <c r="Z94" s="34"/>
      <c r="AA94" s="34"/>
      <c r="AB94" s="34">
        <f>MAX(Table818[[#This Row],[Debit]]+Table818[[#This Row],[Debit -]]-Table818[[#This Row],[Credit]]-Table818[[#This Row],[Credit +]],0)</f>
        <v>0</v>
      </c>
      <c r="AC94" s="34">
        <f>MAX(Table818[[#This Row],[Credit]]-Table818[[#This Row],[Debit]]+Table818[[#This Row],[Credit +]]-Table818[[#This Row],[Debit -]],0)</f>
        <v>0</v>
      </c>
      <c r="AD94" s="34" t="str">
        <f>IFERROR(IF(AND(OR(Table818[[#This Row],[Classification]]="Expense",Table818[[#This Row],[Classification]]="Cost of Goods Sold"),Table818[[#This Row],[Debit\]]&gt;Table818[[#This Row],[Credit.]]),Table818[[#This Row],[Debit\]]-Table818[[#This Row],[Credit.]],""),"")</f>
        <v/>
      </c>
      <c r="AE94" s="34" t="str">
        <f>IFERROR(IF(AND(OR(Table818[[#This Row],[Classification]]="Income",Table818[[#This Row],[Classification]]="Cost of Goods Sold"),Table818[[#This Row],[Credit.]]&gt;Table818[[#This Row],[Debit\]]),Table818[[#This Row],[Credit.]]-Table818[[#This Row],[Debit\]],""),"")</f>
        <v/>
      </c>
      <c r="AF94" s="34"/>
      <c r="AG94" s="34" t="str">
        <f>IFERROR(IF(AND(Table818[[#This Row],[Classification]]="Assets",Table818[[#This Row],[Debit\]]-Table818[[#This Row],[Credit.]]),Table818[[#This Row],[Debit\]]-Table818[[#This Row],[Credit.]],""),"")</f>
        <v/>
      </c>
      <c r="AH94" s="34" t="str">
        <f>IFERROR(IF(AND(OR(Table818[[#This Row],[Classification]]="Liabilities",Table818[[#This Row],[Classification]]="Owner´s Equity"),Table818[[#This Row],[Credit.]]&gt;Table818[[#This Row],[Debit\]]),Table818[[#This Row],[Credit.]]-Table818[[#This Row],[Debit\]],""),"")</f>
        <v/>
      </c>
    </row>
    <row r="95" spans="2:34" x14ac:dyDescent="0.25">
      <c r="B95" s="34"/>
      <c r="C95" s="45"/>
      <c r="D95" s="34"/>
      <c r="E95" s="34"/>
      <c r="G95" s="39"/>
      <c r="H95" s="43"/>
      <c r="I95" s="41"/>
      <c r="J95" s="41"/>
      <c r="L95" s="34">
        <v>88</v>
      </c>
      <c r="M95" s="35"/>
      <c r="N95" s="35"/>
      <c r="O95" s="34">
        <f>IFERROR(SUMIF(Table415[,],Table617[[#This Row],[Accounts Name]],Table415[,3]),"")</f>
        <v>0</v>
      </c>
      <c r="P95" s="34">
        <f>IFERROR(SUMIF(Table415[,],Table617[[#This Row],[Accounts Name]],Table415[,2]),"")</f>
        <v>0</v>
      </c>
      <c r="S95" s="36">
        <f t="shared" si="1"/>
        <v>88</v>
      </c>
      <c r="T95" s="34"/>
      <c r="U95" s="37"/>
      <c r="V95" s="34">
        <f>IFERROR(SUMIF(Table617[Sub-Accounts],Table818[[#This Row],[Update your chart of accounts here]],Table617[Debit]),"")</f>
        <v>0</v>
      </c>
      <c r="W95" s="34">
        <f>IFERROR(SUMIF(Table617[Sub-Accounts],Table818[[#This Row],[Update your chart of accounts here]],Table617[Credit]),"")</f>
        <v>0</v>
      </c>
      <c r="X95" s="34"/>
      <c r="Y95" s="34"/>
      <c r="Z95" s="34"/>
      <c r="AA95" s="34"/>
      <c r="AB95" s="34">
        <f>MAX(Table818[[#This Row],[Debit]]+Table818[[#This Row],[Debit -]]-Table818[[#This Row],[Credit]]-Table818[[#This Row],[Credit +]],0)</f>
        <v>0</v>
      </c>
      <c r="AC95" s="34">
        <f>MAX(Table818[[#This Row],[Credit]]-Table818[[#This Row],[Debit]]+Table818[[#This Row],[Credit +]]-Table818[[#This Row],[Debit -]],0)</f>
        <v>0</v>
      </c>
      <c r="AD95" s="34" t="str">
        <f>IFERROR(IF(AND(OR(Table818[[#This Row],[Classification]]="Expense",Table818[[#This Row],[Classification]]="Cost of Goods Sold"),Table818[[#This Row],[Debit\]]&gt;Table818[[#This Row],[Credit.]]),Table818[[#This Row],[Debit\]]-Table818[[#This Row],[Credit.]],""),"")</f>
        <v/>
      </c>
      <c r="AE95" s="34" t="str">
        <f>IFERROR(IF(AND(OR(Table818[[#This Row],[Classification]]="Income",Table818[[#This Row],[Classification]]="Cost of Goods Sold"),Table818[[#This Row],[Credit.]]&gt;Table818[[#This Row],[Debit\]]),Table818[[#This Row],[Credit.]]-Table818[[#This Row],[Debit\]],""),"")</f>
        <v/>
      </c>
      <c r="AF95" s="34"/>
      <c r="AG95" s="34" t="str">
        <f>IFERROR(IF(AND(Table818[[#This Row],[Classification]]="Assets",Table818[[#This Row],[Debit\]]-Table818[[#This Row],[Credit.]]),Table818[[#This Row],[Debit\]]-Table818[[#This Row],[Credit.]],""),"")</f>
        <v/>
      </c>
      <c r="AH95" s="34" t="str">
        <f>IFERROR(IF(AND(OR(Table818[[#This Row],[Classification]]="Liabilities",Table818[[#This Row],[Classification]]="Owner´s Equity"),Table818[[#This Row],[Credit.]]&gt;Table818[[#This Row],[Debit\]]),Table818[[#This Row],[Credit.]]-Table818[[#This Row],[Debit\]],""),"")</f>
        <v/>
      </c>
    </row>
    <row r="96" spans="2:34" x14ac:dyDescent="0.25">
      <c r="B96" s="34"/>
      <c r="C96" s="45"/>
      <c r="D96" s="34"/>
      <c r="E96" s="34"/>
      <c r="G96" s="39"/>
      <c r="H96" s="40"/>
      <c r="I96" s="41"/>
      <c r="J96" s="41"/>
      <c r="L96" s="34">
        <v>89</v>
      </c>
      <c r="M96" s="35"/>
      <c r="N96" s="35"/>
      <c r="O96" s="34">
        <f>IFERROR(SUMIF(Table415[,],Table617[[#This Row],[Accounts Name]],Table415[,3]),"")</f>
        <v>0</v>
      </c>
      <c r="P96" s="34">
        <f>IFERROR(SUMIF(Table415[,],Table617[[#This Row],[Accounts Name]],Table415[,2]),"")</f>
        <v>0</v>
      </c>
      <c r="S96" s="36">
        <f t="shared" si="1"/>
        <v>89</v>
      </c>
      <c r="T96" s="34"/>
      <c r="U96" s="37"/>
      <c r="V96" s="34">
        <f>IFERROR(SUMIF(Table617[Sub-Accounts],Table818[[#This Row],[Update your chart of accounts here]],Table617[Debit]),"")</f>
        <v>0</v>
      </c>
      <c r="W96" s="34">
        <f>IFERROR(SUMIF(Table617[Sub-Accounts],Table818[[#This Row],[Update your chart of accounts here]],Table617[Credit]),"")</f>
        <v>0</v>
      </c>
      <c r="X96" s="34"/>
      <c r="Y96" s="34"/>
      <c r="Z96" s="34"/>
      <c r="AA96" s="34"/>
      <c r="AB96" s="34">
        <f>MAX(Table818[[#This Row],[Debit]]+Table818[[#This Row],[Debit -]]-Table818[[#This Row],[Credit]]-Table818[[#This Row],[Credit +]],0)</f>
        <v>0</v>
      </c>
      <c r="AC96" s="34">
        <f>MAX(Table818[[#This Row],[Credit]]-Table818[[#This Row],[Debit]]+Table818[[#This Row],[Credit +]]-Table818[[#This Row],[Debit -]],0)</f>
        <v>0</v>
      </c>
      <c r="AD96" s="34" t="str">
        <f>IFERROR(IF(AND(OR(Table818[[#This Row],[Classification]]="Expense",Table818[[#This Row],[Classification]]="Cost of Goods Sold"),Table818[[#This Row],[Debit\]]&gt;Table818[[#This Row],[Credit.]]),Table818[[#This Row],[Debit\]]-Table818[[#This Row],[Credit.]],""),"")</f>
        <v/>
      </c>
      <c r="AE96" s="34" t="str">
        <f>IFERROR(IF(AND(OR(Table818[[#This Row],[Classification]]="Income",Table818[[#This Row],[Classification]]="Cost of Goods Sold"),Table818[[#This Row],[Credit.]]&gt;Table818[[#This Row],[Debit\]]),Table818[[#This Row],[Credit.]]-Table818[[#This Row],[Debit\]],""),"")</f>
        <v/>
      </c>
      <c r="AF96" s="34"/>
      <c r="AG96" s="34" t="str">
        <f>IFERROR(IF(AND(Table818[[#This Row],[Classification]]="Assets",Table818[[#This Row],[Debit\]]-Table818[[#This Row],[Credit.]]),Table818[[#This Row],[Debit\]]-Table818[[#This Row],[Credit.]],""),"")</f>
        <v/>
      </c>
      <c r="AH96" s="34" t="str">
        <f>IFERROR(IF(AND(OR(Table818[[#This Row],[Classification]]="Liabilities",Table818[[#This Row],[Classification]]="Owner´s Equity"),Table818[[#This Row],[Credit.]]&gt;Table818[[#This Row],[Debit\]]),Table818[[#This Row],[Credit.]]-Table818[[#This Row],[Debit\]],""),"")</f>
        <v/>
      </c>
    </row>
    <row r="97" spans="2:34" x14ac:dyDescent="0.25">
      <c r="B97" s="34"/>
      <c r="C97" s="45"/>
      <c r="D97" s="34"/>
      <c r="E97" s="34"/>
      <c r="G97" s="39"/>
      <c r="H97" s="40"/>
      <c r="I97" s="41"/>
      <c r="J97" s="41"/>
      <c r="L97" s="34">
        <v>90</v>
      </c>
      <c r="M97" s="35"/>
      <c r="N97" s="35"/>
      <c r="O97" s="34">
        <f>IFERROR(SUMIF(Table415[,],Table617[[#This Row],[Accounts Name]],Table415[,3]),"")</f>
        <v>0</v>
      </c>
      <c r="P97" s="34">
        <f>IFERROR(SUMIF(Table415[,],Table617[[#This Row],[Accounts Name]],Table415[,2]),"")</f>
        <v>0</v>
      </c>
      <c r="S97" s="36">
        <f t="shared" si="1"/>
        <v>90</v>
      </c>
      <c r="T97" s="34"/>
      <c r="U97" s="37"/>
      <c r="V97" s="34">
        <f>IFERROR(SUMIF(Table617[Sub-Accounts],Table818[[#This Row],[Update your chart of accounts here]],Table617[Debit]),"")</f>
        <v>0</v>
      </c>
      <c r="W97" s="34">
        <f>IFERROR(SUMIF(Table617[Sub-Accounts],Table818[[#This Row],[Update your chart of accounts here]],Table617[Credit]),"")</f>
        <v>0</v>
      </c>
      <c r="X97" s="34"/>
      <c r="Y97" s="34"/>
      <c r="Z97" s="34"/>
      <c r="AA97" s="34"/>
      <c r="AB97" s="34">
        <f>MAX(Table818[[#This Row],[Debit]]+Table818[[#This Row],[Debit -]]-Table818[[#This Row],[Credit]]-Table818[[#This Row],[Credit +]],0)</f>
        <v>0</v>
      </c>
      <c r="AC97" s="34">
        <f>MAX(Table818[[#This Row],[Credit]]-Table818[[#This Row],[Debit]]+Table818[[#This Row],[Credit +]]-Table818[[#This Row],[Debit -]],0)</f>
        <v>0</v>
      </c>
      <c r="AD97" s="34" t="str">
        <f>IFERROR(IF(AND(OR(Table818[[#This Row],[Classification]]="Expense",Table818[[#This Row],[Classification]]="Cost of Goods Sold"),Table818[[#This Row],[Debit\]]&gt;Table818[[#This Row],[Credit.]]),Table818[[#This Row],[Debit\]]-Table818[[#This Row],[Credit.]],""),"")</f>
        <v/>
      </c>
      <c r="AE97" s="34" t="str">
        <f>IFERROR(IF(AND(OR(Table818[[#This Row],[Classification]]="Income",Table818[[#This Row],[Classification]]="Cost of Goods Sold"),Table818[[#This Row],[Credit.]]&gt;Table818[[#This Row],[Debit\]]),Table818[[#This Row],[Credit.]]-Table818[[#This Row],[Debit\]],""),"")</f>
        <v/>
      </c>
      <c r="AF97" s="34"/>
      <c r="AG97" s="34" t="str">
        <f>IFERROR(IF(AND(Table818[[#This Row],[Classification]]="Assets",Table818[[#This Row],[Debit\]]-Table818[[#This Row],[Credit.]]),Table818[[#This Row],[Debit\]]-Table818[[#This Row],[Credit.]],""),"")</f>
        <v/>
      </c>
      <c r="AH97" s="34" t="str">
        <f>IFERROR(IF(AND(OR(Table818[[#This Row],[Classification]]="Liabilities",Table818[[#This Row],[Classification]]="Owner´s Equity"),Table818[[#This Row],[Credit.]]&gt;Table818[[#This Row],[Debit\]]),Table818[[#This Row],[Credit.]]-Table818[[#This Row],[Debit\]],""),"")</f>
        <v/>
      </c>
    </row>
    <row r="98" spans="2:34" x14ac:dyDescent="0.25">
      <c r="B98" s="34"/>
      <c r="C98" s="45"/>
      <c r="D98" s="34"/>
      <c r="E98" s="34"/>
      <c r="G98" s="39"/>
      <c r="H98" s="43"/>
      <c r="I98" s="41"/>
      <c r="J98" s="41"/>
      <c r="L98" s="34">
        <v>91</v>
      </c>
      <c r="M98" s="35"/>
      <c r="N98" s="35"/>
      <c r="O98" s="34">
        <f>IFERROR(SUMIF(Table415[,],Table617[[#This Row],[Accounts Name]],Table415[,3]),"")</f>
        <v>0</v>
      </c>
      <c r="P98" s="34">
        <f>IFERROR(SUMIF(Table415[,],Table617[[#This Row],[Accounts Name]],Table415[,2]),"")</f>
        <v>0</v>
      </c>
      <c r="S98" s="36">
        <f t="shared" si="1"/>
        <v>91</v>
      </c>
      <c r="T98" s="34"/>
      <c r="U98" s="37"/>
      <c r="V98" s="34">
        <f>IFERROR(SUMIF(Table617[Sub-Accounts],Table818[[#This Row],[Update your chart of accounts here]],Table617[Debit]),"")</f>
        <v>0</v>
      </c>
      <c r="W98" s="34">
        <f>IFERROR(SUMIF(Table617[Sub-Accounts],Table818[[#This Row],[Update your chart of accounts here]],Table617[Credit]),"")</f>
        <v>0</v>
      </c>
      <c r="X98" s="34"/>
      <c r="Y98" s="34"/>
      <c r="Z98" s="34"/>
      <c r="AA98" s="34"/>
      <c r="AB98" s="34">
        <f>MAX(Table818[[#This Row],[Debit]]+Table818[[#This Row],[Debit -]]-Table818[[#This Row],[Credit]]-Table818[[#This Row],[Credit +]],0)</f>
        <v>0</v>
      </c>
      <c r="AC98" s="34">
        <f>MAX(Table818[[#This Row],[Credit]]-Table818[[#This Row],[Debit]]+Table818[[#This Row],[Credit +]]-Table818[[#This Row],[Debit -]],0)</f>
        <v>0</v>
      </c>
      <c r="AD98" s="34" t="str">
        <f>IFERROR(IF(AND(OR(Table818[[#This Row],[Classification]]="Expense",Table818[[#This Row],[Classification]]="Cost of Goods Sold"),Table818[[#This Row],[Debit\]]&gt;Table818[[#This Row],[Credit.]]),Table818[[#This Row],[Debit\]]-Table818[[#This Row],[Credit.]],""),"")</f>
        <v/>
      </c>
      <c r="AE98" s="34" t="str">
        <f>IFERROR(IF(AND(OR(Table818[[#This Row],[Classification]]="Income",Table818[[#This Row],[Classification]]="Cost of Goods Sold"),Table818[[#This Row],[Credit.]]&gt;Table818[[#This Row],[Debit\]]),Table818[[#This Row],[Credit.]]-Table818[[#This Row],[Debit\]],""),"")</f>
        <v/>
      </c>
      <c r="AF98" s="34"/>
      <c r="AG98" s="34" t="str">
        <f>IFERROR(IF(AND(Table818[[#This Row],[Classification]]="Assets",Table818[[#This Row],[Debit\]]-Table818[[#This Row],[Credit.]]),Table818[[#This Row],[Debit\]]-Table818[[#This Row],[Credit.]],""),"")</f>
        <v/>
      </c>
      <c r="AH98" s="34" t="str">
        <f>IFERROR(IF(AND(OR(Table818[[#This Row],[Classification]]="Liabilities",Table818[[#This Row],[Classification]]="Owner´s Equity"),Table818[[#This Row],[Credit.]]&gt;Table818[[#This Row],[Debit\]]),Table818[[#This Row],[Credit.]]-Table818[[#This Row],[Debit\]],""),"")</f>
        <v/>
      </c>
    </row>
    <row r="99" spans="2:34" x14ac:dyDescent="0.25">
      <c r="B99" s="34"/>
      <c r="C99" s="45"/>
      <c r="D99" s="34"/>
      <c r="E99" s="34"/>
      <c r="G99" s="39"/>
      <c r="H99" s="40"/>
      <c r="I99" s="41"/>
      <c r="J99" s="41"/>
      <c r="L99" s="34">
        <v>92</v>
      </c>
      <c r="M99" s="35"/>
      <c r="N99" s="35"/>
      <c r="O99" s="34">
        <f>IFERROR(SUMIF(Table415[,],Table617[[#This Row],[Accounts Name]],Table415[,3]),"")</f>
        <v>0</v>
      </c>
      <c r="P99" s="34">
        <f>IFERROR(SUMIF(Table415[,],Table617[[#This Row],[Accounts Name]],Table415[,2]),"")</f>
        <v>0</v>
      </c>
      <c r="S99" s="36">
        <f t="shared" si="1"/>
        <v>92</v>
      </c>
      <c r="T99" s="34"/>
      <c r="U99" s="37"/>
      <c r="V99" s="34">
        <f>IFERROR(SUMIF(Table617[Sub-Accounts],Table818[[#This Row],[Update your chart of accounts here]],Table617[Debit]),"")</f>
        <v>0</v>
      </c>
      <c r="W99" s="34">
        <f>IFERROR(SUMIF(Table617[Sub-Accounts],Table818[[#This Row],[Update your chart of accounts here]],Table617[Credit]),"")</f>
        <v>0</v>
      </c>
      <c r="X99" s="34"/>
      <c r="Y99" s="34"/>
      <c r="Z99" s="34"/>
      <c r="AA99" s="34"/>
      <c r="AB99" s="34">
        <f>MAX(Table818[[#This Row],[Debit]]+Table818[[#This Row],[Debit -]]-Table818[[#This Row],[Credit]]-Table818[[#This Row],[Credit +]],0)</f>
        <v>0</v>
      </c>
      <c r="AC99" s="34">
        <f>MAX(Table818[[#This Row],[Credit]]-Table818[[#This Row],[Debit]]+Table818[[#This Row],[Credit +]]-Table818[[#This Row],[Debit -]],0)</f>
        <v>0</v>
      </c>
      <c r="AD99" s="34" t="str">
        <f>IFERROR(IF(AND(OR(Table818[[#This Row],[Classification]]="Expense",Table818[[#This Row],[Classification]]="Cost of Goods Sold"),Table818[[#This Row],[Debit\]]&gt;Table818[[#This Row],[Credit.]]),Table818[[#This Row],[Debit\]]-Table818[[#This Row],[Credit.]],""),"")</f>
        <v/>
      </c>
      <c r="AE99" s="34" t="str">
        <f>IFERROR(IF(AND(OR(Table818[[#This Row],[Classification]]="Income",Table818[[#This Row],[Classification]]="Cost of Goods Sold"),Table818[[#This Row],[Credit.]]&gt;Table818[[#This Row],[Debit\]]),Table818[[#This Row],[Credit.]]-Table818[[#This Row],[Debit\]],""),"")</f>
        <v/>
      </c>
      <c r="AF99" s="34"/>
      <c r="AG99" s="34" t="str">
        <f>IFERROR(IF(AND(Table818[[#This Row],[Classification]]="Assets",Table818[[#This Row],[Debit\]]-Table818[[#This Row],[Credit.]]),Table818[[#This Row],[Debit\]]-Table818[[#This Row],[Credit.]],""),"")</f>
        <v/>
      </c>
      <c r="AH99" s="34" t="str">
        <f>IFERROR(IF(AND(OR(Table818[[#This Row],[Classification]]="Liabilities",Table818[[#This Row],[Classification]]="Owner´s Equity"),Table818[[#This Row],[Credit.]]&gt;Table818[[#This Row],[Debit\]]),Table818[[#This Row],[Credit.]]-Table818[[#This Row],[Debit\]],""),"")</f>
        <v/>
      </c>
    </row>
    <row r="100" spans="2:34" x14ac:dyDescent="0.25">
      <c r="B100" s="34"/>
      <c r="C100" s="45"/>
      <c r="D100" s="34"/>
      <c r="E100" s="34"/>
      <c r="G100" s="39"/>
      <c r="H100" s="40"/>
      <c r="I100" s="41"/>
      <c r="J100" s="41"/>
      <c r="L100" s="34">
        <v>93</v>
      </c>
      <c r="M100" s="35"/>
      <c r="N100" s="35"/>
      <c r="O100" s="34">
        <f>IFERROR(SUMIF(Table415[,],Table617[[#This Row],[Accounts Name]],Table415[,3]),"")</f>
        <v>0</v>
      </c>
      <c r="P100" s="34">
        <f>IFERROR(SUMIF(Table415[,],Table617[[#This Row],[Accounts Name]],Table415[,2]),"")</f>
        <v>0</v>
      </c>
      <c r="S100" s="36">
        <f t="shared" si="1"/>
        <v>93</v>
      </c>
      <c r="T100" s="34"/>
      <c r="U100" s="37"/>
      <c r="V100" s="34">
        <f>IFERROR(SUMIF(Table617[Sub-Accounts],Table818[[#This Row],[Update your chart of accounts here]],Table617[Debit]),"")</f>
        <v>0</v>
      </c>
      <c r="W100" s="34">
        <f>IFERROR(SUMIF(Table617[Sub-Accounts],Table818[[#This Row],[Update your chart of accounts here]],Table617[Credit]),"")</f>
        <v>0</v>
      </c>
      <c r="X100" s="34"/>
      <c r="Y100" s="34"/>
      <c r="Z100" s="34"/>
      <c r="AA100" s="34"/>
      <c r="AB100" s="34">
        <f>MAX(Table818[[#This Row],[Debit]]+Table818[[#This Row],[Debit -]]-Table818[[#This Row],[Credit]]-Table818[[#This Row],[Credit +]],0)</f>
        <v>0</v>
      </c>
      <c r="AC100" s="34">
        <f>MAX(Table818[[#This Row],[Credit]]-Table818[[#This Row],[Debit]]+Table818[[#This Row],[Credit +]]-Table818[[#This Row],[Debit -]],0)</f>
        <v>0</v>
      </c>
      <c r="AD100" s="34" t="str">
        <f>IFERROR(IF(AND(OR(Table818[[#This Row],[Classification]]="Expense",Table818[[#This Row],[Classification]]="Cost of Goods Sold"),Table818[[#This Row],[Debit\]]&gt;Table818[[#This Row],[Credit.]]),Table818[[#This Row],[Debit\]]-Table818[[#This Row],[Credit.]],""),"")</f>
        <v/>
      </c>
      <c r="AE100" s="34" t="str">
        <f>IFERROR(IF(AND(OR(Table818[[#This Row],[Classification]]="Income",Table818[[#This Row],[Classification]]="Cost of Goods Sold"),Table818[[#This Row],[Credit.]]&gt;Table818[[#This Row],[Debit\]]),Table818[[#This Row],[Credit.]]-Table818[[#This Row],[Debit\]],""),"")</f>
        <v/>
      </c>
      <c r="AF100" s="34"/>
      <c r="AG100" s="34" t="str">
        <f>IFERROR(IF(AND(Table818[[#This Row],[Classification]]="Assets",Table818[[#This Row],[Debit\]]-Table818[[#This Row],[Credit.]]),Table818[[#This Row],[Debit\]]-Table818[[#This Row],[Credit.]],""),"")</f>
        <v/>
      </c>
      <c r="AH100" s="34" t="str">
        <f>IFERROR(IF(AND(OR(Table818[[#This Row],[Classification]]="Liabilities",Table818[[#This Row],[Classification]]="Owner´s Equity"),Table818[[#This Row],[Credit.]]&gt;Table818[[#This Row],[Debit\]]),Table818[[#This Row],[Credit.]]-Table818[[#This Row],[Debit\]],""),"")</f>
        <v/>
      </c>
    </row>
    <row r="101" spans="2:34" x14ac:dyDescent="0.25">
      <c r="B101" s="34"/>
      <c r="C101" s="45"/>
      <c r="D101" s="34"/>
      <c r="E101" s="34"/>
      <c r="G101" s="39"/>
      <c r="H101" s="43"/>
      <c r="I101" s="41"/>
      <c r="J101" s="41"/>
      <c r="L101" s="34">
        <v>94</v>
      </c>
      <c r="M101" s="35"/>
      <c r="N101" s="35"/>
      <c r="O101" s="34">
        <f>IFERROR(SUMIF(Table415[,],Table617[[#This Row],[Accounts Name]],Table415[,3]),"")</f>
        <v>0</v>
      </c>
      <c r="P101" s="34">
        <f>IFERROR(SUMIF(Table415[,],Table617[[#This Row],[Accounts Name]],Table415[,2]),"")</f>
        <v>0</v>
      </c>
      <c r="S101" s="36">
        <f t="shared" si="1"/>
        <v>94</v>
      </c>
      <c r="T101" s="34"/>
      <c r="U101" s="37"/>
      <c r="V101" s="34">
        <f>IFERROR(SUMIF(Table617[Sub-Accounts],Table818[[#This Row],[Update your chart of accounts here]],Table617[Debit]),"")</f>
        <v>0</v>
      </c>
      <c r="W101" s="34">
        <f>IFERROR(SUMIF(Table617[Sub-Accounts],Table818[[#This Row],[Update your chart of accounts here]],Table617[Credit]),"")</f>
        <v>0</v>
      </c>
      <c r="X101" s="34"/>
      <c r="Y101" s="34"/>
      <c r="Z101" s="34"/>
      <c r="AA101" s="34"/>
      <c r="AB101" s="34">
        <f>MAX(Table818[[#This Row],[Debit]]+Table818[[#This Row],[Debit -]]-Table818[[#This Row],[Credit]]-Table818[[#This Row],[Credit +]],0)</f>
        <v>0</v>
      </c>
      <c r="AC101" s="34">
        <f>MAX(Table818[[#This Row],[Credit]]-Table818[[#This Row],[Debit]]+Table818[[#This Row],[Credit +]]-Table818[[#This Row],[Debit -]],0)</f>
        <v>0</v>
      </c>
      <c r="AD101" s="34" t="str">
        <f>IFERROR(IF(AND(OR(Table818[[#This Row],[Classification]]="Expense",Table818[[#This Row],[Classification]]="Cost of Goods Sold"),Table818[[#This Row],[Debit\]]&gt;Table818[[#This Row],[Credit.]]),Table818[[#This Row],[Debit\]]-Table818[[#This Row],[Credit.]],""),"")</f>
        <v/>
      </c>
      <c r="AE101" s="34" t="str">
        <f>IFERROR(IF(AND(OR(Table818[[#This Row],[Classification]]="Income",Table818[[#This Row],[Classification]]="Cost of Goods Sold"),Table818[[#This Row],[Credit.]]&gt;Table818[[#This Row],[Debit\]]),Table818[[#This Row],[Credit.]]-Table818[[#This Row],[Debit\]],""),"")</f>
        <v/>
      </c>
      <c r="AF101" s="34"/>
      <c r="AG101" s="34" t="str">
        <f>IFERROR(IF(AND(Table818[[#This Row],[Classification]]="Assets",Table818[[#This Row],[Debit\]]-Table818[[#This Row],[Credit.]]),Table818[[#This Row],[Debit\]]-Table818[[#This Row],[Credit.]],""),"")</f>
        <v/>
      </c>
      <c r="AH101" s="34" t="str">
        <f>IFERROR(IF(AND(OR(Table818[[#This Row],[Classification]]="Liabilities",Table818[[#This Row],[Classification]]="Owner´s Equity"),Table818[[#This Row],[Credit.]]&gt;Table818[[#This Row],[Debit\]]),Table818[[#This Row],[Credit.]]-Table818[[#This Row],[Debit\]],""),"")</f>
        <v/>
      </c>
    </row>
    <row r="102" spans="2:34" x14ac:dyDescent="0.25">
      <c r="B102" s="34"/>
      <c r="C102" s="45"/>
      <c r="D102" s="34"/>
      <c r="E102" s="34"/>
      <c r="G102" s="39"/>
      <c r="H102" s="40"/>
      <c r="I102" s="41"/>
      <c r="J102" s="41"/>
      <c r="L102" s="34">
        <v>95</v>
      </c>
      <c r="M102" s="35"/>
      <c r="N102" s="35"/>
      <c r="O102" s="34">
        <f>IFERROR(SUMIF(Table415[,],Table617[[#This Row],[Accounts Name]],Table415[,3]),"")</f>
        <v>0</v>
      </c>
      <c r="P102" s="34">
        <f>IFERROR(SUMIF(Table415[,],Table617[[#This Row],[Accounts Name]],Table415[,2]),"")</f>
        <v>0</v>
      </c>
      <c r="S102" s="36">
        <f t="shared" si="1"/>
        <v>95</v>
      </c>
      <c r="T102" s="34"/>
      <c r="U102" s="37"/>
      <c r="V102" s="34">
        <f>IFERROR(SUMIF(Table617[Sub-Accounts],Table818[[#This Row],[Update your chart of accounts here]],Table617[Debit]),"")</f>
        <v>0</v>
      </c>
      <c r="W102" s="34">
        <f>IFERROR(SUMIF(Table617[Sub-Accounts],Table818[[#This Row],[Update your chart of accounts here]],Table617[Credit]),"")</f>
        <v>0</v>
      </c>
      <c r="X102" s="34"/>
      <c r="Y102" s="34"/>
      <c r="Z102" s="34"/>
      <c r="AA102" s="34"/>
      <c r="AB102" s="34">
        <f>MAX(Table818[[#This Row],[Debit]]+Table818[[#This Row],[Debit -]]-Table818[[#This Row],[Credit]]-Table818[[#This Row],[Credit +]],0)</f>
        <v>0</v>
      </c>
      <c r="AC102" s="34">
        <f>MAX(Table818[[#This Row],[Credit]]-Table818[[#This Row],[Debit]]+Table818[[#This Row],[Credit +]]-Table818[[#This Row],[Debit -]],0)</f>
        <v>0</v>
      </c>
      <c r="AD102" s="34" t="str">
        <f>IFERROR(IF(AND(OR(Table818[[#This Row],[Classification]]="Expense",Table818[[#This Row],[Classification]]="Cost of Goods Sold"),Table818[[#This Row],[Debit\]]&gt;Table818[[#This Row],[Credit.]]),Table818[[#This Row],[Debit\]]-Table818[[#This Row],[Credit.]],""),"")</f>
        <v/>
      </c>
      <c r="AE102" s="34" t="str">
        <f>IFERROR(IF(AND(OR(Table818[[#This Row],[Classification]]="Income",Table818[[#This Row],[Classification]]="Cost of Goods Sold"),Table818[[#This Row],[Credit.]]&gt;Table818[[#This Row],[Debit\]]),Table818[[#This Row],[Credit.]]-Table818[[#This Row],[Debit\]],""),"")</f>
        <v/>
      </c>
      <c r="AF102" s="34"/>
      <c r="AG102" s="34" t="str">
        <f>IFERROR(IF(AND(Table818[[#This Row],[Classification]]="Assets",Table818[[#This Row],[Debit\]]-Table818[[#This Row],[Credit.]]),Table818[[#This Row],[Debit\]]-Table818[[#This Row],[Credit.]],""),"")</f>
        <v/>
      </c>
      <c r="AH102" s="34" t="str">
        <f>IFERROR(IF(AND(OR(Table818[[#This Row],[Classification]]="Liabilities",Table818[[#This Row],[Classification]]="Owner´s Equity"),Table818[[#This Row],[Credit.]]&gt;Table818[[#This Row],[Debit\]]),Table818[[#This Row],[Credit.]]-Table818[[#This Row],[Debit\]],""),"")</f>
        <v/>
      </c>
    </row>
    <row r="103" spans="2:34" x14ac:dyDescent="0.25">
      <c r="B103" s="34"/>
      <c r="C103" s="45"/>
      <c r="D103" s="34"/>
      <c r="E103" s="34"/>
      <c r="G103" s="39"/>
      <c r="H103" s="40"/>
      <c r="I103" s="41"/>
      <c r="J103" s="41"/>
      <c r="L103" s="34">
        <v>96</v>
      </c>
      <c r="M103" s="35"/>
      <c r="N103" s="35"/>
      <c r="O103" s="34">
        <f>IFERROR(SUMIF(Table415[,],Table617[[#This Row],[Accounts Name]],Table415[,3]),"")</f>
        <v>0</v>
      </c>
      <c r="P103" s="34">
        <f>IFERROR(SUMIF(Table415[,],Table617[[#This Row],[Accounts Name]],Table415[,2]),"")</f>
        <v>0</v>
      </c>
      <c r="S103" s="36">
        <f t="shared" si="1"/>
        <v>96</v>
      </c>
      <c r="T103" s="34"/>
      <c r="U103" s="37"/>
      <c r="V103" s="34">
        <f>IFERROR(SUMIF(Table617[Sub-Accounts],Table818[[#This Row],[Update your chart of accounts here]],Table617[Debit]),"")</f>
        <v>0</v>
      </c>
      <c r="W103" s="34">
        <f>IFERROR(SUMIF(Table617[Sub-Accounts],Table818[[#This Row],[Update your chart of accounts here]],Table617[Credit]),"")</f>
        <v>0</v>
      </c>
      <c r="X103" s="34"/>
      <c r="Y103" s="34"/>
      <c r="Z103" s="34"/>
      <c r="AA103" s="34"/>
      <c r="AB103" s="34">
        <f>MAX(Table818[[#This Row],[Debit]]+Table818[[#This Row],[Debit -]]-Table818[[#This Row],[Credit]]-Table818[[#This Row],[Credit +]],0)</f>
        <v>0</v>
      </c>
      <c r="AC103" s="34">
        <f>MAX(Table818[[#This Row],[Credit]]-Table818[[#This Row],[Debit]]+Table818[[#This Row],[Credit +]]-Table818[[#This Row],[Debit -]],0)</f>
        <v>0</v>
      </c>
      <c r="AD103" s="34" t="str">
        <f>IFERROR(IF(AND(OR(Table818[[#This Row],[Classification]]="Expense",Table818[[#This Row],[Classification]]="Cost of Goods Sold"),Table818[[#This Row],[Debit\]]&gt;Table818[[#This Row],[Credit.]]),Table818[[#This Row],[Debit\]]-Table818[[#This Row],[Credit.]],""),"")</f>
        <v/>
      </c>
      <c r="AE103" s="34" t="str">
        <f>IFERROR(IF(AND(OR(Table818[[#This Row],[Classification]]="Income",Table818[[#This Row],[Classification]]="Cost of Goods Sold"),Table818[[#This Row],[Credit.]]&gt;Table818[[#This Row],[Debit\]]),Table818[[#This Row],[Credit.]]-Table818[[#This Row],[Debit\]],""),"")</f>
        <v/>
      </c>
      <c r="AF103" s="34"/>
      <c r="AG103" s="34" t="str">
        <f>IFERROR(IF(AND(Table818[[#This Row],[Classification]]="Assets",Table818[[#This Row],[Debit\]]-Table818[[#This Row],[Credit.]]),Table818[[#This Row],[Debit\]]-Table818[[#This Row],[Credit.]],""),"")</f>
        <v/>
      </c>
      <c r="AH103" s="34" t="str">
        <f>IFERROR(IF(AND(OR(Table818[[#This Row],[Classification]]="Liabilities",Table818[[#This Row],[Classification]]="Owner´s Equity"),Table818[[#This Row],[Credit.]]&gt;Table818[[#This Row],[Debit\]]),Table818[[#This Row],[Credit.]]-Table818[[#This Row],[Debit\]],""),"")</f>
        <v/>
      </c>
    </row>
    <row r="104" spans="2:34" x14ac:dyDescent="0.25">
      <c r="B104" s="34"/>
      <c r="C104" s="45"/>
      <c r="D104" s="34"/>
      <c r="E104" s="34"/>
      <c r="G104" s="39"/>
      <c r="H104" s="43"/>
      <c r="I104" s="41"/>
      <c r="J104" s="41"/>
      <c r="L104" s="34">
        <v>97</v>
      </c>
      <c r="M104" s="35"/>
      <c r="N104" s="35"/>
      <c r="O104" s="34">
        <f>IFERROR(SUMIF(Table415[,],Table617[[#This Row],[Accounts Name]],Table415[,3]),"")</f>
        <v>0</v>
      </c>
      <c r="P104" s="34">
        <f>IFERROR(SUMIF(Table415[,],Table617[[#This Row],[Accounts Name]],Table415[,2]),"")</f>
        <v>0</v>
      </c>
      <c r="S104" s="36">
        <f t="shared" si="1"/>
        <v>97</v>
      </c>
      <c r="T104" s="34"/>
      <c r="U104" s="37"/>
      <c r="V104" s="34">
        <f>IFERROR(SUMIF(Table617[Sub-Accounts],Table818[[#This Row],[Update your chart of accounts here]],Table617[Debit]),"")</f>
        <v>0</v>
      </c>
      <c r="W104" s="34">
        <f>IFERROR(SUMIF(Table617[Sub-Accounts],Table818[[#This Row],[Update your chart of accounts here]],Table617[Credit]),"")</f>
        <v>0</v>
      </c>
      <c r="X104" s="34"/>
      <c r="Y104" s="34"/>
      <c r="Z104" s="34"/>
      <c r="AA104" s="34"/>
      <c r="AB104" s="34">
        <f>MAX(Table818[[#This Row],[Debit]]+Table818[[#This Row],[Debit -]]-Table818[[#This Row],[Credit]]-Table818[[#This Row],[Credit +]],0)</f>
        <v>0</v>
      </c>
      <c r="AC104" s="34">
        <f>MAX(Table818[[#This Row],[Credit]]-Table818[[#This Row],[Debit]]+Table818[[#This Row],[Credit +]]-Table818[[#This Row],[Debit -]],0)</f>
        <v>0</v>
      </c>
      <c r="AD104" s="34" t="str">
        <f>IFERROR(IF(AND(OR(Table818[[#This Row],[Classification]]="Expense",Table818[[#This Row],[Classification]]="Cost of Goods Sold"),Table818[[#This Row],[Debit\]]&gt;Table818[[#This Row],[Credit.]]),Table818[[#This Row],[Debit\]]-Table818[[#This Row],[Credit.]],""),"")</f>
        <v/>
      </c>
      <c r="AE104" s="34" t="str">
        <f>IFERROR(IF(AND(OR(Table818[[#This Row],[Classification]]="Income",Table818[[#This Row],[Classification]]="Cost of Goods Sold"),Table818[[#This Row],[Credit.]]&gt;Table818[[#This Row],[Debit\]]),Table818[[#This Row],[Credit.]]-Table818[[#This Row],[Debit\]],""),"")</f>
        <v/>
      </c>
      <c r="AF104" s="34"/>
      <c r="AG104" s="34" t="str">
        <f>IFERROR(IF(AND(Table818[[#This Row],[Classification]]="Assets",Table818[[#This Row],[Debit\]]-Table818[[#This Row],[Credit.]]),Table818[[#This Row],[Debit\]]-Table818[[#This Row],[Credit.]],""),"")</f>
        <v/>
      </c>
      <c r="AH104" s="34" t="str">
        <f>IFERROR(IF(AND(OR(Table818[[#This Row],[Classification]]="Liabilities",Table818[[#This Row],[Classification]]="Owner´s Equity"),Table818[[#This Row],[Credit.]]&gt;Table818[[#This Row],[Debit\]]),Table818[[#This Row],[Credit.]]-Table818[[#This Row],[Debit\]],""),"")</f>
        <v/>
      </c>
    </row>
    <row r="105" spans="2:34" x14ac:dyDescent="0.25">
      <c r="B105" s="34"/>
      <c r="C105" s="45"/>
      <c r="D105" s="34"/>
      <c r="E105" s="34"/>
      <c r="G105" s="39"/>
      <c r="H105" s="40"/>
      <c r="I105" s="41"/>
      <c r="J105" s="41"/>
      <c r="L105" s="34">
        <v>98</v>
      </c>
      <c r="M105" s="35"/>
      <c r="N105" s="35"/>
      <c r="O105" s="34">
        <f>IFERROR(SUMIF(Table415[,],Table617[[#This Row],[Accounts Name]],Table415[,3]),"")</f>
        <v>0</v>
      </c>
      <c r="P105" s="34">
        <f>IFERROR(SUMIF(Table415[,],Table617[[#This Row],[Accounts Name]],Table415[,2]),"")</f>
        <v>0</v>
      </c>
      <c r="S105" s="36">
        <f t="shared" si="1"/>
        <v>98</v>
      </c>
      <c r="T105" s="34"/>
      <c r="U105" s="37"/>
      <c r="V105" s="34">
        <f>IFERROR(SUMIF(Table617[Sub-Accounts],Table818[[#This Row],[Update your chart of accounts here]],Table617[Debit]),"")</f>
        <v>0</v>
      </c>
      <c r="W105" s="34">
        <f>IFERROR(SUMIF(Table617[Sub-Accounts],Table818[[#This Row],[Update your chart of accounts here]],Table617[Credit]),"")</f>
        <v>0</v>
      </c>
      <c r="X105" s="34"/>
      <c r="Y105" s="34"/>
      <c r="Z105" s="34"/>
      <c r="AA105" s="34"/>
      <c r="AB105" s="34">
        <f>MAX(Table818[[#This Row],[Debit]]+Table818[[#This Row],[Debit -]]-Table818[[#This Row],[Credit]]-Table818[[#This Row],[Credit +]],0)</f>
        <v>0</v>
      </c>
      <c r="AC105" s="34">
        <f>MAX(Table818[[#This Row],[Credit]]-Table818[[#This Row],[Debit]]+Table818[[#This Row],[Credit +]]-Table818[[#This Row],[Debit -]],0)</f>
        <v>0</v>
      </c>
      <c r="AD105" s="34" t="str">
        <f>IFERROR(IF(AND(OR(Table818[[#This Row],[Classification]]="Expense",Table818[[#This Row],[Classification]]="Cost of Goods Sold"),Table818[[#This Row],[Debit\]]&gt;Table818[[#This Row],[Credit.]]),Table818[[#This Row],[Debit\]]-Table818[[#This Row],[Credit.]],""),"")</f>
        <v/>
      </c>
      <c r="AE105" s="34" t="str">
        <f>IFERROR(IF(AND(OR(Table818[[#This Row],[Classification]]="Income",Table818[[#This Row],[Classification]]="Cost of Goods Sold"),Table818[[#This Row],[Credit.]]&gt;Table818[[#This Row],[Debit\]]),Table818[[#This Row],[Credit.]]-Table818[[#This Row],[Debit\]],""),"")</f>
        <v/>
      </c>
      <c r="AF105" s="34"/>
      <c r="AG105" s="34" t="str">
        <f>IFERROR(IF(AND(Table818[[#This Row],[Classification]]="Assets",Table818[[#This Row],[Debit\]]-Table818[[#This Row],[Credit.]]),Table818[[#This Row],[Debit\]]-Table818[[#This Row],[Credit.]],""),"")</f>
        <v/>
      </c>
      <c r="AH105" s="34" t="str">
        <f>IFERROR(IF(AND(OR(Table818[[#This Row],[Classification]]="Liabilities",Table818[[#This Row],[Classification]]="Owner´s Equity"),Table818[[#This Row],[Credit.]]&gt;Table818[[#This Row],[Debit\]]),Table818[[#This Row],[Credit.]]-Table818[[#This Row],[Debit\]],""),"")</f>
        <v/>
      </c>
    </row>
    <row r="106" spans="2:34" x14ac:dyDescent="0.25">
      <c r="B106" s="34"/>
      <c r="C106" s="45"/>
      <c r="D106" s="34"/>
      <c r="E106" s="34"/>
      <c r="G106" s="39"/>
      <c r="H106" s="40"/>
      <c r="I106" s="41"/>
      <c r="J106" s="41"/>
      <c r="L106" s="34">
        <v>99</v>
      </c>
      <c r="M106" s="35"/>
      <c r="N106" s="35"/>
      <c r="O106" s="34">
        <f>IFERROR(SUMIF(Table415[,],Table617[[#This Row],[Accounts Name]],Table415[,3]),"")</f>
        <v>0</v>
      </c>
      <c r="P106" s="34">
        <f>IFERROR(SUMIF(Table415[,],Table617[[#This Row],[Accounts Name]],Table415[,2]),"")</f>
        <v>0</v>
      </c>
      <c r="S106" s="36">
        <f t="shared" si="1"/>
        <v>99</v>
      </c>
      <c r="T106" s="34"/>
      <c r="U106" s="37"/>
      <c r="V106" s="34">
        <f>IFERROR(SUMIF(Table617[Sub-Accounts],Table818[[#This Row],[Update your chart of accounts here]],Table617[Debit]),"")</f>
        <v>0</v>
      </c>
      <c r="W106" s="34">
        <f>IFERROR(SUMIF(Table617[Sub-Accounts],Table818[[#This Row],[Update your chart of accounts here]],Table617[Credit]),"")</f>
        <v>0</v>
      </c>
      <c r="X106" s="34"/>
      <c r="Y106" s="34"/>
      <c r="Z106" s="34"/>
      <c r="AA106" s="34"/>
      <c r="AB106" s="34">
        <f>MAX(Table818[[#This Row],[Debit]]+Table818[[#This Row],[Debit -]]-Table818[[#This Row],[Credit]]-Table818[[#This Row],[Credit +]],0)</f>
        <v>0</v>
      </c>
      <c r="AC106" s="34">
        <f>MAX(Table818[[#This Row],[Credit]]-Table818[[#This Row],[Debit]]+Table818[[#This Row],[Credit +]]-Table818[[#This Row],[Debit -]],0)</f>
        <v>0</v>
      </c>
      <c r="AD106" s="34" t="str">
        <f>IFERROR(IF(AND(OR(Table818[[#This Row],[Classification]]="Expense",Table818[[#This Row],[Classification]]="Cost of Goods Sold"),Table818[[#This Row],[Debit\]]&gt;Table818[[#This Row],[Credit.]]),Table818[[#This Row],[Debit\]]-Table818[[#This Row],[Credit.]],""),"")</f>
        <v/>
      </c>
      <c r="AE106" s="34" t="str">
        <f>IFERROR(IF(AND(OR(Table818[[#This Row],[Classification]]="Income",Table818[[#This Row],[Classification]]="Cost of Goods Sold"),Table818[[#This Row],[Credit.]]&gt;Table818[[#This Row],[Debit\]]),Table818[[#This Row],[Credit.]]-Table818[[#This Row],[Debit\]],""),"")</f>
        <v/>
      </c>
      <c r="AF106" s="34"/>
      <c r="AG106" s="34" t="str">
        <f>IFERROR(IF(AND(Table818[[#This Row],[Classification]]="Assets",Table818[[#This Row],[Debit\]]-Table818[[#This Row],[Credit.]]),Table818[[#This Row],[Debit\]]-Table818[[#This Row],[Credit.]],""),"")</f>
        <v/>
      </c>
      <c r="AH106" s="34" t="str">
        <f>IFERROR(IF(AND(OR(Table818[[#This Row],[Classification]]="Liabilities",Table818[[#This Row],[Classification]]="Owner´s Equity"),Table818[[#This Row],[Credit.]]&gt;Table818[[#This Row],[Debit\]]),Table818[[#This Row],[Credit.]]-Table818[[#This Row],[Debit\]],""),"")</f>
        <v/>
      </c>
    </row>
    <row r="107" spans="2:34" x14ac:dyDescent="0.25">
      <c r="B107" s="34"/>
      <c r="C107" s="45"/>
      <c r="D107" s="34"/>
      <c r="E107" s="34"/>
      <c r="G107" s="39"/>
      <c r="H107" s="43"/>
      <c r="I107" s="41"/>
      <c r="J107" s="41"/>
      <c r="L107" s="34">
        <v>100</v>
      </c>
      <c r="M107" s="35"/>
      <c r="N107" s="35"/>
      <c r="O107" s="34">
        <f>IFERROR(SUMIF(Table415[,],Table617[[#This Row],[Accounts Name]],Table415[,3]),"")</f>
        <v>0</v>
      </c>
      <c r="P107" s="34">
        <f>IFERROR(SUMIF(Table415[,],Table617[[#This Row],[Accounts Name]],Table415[,2]),"")</f>
        <v>0</v>
      </c>
      <c r="S107" s="36">
        <f t="shared" si="1"/>
        <v>100</v>
      </c>
      <c r="T107" s="34"/>
      <c r="U107" s="37"/>
      <c r="V107" s="34">
        <f>IFERROR(SUMIF(Table617[Sub-Accounts],Table818[[#This Row],[Update your chart of accounts here]],Table617[Debit]),"")</f>
        <v>0</v>
      </c>
      <c r="W107" s="34">
        <f>IFERROR(SUMIF(Table617[Sub-Accounts],Table818[[#This Row],[Update your chart of accounts here]],Table617[Credit]),"")</f>
        <v>0</v>
      </c>
      <c r="X107" s="34"/>
      <c r="Y107" s="34"/>
      <c r="Z107" s="34"/>
      <c r="AA107" s="34"/>
      <c r="AB107" s="34">
        <f>MAX(Table818[[#This Row],[Debit]]+Table818[[#This Row],[Debit -]]-Table818[[#This Row],[Credit]]-Table818[[#This Row],[Credit +]],0)</f>
        <v>0</v>
      </c>
      <c r="AC107" s="34">
        <f>MAX(Table818[[#This Row],[Credit]]-Table818[[#This Row],[Debit]]+Table818[[#This Row],[Credit +]]-Table818[[#This Row],[Debit -]],0)</f>
        <v>0</v>
      </c>
      <c r="AD107" s="34" t="str">
        <f>IFERROR(IF(AND(OR(Table818[[#This Row],[Classification]]="Expense",Table818[[#This Row],[Classification]]="Cost of Goods Sold"),Table818[[#This Row],[Debit\]]&gt;Table818[[#This Row],[Credit.]]),Table818[[#This Row],[Debit\]]-Table818[[#This Row],[Credit.]],""),"")</f>
        <v/>
      </c>
      <c r="AE107" s="34" t="str">
        <f>IFERROR(IF(AND(OR(Table818[[#This Row],[Classification]]="Income",Table818[[#This Row],[Classification]]="Cost of Goods Sold"),Table818[[#This Row],[Credit.]]&gt;Table818[[#This Row],[Debit\]]),Table818[[#This Row],[Credit.]]-Table818[[#This Row],[Debit\]],""),"")</f>
        <v/>
      </c>
      <c r="AF107" s="34"/>
      <c r="AG107" s="34" t="str">
        <f>IFERROR(IF(AND(Table818[[#This Row],[Classification]]="Assets",Table818[[#This Row],[Debit\]]-Table818[[#This Row],[Credit.]]),Table818[[#This Row],[Debit\]]-Table818[[#This Row],[Credit.]],""),"")</f>
        <v/>
      </c>
      <c r="AH107" s="34" t="str">
        <f>IFERROR(IF(AND(OR(Table818[[#This Row],[Classification]]="Liabilities",Table818[[#This Row],[Classification]]="Owner´s Equity"),Table818[[#This Row],[Credit.]]&gt;Table818[[#This Row],[Debit\]]),Table818[[#This Row],[Credit.]]-Table818[[#This Row],[Debit\]],""),"")</f>
        <v/>
      </c>
    </row>
    <row r="108" spans="2:34" x14ac:dyDescent="0.25">
      <c r="B108" s="34"/>
      <c r="C108" s="45"/>
      <c r="D108" s="34"/>
      <c r="E108" s="34"/>
      <c r="G108" s="39"/>
      <c r="H108" s="40"/>
      <c r="I108" s="41"/>
      <c r="J108" s="41"/>
      <c r="L108" s="34">
        <v>101</v>
      </c>
      <c r="M108" s="35"/>
      <c r="N108" s="35"/>
      <c r="O108" s="34">
        <f>IFERROR(SUMIF(Table415[,],Table617[[#This Row],[Accounts Name]],Table415[,3]),"")</f>
        <v>0</v>
      </c>
      <c r="P108" s="34">
        <f>IFERROR(SUMIF(Table415[,],Table617[[#This Row],[Accounts Name]],Table415[,2]),"")</f>
        <v>0</v>
      </c>
      <c r="S108" s="36">
        <f t="shared" si="1"/>
        <v>101</v>
      </c>
      <c r="T108" s="34"/>
      <c r="U108" s="37"/>
      <c r="V108" s="34">
        <f>IFERROR(SUMIF(Table617[Sub-Accounts],Table818[[#This Row],[Update your chart of accounts here]],Table617[Debit]),"")</f>
        <v>0</v>
      </c>
      <c r="W108" s="34">
        <f>IFERROR(SUMIF(Table617[Sub-Accounts],Table818[[#This Row],[Update your chart of accounts here]],Table617[Credit]),"")</f>
        <v>0</v>
      </c>
      <c r="X108" s="34"/>
      <c r="Y108" s="34"/>
      <c r="Z108" s="34"/>
      <c r="AA108" s="34"/>
      <c r="AB108" s="34">
        <f>MAX(Table818[[#This Row],[Debit]]+Table818[[#This Row],[Debit -]]-Table818[[#This Row],[Credit]]-Table818[[#This Row],[Credit +]],0)</f>
        <v>0</v>
      </c>
      <c r="AC108" s="34">
        <f>MAX(Table818[[#This Row],[Credit]]-Table818[[#This Row],[Debit]]+Table818[[#This Row],[Credit +]]-Table818[[#This Row],[Debit -]],0)</f>
        <v>0</v>
      </c>
      <c r="AD108" s="34" t="str">
        <f>IFERROR(IF(AND(OR(Table818[[#This Row],[Classification]]="Expense",Table818[[#This Row],[Classification]]="Cost of Goods Sold"),Table818[[#This Row],[Debit\]]&gt;Table818[[#This Row],[Credit.]]),Table818[[#This Row],[Debit\]]-Table818[[#This Row],[Credit.]],""),"")</f>
        <v/>
      </c>
      <c r="AE108" s="34" t="str">
        <f>IFERROR(IF(AND(OR(Table818[[#This Row],[Classification]]="Income",Table818[[#This Row],[Classification]]="Cost of Goods Sold"),Table818[[#This Row],[Credit.]]&gt;Table818[[#This Row],[Debit\]]),Table818[[#This Row],[Credit.]]-Table818[[#This Row],[Debit\]],""),"")</f>
        <v/>
      </c>
      <c r="AF108" s="34"/>
      <c r="AG108" s="34" t="str">
        <f>IFERROR(IF(AND(Table818[[#This Row],[Classification]]="Assets",Table818[[#This Row],[Debit\]]-Table818[[#This Row],[Credit.]]),Table818[[#This Row],[Debit\]]-Table818[[#This Row],[Credit.]],""),"")</f>
        <v/>
      </c>
      <c r="AH108" s="34" t="str">
        <f>IFERROR(IF(AND(OR(Table818[[#This Row],[Classification]]="Liabilities",Table818[[#This Row],[Classification]]="Owner´s Equity"),Table818[[#This Row],[Credit.]]&gt;Table818[[#This Row],[Debit\]]),Table818[[#This Row],[Credit.]]-Table818[[#This Row],[Debit\]],""),"")</f>
        <v/>
      </c>
    </row>
    <row r="109" spans="2:34" x14ac:dyDescent="0.25">
      <c r="B109" s="34"/>
      <c r="C109" s="45"/>
      <c r="D109" s="34"/>
      <c r="E109" s="34"/>
      <c r="G109" s="39"/>
      <c r="H109" s="40"/>
      <c r="I109" s="41"/>
      <c r="J109" s="41"/>
      <c r="L109" s="34">
        <v>102</v>
      </c>
      <c r="M109" s="35"/>
      <c r="N109" s="35"/>
      <c r="O109" s="34">
        <f>IFERROR(SUMIF(Table415[,],Table617[[#This Row],[Accounts Name]],Table415[,3]),"")</f>
        <v>0</v>
      </c>
      <c r="P109" s="34">
        <f>IFERROR(SUMIF(Table415[,],Table617[[#This Row],[Accounts Name]],Table415[,2]),"")</f>
        <v>0</v>
      </c>
      <c r="S109" s="36">
        <f t="shared" si="1"/>
        <v>102</v>
      </c>
      <c r="T109" s="34"/>
      <c r="U109" s="37"/>
      <c r="V109" s="34">
        <f>IFERROR(SUMIF(Table617[Sub-Accounts],Table818[[#This Row],[Update your chart of accounts here]],Table617[Debit]),"")</f>
        <v>0</v>
      </c>
      <c r="W109" s="34">
        <f>IFERROR(SUMIF(Table617[Sub-Accounts],Table818[[#This Row],[Update your chart of accounts here]],Table617[Credit]),"")</f>
        <v>0</v>
      </c>
      <c r="X109" s="34"/>
      <c r="Y109" s="34"/>
      <c r="Z109" s="34"/>
      <c r="AA109" s="34"/>
      <c r="AB109" s="34">
        <f>MAX(Table818[[#This Row],[Debit]]+Table818[[#This Row],[Debit -]]-Table818[[#This Row],[Credit]]-Table818[[#This Row],[Credit +]],0)</f>
        <v>0</v>
      </c>
      <c r="AC109" s="34">
        <f>MAX(Table818[[#This Row],[Credit]]-Table818[[#This Row],[Debit]]+Table818[[#This Row],[Credit +]]-Table818[[#This Row],[Debit -]],0)</f>
        <v>0</v>
      </c>
      <c r="AD109" s="34" t="str">
        <f>IFERROR(IF(AND(OR(Table818[[#This Row],[Classification]]="Expense",Table818[[#This Row],[Classification]]="Cost of Goods Sold"),Table818[[#This Row],[Debit\]]&gt;Table818[[#This Row],[Credit.]]),Table818[[#This Row],[Debit\]]-Table818[[#This Row],[Credit.]],""),"")</f>
        <v/>
      </c>
      <c r="AE109" s="34" t="str">
        <f>IFERROR(IF(AND(OR(Table818[[#This Row],[Classification]]="Income",Table818[[#This Row],[Classification]]="Cost of Goods Sold"),Table818[[#This Row],[Credit.]]&gt;Table818[[#This Row],[Debit\]]),Table818[[#This Row],[Credit.]]-Table818[[#This Row],[Debit\]],""),"")</f>
        <v/>
      </c>
      <c r="AF109" s="34"/>
      <c r="AG109" s="34" t="str">
        <f>IFERROR(IF(AND(Table818[[#This Row],[Classification]]="Assets",Table818[[#This Row],[Debit\]]-Table818[[#This Row],[Credit.]]),Table818[[#This Row],[Debit\]]-Table818[[#This Row],[Credit.]],""),"")</f>
        <v/>
      </c>
      <c r="AH109" s="34" t="str">
        <f>IFERROR(IF(AND(OR(Table818[[#This Row],[Classification]]="Liabilities",Table818[[#This Row],[Classification]]="Owner´s Equity"),Table818[[#This Row],[Credit.]]&gt;Table818[[#This Row],[Debit\]]),Table818[[#This Row],[Credit.]]-Table818[[#This Row],[Debit\]],""),"")</f>
        <v/>
      </c>
    </row>
    <row r="110" spans="2:34" x14ac:dyDescent="0.25">
      <c r="B110" s="34"/>
      <c r="C110" s="45"/>
      <c r="D110" s="34"/>
      <c r="E110" s="34"/>
      <c r="G110" s="39"/>
      <c r="H110" s="43"/>
      <c r="I110" s="41"/>
      <c r="J110" s="41"/>
      <c r="L110" s="34">
        <v>103</v>
      </c>
      <c r="M110" s="35"/>
      <c r="N110" s="35"/>
      <c r="O110" s="34">
        <f>IFERROR(SUMIF(Table415[,],Table617[[#This Row],[Accounts Name]],Table415[,3]),"")</f>
        <v>0</v>
      </c>
      <c r="P110" s="34">
        <f>IFERROR(SUMIF(Table415[,],Table617[[#This Row],[Accounts Name]],Table415[,2]),"")</f>
        <v>0</v>
      </c>
      <c r="S110" s="36">
        <f t="shared" si="1"/>
        <v>103</v>
      </c>
      <c r="T110" s="34"/>
      <c r="U110" s="37"/>
      <c r="V110" s="34">
        <f>IFERROR(SUMIF(Table617[Sub-Accounts],Table818[[#This Row],[Update your chart of accounts here]],Table617[Debit]),"")</f>
        <v>0</v>
      </c>
      <c r="W110" s="34">
        <f>IFERROR(SUMIF(Table617[Sub-Accounts],Table818[[#This Row],[Update your chart of accounts here]],Table617[Credit]),"")</f>
        <v>0</v>
      </c>
      <c r="X110" s="34"/>
      <c r="Y110" s="34"/>
      <c r="Z110" s="34"/>
      <c r="AA110" s="34"/>
      <c r="AB110" s="34">
        <f>MAX(Table818[[#This Row],[Debit]]+Table818[[#This Row],[Debit -]]-Table818[[#This Row],[Credit]]-Table818[[#This Row],[Credit +]],0)</f>
        <v>0</v>
      </c>
      <c r="AC110" s="34">
        <f>MAX(Table818[[#This Row],[Credit]]-Table818[[#This Row],[Debit]]+Table818[[#This Row],[Credit +]]-Table818[[#This Row],[Debit -]],0)</f>
        <v>0</v>
      </c>
      <c r="AD110" s="34" t="str">
        <f>IFERROR(IF(AND(OR(Table818[[#This Row],[Classification]]="Expense",Table818[[#This Row],[Classification]]="Cost of Goods Sold"),Table818[[#This Row],[Debit\]]&gt;Table818[[#This Row],[Credit.]]),Table818[[#This Row],[Debit\]]-Table818[[#This Row],[Credit.]],""),"")</f>
        <v/>
      </c>
      <c r="AE110" s="34" t="str">
        <f>IFERROR(IF(AND(OR(Table818[[#This Row],[Classification]]="Income",Table818[[#This Row],[Classification]]="Cost of Goods Sold"),Table818[[#This Row],[Credit.]]&gt;Table818[[#This Row],[Debit\]]),Table818[[#This Row],[Credit.]]-Table818[[#This Row],[Debit\]],""),"")</f>
        <v/>
      </c>
      <c r="AF110" s="34"/>
      <c r="AG110" s="34" t="str">
        <f>IFERROR(IF(AND(Table818[[#This Row],[Classification]]="Assets",Table818[[#This Row],[Debit\]]-Table818[[#This Row],[Credit.]]),Table818[[#This Row],[Debit\]]-Table818[[#This Row],[Credit.]],""),"")</f>
        <v/>
      </c>
      <c r="AH110" s="34" t="str">
        <f>IFERROR(IF(AND(OR(Table818[[#This Row],[Classification]]="Liabilities",Table818[[#This Row],[Classification]]="Owner´s Equity"),Table818[[#This Row],[Credit.]]&gt;Table818[[#This Row],[Debit\]]),Table818[[#This Row],[Credit.]]-Table818[[#This Row],[Debit\]],""),"")</f>
        <v/>
      </c>
    </row>
    <row r="111" spans="2:34" x14ac:dyDescent="0.25">
      <c r="B111" s="34"/>
      <c r="C111" s="45"/>
      <c r="D111" s="34"/>
      <c r="E111" s="34"/>
      <c r="G111" s="39"/>
      <c r="H111" s="40"/>
      <c r="I111" s="41"/>
      <c r="J111" s="41"/>
      <c r="L111" s="34">
        <v>104</v>
      </c>
      <c r="M111" s="35"/>
      <c r="N111" s="35"/>
      <c r="O111" s="34">
        <f>IFERROR(SUMIF(Table415[,],Table617[[#This Row],[Accounts Name]],Table415[,3]),"")</f>
        <v>0</v>
      </c>
      <c r="P111" s="34">
        <f>IFERROR(SUMIF(Table415[,],Table617[[#This Row],[Accounts Name]],Table415[,2]),"")</f>
        <v>0</v>
      </c>
      <c r="S111" s="36">
        <f t="shared" si="1"/>
        <v>104</v>
      </c>
      <c r="T111" s="34"/>
      <c r="U111" s="37"/>
      <c r="V111" s="34">
        <f>IFERROR(SUMIF(Table617[Sub-Accounts],Table818[[#This Row],[Update your chart of accounts here]],Table617[Debit]),"")</f>
        <v>0</v>
      </c>
      <c r="W111" s="34">
        <f>IFERROR(SUMIF(Table617[Sub-Accounts],Table818[[#This Row],[Update your chart of accounts here]],Table617[Credit]),"")</f>
        <v>0</v>
      </c>
      <c r="X111" s="34"/>
      <c r="Y111" s="34"/>
      <c r="Z111" s="34"/>
      <c r="AA111" s="34"/>
      <c r="AB111" s="34">
        <f>MAX(Table818[[#This Row],[Debit]]+Table818[[#This Row],[Debit -]]-Table818[[#This Row],[Credit]]-Table818[[#This Row],[Credit +]],0)</f>
        <v>0</v>
      </c>
      <c r="AC111" s="34">
        <f>MAX(Table818[[#This Row],[Credit]]-Table818[[#This Row],[Debit]]+Table818[[#This Row],[Credit +]]-Table818[[#This Row],[Debit -]],0)</f>
        <v>0</v>
      </c>
      <c r="AD111" s="34" t="str">
        <f>IFERROR(IF(AND(OR(Table818[[#This Row],[Classification]]="Expense",Table818[[#This Row],[Classification]]="Cost of Goods Sold"),Table818[[#This Row],[Debit\]]&gt;Table818[[#This Row],[Credit.]]),Table818[[#This Row],[Debit\]]-Table818[[#This Row],[Credit.]],""),"")</f>
        <v/>
      </c>
      <c r="AE111" s="34" t="str">
        <f>IFERROR(IF(AND(OR(Table818[[#This Row],[Classification]]="Income",Table818[[#This Row],[Classification]]="Cost of Goods Sold"),Table818[[#This Row],[Credit.]]&gt;Table818[[#This Row],[Debit\]]),Table818[[#This Row],[Credit.]]-Table818[[#This Row],[Debit\]],""),"")</f>
        <v/>
      </c>
      <c r="AF111" s="34"/>
      <c r="AG111" s="34" t="str">
        <f>IFERROR(IF(AND(Table818[[#This Row],[Classification]]="Assets",Table818[[#This Row],[Debit\]]-Table818[[#This Row],[Credit.]]),Table818[[#This Row],[Debit\]]-Table818[[#This Row],[Credit.]],""),"")</f>
        <v/>
      </c>
      <c r="AH111" s="34" t="str">
        <f>IFERROR(IF(AND(OR(Table818[[#This Row],[Classification]]="Liabilities",Table818[[#This Row],[Classification]]="Owner´s Equity"),Table818[[#This Row],[Credit.]]&gt;Table818[[#This Row],[Debit\]]),Table818[[#This Row],[Credit.]]-Table818[[#This Row],[Debit\]],""),"")</f>
        <v/>
      </c>
    </row>
    <row r="112" spans="2:34" x14ac:dyDescent="0.25">
      <c r="B112" s="34"/>
      <c r="C112" s="45"/>
      <c r="D112" s="34"/>
      <c r="E112" s="34"/>
      <c r="G112" s="39"/>
      <c r="H112" s="40"/>
      <c r="I112" s="41"/>
      <c r="J112" s="41"/>
      <c r="L112" s="34">
        <v>105</v>
      </c>
      <c r="M112" s="35"/>
      <c r="N112" s="35"/>
      <c r="O112" s="34">
        <f>IFERROR(SUMIF(Table415[,],Table617[[#This Row],[Accounts Name]],Table415[,3]),"")</f>
        <v>0</v>
      </c>
      <c r="P112" s="34">
        <f>IFERROR(SUMIF(Table415[,],Table617[[#This Row],[Accounts Name]],Table415[,2]),"")</f>
        <v>0</v>
      </c>
      <c r="S112" s="36">
        <f t="shared" si="1"/>
        <v>105</v>
      </c>
      <c r="T112" s="34"/>
      <c r="U112" s="37"/>
      <c r="V112" s="34">
        <f>IFERROR(SUMIF(Table617[Sub-Accounts],Table818[[#This Row],[Update your chart of accounts here]],Table617[Debit]),"")</f>
        <v>0</v>
      </c>
      <c r="W112" s="34">
        <f>IFERROR(SUMIF(Table617[Sub-Accounts],Table818[[#This Row],[Update your chart of accounts here]],Table617[Credit]),"")</f>
        <v>0</v>
      </c>
      <c r="X112" s="34"/>
      <c r="Y112" s="34"/>
      <c r="Z112" s="34"/>
      <c r="AA112" s="34"/>
      <c r="AB112" s="34">
        <f>MAX(Table818[[#This Row],[Debit]]+Table818[[#This Row],[Debit -]]-Table818[[#This Row],[Credit]]-Table818[[#This Row],[Credit +]],0)</f>
        <v>0</v>
      </c>
      <c r="AC112" s="34">
        <f>MAX(Table818[[#This Row],[Credit]]-Table818[[#This Row],[Debit]]+Table818[[#This Row],[Credit +]]-Table818[[#This Row],[Debit -]],0)</f>
        <v>0</v>
      </c>
      <c r="AD112" s="34" t="str">
        <f>IFERROR(IF(AND(OR(Table818[[#This Row],[Classification]]="Expense",Table818[[#This Row],[Classification]]="Cost of Goods Sold"),Table818[[#This Row],[Debit\]]&gt;Table818[[#This Row],[Credit.]]),Table818[[#This Row],[Debit\]]-Table818[[#This Row],[Credit.]],""),"")</f>
        <v/>
      </c>
      <c r="AE112" s="34" t="str">
        <f>IFERROR(IF(AND(OR(Table818[[#This Row],[Classification]]="Income",Table818[[#This Row],[Classification]]="Cost of Goods Sold"),Table818[[#This Row],[Credit.]]&gt;Table818[[#This Row],[Debit\]]),Table818[[#This Row],[Credit.]]-Table818[[#This Row],[Debit\]],""),"")</f>
        <v/>
      </c>
      <c r="AF112" s="34"/>
      <c r="AG112" s="34" t="str">
        <f>IFERROR(IF(AND(Table818[[#This Row],[Classification]]="Assets",Table818[[#This Row],[Debit\]]-Table818[[#This Row],[Credit.]]),Table818[[#This Row],[Debit\]]-Table818[[#This Row],[Credit.]],""),"")</f>
        <v/>
      </c>
      <c r="AH112" s="34" t="str">
        <f>IFERROR(IF(AND(OR(Table818[[#This Row],[Classification]]="Liabilities",Table818[[#This Row],[Classification]]="Owner´s Equity"),Table818[[#This Row],[Credit.]]&gt;Table818[[#This Row],[Debit\]]),Table818[[#This Row],[Credit.]]-Table818[[#This Row],[Debit\]],""),"")</f>
        <v/>
      </c>
    </row>
    <row r="113" spans="2:34" x14ac:dyDescent="0.25">
      <c r="B113" s="34"/>
      <c r="C113" s="45"/>
      <c r="D113" s="34"/>
      <c r="E113" s="34"/>
      <c r="G113" s="39"/>
      <c r="H113" s="43"/>
      <c r="I113" s="41"/>
      <c r="J113" s="41"/>
      <c r="L113" s="34">
        <v>106</v>
      </c>
      <c r="M113" s="35"/>
      <c r="N113" s="35"/>
      <c r="O113" s="34">
        <f>IFERROR(SUMIF(Table415[,],Table617[[#This Row],[Accounts Name]],Table415[,3]),"")</f>
        <v>0</v>
      </c>
      <c r="P113" s="34">
        <f>IFERROR(SUMIF(Table415[,],Table617[[#This Row],[Accounts Name]],Table415[,2]),"")</f>
        <v>0</v>
      </c>
      <c r="S113" s="36">
        <f t="shared" si="1"/>
        <v>106</v>
      </c>
      <c r="T113" s="34"/>
      <c r="U113" s="37"/>
      <c r="V113" s="34">
        <f>IFERROR(SUMIF(Table617[Sub-Accounts],Table818[[#This Row],[Update your chart of accounts here]],Table617[Debit]),"")</f>
        <v>0</v>
      </c>
      <c r="W113" s="34">
        <f>IFERROR(SUMIF(Table617[Sub-Accounts],Table818[[#This Row],[Update your chart of accounts here]],Table617[Credit]),"")</f>
        <v>0</v>
      </c>
      <c r="X113" s="34"/>
      <c r="Y113" s="34"/>
      <c r="Z113" s="34"/>
      <c r="AA113" s="34"/>
      <c r="AB113" s="34">
        <f>MAX(Table818[[#This Row],[Debit]]+Table818[[#This Row],[Debit -]]-Table818[[#This Row],[Credit]]-Table818[[#This Row],[Credit +]],0)</f>
        <v>0</v>
      </c>
      <c r="AC113" s="34">
        <f>MAX(Table818[[#This Row],[Credit]]-Table818[[#This Row],[Debit]]+Table818[[#This Row],[Credit +]]-Table818[[#This Row],[Debit -]],0)</f>
        <v>0</v>
      </c>
      <c r="AD113" s="34" t="str">
        <f>IFERROR(IF(AND(OR(Table818[[#This Row],[Classification]]="Expense",Table818[[#This Row],[Classification]]="Cost of Goods Sold"),Table818[[#This Row],[Debit\]]&gt;Table818[[#This Row],[Credit.]]),Table818[[#This Row],[Debit\]]-Table818[[#This Row],[Credit.]],""),"")</f>
        <v/>
      </c>
      <c r="AE113" s="34" t="str">
        <f>IFERROR(IF(AND(OR(Table818[[#This Row],[Classification]]="Income",Table818[[#This Row],[Classification]]="Cost of Goods Sold"),Table818[[#This Row],[Credit.]]&gt;Table818[[#This Row],[Debit\]]),Table818[[#This Row],[Credit.]]-Table818[[#This Row],[Debit\]],""),"")</f>
        <v/>
      </c>
      <c r="AF113" s="34"/>
      <c r="AG113" s="34" t="str">
        <f>IFERROR(IF(AND(Table818[[#This Row],[Classification]]="Assets",Table818[[#This Row],[Debit\]]-Table818[[#This Row],[Credit.]]),Table818[[#This Row],[Debit\]]-Table818[[#This Row],[Credit.]],""),"")</f>
        <v/>
      </c>
      <c r="AH113" s="34" t="str">
        <f>IFERROR(IF(AND(OR(Table818[[#This Row],[Classification]]="Liabilities",Table818[[#This Row],[Classification]]="Owner´s Equity"),Table818[[#This Row],[Credit.]]&gt;Table818[[#This Row],[Debit\]]),Table818[[#This Row],[Credit.]]-Table818[[#This Row],[Debit\]],""),"")</f>
        <v/>
      </c>
    </row>
    <row r="114" spans="2:34" x14ac:dyDescent="0.25">
      <c r="B114" s="34"/>
      <c r="C114" s="45"/>
      <c r="D114" s="34"/>
      <c r="E114" s="34"/>
      <c r="G114" s="39"/>
      <c r="H114" s="40"/>
      <c r="I114" s="41"/>
      <c r="J114" s="41"/>
      <c r="L114" s="34">
        <v>107</v>
      </c>
      <c r="M114" s="35"/>
      <c r="N114" s="35"/>
      <c r="O114" s="34">
        <f>IFERROR(SUMIF(Table415[,],Table617[[#This Row],[Accounts Name]],Table415[,3]),"")</f>
        <v>0</v>
      </c>
      <c r="P114" s="34">
        <f>IFERROR(SUMIF(Table415[,],Table617[[#This Row],[Accounts Name]],Table415[,2]),"")</f>
        <v>0</v>
      </c>
      <c r="S114" s="36">
        <f t="shared" si="1"/>
        <v>107</v>
      </c>
      <c r="T114" s="34"/>
      <c r="U114" s="37"/>
      <c r="V114" s="34">
        <f>IFERROR(SUMIF(Table617[Sub-Accounts],Table818[[#This Row],[Update your chart of accounts here]],Table617[Debit]),"")</f>
        <v>0</v>
      </c>
      <c r="W114" s="34">
        <f>IFERROR(SUMIF(Table617[Sub-Accounts],Table818[[#This Row],[Update your chart of accounts here]],Table617[Credit]),"")</f>
        <v>0</v>
      </c>
      <c r="X114" s="34"/>
      <c r="Y114" s="34"/>
      <c r="Z114" s="34"/>
      <c r="AA114" s="34"/>
      <c r="AB114" s="34">
        <f>MAX(Table818[[#This Row],[Debit]]+Table818[[#This Row],[Debit -]]-Table818[[#This Row],[Credit]]-Table818[[#This Row],[Credit +]],0)</f>
        <v>0</v>
      </c>
      <c r="AC114" s="34">
        <f>MAX(Table818[[#This Row],[Credit]]-Table818[[#This Row],[Debit]]+Table818[[#This Row],[Credit +]]-Table818[[#This Row],[Debit -]],0)</f>
        <v>0</v>
      </c>
      <c r="AD114" s="34" t="str">
        <f>IFERROR(IF(AND(OR(Table818[[#This Row],[Classification]]="Expense",Table818[[#This Row],[Classification]]="Cost of Goods Sold"),Table818[[#This Row],[Debit\]]&gt;Table818[[#This Row],[Credit.]]),Table818[[#This Row],[Debit\]]-Table818[[#This Row],[Credit.]],""),"")</f>
        <v/>
      </c>
      <c r="AE114" s="34" t="str">
        <f>IFERROR(IF(AND(OR(Table818[[#This Row],[Classification]]="Income",Table818[[#This Row],[Classification]]="Cost of Goods Sold"),Table818[[#This Row],[Credit.]]&gt;Table818[[#This Row],[Debit\]]),Table818[[#This Row],[Credit.]]-Table818[[#This Row],[Debit\]],""),"")</f>
        <v/>
      </c>
      <c r="AF114" s="34"/>
      <c r="AG114" s="34" t="str">
        <f>IFERROR(IF(AND(Table818[[#This Row],[Classification]]="Assets",Table818[[#This Row],[Debit\]]-Table818[[#This Row],[Credit.]]),Table818[[#This Row],[Debit\]]-Table818[[#This Row],[Credit.]],""),"")</f>
        <v/>
      </c>
      <c r="AH114" s="34" t="str">
        <f>IFERROR(IF(AND(OR(Table818[[#This Row],[Classification]]="Liabilities",Table818[[#This Row],[Classification]]="Owner´s Equity"),Table818[[#This Row],[Credit.]]&gt;Table818[[#This Row],[Debit\]]),Table818[[#This Row],[Credit.]]-Table818[[#This Row],[Debit\]],""),"")</f>
        <v/>
      </c>
    </row>
    <row r="115" spans="2:34" x14ac:dyDescent="0.25">
      <c r="B115" s="34"/>
      <c r="C115" s="45"/>
      <c r="D115" s="34"/>
      <c r="E115" s="34"/>
      <c r="G115" s="39"/>
      <c r="H115" s="40"/>
      <c r="I115" s="41"/>
      <c r="J115" s="41"/>
      <c r="L115" s="34">
        <v>108</v>
      </c>
      <c r="M115" s="35"/>
      <c r="N115" s="35"/>
      <c r="O115" s="34">
        <f>IFERROR(SUMIF(Table415[,],Table617[[#This Row],[Accounts Name]],Table415[,3]),"")</f>
        <v>0</v>
      </c>
      <c r="P115" s="34">
        <f>IFERROR(SUMIF(Table415[,],Table617[[#This Row],[Accounts Name]],Table415[,2]),"")</f>
        <v>0</v>
      </c>
      <c r="S115" s="36">
        <f t="shared" si="1"/>
        <v>108</v>
      </c>
      <c r="T115" s="34"/>
      <c r="U115" s="37"/>
      <c r="V115" s="34">
        <f>IFERROR(SUMIF(Table617[Sub-Accounts],Table818[[#This Row],[Update your chart of accounts here]],Table617[Debit]),"")</f>
        <v>0</v>
      </c>
      <c r="W115" s="34">
        <f>IFERROR(SUMIF(Table617[Sub-Accounts],Table818[[#This Row],[Update your chart of accounts here]],Table617[Credit]),"")</f>
        <v>0</v>
      </c>
      <c r="X115" s="34"/>
      <c r="Y115" s="34"/>
      <c r="Z115" s="34"/>
      <c r="AA115" s="34"/>
      <c r="AB115" s="34">
        <f>MAX(Table818[[#This Row],[Debit]]+Table818[[#This Row],[Debit -]]-Table818[[#This Row],[Credit]]-Table818[[#This Row],[Credit +]],0)</f>
        <v>0</v>
      </c>
      <c r="AC115" s="34">
        <f>MAX(Table818[[#This Row],[Credit]]-Table818[[#This Row],[Debit]]+Table818[[#This Row],[Credit +]]-Table818[[#This Row],[Debit -]],0)</f>
        <v>0</v>
      </c>
      <c r="AD115" s="34" t="str">
        <f>IFERROR(IF(AND(OR(Table818[[#This Row],[Classification]]="Expense",Table818[[#This Row],[Classification]]="Cost of Goods Sold"),Table818[[#This Row],[Debit\]]&gt;Table818[[#This Row],[Credit.]]),Table818[[#This Row],[Debit\]]-Table818[[#This Row],[Credit.]],""),"")</f>
        <v/>
      </c>
      <c r="AE115" s="34" t="str">
        <f>IFERROR(IF(AND(OR(Table818[[#This Row],[Classification]]="Income",Table818[[#This Row],[Classification]]="Cost of Goods Sold"),Table818[[#This Row],[Credit.]]&gt;Table818[[#This Row],[Debit\]]),Table818[[#This Row],[Credit.]]-Table818[[#This Row],[Debit\]],""),"")</f>
        <v/>
      </c>
      <c r="AF115" s="34"/>
      <c r="AG115" s="34" t="str">
        <f>IFERROR(IF(AND(Table818[[#This Row],[Classification]]="Assets",Table818[[#This Row],[Debit\]]-Table818[[#This Row],[Credit.]]),Table818[[#This Row],[Debit\]]-Table818[[#This Row],[Credit.]],""),"")</f>
        <v/>
      </c>
      <c r="AH115" s="34" t="str">
        <f>IFERROR(IF(AND(OR(Table818[[#This Row],[Classification]]="Liabilities",Table818[[#This Row],[Classification]]="Owner´s Equity"),Table818[[#This Row],[Credit.]]&gt;Table818[[#This Row],[Debit\]]),Table818[[#This Row],[Credit.]]-Table818[[#This Row],[Debit\]],""),"")</f>
        <v/>
      </c>
    </row>
    <row r="116" spans="2:34" x14ac:dyDescent="0.25">
      <c r="B116" s="34"/>
      <c r="C116" s="45"/>
      <c r="D116" s="34"/>
      <c r="E116" s="34"/>
      <c r="G116" s="39"/>
      <c r="H116" s="43"/>
      <c r="I116" s="41"/>
      <c r="J116" s="41"/>
      <c r="L116" s="34">
        <v>109</v>
      </c>
      <c r="M116" s="35"/>
      <c r="N116" s="35"/>
      <c r="O116" s="34">
        <f>IFERROR(SUMIF(Table415[,],Table617[[#This Row],[Accounts Name]],Table415[,3]),"")</f>
        <v>0</v>
      </c>
      <c r="P116" s="34">
        <f>IFERROR(SUMIF(Table415[,],Table617[[#This Row],[Accounts Name]],Table415[,2]),"")</f>
        <v>0</v>
      </c>
      <c r="S116" s="36">
        <f t="shared" si="1"/>
        <v>109</v>
      </c>
      <c r="T116" s="34"/>
      <c r="U116" s="37"/>
      <c r="V116" s="34">
        <f>IFERROR(SUMIF(Table617[Sub-Accounts],Table818[[#This Row],[Update your chart of accounts here]],Table617[Debit]),"")</f>
        <v>0</v>
      </c>
      <c r="W116" s="34">
        <f>IFERROR(SUMIF(Table617[Sub-Accounts],Table818[[#This Row],[Update your chart of accounts here]],Table617[Credit]),"")</f>
        <v>0</v>
      </c>
      <c r="X116" s="34"/>
      <c r="Y116" s="34"/>
      <c r="Z116" s="34"/>
      <c r="AA116" s="34"/>
      <c r="AB116" s="34">
        <f>MAX(Table818[[#This Row],[Debit]]+Table818[[#This Row],[Debit -]]-Table818[[#This Row],[Credit]]-Table818[[#This Row],[Credit +]],0)</f>
        <v>0</v>
      </c>
      <c r="AC116" s="34">
        <f>MAX(Table818[[#This Row],[Credit]]-Table818[[#This Row],[Debit]]+Table818[[#This Row],[Credit +]]-Table818[[#This Row],[Debit -]],0)</f>
        <v>0</v>
      </c>
      <c r="AD116" s="34" t="str">
        <f>IFERROR(IF(AND(OR(Table818[[#This Row],[Classification]]="Expense",Table818[[#This Row],[Classification]]="Cost of Goods Sold"),Table818[[#This Row],[Debit\]]&gt;Table818[[#This Row],[Credit.]]),Table818[[#This Row],[Debit\]]-Table818[[#This Row],[Credit.]],""),"")</f>
        <v/>
      </c>
      <c r="AE116" s="34" t="str">
        <f>IFERROR(IF(AND(OR(Table818[[#This Row],[Classification]]="Income",Table818[[#This Row],[Classification]]="Cost of Goods Sold"),Table818[[#This Row],[Credit.]]&gt;Table818[[#This Row],[Debit\]]),Table818[[#This Row],[Credit.]]-Table818[[#This Row],[Debit\]],""),"")</f>
        <v/>
      </c>
      <c r="AF116" s="34"/>
      <c r="AG116" s="34" t="str">
        <f>IFERROR(IF(AND(Table818[[#This Row],[Classification]]="Assets",Table818[[#This Row],[Debit\]]-Table818[[#This Row],[Credit.]]),Table818[[#This Row],[Debit\]]-Table818[[#This Row],[Credit.]],""),"")</f>
        <v/>
      </c>
      <c r="AH116" s="34" t="str">
        <f>IFERROR(IF(AND(OR(Table818[[#This Row],[Classification]]="Liabilities",Table818[[#This Row],[Classification]]="Owner´s Equity"),Table818[[#This Row],[Credit.]]&gt;Table818[[#This Row],[Debit\]]),Table818[[#This Row],[Credit.]]-Table818[[#This Row],[Debit\]],""),"")</f>
        <v/>
      </c>
    </row>
    <row r="117" spans="2:34" x14ac:dyDescent="0.25">
      <c r="B117" s="34"/>
      <c r="C117" s="45"/>
      <c r="D117" s="34"/>
      <c r="E117" s="34"/>
      <c r="G117" s="39"/>
      <c r="H117" s="40"/>
      <c r="I117" s="41"/>
      <c r="J117" s="41"/>
      <c r="L117" s="34">
        <v>110</v>
      </c>
      <c r="M117" s="35"/>
      <c r="N117" s="35"/>
      <c r="O117" s="34">
        <f>IFERROR(SUMIF(Table415[,],Table617[[#This Row],[Accounts Name]],Table415[,3]),"")</f>
        <v>0</v>
      </c>
      <c r="P117" s="34">
        <f>IFERROR(SUMIF(Table415[,],Table617[[#This Row],[Accounts Name]],Table415[,2]),"")</f>
        <v>0</v>
      </c>
      <c r="S117" s="36">
        <f t="shared" si="1"/>
        <v>110</v>
      </c>
      <c r="T117" s="34"/>
      <c r="U117" s="37"/>
      <c r="V117" s="34">
        <f>IFERROR(SUMIF(Table617[Sub-Accounts],Table818[[#This Row],[Update your chart of accounts here]],Table617[Debit]),"")</f>
        <v>0</v>
      </c>
      <c r="W117" s="34">
        <f>IFERROR(SUMIF(Table617[Sub-Accounts],Table818[[#This Row],[Update your chart of accounts here]],Table617[Credit]),"")</f>
        <v>0</v>
      </c>
      <c r="X117" s="34"/>
      <c r="Y117" s="34"/>
      <c r="Z117" s="34"/>
      <c r="AA117" s="34"/>
      <c r="AB117" s="34">
        <f>MAX(Table818[[#This Row],[Debit]]+Table818[[#This Row],[Debit -]]-Table818[[#This Row],[Credit]]-Table818[[#This Row],[Credit +]],0)</f>
        <v>0</v>
      </c>
      <c r="AC117" s="34">
        <f>MAX(Table818[[#This Row],[Credit]]-Table818[[#This Row],[Debit]]+Table818[[#This Row],[Credit +]]-Table818[[#This Row],[Debit -]],0)</f>
        <v>0</v>
      </c>
      <c r="AD117" s="34" t="str">
        <f>IFERROR(IF(AND(OR(Table818[[#This Row],[Classification]]="Expense",Table818[[#This Row],[Classification]]="Cost of Goods Sold"),Table818[[#This Row],[Debit\]]&gt;Table818[[#This Row],[Credit.]]),Table818[[#This Row],[Debit\]]-Table818[[#This Row],[Credit.]],""),"")</f>
        <v/>
      </c>
      <c r="AE117" s="34" t="str">
        <f>IFERROR(IF(AND(OR(Table818[[#This Row],[Classification]]="Income",Table818[[#This Row],[Classification]]="Cost of Goods Sold"),Table818[[#This Row],[Credit.]]&gt;Table818[[#This Row],[Debit\]]),Table818[[#This Row],[Credit.]]-Table818[[#This Row],[Debit\]],""),"")</f>
        <v/>
      </c>
      <c r="AF117" s="34"/>
      <c r="AG117" s="34" t="str">
        <f>IFERROR(IF(AND(Table818[[#This Row],[Classification]]="Assets",Table818[[#This Row],[Debit\]]-Table818[[#This Row],[Credit.]]),Table818[[#This Row],[Debit\]]-Table818[[#This Row],[Credit.]],""),"")</f>
        <v/>
      </c>
      <c r="AH117" s="34" t="str">
        <f>IFERROR(IF(AND(OR(Table818[[#This Row],[Classification]]="Liabilities",Table818[[#This Row],[Classification]]="Owner´s Equity"),Table818[[#This Row],[Credit.]]&gt;Table818[[#This Row],[Debit\]]),Table818[[#This Row],[Credit.]]-Table818[[#This Row],[Debit\]],""),"")</f>
        <v/>
      </c>
    </row>
    <row r="118" spans="2:34" x14ac:dyDescent="0.25">
      <c r="B118" s="34"/>
      <c r="C118" s="45"/>
      <c r="D118" s="34"/>
      <c r="E118" s="34"/>
      <c r="G118" s="39"/>
      <c r="H118" s="40"/>
      <c r="I118" s="41"/>
      <c r="J118" s="41"/>
      <c r="L118" s="34">
        <v>111</v>
      </c>
      <c r="M118" s="35"/>
      <c r="N118" s="35"/>
      <c r="O118" s="34">
        <f>IFERROR(SUMIF(Table415[,],Table617[[#This Row],[Accounts Name]],Table415[,3]),"")</f>
        <v>0</v>
      </c>
      <c r="P118" s="34">
        <f>IFERROR(SUMIF(Table415[,],Table617[[#This Row],[Accounts Name]],Table415[,2]),"")</f>
        <v>0</v>
      </c>
      <c r="S118" s="36">
        <f t="shared" si="1"/>
        <v>111</v>
      </c>
      <c r="T118" s="34"/>
      <c r="U118" s="37"/>
      <c r="V118" s="34">
        <f>IFERROR(SUMIF(Table617[Sub-Accounts],Table818[[#This Row],[Update your chart of accounts here]],Table617[Debit]),"")</f>
        <v>0</v>
      </c>
      <c r="W118" s="34">
        <f>IFERROR(SUMIF(Table617[Sub-Accounts],Table818[[#This Row],[Update your chart of accounts here]],Table617[Credit]),"")</f>
        <v>0</v>
      </c>
      <c r="X118" s="34"/>
      <c r="Y118" s="34"/>
      <c r="Z118" s="34"/>
      <c r="AA118" s="34"/>
      <c r="AB118" s="34">
        <f>MAX(Table818[[#This Row],[Debit]]+Table818[[#This Row],[Debit -]]-Table818[[#This Row],[Credit]]-Table818[[#This Row],[Credit +]],0)</f>
        <v>0</v>
      </c>
      <c r="AC118" s="34">
        <f>MAX(Table818[[#This Row],[Credit]]-Table818[[#This Row],[Debit]]+Table818[[#This Row],[Credit +]]-Table818[[#This Row],[Debit -]],0)</f>
        <v>0</v>
      </c>
      <c r="AD118" s="34" t="str">
        <f>IFERROR(IF(AND(OR(Table818[[#This Row],[Classification]]="Expense",Table818[[#This Row],[Classification]]="Cost of Goods Sold"),Table818[[#This Row],[Debit\]]&gt;Table818[[#This Row],[Credit.]]),Table818[[#This Row],[Debit\]]-Table818[[#This Row],[Credit.]],""),"")</f>
        <v/>
      </c>
      <c r="AE118" s="34" t="str">
        <f>IFERROR(IF(AND(OR(Table818[[#This Row],[Classification]]="Income",Table818[[#This Row],[Classification]]="Cost of Goods Sold"),Table818[[#This Row],[Credit.]]&gt;Table818[[#This Row],[Debit\]]),Table818[[#This Row],[Credit.]]-Table818[[#This Row],[Debit\]],""),"")</f>
        <v/>
      </c>
      <c r="AF118" s="34"/>
      <c r="AG118" s="34" t="str">
        <f>IFERROR(IF(AND(Table818[[#This Row],[Classification]]="Assets",Table818[[#This Row],[Debit\]]-Table818[[#This Row],[Credit.]]),Table818[[#This Row],[Debit\]]-Table818[[#This Row],[Credit.]],""),"")</f>
        <v/>
      </c>
      <c r="AH118" s="34" t="str">
        <f>IFERROR(IF(AND(OR(Table818[[#This Row],[Classification]]="Liabilities",Table818[[#This Row],[Classification]]="Owner´s Equity"),Table818[[#This Row],[Credit.]]&gt;Table818[[#This Row],[Debit\]]),Table818[[#This Row],[Credit.]]-Table818[[#This Row],[Debit\]],""),"")</f>
        <v/>
      </c>
    </row>
    <row r="119" spans="2:34" x14ac:dyDescent="0.25">
      <c r="B119" s="34"/>
      <c r="C119" s="45"/>
      <c r="D119" s="34"/>
      <c r="E119" s="34"/>
      <c r="G119" s="39"/>
      <c r="H119" s="43"/>
      <c r="I119" s="41"/>
      <c r="J119" s="41"/>
      <c r="L119" s="34">
        <v>112</v>
      </c>
      <c r="M119" s="35"/>
      <c r="N119" s="35"/>
      <c r="O119" s="34">
        <f>IFERROR(SUMIF(Table415[,],Table617[[#This Row],[Accounts Name]],Table415[,3]),"")</f>
        <v>0</v>
      </c>
      <c r="P119" s="34">
        <f>IFERROR(SUMIF(Table415[,],Table617[[#This Row],[Accounts Name]],Table415[,2]),"")</f>
        <v>0</v>
      </c>
      <c r="S119" s="36">
        <f t="shared" si="1"/>
        <v>112</v>
      </c>
      <c r="T119" s="34"/>
      <c r="U119" s="37"/>
      <c r="V119" s="34">
        <f>IFERROR(SUMIF(Table617[Sub-Accounts],Table818[[#This Row],[Update your chart of accounts here]],Table617[Debit]),"")</f>
        <v>0</v>
      </c>
      <c r="W119" s="34">
        <f>IFERROR(SUMIF(Table617[Sub-Accounts],Table818[[#This Row],[Update your chart of accounts here]],Table617[Credit]),"")</f>
        <v>0</v>
      </c>
      <c r="X119" s="34"/>
      <c r="Y119" s="34"/>
      <c r="Z119" s="34"/>
      <c r="AA119" s="34"/>
      <c r="AB119" s="34">
        <f>MAX(Table818[[#This Row],[Debit]]+Table818[[#This Row],[Debit -]]-Table818[[#This Row],[Credit]]-Table818[[#This Row],[Credit +]],0)</f>
        <v>0</v>
      </c>
      <c r="AC119" s="34">
        <f>MAX(Table818[[#This Row],[Credit]]-Table818[[#This Row],[Debit]]+Table818[[#This Row],[Credit +]]-Table818[[#This Row],[Debit -]],0)</f>
        <v>0</v>
      </c>
      <c r="AD119" s="34" t="str">
        <f>IFERROR(IF(AND(OR(Table818[[#This Row],[Classification]]="Expense",Table818[[#This Row],[Classification]]="Cost of Goods Sold"),Table818[[#This Row],[Debit\]]&gt;Table818[[#This Row],[Credit.]]),Table818[[#This Row],[Debit\]]-Table818[[#This Row],[Credit.]],""),"")</f>
        <v/>
      </c>
      <c r="AE119" s="34" t="str">
        <f>IFERROR(IF(AND(OR(Table818[[#This Row],[Classification]]="Income",Table818[[#This Row],[Classification]]="Cost of Goods Sold"),Table818[[#This Row],[Credit.]]&gt;Table818[[#This Row],[Debit\]]),Table818[[#This Row],[Credit.]]-Table818[[#This Row],[Debit\]],""),"")</f>
        <v/>
      </c>
      <c r="AF119" s="34"/>
      <c r="AG119" s="34" t="str">
        <f>IFERROR(IF(AND(Table818[[#This Row],[Classification]]="Assets",Table818[[#This Row],[Debit\]]-Table818[[#This Row],[Credit.]]),Table818[[#This Row],[Debit\]]-Table818[[#This Row],[Credit.]],""),"")</f>
        <v/>
      </c>
      <c r="AH119" s="34" t="str">
        <f>IFERROR(IF(AND(OR(Table818[[#This Row],[Classification]]="Liabilities",Table818[[#This Row],[Classification]]="Owner´s Equity"),Table818[[#This Row],[Credit.]]&gt;Table818[[#This Row],[Debit\]]),Table818[[#This Row],[Credit.]]-Table818[[#This Row],[Debit\]],""),"")</f>
        <v/>
      </c>
    </row>
    <row r="120" spans="2:34" x14ac:dyDescent="0.25">
      <c r="B120" s="34"/>
      <c r="C120" s="45"/>
      <c r="D120" s="34"/>
      <c r="E120" s="34"/>
      <c r="G120" s="39"/>
      <c r="H120" s="40"/>
      <c r="I120" s="41"/>
      <c r="J120" s="41"/>
      <c r="L120" s="34">
        <v>113</v>
      </c>
      <c r="M120" s="35"/>
      <c r="N120" s="35"/>
      <c r="O120" s="34">
        <f>IFERROR(SUMIF(Table415[,],Table617[[#This Row],[Accounts Name]],Table415[,3]),"")</f>
        <v>0</v>
      </c>
      <c r="P120" s="34">
        <f>IFERROR(SUMIF(Table415[,],Table617[[#This Row],[Accounts Name]],Table415[,2]),"")</f>
        <v>0</v>
      </c>
      <c r="S120" s="36">
        <f t="shared" si="1"/>
        <v>113</v>
      </c>
      <c r="T120" s="34"/>
      <c r="U120" s="37"/>
      <c r="V120" s="34">
        <f>IFERROR(SUMIF(Table617[Sub-Accounts],Table818[[#This Row],[Update your chart of accounts here]],Table617[Debit]),"")</f>
        <v>0</v>
      </c>
      <c r="W120" s="34">
        <f>IFERROR(SUMIF(Table617[Sub-Accounts],Table818[[#This Row],[Update your chart of accounts here]],Table617[Credit]),"")</f>
        <v>0</v>
      </c>
      <c r="X120" s="34"/>
      <c r="Y120" s="34"/>
      <c r="Z120" s="34"/>
      <c r="AA120" s="34"/>
      <c r="AB120" s="34">
        <f>MAX(Table818[[#This Row],[Debit]]+Table818[[#This Row],[Debit -]]-Table818[[#This Row],[Credit]]-Table818[[#This Row],[Credit +]],0)</f>
        <v>0</v>
      </c>
      <c r="AC120" s="34">
        <f>MAX(Table818[[#This Row],[Credit]]-Table818[[#This Row],[Debit]]+Table818[[#This Row],[Credit +]]-Table818[[#This Row],[Debit -]],0)</f>
        <v>0</v>
      </c>
      <c r="AD120" s="34" t="str">
        <f>IFERROR(IF(AND(OR(Table818[[#This Row],[Classification]]="Expense",Table818[[#This Row],[Classification]]="Cost of Goods Sold"),Table818[[#This Row],[Debit\]]&gt;Table818[[#This Row],[Credit.]]),Table818[[#This Row],[Debit\]]-Table818[[#This Row],[Credit.]],""),"")</f>
        <v/>
      </c>
      <c r="AE120" s="34" t="str">
        <f>IFERROR(IF(AND(OR(Table818[[#This Row],[Classification]]="Income",Table818[[#This Row],[Classification]]="Cost of Goods Sold"),Table818[[#This Row],[Credit.]]&gt;Table818[[#This Row],[Debit\]]),Table818[[#This Row],[Credit.]]-Table818[[#This Row],[Debit\]],""),"")</f>
        <v/>
      </c>
      <c r="AF120" s="34"/>
      <c r="AG120" s="34" t="str">
        <f>IFERROR(IF(AND(Table818[[#This Row],[Classification]]="Assets",Table818[[#This Row],[Debit\]]-Table818[[#This Row],[Credit.]]),Table818[[#This Row],[Debit\]]-Table818[[#This Row],[Credit.]],""),"")</f>
        <v/>
      </c>
      <c r="AH120" s="34" t="str">
        <f>IFERROR(IF(AND(OR(Table818[[#This Row],[Classification]]="Liabilities",Table818[[#This Row],[Classification]]="Owner´s Equity"),Table818[[#This Row],[Credit.]]&gt;Table818[[#This Row],[Debit\]]),Table818[[#This Row],[Credit.]]-Table818[[#This Row],[Debit\]],""),"")</f>
        <v/>
      </c>
    </row>
    <row r="121" spans="2:34" x14ac:dyDescent="0.25">
      <c r="B121" s="34"/>
      <c r="C121" s="45"/>
      <c r="D121" s="34"/>
      <c r="E121" s="34"/>
      <c r="G121" s="39"/>
      <c r="H121" s="40"/>
      <c r="I121" s="41"/>
      <c r="J121" s="41"/>
      <c r="L121" s="34">
        <v>114</v>
      </c>
      <c r="M121" s="35"/>
      <c r="N121" s="35"/>
      <c r="O121" s="34">
        <f>IFERROR(SUMIF(Table415[,],Table617[[#This Row],[Accounts Name]],Table415[,3]),"")</f>
        <v>0</v>
      </c>
      <c r="P121" s="34">
        <f>IFERROR(SUMIF(Table415[,],Table617[[#This Row],[Accounts Name]],Table415[,2]),"")</f>
        <v>0</v>
      </c>
      <c r="S121" s="36">
        <f t="shared" si="1"/>
        <v>114</v>
      </c>
      <c r="T121" s="34"/>
      <c r="U121" s="37"/>
      <c r="V121" s="34">
        <f>IFERROR(SUMIF(Table617[Sub-Accounts],Table818[[#This Row],[Update your chart of accounts here]],Table617[Debit]),"")</f>
        <v>0</v>
      </c>
      <c r="W121" s="34">
        <f>IFERROR(SUMIF(Table617[Sub-Accounts],Table818[[#This Row],[Update your chart of accounts here]],Table617[Credit]),"")</f>
        <v>0</v>
      </c>
      <c r="X121" s="34"/>
      <c r="Y121" s="34"/>
      <c r="Z121" s="34"/>
      <c r="AA121" s="34"/>
      <c r="AB121" s="34">
        <f>MAX(Table818[[#This Row],[Debit]]+Table818[[#This Row],[Debit -]]-Table818[[#This Row],[Credit]]-Table818[[#This Row],[Credit +]],0)</f>
        <v>0</v>
      </c>
      <c r="AC121" s="34">
        <f>MAX(Table818[[#This Row],[Credit]]-Table818[[#This Row],[Debit]]+Table818[[#This Row],[Credit +]]-Table818[[#This Row],[Debit -]],0)</f>
        <v>0</v>
      </c>
      <c r="AD121" s="34" t="str">
        <f>IFERROR(IF(AND(OR(Table818[[#This Row],[Classification]]="Expense",Table818[[#This Row],[Classification]]="Cost of Goods Sold"),Table818[[#This Row],[Debit\]]&gt;Table818[[#This Row],[Credit.]]),Table818[[#This Row],[Debit\]]-Table818[[#This Row],[Credit.]],""),"")</f>
        <v/>
      </c>
      <c r="AE121" s="34" t="str">
        <f>IFERROR(IF(AND(OR(Table818[[#This Row],[Classification]]="Income",Table818[[#This Row],[Classification]]="Cost of Goods Sold"),Table818[[#This Row],[Credit.]]&gt;Table818[[#This Row],[Debit\]]),Table818[[#This Row],[Credit.]]-Table818[[#This Row],[Debit\]],""),"")</f>
        <v/>
      </c>
      <c r="AF121" s="34"/>
      <c r="AG121" s="34" t="str">
        <f>IFERROR(IF(AND(Table818[[#This Row],[Classification]]="Assets",Table818[[#This Row],[Debit\]]-Table818[[#This Row],[Credit.]]),Table818[[#This Row],[Debit\]]-Table818[[#This Row],[Credit.]],""),"")</f>
        <v/>
      </c>
      <c r="AH121" s="34" t="str">
        <f>IFERROR(IF(AND(OR(Table818[[#This Row],[Classification]]="Liabilities",Table818[[#This Row],[Classification]]="Owner´s Equity"),Table818[[#This Row],[Credit.]]&gt;Table818[[#This Row],[Debit\]]),Table818[[#This Row],[Credit.]]-Table818[[#This Row],[Debit\]],""),"")</f>
        <v/>
      </c>
    </row>
    <row r="122" spans="2:34" x14ac:dyDescent="0.25">
      <c r="B122" s="34"/>
      <c r="C122" s="45"/>
      <c r="D122" s="34"/>
      <c r="E122" s="34"/>
      <c r="G122" s="39"/>
      <c r="H122" s="43"/>
      <c r="I122" s="41"/>
      <c r="J122" s="41"/>
      <c r="L122" s="34">
        <v>115</v>
      </c>
      <c r="M122" s="35"/>
      <c r="N122" s="35"/>
      <c r="O122" s="34">
        <f>IFERROR(SUMIF(Table415[,],Table617[[#This Row],[Accounts Name]],Table415[,3]),"")</f>
        <v>0</v>
      </c>
      <c r="P122" s="34">
        <f>IFERROR(SUMIF(Table415[,],Table617[[#This Row],[Accounts Name]],Table415[,2]),"")</f>
        <v>0</v>
      </c>
      <c r="S122" s="36">
        <f t="shared" si="1"/>
        <v>115</v>
      </c>
      <c r="T122" s="34"/>
      <c r="U122" s="37"/>
      <c r="V122" s="34">
        <f>IFERROR(SUMIF(Table617[Sub-Accounts],Table818[[#This Row],[Update your chart of accounts here]],Table617[Debit]),"")</f>
        <v>0</v>
      </c>
      <c r="W122" s="34">
        <f>IFERROR(SUMIF(Table617[Sub-Accounts],Table818[[#This Row],[Update your chart of accounts here]],Table617[Credit]),"")</f>
        <v>0</v>
      </c>
      <c r="X122" s="34"/>
      <c r="Y122" s="34"/>
      <c r="Z122" s="34"/>
      <c r="AA122" s="34"/>
      <c r="AB122" s="34">
        <f>MAX(Table818[[#This Row],[Debit]]+Table818[[#This Row],[Debit -]]-Table818[[#This Row],[Credit]]-Table818[[#This Row],[Credit +]],0)</f>
        <v>0</v>
      </c>
      <c r="AC122" s="34">
        <f>MAX(Table818[[#This Row],[Credit]]-Table818[[#This Row],[Debit]]+Table818[[#This Row],[Credit +]]-Table818[[#This Row],[Debit -]],0)</f>
        <v>0</v>
      </c>
      <c r="AD122" s="34" t="str">
        <f>IFERROR(IF(AND(OR(Table818[[#This Row],[Classification]]="Expense",Table818[[#This Row],[Classification]]="Cost of Goods Sold"),Table818[[#This Row],[Debit\]]&gt;Table818[[#This Row],[Credit.]]),Table818[[#This Row],[Debit\]]-Table818[[#This Row],[Credit.]],""),"")</f>
        <v/>
      </c>
      <c r="AE122" s="34" t="str">
        <f>IFERROR(IF(AND(OR(Table818[[#This Row],[Classification]]="Income",Table818[[#This Row],[Classification]]="Cost of Goods Sold"),Table818[[#This Row],[Credit.]]&gt;Table818[[#This Row],[Debit\]]),Table818[[#This Row],[Credit.]]-Table818[[#This Row],[Debit\]],""),"")</f>
        <v/>
      </c>
      <c r="AF122" s="34"/>
      <c r="AG122" s="34" t="str">
        <f>IFERROR(IF(AND(Table818[[#This Row],[Classification]]="Assets",Table818[[#This Row],[Debit\]]-Table818[[#This Row],[Credit.]]),Table818[[#This Row],[Debit\]]-Table818[[#This Row],[Credit.]],""),"")</f>
        <v/>
      </c>
      <c r="AH122" s="34" t="str">
        <f>IFERROR(IF(AND(OR(Table818[[#This Row],[Classification]]="Liabilities",Table818[[#This Row],[Classification]]="Owner´s Equity"),Table818[[#This Row],[Credit.]]&gt;Table818[[#This Row],[Debit\]]),Table818[[#This Row],[Credit.]]-Table818[[#This Row],[Debit\]],""),"")</f>
        <v/>
      </c>
    </row>
    <row r="123" spans="2:34" x14ac:dyDescent="0.25">
      <c r="B123" s="34"/>
      <c r="C123" s="45"/>
      <c r="D123" s="34"/>
      <c r="E123" s="34"/>
      <c r="G123" s="39"/>
      <c r="H123" s="40"/>
      <c r="I123" s="41"/>
      <c r="J123" s="41"/>
      <c r="L123" s="34">
        <v>116</v>
      </c>
      <c r="M123" s="35"/>
      <c r="N123" s="35"/>
      <c r="O123" s="34">
        <f>IFERROR(SUMIF(Table415[,],Table617[[#This Row],[Accounts Name]],Table415[,3]),"")</f>
        <v>0</v>
      </c>
      <c r="P123" s="34">
        <f>IFERROR(SUMIF(Table415[,],Table617[[#This Row],[Accounts Name]],Table415[,2]),"")</f>
        <v>0</v>
      </c>
      <c r="S123" s="36">
        <f t="shared" si="1"/>
        <v>116</v>
      </c>
      <c r="T123" s="34"/>
      <c r="U123" s="37"/>
      <c r="V123" s="34">
        <f>IFERROR(SUMIF(Table617[Sub-Accounts],Table818[[#This Row],[Update your chart of accounts here]],Table617[Debit]),"")</f>
        <v>0</v>
      </c>
      <c r="W123" s="34">
        <f>IFERROR(SUMIF(Table617[Sub-Accounts],Table818[[#This Row],[Update your chart of accounts here]],Table617[Credit]),"")</f>
        <v>0</v>
      </c>
      <c r="X123" s="34"/>
      <c r="Y123" s="34"/>
      <c r="Z123" s="34"/>
      <c r="AA123" s="34"/>
      <c r="AB123" s="34">
        <f>MAX(Table818[[#This Row],[Debit]]+Table818[[#This Row],[Debit -]]-Table818[[#This Row],[Credit]]-Table818[[#This Row],[Credit +]],0)</f>
        <v>0</v>
      </c>
      <c r="AC123" s="34">
        <f>MAX(Table818[[#This Row],[Credit]]-Table818[[#This Row],[Debit]]+Table818[[#This Row],[Credit +]]-Table818[[#This Row],[Debit -]],0)</f>
        <v>0</v>
      </c>
      <c r="AD123" s="34" t="str">
        <f>IFERROR(IF(AND(OR(Table818[[#This Row],[Classification]]="Expense",Table818[[#This Row],[Classification]]="Cost of Goods Sold"),Table818[[#This Row],[Debit\]]&gt;Table818[[#This Row],[Credit.]]),Table818[[#This Row],[Debit\]]-Table818[[#This Row],[Credit.]],""),"")</f>
        <v/>
      </c>
      <c r="AE123" s="34" t="str">
        <f>IFERROR(IF(AND(OR(Table818[[#This Row],[Classification]]="Income",Table818[[#This Row],[Classification]]="Cost of Goods Sold"),Table818[[#This Row],[Credit.]]&gt;Table818[[#This Row],[Debit\]]),Table818[[#This Row],[Credit.]]-Table818[[#This Row],[Debit\]],""),"")</f>
        <v/>
      </c>
      <c r="AF123" s="34"/>
      <c r="AG123" s="34" t="str">
        <f>IFERROR(IF(AND(Table818[[#This Row],[Classification]]="Assets",Table818[[#This Row],[Debit\]]-Table818[[#This Row],[Credit.]]),Table818[[#This Row],[Debit\]]-Table818[[#This Row],[Credit.]],""),"")</f>
        <v/>
      </c>
      <c r="AH123" s="34" t="str">
        <f>IFERROR(IF(AND(OR(Table818[[#This Row],[Classification]]="Liabilities",Table818[[#This Row],[Classification]]="Owner´s Equity"),Table818[[#This Row],[Credit.]]&gt;Table818[[#This Row],[Debit\]]),Table818[[#This Row],[Credit.]]-Table818[[#This Row],[Debit\]],""),"")</f>
        <v/>
      </c>
    </row>
    <row r="124" spans="2:34" x14ac:dyDescent="0.25">
      <c r="B124" s="34"/>
      <c r="C124" s="45"/>
      <c r="D124" s="34"/>
      <c r="E124" s="34"/>
      <c r="G124" s="39"/>
      <c r="H124" s="40"/>
      <c r="I124" s="41"/>
      <c r="J124" s="41"/>
      <c r="L124" s="34">
        <v>117</v>
      </c>
      <c r="M124" s="35"/>
      <c r="N124" s="35"/>
      <c r="O124" s="34">
        <f>IFERROR(SUMIF(Table415[,],Table617[[#This Row],[Accounts Name]],Table415[,3]),"")</f>
        <v>0</v>
      </c>
      <c r="P124" s="34">
        <f>IFERROR(SUMIF(Table415[,],Table617[[#This Row],[Accounts Name]],Table415[,2]),"")</f>
        <v>0</v>
      </c>
      <c r="S124" s="36">
        <f t="shared" si="1"/>
        <v>117</v>
      </c>
      <c r="T124" s="34"/>
      <c r="U124" s="37"/>
      <c r="V124" s="34">
        <f>IFERROR(SUMIF(Table617[Sub-Accounts],Table818[[#This Row],[Update your chart of accounts here]],Table617[Debit]),"")</f>
        <v>0</v>
      </c>
      <c r="W124" s="34">
        <f>IFERROR(SUMIF(Table617[Sub-Accounts],Table818[[#This Row],[Update your chart of accounts here]],Table617[Credit]),"")</f>
        <v>0</v>
      </c>
      <c r="X124" s="34"/>
      <c r="Y124" s="34"/>
      <c r="Z124" s="34"/>
      <c r="AA124" s="34"/>
      <c r="AB124" s="34">
        <f>MAX(Table818[[#This Row],[Debit]]+Table818[[#This Row],[Debit -]]-Table818[[#This Row],[Credit]]-Table818[[#This Row],[Credit +]],0)</f>
        <v>0</v>
      </c>
      <c r="AC124" s="34">
        <f>MAX(Table818[[#This Row],[Credit]]-Table818[[#This Row],[Debit]]+Table818[[#This Row],[Credit +]]-Table818[[#This Row],[Debit -]],0)</f>
        <v>0</v>
      </c>
      <c r="AD124" s="34" t="str">
        <f>IFERROR(IF(AND(OR(Table818[[#This Row],[Classification]]="Expense",Table818[[#This Row],[Classification]]="Cost of Goods Sold"),Table818[[#This Row],[Debit\]]&gt;Table818[[#This Row],[Credit.]]),Table818[[#This Row],[Debit\]]-Table818[[#This Row],[Credit.]],""),"")</f>
        <v/>
      </c>
      <c r="AE124" s="34" t="str">
        <f>IFERROR(IF(AND(OR(Table818[[#This Row],[Classification]]="Income",Table818[[#This Row],[Classification]]="Cost of Goods Sold"),Table818[[#This Row],[Credit.]]&gt;Table818[[#This Row],[Debit\]]),Table818[[#This Row],[Credit.]]-Table818[[#This Row],[Debit\]],""),"")</f>
        <v/>
      </c>
      <c r="AF124" s="34"/>
      <c r="AG124" s="34" t="str">
        <f>IFERROR(IF(AND(Table818[[#This Row],[Classification]]="Assets",Table818[[#This Row],[Debit\]]-Table818[[#This Row],[Credit.]]),Table818[[#This Row],[Debit\]]-Table818[[#This Row],[Credit.]],""),"")</f>
        <v/>
      </c>
      <c r="AH124" s="34" t="str">
        <f>IFERROR(IF(AND(OR(Table818[[#This Row],[Classification]]="Liabilities",Table818[[#This Row],[Classification]]="Owner´s Equity"),Table818[[#This Row],[Credit.]]&gt;Table818[[#This Row],[Debit\]]),Table818[[#This Row],[Credit.]]-Table818[[#This Row],[Debit\]],""),"")</f>
        <v/>
      </c>
    </row>
    <row r="125" spans="2:34" x14ac:dyDescent="0.25">
      <c r="B125" s="34"/>
      <c r="C125" s="45"/>
      <c r="D125" s="34"/>
      <c r="E125" s="34"/>
      <c r="G125" s="39"/>
      <c r="H125" s="43"/>
      <c r="I125" s="41"/>
      <c r="J125" s="41"/>
      <c r="L125" s="34">
        <v>118</v>
      </c>
      <c r="M125" s="35"/>
      <c r="N125" s="35"/>
      <c r="O125" s="34">
        <f>IFERROR(SUMIF(Table415[,],Table617[[#This Row],[Accounts Name]],Table415[,3]),"")</f>
        <v>0</v>
      </c>
      <c r="P125" s="34">
        <f>IFERROR(SUMIF(Table415[,],Table617[[#This Row],[Accounts Name]],Table415[,2]),"")</f>
        <v>0</v>
      </c>
      <c r="S125" s="36">
        <f t="shared" si="1"/>
        <v>118</v>
      </c>
      <c r="T125" s="34"/>
      <c r="U125" s="37"/>
      <c r="V125" s="34">
        <f>IFERROR(SUMIF(Table617[Sub-Accounts],Table818[[#This Row],[Update your chart of accounts here]],Table617[Debit]),"")</f>
        <v>0</v>
      </c>
      <c r="W125" s="34">
        <f>IFERROR(SUMIF(Table617[Sub-Accounts],Table818[[#This Row],[Update your chart of accounts here]],Table617[Credit]),"")</f>
        <v>0</v>
      </c>
      <c r="X125" s="34"/>
      <c r="Y125" s="34"/>
      <c r="Z125" s="34"/>
      <c r="AA125" s="34"/>
      <c r="AB125" s="34">
        <f>MAX(Table818[[#This Row],[Debit]]+Table818[[#This Row],[Debit -]]-Table818[[#This Row],[Credit]]-Table818[[#This Row],[Credit +]],0)</f>
        <v>0</v>
      </c>
      <c r="AC125" s="34">
        <f>MAX(Table818[[#This Row],[Credit]]-Table818[[#This Row],[Debit]]+Table818[[#This Row],[Credit +]]-Table818[[#This Row],[Debit -]],0)</f>
        <v>0</v>
      </c>
      <c r="AD125" s="34" t="str">
        <f>IFERROR(IF(AND(OR(Table818[[#This Row],[Classification]]="Expense",Table818[[#This Row],[Classification]]="Cost of Goods Sold"),Table818[[#This Row],[Debit\]]&gt;Table818[[#This Row],[Credit.]]),Table818[[#This Row],[Debit\]]-Table818[[#This Row],[Credit.]],""),"")</f>
        <v/>
      </c>
      <c r="AE125" s="34" t="str">
        <f>IFERROR(IF(AND(OR(Table818[[#This Row],[Classification]]="Income",Table818[[#This Row],[Classification]]="Cost of Goods Sold"),Table818[[#This Row],[Credit.]]&gt;Table818[[#This Row],[Debit\]]),Table818[[#This Row],[Credit.]]-Table818[[#This Row],[Debit\]],""),"")</f>
        <v/>
      </c>
      <c r="AF125" s="34"/>
      <c r="AG125" s="34" t="str">
        <f>IFERROR(IF(AND(Table818[[#This Row],[Classification]]="Assets",Table818[[#This Row],[Debit\]]-Table818[[#This Row],[Credit.]]),Table818[[#This Row],[Debit\]]-Table818[[#This Row],[Credit.]],""),"")</f>
        <v/>
      </c>
      <c r="AH125" s="34" t="str">
        <f>IFERROR(IF(AND(OR(Table818[[#This Row],[Classification]]="Liabilities",Table818[[#This Row],[Classification]]="Owner´s Equity"),Table818[[#This Row],[Credit.]]&gt;Table818[[#This Row],[Debit\]]),Table818[[#This Row],[Credit.]]-Table818[[#This Row],[Debit\]],""),"")</f>
        <v/>
      </c>
    </row>
    <row r="126" spans="2:34" x14ac:dyDescent="0.25">
      <c r="B126" s="34"/>
      <c r="C126" s="45"/>
      <c r="D126" s="34"/>
      <c r="E126" s="34"/>
      <c r="G126" s="39"/>
      <c r="H126" s="40"/>
      <c r="I126" s="41"/>
      <c r="J126" s="41"/>
      <c r="L126" s="34">
        <v>119</v>
      </c>
      <c r="M126" s="35"/>
      <c r="N126" s="35"/>
      <c r="O126" s="34">
        <f>IFERROR(SUMIF(Table415[,],Table617[[#This Row],[Accounts Name]],Table415[,3]),"")</f>
        <v>0</v>
      </c>
      <c r="P126" s="34">
        <f>IFERROR(SUMIF(Table415[,],Table617[[#This Row],[Accounts Name]],Table415[,2]),"")</f>
        <v>0</v>
      </c>
      <c r="S126" s="36">
        <f t="shared" si="1"/>
        <v>119</v>
      </c>
      <c r="T126" s="34"/>
      <c r="U126" s="37"/>
      <c r="V126" s="34">
        <f>IFERROR(SUMIF(Table617[Sub-Accounts],Table818[[#This Row],[Update your chart of accounts here]],Table617[Debit]),"")</f>
        <v>0</v>
      </c>
      <c r="W126" s="34">
        <f>IFERROR(SUMIF(Table617[Sub-Accounts],Table818[[#This Row],[Update your chart of accounts here]],Table617[Credit]),"")</f>
        <v>0</v>
      </c>
      <c r="X126" s="34"/>
      <c r="Y126" s="34"/>
      <c r="Z126" s="34"/>
      <c r="AA126" s="34"/>
      <c r="AB126" s="34">
        <f>MAX(Table818[[#This Row],[Debit]]+Table818[[#This Row],[Debit -]]-Table818[[#This Row],[Credit]]-Table818[[#This Row],[Credit +]],0)</f>
        <v>0</v>
      </c>
      <c r="AC126" s="34">
        <f>MAX(Table818[[#This Row],[Credit]]-Table818[[#This Row],[Debit]]+Table818[[#This Row],[Credit +]]-Table818[[#This Row],[Debit -]],0)</f>
        <v>0</v>
      </c>
      <c r="AD126" s="34" t="str">
        <f>IFERROR(IF(AND(OR(Table818[[#This Row],[Classification]]="Expense",Table818[[#This Row],[Classification]]="Cost of Goods Sold"),Table818[[#This Row],[Debit\]]&gt;Table818[[#This Row],[Credit.]]),Table818[[#This Row],[Debit\]]-Table818[[#This Row],[Credit.]],""),"")</f>
        <v/>
      </c>
      <c r="AE126" s="34" t="str">
        <f>IFERROR(IF(AND(OR(Table818[[#This Row],[Classification]]="Income",Table818[[#This Row],[Classification]]="Cost of Goods Sold"),Table818[[#This Row],[Credit.]]&gt;Table818[[#This Row],[Debit\]]),Table818[[#This Row],[Credit.]]-Table818[[#This Row],[Debit\]],""),"")</f>
        <v/>
      </c>
      <c r="AF126" s="34"/>
      <c r="AG126" s="34" t="str">
        <f>IFERROR(IF(AND(Table818[[#This Row],[Classification]]="Assets",Table818[[#This Row],[Debit\]]-Table818[[#This Row],[Credit.]]),Table818[[#This Row],[Debit\]]-Table818[[#This Row],[Credit.]],""),"")</f>
        <v/>
      </c>
      <c r="AH126" s="34" t="str">
        <f>IFERROR(IF(AND(OR(Table818[[#This Row],[Classification]]="Liabilities",Table818[[#This Row],[Classification]]="Owner´s Equity"),Table818[[#This Row],[Credit.]]&gt;Table818[[#This Row],[Debit\]]),Table818[[#This Row],[Credit.]]-Table818[[#This Row],[Debit\]],""),"")</f>
        <v/>
      </c>
    </row>
    <row r="127" spans="2:34" x14ac:dyDescent="0.25">
      <c r="B127" s="34"/>
      <c r="C127" s="45"/>
      <c r="D127" s="34"/>
      <c r="E127" s="34"/>
      <c r="G127" s="39"/>
      <c r="H127" s="40"/>
      <c r="I127" s="41"/>
      <c r="J127" s="41"/>
      <c r="L127" s="34">
        <v>120</v>
      </c>
      <c r="M127" s="35"/>
      <c r="N127" s="35"/>
      <c r="O127" s="34">
        <f>IFERROR(SUMIF(Table415[,],Table617[[#This Row],[Accounts Name]],Table415[,3]),"")</f>
        <v>0</v>
      </c>
      <c r="P127" s="34">
        <f>IFERROR(SUMIF(Table415[,],Table617[[#This Row],[Accounts Name]],Table415[,2]),"")</f>
        <v>0</v>
      </c>
      <c r="S127" s="36">
        <f t="shared" si="1"/>
        <v>120</v>
      </c>
      <c r="T127" s="34"/>
      <c r="U127" s="37"/>
      <c r="V127" s="34">
        <f>IFERROR(SUMIF(Table617[Sub-Accounts],Table818[[#This Row],[Update your chart of accounts here]],Table617[Debit]),"")</f>
        <v>0</v>
      </c>
      <c r="W127" s="34">
        <f>IFERROR(SUMIF(Table617[Sub-Accounts],Table818[[#This Row],[Update your chart of accounts here]],Table617[Credit]),"")</f>
        <v>0</v>
      </c>
      <c r="X127" s="34"/>
      <c r="Y127" s="34"/>
      <c r="Z127" s="34"/>
      <c r="AA127" s="34"/>
      <c r="AB127" s="34">
        <f>MAX(Table818[[#This Row],[Debit]]+Table818[[#This Row],[Debit -]]-Table818[[#This Row],[Credit]]-Table818[[#This Row],[Credit +]],0)</f>
        <v>0</v>
      </c>
      <c r="AC127" s="34">
        <f>MAX(Table818[[#This Row],[Credit]]-Table818[[#This Row],[Debit]]+Table818[[#This Row],[Credit +]]-Table818[[#This Row],[Debit -]],0)</f>
        <v>0</v>
      </c>
      <c r="AD127" s="34" t="str">
        <f>IFERROR(IF(AND(OR(Table818[[#This Row],[Classification]]="Expense",Table818[[#This Row],[Classification]]="Cost of Goods Sold"),Table818[[#This Row],[Debit\]]&gt;Table818[[#This Row],[Credit.]]),Table818[[#This Row],[Debit\]]-Table818[[#This Row],[Credit.]],""),"")</f>
        <v/>
      </c>
      <c r="AE127" s="34" t="str">
        <f>IFERROR(IF(AND(OR(Table818[[#This Row],[Classification]]="Income",Table818[[#This Row],[Classification]]="Cost of Goods Sold"),Table818[[#This Row],[Credit.]]&gt;Table818[[#This Row],[Debit\]]),Table818[[#This Row],[Credit.]]-Table818[[#This Row],[Debit\]],""),"")</f>
        <v/>
      </c>
      <c r="AF127" s="34"/>
      <c r="AG127" s="34" t="str">
        <f>IFERROR(IF(AND(Table818[[#This Row],[Classification]]="Assets",Table818[[#This Row],[Debit\]]-Table818[[#This Row],[Credit.]]),Table818[[#This Row],[Debit\]]-Table818[[#This Row],[Credit.]],""),"")</f>
        <v/>
      </c>
      <c r="AH127" s="34" t="str">
        <f>IFERROR(IF(AND(OR(Table818[[#This Row],[Classification]]="Liabilities",Table818[[#This Row],[Classification]]="Owner´s Equity"),Table818[[#This Row],[Credit.]]&gt;Table818[[#This Row],[Debit\]]),Table818[[#This Row],[Credit.]]-Table818[[#This Row],[Debit\]],""),"")</f>
        <v/>
      </c>
    </row>
    <row r="128" spans="2:34" x14ac:dyDescent="0.25">
      <c r="B128" s="34"/>
      <c r="C128" s="45"/>
      <c r="D128" s="34"/>
      <c r="E128" s="34"/>
      <c r="G128" s="39"/>
      <c r="H128" s="43"/>
      <c r="I128" s="41"/>
      <c r="J128" s="41"/>
      <c r="L128" s="34">
        <v>121</v>
      </c>
      <c r="M128" s="35"/>
      <c r="N128" s="35"/>
      <c r="O128" s="34">
        <f>IFERROR(SUMIF(Table415[,],Table617[[#This Row],[Accounts Name]],Table415[,3]),"")</f>
        <v>0</v>
      </c>
      <c r="P128" s="34">
        <f>IFERROR(SUMIF(Table415[,],Table617[[#This Row],[Accounts Name]],Table415[,2]),"")</f>
        <v>0</v>
      </c>
      <c r="S128" s="36">
        <f t="shared" si="1"/>
        <v>121</v>
      </c>
      <c r="T128" s="34"/>
      <c r="U128" s="37"/>
      <c r="V128" s="34">
        <f>IFERROR(SUMIF(Table617[Sub-Accounts],Table818[[#This Row],[Update your chart of accounts here]],Table617[Debit]),"")</f>
        <v>0</v>
      </c>
      <c r="W128" s="34">
        <f>IFERROR(SUMIF(Table617[Sub-Accounts],Table818[[#This Row],[Update your chart of accounts here]],Table617[Credit]),"")</f>
        <v>0</v>
      </c>
      <c r="X128" s="34"/>
      <c r="Y128" s="34"/>
      <c r="Z128" s="34"/>
      <c r="AA128" s="34"/>
      <c r="AB128" s="34">
        <f>MAX(Table818[[#This Row],[Debit]]+Table818[[#This Row],[Debit -]]-Table818[[#This Row],[Credit]]-Table818[[#This Row],[Credit +]],0)</f>
        <v>0</v>
      </c>
      <c r="AC128" s="34">
        <f>MAX(Table818[[#This Row],[Credit]]-Table818[[#This Row],[Debit]]+Table818[[#This Row],[Credit +]]-Table818[[#This Row],[Debit -]],0)</f>
        <v>0</v>
      </c>
      <c r="AD128" s="34" t="str">
        <f>IFERROR(IF(AND(OR(Table818[[#This Row],[Classification]]="Expense",Table818[[#This Row],[Classification]]="Cost of Goods Sold"),Table818[[#This Row],[Debit\]]&gt;Table818[[#This Row],[Credit.]]),Table818[[#This Row],[Debit\]]-Table818[[#This Row],[Credit.]],""),"")</f>
        <v/>
      </c>
      <c r="AE128" s="34" t="str">
        <f>IFERROR(IF(AND(OR(Table818[[#This Row],[Classification]]="Income",Table818[[#This Row],[Classification]]="Cost of Goods Sold"),Table818[[#This Row],[Credit.]]&gt;Table818[[#This Row],[Debit\]]),Table818[[#This Row],[Credit.]]-Table818[[#This Row],[Debit\]],""),"")</f>
        <v/>
      </c>
      <c r="AF128" s="34"/>
      <c r="AG128" s="34" t="str">
        <f>IFERROR(IF(AND(Table818[[#This Row],[Classification]]="Assets",Table818[[#This Row],[Debit\]]-Table818[[#This Row],[Credit.]]),Table818[[#This Row],[Debit\]]-Table818[[#This Row],[Credit.]],""),"")</f>
        <v/>
      </c>
      <c r="AH128" s="34" t="str">
        <f>IFERROR(IF(AND(OR(Table818[[#This Row],[Classification]]="Liabilities",Table818[[#This Row],[Classification]]="Owner´s Equity"),Table818[[#This Row],[Credit.]]&gt;Table818[[#This Row],[Debit\]]),Table818[[#This Row],[Credit.]]-Table818[[#This Row],[Debit\]],""),"")</f>
        <v/>
      </c>
    </row>
    <row r="129" spans="2:34" x14ac:dyDescent="0.25">
      <c r="B129" s="34"/>
      <c r="C129" s="45"/>
      <c r="D129" s="34"/>
      <c r="E129" s="34"/>
      <c r="G129" s="39"/>
      <c r="H129" s="40"/>
      <c r="I129" s="41"/>
      <c r="J129" s="41"/>
      <c r="L129" s="34">
        <v>122</v>
      </c>
      <c r="M129" s="35"/>
      <c r="N129" s="35"/>
      <c r="O129" s="34">
        <f>IFERROR(SUMIF(Table415[,],Table617[[#This Row],[Accounts Name]],Table415[,3]),"")</f>
        <v>0</v>
      </c>
      <c r="P129" s="34">
        <f>IFERROR(SUMIF(Table415[,],Table617[[#This Row],[Accounts Name]],Table415[,2]),"")</f>
        <v>0</v>
      </c>
      <c r="S129" s="36">
        <f t="shared" si="1"/>
        <v>122</v>
      </c>
      <c r="T129" s="34"/>
      <c r="U129" s="37"/>
      <c r="V129" s="34">
        <f>IFERROR(SUMIF(Table617[Sub-Accounts],Table818[[#This Row],[Update your chart of accounts here]],Table617[Debit]),"")</f>
        <v>0</v>
      </c>
      <c r="W129" s="34">
        <f>IFERROR(SUMIF(Table617[Sub-Accounts],Table818[[#This Row],[Update your chart of accounts here]],Table617[Credit]),"")</f>
        <v>0</v>
      </c>
      <c r="X129" s="34"/>
      <c r="Y129" s="34"/>
      <c r="Z129" s="34"/>
      <c r="AA129" s="34"/>
      <c r="AB129" s="34">
        <f>MAX(Table818[[#This Row],[Debit]]+Table818[[#This Row],[Debit -]]-Table818[[#This Row],[Credit]]-Table818[[#This Row],[Credit +]],0)</f>
        <v>0</v>
      </c>
      <c r="AC129" s="34">
        <f>MAX(Table818[[#This Row],[Credit]]-Table818[[#This Row],[Debit]]+Table818[[#This Row],[Credit +]]-Table818[[#This Row],[Debit -]],0)</f>
        <v>0</v>
      </c>
      <c r="AD129" s="34" t="str">
        <f>IFERROR(IF(AND(OR(Table818[[#This Row],[Classification]]="Expense",Table818[[#This Row],[Classification]]="Cost of Goods Sold"),Table818[[#This Row],[Debit\]]&gt;Table818[[#This Row],[Credit.]]),Table818[[#This Row],[Debit\]]-Table818[[#This Row],[Credit.]],""),"")</f>
        <v/>
      </c>
      <c r="AE129" s="34" t="str">
        <f>IFERROR(IF(AND(OR(Table818[[#This Row],[Classification]]="Income",Table818[[#This Row],[Classification]]="Cost of Goods Sold"),Table818[[#This Row],[Credit.]]&gt;Table818[[#This Row],[Debit\]]),Table818[[#This Row],[Credit.]]-Table818[[#This Row],[Debit\]],""),"")</f>
        <v/>
      </c>
      <c r="AF129" s="34"/>
      <c r="AG129" s="34" t="str">
        <f>IFERROR(IF(AND(Table818[[#This Row],[Classification]]="Assets",Table818[[#This Row],[Debit\]]-Table818[[#This Row],[Credit.]]),Table818[[#This Row],[Debit\]]-Table818[[#This Row],[Credit.]],""),"")</f>
        <v/>
      </c>
      <c r="AH129" s="34" t="str">
        <f>IFERROR(IF(AND(OR(Table818[[#This Row],[Classification]]="Liabilities",Table818[[#This Row],[Classification]]="Owner´s Equity"),Table818[[#This Row],[Credit.]]&gt;Table818[[#This Row],[Debit\]]),Table818[[#This Row],[Credit.]]-Table818[[#This Row],[Debit\]],""),"")</f>
        <v/>
      </c>
    </row>
    <row r="130" spans="2:34" x14ac:dyDescent="0.25">
      <c r="B130" s="34"/>
      <c r="C130" s="45"/>
      <c r="D130" s="34"/>
      <c r="E130" s="34"/>
      <c r="G130" s="39"/>
      <c r="H130" s="40"/>
      <c r="I130" s="41"/>
      <c r="J130" s="41"/>
      <c r="L130" s="34">
        <v>123</v>
      </c>
      <c r="M130" s="35"/>
      <c r="N130" s="35"/>
      <c r="O130" s="34">
        <f>IFERROR(SUMIF(Table415[,],Table617[[#This Row],[Accounts Name]],Table415[,3]),"")</f>
        <v>0</v>
      </c>
      <c r="P130" s="34">
        <f>IFERROR(SUMIF(Table415[,],Table617[[#This Row],[Accounts Name]],Table415[,2]),"")</f>
        <v>0</v>
      </c>
      <c r="S130" s="36">
        <f t="shared" si="1"/>
        <v>123</v>
      </c>
      <c r="T130" s="34"/>
      <c r="U130" s="37"/>
      <c r="V130" s="34">
        <f>IFERROR(SUMIF(Table617[Sub-Accounts],Table818[[#This Row],[Update your chart of accounts here]],Table617[Debit]),"")</f>
        <v>0</v>
      </c>
      <c r="W130" s="34">
        <f>IFERROR(SUMIF(Table617[Sub-Accounts],Table818[[#This Row],[Update your chart of accounts here]],Table617[Credit]),"")</f>
        <v>0</v>
      </c>
      <c r="X130" s="34"/>
      <c r="Y130" s="34"/>
      <c r="Z130" s="34"/>
      <c r="AA130" s="34"/>
      <c r="AB130" s="34">
        <f>MAX(Table818[[#This Row],[Debit]]+Table818[[#This Row],[Debit -]]-Table818[[#This Row],[Credit]]-Table818[[#This Row],[Credit +]],0)</f>
        <v>0</v>
      </c>
      <c r="AC130" s="34">
        <f>MAX(Table818[[#This Row],[Credit]]-Table818[[#This Row],[Debit]]+Table818[[#This Row],[Credit +]]-Table818[[#This Row],[Debit -]],0)</f>
        <v>0</v>
      </c>
      <c r="AD130" s="34" t="str">
        <f>IFERROR(IF(AND(OR(Table818[[#This Row],[Classification]]="Expense",Table818[[#This Row],[Classification]]="Cost of Goods Sold"),Table818[[#This Row],[Debit\]]&gt;Table818[[#This Row],[Credit.]]),Table818[[#This Row],[Debit\]]-Table818[[#This Row],[Credit.]],""),"")</f>
        <v/>
      </c>
      <c r="AE130" s="34" t="str">
        <f>IFERROR(IF(AND(OR(Table818[[#This Row],[Classification]]="Income",Table818[[#This Row],[Classification]]="Cost of Goods Sold"),Table818[[#This Row],[Credit.]]&gt;Table818[[#This Row],[Debit\]]),Table818[[#This Row],[Credit.]]-Table818[[#This Row],[Debit\]],""),"")</f>
        <v/>
      </c>
      <c r="AF130" s="34"/>
      <c r="AG130" s="34" t="str">
        <f>IFERROR(IF(AND(Table818[[#This Row],[Classification]]="Assets",Table818[[#This Row],[Debit\]]-Table818[[#This Row],[Credit.]]),Table818[[#This Row],[Debit\]]-Table818[[#This Row],[Credit.]],""),"")</f>
        <v/>
      </c>
      <c r="AH130" s="34" t="str">
        <f>IFERROR(IF(AND(OR(Table818[[#This Row],[Classification]]="Liabilities",Table818[[#This Row],[Classification]]="Owner´s Equity"),Table818[[#This Row],[Credit.]]&gt;Table818[[#This Row],[Debit\]]),Table818[[#This Row],[Credit.]]-Table818[[#This Row],[Debit\]],""),"")</f>
        <v/>
      </c>
    </row>
    <row r="131" spans="2:34" x14ac:dyDescent="0.25">
      <c r="B131" s="34"/>
      <c r="C131" s="45"/>
      <c r="D131" s="34"/>
      <c r="E131" s="34"/>
      <c r="G131" s="39"/>
      <c r="H131" s="43"/>
      <c r="I131" s="41"/>
      <c r="J131" s="41"/>
      <c r="L131" s="34">
        <v>124</v>
      </c>
      <c r="M131" s="35"/>
      <c r="N131" s="35"/>
      <c r="O131" s="34">
        <f>IFERROR(SUMIF(Table415[,],Table617[[#This Row],[Accounts Name]],Table415[,3]),"")</f>
        <v>0</v>
      </c>
      <c r="P131" s="34">
        <f>IFERROR(SUMIF(Table415[,],Table617[[#This Row],[Accounts Name]],Table415[,2]),"")</f>
        <v>0</v>
      </c>
      <c r="S131" s="36">
        <f t="shared" si="1"/>
        <v>124</v>
      </c>
      <c r="T131" s="34"/>
      <c r="U131" s="37"/>
      <c r="V131" s="34">
        <f>IFERROR(SUMIF(Table617[Sub-Accounts],Table818[[#This Row],[Update your chart of accounts here]],Table617[Debit]),"")</f>
        <v>0</v>
      </c>
      <c r="W131" s="34">
        <f>IFERROR(SUMIF(Table617[Sub-Accounts],Table818[[#This Row],[Update your chart of accounts here]],Table617[Credit]),"")</f>
        <v>0</v>
      </c>
      <c r="X131" s="34"/>
      <c r="Y131" s="34"/>
      <c r="Z131" s="34"/>
      <c r="AA131" s="34"/>
      <c r="AB131" s="34">
        <f>MAX(Table818[[#This Row],[Debit]]+Table818[[#This Row],[Debit -]]-Table818[[#This Row],[Credit]]-Table818[[#This Row],[Credit +]],0)</f>
        <v>0</v>
      </c>
      <c r="AC131" s="34">
        <f>MAX(Table818[[#This Row],[Credit]]-Table818[[#This Row],[Debit]]+Table818[[#This Row],[Credit +]]-Table818[[#This Row],[Debit -]],0)</f>
        <v>0</v>
      </c>
      <c r="AD131" s="34" t="str">
        <f>IFERROR(IF(AND(OR(Table818[[#This Row],[Classification]]="Expense",Table818[[#This Row],[Classification]]="Cost of Goods Sold"),Table818[[#This Row],[Debit\]]&gt;Table818[[#This Row],[Credit.]]),Table818[[#This Row],[Debit\]]-Table818[[#This Row],[Credit.]],""),"")</f>
        <v/>
      </c>
      <c r="AE131" s="34" t="str">
        <f>IFERROR(IF(AND(OR(Table818[[#This Row],[Classification]]="Income",Table818[[#This Row],[Classification]]="Cost of Goods Sold"),Table818[[#This Row],[Credit.]]&gt;Table818[[#This Row],[Debit\]]),Table818[[#This Row],[Credit.]]-Table818[[#This Row],[Debit\]],""),"")</f>
        <v/>
      </c>
      <c r="AF131" s="34"/>
      <c r="AG131" s="34" t="str">
        <f>IFERROR(IF(AND(Table818[[#This Row],[Classification]]="Assets",Table818[[#This Row],[Debit\]]-Table818[[#This Row],[Credit.]]),Table818[[#This Row],[Debit\]]-Table818[[#This Row],[Credit.]],""),"")</f>
        <v/>
      </c>
      <c r="AH131" s="34" t="str">
        <f>IFERROR(IF(AND(OR(Table818[[#This Row],[Classification]]="Liabilities",Table818[[#This Row],[Classification]]="Owner´s Equity"),Table818[[#This Row],[Credit.]]&gt;Table818[[#This Row],[Debit\]]),Table818[[#This Row],[Credit.]]-Table818[[#This Row],[Debit\]],""),"")</f>
        <v/>
      </c>
    </row>
    <row r="132" spans="2:34" x14ac:dyDescent="0.25">
      <c r="B132" s="34"/>
      <c r="C132" s="45"/>
      <c r="D132" s="34"/>
      <c r="E132" s="34"/>
      <c r="G132" s="39"/>
      <c r="H132" s="40"/>
      <c r="I132" s="41"/>
      <c r="J132" s="41"/>
      <c r="L132" s="34">
        <v>125</v>
      </c>
      <c r="M132" s="35"/>
      <c r="N132" s="35"/>
      <c r="O132" s="34">
        <f>IFERROR(SUMIF(Table415[,],Table617[[#This Row],[Accounts Name]],Table415[,3]),"")</f>
        <v>0</v>
      </c>
      <c r="P132" s="34">
        <f>IFERROR(SUMIF(Table415[,],Table617[[#This Row],[Accounts Name]],Table415[,2]),"")</f>
        <v>0</v>
      </c>
      <c r="S132" s="36">
        <f t="shared" si="1"/>
        <v>125</v>
      </c>
      <c r="T132" s="34"/>
      <c r="U132" s="37"/>
      <c r="V132" s="34">
        <f>IFERROR(SUMIF(Table617[Sub-Accounts],Table818[[#This Row],[Update your chart of accounts here]],Table617[Debit]),"")</f>
        <v>0</v>
      </c>
      <c r="W132" s="34">
        <f>IFERROR(SUMIF(Table617[Sub-Accounts],Table818[[#This Row],[Update your chart of accounts here]],Table617[Credit]),"")</f>
        <v>0</v>
      </c>
      <c r="X132" s="34"/>
      <c r="Y132" s="34"/>
      <c r="Z132" s="34"/>
      <c r="AA132" s="34"/>
      <c r="AB132" s="34">
        <f>MAX(Table818[[#This Row],[Debit]]+Table818[[#This Row],[Debit -]]-Table818[[#This Row],[Credit]]-Table818[[#This Row],[Credit +]],0)</f>
        <v>0</v>
      </c>
      <c r="AC132" s="34">
        <f>MAX(Table818[[#This Row],[Credit]]-Table818[[#This Row],[Debit]]+Table818[[#This Row],[Credit +]]-Table818[[#This Row],[Debit -]],0)</f>
        <v>0</v>
      </c>
      <c r="AD132" s="34" t="str">
        <f>IFERROR(IF(AND(OR(Table818[[#This Row],[Classification]]="Expense",Table818[[#This Row],[Classification]]="Cost of Goods Sold"),Table818[[#This Row],[Debit\]]&gt;Table818[[#This Row],[Credit.]]),Table818[[#This Row],[Debit\]]-Table818[[#This Row],[Credit.]],""),"")</f>
        <v/>
      </c>
      <c r="AE132" s="34" t="str">
        <f>IFERROR(IF(AND(OR(Table818[[#This Row],[Classification]]="Income",Table818[[#This Row],[Classification]]="Cost of Goods Sold"),Table818[[#This Row],[Credit.]]&gt;Table818[[#This Row],[Debit\]]),Table818[[#This Row],[Credit.]]-Table818[[#This Row],[Debit\]],""),"")</f>
        <v/>
      </c>
      <c r="AF132" s="34"/>
      <c r="AG132" s="34" t="str">
        <f>IFERROR(IF(AND(Table818[[#This Row],[Classification]]="Assets",Table818[[#This Row],[Debit\]]-Table818[[#This Row],[Credit.]]),Table818[[#This Row],[Debit\]]-Table818[[#This Row],[Credit.]],""),"")</f>
        <v/>
      </c>
      <c r="AH132" s="34" t="str">
        <f>IFERROR(IF(AND(OR(Table818[[#This Row],[Classification]]="Liabilities",Table818[[#This Row],[Classification]]="Owner´s Equity"),Table818[[#This Row],[Credit.]]&gt;Table818[[#This Row],[Debit\]]),Table818[[#This Row],[Credit.]]-Table818[[#This Row],[Debit\]],""),"")</f>
        <v/>
      </c>
    </row>
    <row r="133" spans="2:34" x14ac:dyDescent="0.25">
      <c r="B133" s="34"/>
      <c r="C133" s="45"/>
      <c r="D133" s="34"/>
      <c r="E133" s="34"/>
      <c r="G133" s="39"/>
      <c r="H133" s="40"/>
      <c r="I133" s="41"/>
      <c r="J133" s="41"/>
      <c r="L133" s="34">
        <v>126</v>
      </c>
      <c r="M133" s="35"/>
      <c r="N133" s="35"/>
      <c r="O133" s="34">
        <f>IFERROR(SUMIF(Table415[,],Table617[[#This Row],[Accounts Name]],Table415[,3]),"")</f>
        <v>0</v>
      </c>
      <c r="P133" s="34">
        <f>IFERROR(SUMIF(Table415[,],Table617[[#This Row],[Accounts Name]],Table415[,2]),"")</f>
        <v>0</v>
      </c>
      <c r="S133" s="36">
        <f t="shared" si="1"/>
        <v>126</v>
      </c>
      <c r="T133" s="34"/>
      <c r="U133" s="37"/>
      <c r="V133" s="34">
        <f>IFERROR(SUMIF(Table617[Sub-Accounts],Table818[[#This Row],[Update your chart of accounts here]],Table617[Debit]),"")</f>
        <v>0</v>
      </c>
      <c r="W133" s="34">
        <f>IFERROR(SUMIF(Table617[Sub-Accounts],Table818[[#This Row],[Update your chart of accounts here]],Table617[Credit]),"")</f>
        <v>0</v>
      </c>
      <c r="X133" s="34"/>
      <c r="Y133" s="34"/>
      <c r="Z133" s="34"/>
      <c r="AA133" s="34"/>
      <c r="AB133" s="34">
        <f>MAX(Table818[[#This Row],[Debit]]+Table818[[#This Row],[Debit -]]-Table818[[#This Row],[Credit]]-Table818[[#This Row],[Credit +]],0)</f>
        <v>0</v>
      </c>
      <c r="AC133" s="34">
        <f>MAX(Table818[[#This Row],[Credit]]-Table818[[#This Row],[Debit]]+Table818[[#This Row],[Credit +]]-Table818[[#This Row],[Debit -]],0)</f>
        <v>0</v>
      </c>
      <c r="AD133" s="34" t="str">
        <f>IFERROR(IF(AND(OR(Table818[[#This Row],[Classification]]="Expense",Table818[[#This Row],[Classification]]="Cost of Goods Sold"),Table818[[#This Row],[Debit\]]&gt;Table818[[#This Row],[Credit.]]),Table818[[#This Row],[Debit\]]-Table818[[#This Row],[Credit.]],""),"")</f>
        <v/>
      </c>
      <c r="AE133" s="34" t="str">
        <f>IFERROR(IF(AND(OR(Table818[[#This Row],[Classification]]="Income",Table818[[#This Row],[Classification]]="Cost of Goods Sold"),Table818[[#This Row],[Credit.]]&gt;Table818[[#This Row],[Debit\]]),Table818[[#This Row],[Credit.]]-Table818[[#This Row],[Debit\]],""),"")</f>
        <v/>
      </c>
      <c r="AF133" s="34"/>
      <c r="AG133" s="34" t="str">
        <f>IFERROR(IF(AND(Table818[[#This Row],[Classification]]="Assets",Table818[[#This Row],[Debit\]]-Table818[[#This Row],[Credit.]]),Table818[[#This Row],[Debit\]]-Table818[[#This Row],[Credit.]],""),"")</f>
        <v/>
      </c>
      <c r="AH133" s="34" t="str">
        <f>IFERROR(IF(AND(OR(Table818[[#This Row],[Classification]]="Liabilities",Table818[[#This Row],[Classification]]="Owner´s Equity"),Table818[[#This Row],[Credit.]]&gt;Table818[[#This Row],[Debit\]]),Table818[[#This Row],[Credit.]]-Table818[[#This Row],[Debit\]],""),"")</f>
        <v/>
      </c>
    </row>
    <row r="134" spans="2:34" x14ac:dyDescent="0.25">
      <c r="B134" s="34"/>
      <c r="C134" s="45"/>
      <c r="D134" s="34"/>
      <c r="E134" s="34"/>
      <c r="G134" s="39"/>
      <c r="H134" s="43"/>
      <c r="I134" s="41"/>
      <c r="J134" s="41"/>
      <c r="L134" s="34">
        <v>127</v>
      </c>
      <c r="M134" s="35"/>
      <c r="N134" s="35"/>
      <c r="O134" s="34">
        <f>IFERROR(SUMIF(Table415[,],Table617[[#This Row],[Accounts Name]],Table415[,3]),"")</f>
        <v>0</v>
      </c>
      <c r="P134" s="34">
        <f>IFERROR(SUMIF(Table415[,],Table617[[#This Row],[Accounts Name]],Table415[,2]),"")</f>
        <v>0</v>
      </c>
      <c r="S134" s="36">
        <f t="shared" si="1"/>
        <v>127</v>
      </c>
      <c r="T134" s="34"/>
      <c r="U134" s="37"/>
      <c r="V134" s="34">
        <f>IFERROR(SUMIF(Table617[Sub-Accounts],Table818[[#This Row],[Update your chart of accounts here]],Table617[Debit]),"")</f>
        <v>0</v>
      </c>
      <c r="W134" s="34">
        <f>IFERROR(SUMIF(Table617[Sub-Accounts],Table818[[#This Row],[Update your chart of accounts here]],Table617[Credit]),"")</f>
        <v>0</v>
      </c>
      <c r="X134" s="34"/>
      <c r="Y134" s="34"/>
      <c r="Z134" s="34"/>
      <c r="AA134" s="34"/>
      <c r="AB134" s="34">
        <f>MAX(Table818[[#This Row],[Debit]]+Table818[[#This Row],[Debit -]]-Table818[[#This Row],[Credit]]-Table818[[#This Row],[Credit +]],0)</f>
        <v>0</v>
      </c>
      <c r="AC134" s="34">
        <f>MAX(Table818[[#This Row],[Credit]]-Table818[[#This Row],[Debit]]+Table818[[#This Row],[Credit +]]-Table818[[#This Row],[Debit -]],0)</f>
        <v>0</v>
      </c>
      <c r="AD134" s="34" t="str">
        <f>IFERROR(IF(AND(OR(Table818[[#This Row],[Classification]]="Expense",Table818[[#This Row],[Classification]]="Cost of Goods Sold"),Table818[[#This Row],[Debit\]]&gt;Table818[[#This Row],[Credit.]]),Table818[[#This Row],[Debit\]]-Table818[[#This Row],[Credit.]],""),"")</f>
        <v/>
      </c>
      <c r="AE134" s="34" t="str">
        <f>IFERROR(IF(AND(OR(Table818[[#This Row],[Classification]]="Income",Table818[[#This Row],[Classification]]="Cost of Goods Sold"),Table818[[#This Row],[Credit.]]&gt;Table818[[#This Row],[Debit\]]),Table818[[#This Row],[Credit.]]-Table818[[#This Row],[Debit\]],""),"")</f>
        <v/>
      </c>
      <c r="AF134" s="34"/>
      <c r="AG134" s="34" t="str">
        <f>IFERROR(IF(AND(Table818[[#This Row],[Classification]]="Assets",Table818[[#This Row],[Debit\]]-Table818[[#This Row],[Credit.]]),Table818[[#This Row],[Debit\]]-Table818[[#This Row],[Credit.]],""),"")</f>
        <v/>
      </c>
      <c r="AH134" s="34" t="str">
        <f>IFERROR(IF(AND(OR(Table818[[#This Row],[Classification]]="Liabilities",Table818[[#This Row],[Classification]]="Owner´s Equity"),Table818[[#This Row],[Credit.]]&gt;Table818[[#This Row],[Debit\]]),Table818[[#This Row],[Credit.]]-Table818[[#This Row],[Debit\]],""),"")</f>
        <v/>
      </c>
    </row>
    <row r="135" spans="2:34" x14ac:dyDescent="0.25">
      <c r="B135" s="34"/>
      <c r="C135" s="45"/>
      <c r="D135" s="34"/>
      <c r="E135" s="34"/>
      <c r="G135" s="39"/>
      <c r="H135" s="40"/>
      <c r="I135" s="41"/>
      <c r="J135" s="41"/>
      <c r="L135" s="34">
        <v>128</v>
      </c>
      <c r="M135" s="35"/>
      <c r="N135" s="35"/>
      <c r="O135" s="34">
        <f>IFERROR(SUMIF(Table415[,],Table617[[#This Row],[Accounts Name]],Table415[,3]),"")</f>
        <v>0</v>
      </c>
      <c r="P135" s="34">
        <f>IFERROR(SUMIF(Table415[,],Table617[[#This Row],[Accounts Name]],Table415[,2]),"")</f>
        <v>0</v>
      </c>
      <c r="S135" s="36">
        <f t="shared" si="1"/>
        <v>128</v>
      </c>
      <c r="T135" s="34"/>
      <c r="U135" s="37"/>
      <c r="V135" s="34">
        <f>IFERROR(SUMIF(Table617[Sub-Accounts],Table818[[#This Row],[Update your chart of accounts here]],Table617[Debit]),"")</f>
        <v>0</v>
      </c>
      <c r="W135" s="34">
        <f>IFERROR(SUMIF(Table617[Sub-Accounts],Table818[[#This Row],[Update your chart of accounts here]],Table617[Credit]),"")</f>
        <v>0</v>
      </c>
      <c r="X135" s="34"/>
      <c r="Y135" s="34"/>
      <c r="Z135" s="34"/>
      <c r="AA135" s="34"/>
      <c r="AB135" s="34">
        <f>MAX(Table818[[#This Row],[Debit]]+Table818[[#This Row],[Debit -]]-Table818[[#This Row],[Credit]]-Table818[[#This Row],[Credit +]],0)</f>
        <v>0</v>
      </c>
      <c r="AC135" s="34">
        <f>MAX(Table818[[#This Row],[Credit]]-Table818[[#This Row],[Debit]]+Table818[[#This Row],[Credit +]]-Table818[[#This Row],[Debit -]],0)</f>
        <v>0</v>
      </c>
      <c r="AD135" s="34" t="str">
        <f>IFERROR(IF(AND(OR(Table818[[#This Row],[Classification]]="Expense",Table818[[#This Row],[Classification]]="Cost of Goods Sold"),Table818[[#This Row],[Debit\]]&gt;Table818[[#This Row],[Credit.]]),Table818[[#This Row],[Debit\]]-Table818[[#This Row],[Credit.]],""),"")</f>
        <v/>
      </c>
      <c r="AE135" s="34" t="str">
        <f>IFERROR(IF(AND(OR(Table818[[#This Row],[Classification]]="Income",Table818[[#This Row],[Classification]]="Cost of Goods Sold"),Table818[[#This Row],[Credit.]]&gt;Table818[[#This Row],[Debit\]]),Table818[[#This Row],[Credit.]]-Table818[[#This Row],[Debit\]],""),"")</f>
        <v/>
      </c>
      <c r="AF135" s="34"/>
      <c r="AG135" s="34" t="str">
        <f>IFERROR(IF(AND(Table818[[#This Row],[Classification]]="Assets",Table818[[#This Row],[Debit\]]-Table818[[#This Row],[Credit.]]),Table818[[#This Row],[Debit\]]-Table818[[#This Row],[Credit.]],""),"")</f>
        <v/>
      </c>
      <c r="AH135" s="34" t="str">
        <f>IFERROR(IF(AND(OR(Table818[[#This Row],[Classification]]="Liabilities",Table818[[#This Row],[Classification]]="Owner´s Equity"),Table818[[#This Row],[Credit.]]&gt;Table818[[#This Row],[Debit\]]),Table818[[#This Row],[Credit.]]-Table818[[#This Row],[Debit\]],""),"")</f>
        <v/>
      </c>
    </row>
    <row r="136" spans="2:34" x14ac:dyDescent="0.25">
      <c r="B136" s="34"/>
      <c r="C136" s="45"/>
      <c r="D136" s="34"/>
      <c r="E136" s="34"/>
      <c r="G136" s="39"/>
      <c r="H136" s="40"/>
      <c r="I136" s="41"/>
      <c r="J136" s="41"/>
      <c r="L136" s="34">
        <v>129</v>
      </c>
      <c r="M136" s="35"/>
      <c r="N136" s="35"/>
      <c r="O136" s="34">
        <f>IFERROR(SUMIF(Table415[,],Table617[[#This Row],[Accounts Name]],Table415[,3]),"")</f>
        <v>0</v>
      </c>
      <c r="P136" s="34">
        <f>IFERROR(SUMIF(Table415[,],Table617[[#This Row],[Accounts Name]],Table415[,2]),"")</f>
        <v>0</v>
      </c>
      <c r="S136" s="36">
        <f t="shared" si="1"/>
        <v>129</v>
      </c>
      <c r="T136" s="34"/>
      <c r="U136" s="37"/>
      <c r="V136" s="34">
        <f>IFERROR(SUMIF(Table617[Sub-Accounts],Table818[[#This Row],[Update your chart of accounts here]],Table617[Debit]),"")</f>
        <v>0</v>
      </c>
      <c r="W136" s="34">
        <f>IFERROR(SUMIF(Table617[Sub-Accounts],Table818[[#This Row],[Update your chart of accounts here]],Table617[Credit]),"")</f>
        <v>0</v>
      </c>
      <c r="X136" s="34"/>
      <c r="Y136" s="34"/>
      <c r="Z136" s="34"/>
      <c r="AA136" s="34"/>
      <c r="AB136" s="34">
        <f>MAX(Table818[[#This Row],[Debit]]+Table818[[#This Row],[Debit -]]-Table818[[#This Row],[Credit]]-Table818[[#This Row],[Credit +]],0)</f>
        <v>0</v>
      </c>
      <c r="AC136" s="34">
        <f>MAX(Table818[[#This Row],[Credit]]-Table818[[#This Row],[Debit]]+Table818[[#This Row],[Credit +]]-Table818[[#This Row],[Debit -]],0)</f>
        <v>0</v>
      </c>
      <c r="AD136" s="34" t="str">
        <f>IFERROR(IF(AND(OR(Table818[[#This Row],[Classification]]="Expense",Table818[[#This Row],[Classification]]="Cost of Goods Sold"),Table818[[#This Row],[Debit\]]&gt;Table818[[#This Row],[Credit.]]),Table818[[#This Row],[Debit\]]-Table818[[#This Row],[Credit.]],""),"")</f>
        <v/>
      </c>
      <c r="AE136" s="34" t="str">
        <f>IFERROR(IF(AND(OR(Table818[[#This Row],[Classification]]="Income",Table818[[#This Row],[Classification]]="Cost of Goods Sold"),Table818[[#This Row],[Credit.]]&gt;Table818[[#This Row],[Debit\]]),Table818[[#This Row],[Credit.]]-Table818[[#This Row],[Debit\]],""),"")</f>
        <v/>
      </c>
      <c r="AF136" s="34"/>
      <c r="AG136" s="34" t="str">
        <f>IFERROR(IF(AND(Table818[[#This Row],[Classification]]="Assets",Table818[[#This Row],[Debit\]]-Table818[[#This Row],[Credit.]]),Table818[[#This Row],[Debit\]]-Table818[[#This Row],[Credit.]],""),"")</f>
        <v/>
      </c>
      <c r="AH136" s="34" t="str">
        <f>IFERROR(IF(AND(OR(Table818[[#This Row],[Classification]]="Liabilities",Table818[[#This Row],[Classification]]="Owner´s Equity"),Table818[[#This Row],[Credit.]]&gt;Table818[[#This Row],[Debit\]]),Table818[[#This Row],[Credit.]]-Table818[[#This Row],[Debit\]],""),"")</f>
        <v/>
      </c>
    </row>
    <row r="137" spans="2:34" x14ac:dyDescent="0.25">
      <c r="B137" s="34"/>
      <c r="C137" s="45"/>
      <c r="D137" s="34"/>
      <c r="E137" s="34"/>
      <c r="G137" s="39"/>
      <c r="H137" s="43"/>
      <c r="I137" s="41"/>
      <c r="J137" s="41"/>
      <c r="L137" s="34">
        <v>130</v>
      </c>
      <c r="M137" s="35"/>
      <c r="N137" s="35"/>
      <c r="O137" s="34">
        <f>IFERROR(SUMIF(Table415[,],Table617[[#This Row],[Accounts Name]],Table415[,3]),"")</f>
        <v>0</v>
      </c>
      <c r="P137" s="34">
        <f>IFERROR(SUMIF(Table415[,],Table617[[#This Row],[Accounts Name]],Table415[,2]),"")</f>
        <v>0</v>
      </c>
      <c r="S137" s="36">
        <f t="shared" si="1"/>
        <v>130</v>
      </c>
      <c r="T137" s="34"/>
      <c r="U137" s="37"/>
      <c r="V137" s="34">
        <f>IFERROR(SUMIF(Table617[Sub-Accounts],Table818[[#This Row],[Update your chart of accounts here]],Table617[Debit]),"")</f>
        <v>0</v>
      </c>
      <c r="W137" s="34">
        <f>IFERROR(SUMIF(Table617[Sub-Accounts],Table818[[#This Row],[Update your chart of accounts here]],Table617[Credit]),"")</f>
        <v>0</v>
      </c>
      <c r="X137" s="34"/>
      <c r="Y137" s="34"/>
      <c r="Z137" s="34"/>
      <c r="AA137" s="34"/>
      <c r="AB137" s="34">
        <f>MAX(Table818[[#This Row],[Debit]]+Table818[[#This Row],[Debit -]]-Table818[[#This Row],[Credit]]-Table818[[#This Row],[Credit +]],0)</f>
        <v>0</v>
      </c>
      <c r="AC137" s="34">
        <f>MAX(Table818[[#This Row],[Credit]]-Table818[[#This Row],[Debit]]+Table818[[#This Row],[Credit +]]-Table818[[#This Row],[Debit -]],0)</f>
        <v>0</v>
      </c>
      <c r="AD137" s="34" t="str">
        <f>IFERROR(IF(AND(OR(Table818[[#This Row],[Classification]]="Expense",Table818[[#This Row],[Classification]]="Cost of Goods Sold"),Table818[[#This Row],[Debit\]]&gt;Table818[[#This Row],[Credit.]]),Table818[[#This Row],[Debit\]]-Table818[[#This Row],[Credit.]],""),"")</f>
        <v/>
      </c>
      <c r="AE137" s="34" t="str">
        <f>IFERROR(IF(AND(OR(Table818[[#This Row],[Classification]]="Income",Table818[[#This Row],[Classification]]="Cost of Goods Sold"),Table818[[#This Row],[Credit.]]&gt;Table818[[#This Row],[Debit\]]),Table818[[#This Row],[Credit.]]-Table818[[#This Row],[Debit\]],""),"")</f>
        <v/>
      </c>
      <c r="AF137" s="34"/>
      <c r="AG137" s="34" t="str">
        <f>IFERROR(IF(AND(Table818[[#This Row],[Classification]]="Assets",Table818[[#This Row],[Debit\]]-Table818[[#This Row],[Credit.]]),Table818[[#This Row],[Debit\]]-Table818[[#This Row],[Credit.]],""),"")</f>
        <v/>
      </c>
      <c r="AH137" s="34" t="str">
        <f>IFERROR(IF(AND(OR(Table818[[#This Row],[Classification]]="Liabilities",Table818[[#This Row],[Classification]]="Owner´s Equity"),Table818[[#This Row],[Credit.]]&gt;Table818[[#This Row],[Debit\]]),Table818[[#This Row],[Credit.]]-Table818[[#This Row],[Debit\]],""),"")</f>
        <v/>
      </c>
    </row>
    <row r="138" spans="2:34" x14ac:dyDescent="0.25">
      <c r="B138" s="34"/>
      <c r="C138" s="45"/>
      <c r="D138" s="34"/>
      <c r="E138" s="34"/>
      <c r="G138" s="39"/>
      <c r="H138" s="40"/>
      <c r="I138" s="41"/>
      <c r="J138" s="41"/>
      <c r="L138" s="34">
        <v>131</v>
      </c>
      <c r="M138" s="35"/>
      <c r="N138" s="35"/>
      <c r="O138" s="34">
        <f>IFERROR(SUMIF(Table415[,],Table617[[#This Row],[Accounts Name]],Table415[,3]),"")</f>
        <v>0</v>
      </c>
      <c r="P138" s="34">
        <f>IFERROR(SUMIF(Table415[,],Table617[[#This Row],[Accounts Name]],Table415[,2]),"")</f>
        <v>0</v>
      </c>
      <c r="S138" s="36">
        <f t="shared" ref="S138:S200" si="2">S137+1</f>
        <v>131</v>
      </c>
      <c r="T138" s="34"/>
      <c r="U138" s="37"/>
      <c r="V138" s="34">
        <f>IFERROR(SUMIF(Table617[Sub-Accounts],Table818[[#This Row],[Update your chart of accounts here]],Table617[Debit]),"")</f>
        <v>0</v>
      </c>
      <c r="W138" s="34">
        <f>IFERROR(SUMIF(Table617[Sub-Accounts],Table818[[#This Row],[Update your chart of accounts here]],Table617[Credit]),"")</f>
        <v>0</v>
      </c>
      <c r="X138" s="34"/>
      <c r="Y138" s="34"/>
      <c r="Z138" s="34"/>
      <c r="AA138" s="34"/>
      <c r="AB138" s="34">
        <f>MAX(Table818[[#This Row],[Debit]]+Table818[[#This Row],[Debit -]]-Table818[[#This Row],[Credit]]-Table818[[#This Row],[Credit +]],0)</f>
        <v>0</v>
      </c>
      <c r="AC138" s="34">
        <f>MAX(Table818[[#This Row],[Credit]]-Table818[[#This Row],[Debit]]+Table818[[#This Row],[Credit +]]-Table818[[#This Row],[Debit -]],0)</f>
        <v>0</v>
      </c>
      <c r="AD138" s="34" t="str">
        <f>IFERROR(IF(AND(OR(Table818[[#This Row],[Classification]]="Expense",Table818[[#This Row],[Classification]]="Cost of Goods Sold"),Table818[[#This Row],[Debit\]]&gt;Table818[[#This Row],[Credit.]]),Table818[[#This Row],[Debit\]]-Table818[[#This Row],[Credit.]],""),"")</f>
        <v/>
      </c>
      <c r="AE138" s="34" t="str">
        <f>IFERROR(IF(AND(OR(Table818[[#This Row],[Classification]]="Income",Table818[[#This Row],[Classification]]="Cost of Goods Sold"),Table818[[#This Row],[Credit.]]&gt;Table818[[#This Row],[Debit\]]),Table818[[#This Row],[Credit.]]-Table818[[#This Row],[Debit\]],""),"")</f>
        <v/>
      </c>
      <c r="AF138" s="34"/>
      <c r="AG138" s="34" t="str">
        <f>IFERROR(IF(AND(Table818[[#This Row],[Classification]]="Assets",Table818[[#This Row],[Debit\]]-Table818[[#This Row],[Credit.]]),Table818[[#This Row],[Debit\]]-Table818[[#This Row],[Credit.]],""),"")</f>
        <v/>
      </c>
      <c r="AH138" s="34" t="str">
        <f>IFERROR(IF(AND(OR(Table818[[#This Row],[Classification]]="Liabilities",Table818[[#This Row],[Classification]]="Owner´s Equity"),Table818[[#This Row],[Credit.]]&gt;Table818[[#This Row],[Debit\]]),Table818[[#This Row],[Credit.]]-Table818[[#This Row],[Debit\]],""),"")</f>
        <v/>
      </c>
    </row>
    <row r="139" spans="2:34" x14ac:dyDescent="0.25">
      <c r="B139" s="34"/>
      <c r="C139" s="45"/>
      <c r="D139" s="34"/>
      <c r="E139" s="34"/>
      <c r="G139" s="39"/>
      <c r="H139" s="40"/>
      <c r="I139" s="41"/>
      <c r="J139" s="41"/>
      <c r="L139" s="34">
        <v>132</v>
      </c>
      <c r="M139" s="35"/>
      <c r="N139" s="35"/>
      <c r="O139" s="34">
        <f>IFERROR(SUMIF(Table415[,],Table617[[#This Row],[Accounts Name]],Table415[,3]),"")</f>
        <v>0</v>
      </c>
      <c r="P139" s="34">
        <f>IFERROR(SUMIF(Table415[,],Table617[[#This Row],[Accounts Name]],Table415[,2]),"")</f>
        <v>0</v>
      </c>
      <c r="S139" s="36">
        <f t="shared" si="2"/>
        <v>132</v>
      </c>
      <c r="T139" s="34"/>
      <c r="U139" s="37"/>
      <c r="V139" s="34">
        <f>IFERROR(SUMIF(Table617[Sub-Accounts],Table818[[#This Row],[Update your chart of accounts here]],Table617[Debit]),"")</f>
        <v>0</v>
      </c>
      <c r="W139" s="34">
        <f>IFERROR(SUMIF(Table617[Sub-Accounts],Table818[[#This Row],[Update your chart of accounts here]],Table617[Credit]),"")</f>
        <v>0</v>
      </c>
      <c r="X139" s="34"/>
      <c r="Y139" s="34"/>
      <c r="Z139" s="34"/>
      <c r="AA139" s="34"/>
      <c r="AB139" s="34">
        <f>MAX(Table818[[#This Row],[Debit]]+Table818[[#This Row],[Debit -]]-Table818[[#This Row],[Credit]]-Table818[[#This Row],[Credit +]],0)</f>
        <v>0</v>
      </c>
      <c r="AC139" s="34">
        <f>MAX(Table818[[#This Row],[Credit]]-Table818[[#This Row],[Debit]]+Table818[[#This Row],[Credit +]]-Table818[[#This Row],[Debit -]],0)</f>
        <v>0</v>
      </c>
      <c r="AD139" s="34" t="str">
        <f>IFERROR(IF(AND(OR(Table818[[#This Row],[Classification]]="Expense",Table818[[#This Row],[Classification]]="Cost of Goods Sold"),Table818[[#This Row],[Debit\]]&gt;Table818[[#This Row],[Credit.]]),Table818[[#This Row],[Debit\]]-Table818[[#This Row],[Credit.]],""),"")</f>
        <v/>
      </c>
      <c r="AE139" s="34" t="str">
        <f>IFERROR(IF(AND(OR(Table818[[#This Row],[Classification]]="Income",Table818[[#This Row],[Classification]]="Cost of Goods Sold"),Table818[[#This Row],[Credit.]]&gt;Table818[[#This Row],[Debit\]]),Table818[[#This Row],[Credit.]]-Table818[[#This Row],[Debit\]],""),"")</f>
        <v/>
      </c>
      <c r="AF139" s="34"/>
      <c r="AG139" s="34" t="str">
        <f>IFERROR(IF(AND(Table818[[#This Row],[Classification]]="Assets",Table818[[#This Row],[Debit\]]-Table818[[#This Row],[Credit.]]),Table818[[#This Row],[Debit\]]-Table818[[#This Row],[Credit.]],""),"")</f>
        <v/>
      </c>
      <c r="AH139" s="34" t="str">
        <f>IFERROR(IF(AND(OR(Table818[[#This Row],[Classification]]="Liabilities",Table818[[#This Row],[Classification]]="Owner´s Equity"),Table818[[#This Row],[Credit.]]&gt;Table818[[#This Row],[Debit\]]),Table818[[#This Row],[Credit.]]-Table818[[#This Row],[Debit\]],""),"")</f>
        <v/>
      </c>
    </row>
    <row r="140" spans="2:34" x14ac:dyDescent="0.25">
      <c r="B140" s="34"/>
      <c r="C140" s="45"/>
      <c r="D140" s="34"/>
      <c r="E140" s="34"/>
      <c r="G140" s="39"/>
      <c r="H140" s="43"/>
      <c r="I140" s="41"/>
      <c r="J140" s="41"/>
      <c r="L140" s="34">
        <v>133</v>
      </c>
      <c r="M140" s="35"/>
      <c r="N140" s="35"/>
      <c r="O140" s="34">
        <f>IFERROR(SUMIF(Table415[,],Table617[[#This Row],[Accounts Name]],Table415[,3]),"")</f>
        <v>0</v>
      </c>
      <c r="P140" s="34">
        <f>IFERROR(SUMIF(Table415[,],Table617[[#This Row],[Accounts Name]],Table415[,2]),"")</f>
        <v>0</v>
      </c>
      <c r="S140" s="36">
        <f t="shared" si="2"/>
        <v>133</v>
      </c>
      <c r="T140" s="34"/>
      <c r="U140" s="37"/>
      <c r="V140" s="34">
        <f>IFERROR(SUMIF(Table617[Sub-Accounts],Table818[[#This Row],[Update your chart of accounts here]],Table617[Debit]),"")</f>
        <v>0</v>
      </c>
      <c r="W140" s="34">
        <f>IFERROR(SUMIF(Table617[Sub-Accounts],Table818[[#This Row],[Update your chart of accounts here]],Table617[Credit]),"")</f>
        <v>0</v>
      </c>
      <c r="X140" s="34"/>
      <c r="Y140" s="34"/>
      <c r="Z140" s="34"/>
      <c r="AA140" s="34"/>
      <c r="AB140" s="34">
        <f>MAX(Table818[[#This Row],[Debit]]+Table818[[#This Row],[Debit -]]-Table818[[#This Row],[Credit]]-Table818[[#This Row],[Credit +]],0)</f>
        <v>0</v>
      </c>
      <c r="AC140" s="34">
        <f>MAX(Table818[[#This Row],[Credit]]-Table818[[#This Row],[Debit]]+Table818[[#This Row],[Credit +]]-Table818[[#This Row],[Debit -]],0)</f>
        <v>0</v>
      </c>
      <c r="AD140" s="34" t="str">
        <f>IFERROR(IF(AND(OR(Table818[[#This Row],[Classification]]="Expense",Table818[[#This Row],[Classification]]="Cost of Goods Sold"),Table818[[#This Row],[Debit\]]&gt;Table818[[#This Row],[Credit.]]),Table818[[#This Row],[Debit\]]-Table818[[#This Row],[Credit.]],""),"")</f>
        <v/>
      </c>
      <c r="AE140" s="34" t="str">
        <f>IFERROR(IF(AND(OR(Table818[[#This Row],[Classification]]="Income",Table818[[#This Row],[Classification]]="Cost of Goods Sold"),Table818[[#This Row],[Credit.]]&gt;Table818[[#This Row],[Debit\]]),Table818[[#This Row],[Credit.]]-Table818[[#This Row],[Debit\]],""),"")</f>
        <v/>
      </c>
      <c r="AF140" s="34"/>
      <c r="AG140" s="34" t="str">
        <f>IFERROR(IF(AND(Table818[[#This Row],[Classification]]="Assets",Table818[[#This Row],[Debit\]]-Table818[[#This Row],[Credit.]]),Table818[[#This Row],[Debit\]]-Table818[[#This Row],[Credit.]],""),"")</f>
        <v/>
      </c>
      <c r="AH140" s="34" t="str">
        <f>IFERROR(IF(AND(OR(Table818[[#This Row],[Classification]]="Liabilities",Table818[[#This Row],[Classification]]="Owner´s Equity"),Table818[[#This Row],[Credit.]]&gt;Table818[[#This Row],[Debit\]]),Table818[[#This Row],[Credit.]]-Table818[[#This Row],[Debit\]],""),"")</f>
        <v/>
      </c>
    </row>
    <row r="141" spans="2:34" x14ac:dyDescent="0.25">
      <c r="B141" s="34"/>
      <c r="C141" s="45"/>
      <c r="D141" s="34"/>
      <c r="E141" s="34"/>
      <c r="G141" s="39"/>
      <c r="H141" s="40"/>
      <c r="I141" s="41"/>
      <c r="J141" s="41"/>
      <c r="L141" s="34">
        <v>134</v>
      </c>
      <c r="M141" s="35"/>
      <c r="N141" s="35"/>
      <c r="O141" s="34">
        <f>IFERROR(SUMIF(Table415[,],Table617[[#This Row],[Accounts Name]],Table415[,3]),"")</f>
        <v>0</v>
      </c>
      <c r="P141" s="34">
        <f>IFERROR(SUMIF(Table415[,],Table617[[#This Row],[Accounts Name]],Table415[,2]),"")</f>
        <v>0</v>
      </c>
      <c r="S141" s="36">
        <f t="shared" si="2"/>
        <v>134</v>
      </c>
      <c r="T141" s="34"/>
      <c r="U141" s="37"/>
      <c r="V141" s="34">
        <f>IFERROR(SUMIF(Table617[Sub-Accounts],Table818[[#This Row],[Update your chart of accounts here]],Table617[Debit]),"")</f>
        <v>0</v>
      </c>
      <c r="W141" s="34">
        <f>IFERROR(SUMIF(Table617[Sub-Accounts],Table818[[#This Row],[Update your chart of accounts here]],Table617[Credit]),"")</f>
        <v>0</v>
      </c>
      <c r="X141" s="34"/>
      <c r="Y141" s="34"/>
      <c r="Z141" s="34"/>
      <c r="AA141" s="34"/>
      <c r="AB141" s="34">
        <f>MAX(Table818[[#This Row],[Debit]]+Table818[[#This Row],[Debit -]]-Table818[[#This Row],[Credit]]-Table818[[#This Row],[Credit +]],0)</f>
        <v>0</v>
      </c>
      <c r="AC141" s="34">
        <f>MAX(Table818[[#This Row],[Credit]]-Table818[[#This Row],[Debit]]+Table818[[#This Row],[Credit +]]-Table818[[#This Row],[Debit -]],0)</f>
        <v>0</v>
      </c>
      <c r="AD141" s="34" t="str">
        <f>IFERROR(IF(AND(OR(Table818[[#This Row],[Classification]]="Expense",Table818[[#This Row],[Classification]]="Cost of Goods Sold"),Table818[[#This Row],[Debit\]]&gt;Table818[[#This Row],[Credit.]]),Table818[[#This Row],[Debit\]]-Table818[[#This Row],[Credit.]],""),"")</f>
        <v/>
      </c>
      <c r="AE141" s="34" t="str">
        <f>IFERROR(IF(AND(OR(Table818[[#This Row],[Classification]]="Income",Table818[[#This Row],[Classification]]="Cost of Goods Sold"),Table818[[#This Row],[Credit.]]&gt;Table818[[#This Row],[Debit\]]),Table818[[#This Row],[Credit.]]-Table818[[#This Row],[Debit\]],""),"")</f>
        <v/>
      </c>
      <c r="AF141" s="34"/>
      <c r="AG141" s="34" t="str">
        <f>IFERROR(IF(AND(Table818[[#This Row],[Classification]]="Assets",Table818[[#This Row],[Debit\]]-Table818[[#This Row],[Credit.]]),Table818[[#This Row],[Debit\]]-Table818[[#This Row],[Credit.]],""),"")</f>
        <v/>
      </c>
      <c r="AH141" s="34" t="str">
        <f>IFERROR(IF(AND(OR(Table818[[#This Row],[Classification]]="Liabilities",Table818[[#This Row],[Classification]]="Owner´s Equity"),Table818[[#This Row],[Credit.]]&gt;Table818[[#This Row],[Debit\]]),Table818[[#This Row],[Credit.]]-Table818[[#This Row],[Debit\]],""),"")</f>
        <v/>
      </c>
    </row>
    <row r="142" spans="2:34" x14ac:dyDescent="0.25">
      <c r="B142" s="34"/>
      <c r="C142" s="45"/>
      <c r="D142" s="34"/>
      <c r="E142" s="34"/>
      <c r="G142" s="39"/>
      <c r="H142" s="40"/>
      <c r="I142" s="41"/>
      <c r="J142" s="41"/>
      <c r="L142" s="34">
        <v>135</v>
      </c>
      <c r="M142" s="35"/>
      <c r="N142" s="35"/>
      <c r="O142" s="34">
        <f>IFERROR(SUMIF(Table415[,],Table617[[#This Row],[Accounts Name]],Table415[,3]),"")</f>
        <v>0</v>
      </c>
      <c r="P142" s="34">
        <f>IFERROR(SUMIF(Table415[,],Table617[[#This Row],[Accounts Name]],Table415[,2]),"")</f>
        <v>0</v>
      </c>
      <c r="S142" s="36">
        <f t="shared" si="2"/>
        <v>135</v>
      </c>
      <c r="T142" s="34"/>
      <c r="U142" s="37"/>
      <c r="V142" s="34">
        <f>IFERROR(SUMIF(Table617[Sub-Accounts],Table818[[#This Row],[Update your chart of accounts here]],Table617[Debit]),"")</f>
        <v>0</v>
      </c>
      <c r="W142" s="34">
        <f>IFERROR(SUMIF(Table617[Sub-Accounts],Table818[[#This Row],[Update your chart of accounts here]],Table617[Credit]),"")</f>
        <v>0</v>
      </c>
      <c r="X142" s="34"/>
      <c r="Y142" s="34"/>
      <c r="Z142" s="34"/>
      <c r="AA142" s="34"/>
      <c r="AB142" s="34">
        <f>MAX(Table818[[#This Row],[Debit]]+Table818[[#This Row],[Debit -]]-Table818[[#This Row],[Credit]]-Table818[[#This Row],[Credit +]],0)</f>
        <v>0</v>
      </c>
      <c r="AC142" s="34">
        <f>MAX(Table818[[#This Row],[Credit]]-Table818[[#This Row],[Debit]]+Table818[[#This Row],[Credit +]]-Table818[[#This Row],[Debit -]],0)</f>
        <v>0</v>
      </c>
      <c r="AD142" s="34" t="str">
        <f>IFERROR(IF(AND(OR(Table818[[#This Row],[Classification]]="Expense",Table818[[#This Row],[Classification]]="Cost of Goods Sold"),Table818[[#This Row],[Debit\]]&gt;Table818[[#This Row],[Credit.]]),Table818[[#This Row],[Debit\]]-Table818[[#This Row],[Credit.]],""),"")</f>
        <v/>
      </c>
      <c r="AE142" s="34" t="str">
        <f>IFERROR(IF(AND(OR(Table818[[#This Row],[Classification]]="Income",Table818[[#This Row],[Classification]]="Cost of Goods Sold"),Table818[[#This Row],[Credit.]]&gt;Table818[[#This Row],[Debit\]]),Table818[[#This Row],[Credit.]]-Table818[[#This Row],[Debit\]],""),"")</f>
        <v/>
      </c>
      <c r="AF142" s="34"/>
      <c r="AG142" s="34" t="str">
        <f>IFERROR(IF(AND(Table818[[#This Row],[Classification]]="Assets",Table818[[#This Row],[Debit\]]-Table818[[#This Row],[Credit.]]),Table818[[#This Row],[Debit\]]-Table818[[#This Row],[Credit.]],""),"")</f>
        <v/>
      </c>
      <c r="AH142" s="34" t="str">
        <f>IFERROR(IF(AND(OR(Table818[[#This Row],[Classification]]="Liabilities",Table818[[#This Row],[Classification]]="Owner´s Equity"),Table818[[#This Row],[Credit.]]&gt;Table818[[#This Row],[Debit\]]),Table818[[#This Row],[Credit.]]-Table818[[#This Row],[Debit\]],""),"")</f>
        <v/>
      </c>
    </row>
    <row r="143" spans="2:34" x14ac:dyDescent="0.25">
      <c r="B143" s="34"/>
      <c r="C143" s="45"/>
      <c r="D143" s="34"/>
      <c r="E143" s="34"/>
      <c r="G143" s="39"/>
      <c r="H143" s="43"/>
      <c r="I143" s="41"/>
      <c r="J143" s="41"/>
      <c r="L143" s="34">
        <v>136</v>
      </c>
      <c r="M143" s="35"/>
      <c r="N143" s="35"/>
      <c r="O143" s="34">
        <f>IFERROR(SUMIF(Table415[,],Table617[[#This Row],[Accounts Name]],Table415[,3]),"")</f>
        <v>0</v>
      </c>
      <c r="P143" s="34">
        <f>IFERROR(SUMIF(Table415[,],Table617[[#This Row],[Accounts Name]],Table415[,2]),"")</f>
        <v>0</v>
      </c>
      <c r="S143" s="36">
        <f t="shared" si="2"/>
        <v>136</v>
      </c>
      <c r="T143" s="34"/>
      <c r="U143" s="37"/>
      <c r="V143" s="34">
        <f>IFERROR(SUMIF(Table617[Sub-Accounts],Table818[[#This Row],[Update your chart of accounts here]],Table617[Debit]),"")</f>
        <v>0</v>
      </c>
      <c r="W143" s="34">
        <f>IFERROR(SUMIF(Table617[Sub-Accounts],Table818[[#This Row],[Update your chart of accounts here]],Table617[Credit]),"")</f>
        <v>0</v>
      </c>
      <c r="X143" s="34"/>
      <c r="Y143" s="34"/>
      <c r="Z143" s="34"/>
      <c r="AA143" s="34"/>
      <c r="AB143" s="34">
        <f>MAX(Table818[[#This Row],[Debit]]+Table818[[#This Row],[Debit -]]-Table818[[#This Row],[Credit]]-Table818[[#This Row],[Credit +]],0)</f>
        <v>0</v>
      </c>
      <c r="AC143" s="34">
        <f>MAX(Table818[[#This Row],[Credit]]-Table818[[#This Row],[Debit]]+Table818[[#This Row],[Credit +]]-Table818[[#This Row],[Debit -]],0)</f>
        <v>0</v>
      </c>
      <c r="AD143" s="34" t="str">
        <f>IFERROR(IF(AND(OR(Table818[[#This Row],[Classification]]="Expense",Table818[[#This Row],[Classification]]="Cost of Goods Sold"),Table818[[#This Row],[Debit\]]&gt;Table818[[#This Row],[Credit.]]),Table818[[#This Row],[Debit\]]-Table818[[#This Row],[Credit.]],""),"")</f>
        <v/>
      </c>
      <c r="AE143" s="34" t="str">
        <f>IFERROR(IF(AND(OR(Table818[[#This Row],[Classification]]="Income",Table818[[#This Row],[Classification]]="Cost of Goods Sold"),Table818[[#This Row],[Credit.]]&gt;Table818[[#This Row],[Debit\]]),Table818[[#This Row],[Credit.]]-Table818[[#This Row],[Debit\]],""),"")</f>
        <v/>
      </c>
      <c r="AF143" s="34"/>
      <c r="AG143" s="34" t="str">
        <f>IFERROR(IF(AND(Table818[[#This Row],[Classification]]="Assets",Table818[[#This Row],[Debit\]]-Table818[[#This Row],[Credit.]]),Table818[[#This Row],[Debit\]]-Table818[[#This Row],[Credit.]],""),"")</f>
        <v/>
      </c>
      <c r="AH143" s="34" t="str">
        <f>IFERROR(IF(AND(OR(Table818[[#This Row],[Classification]]="Liabilities",Table818[[#This Row],[Classification]]="Owner´s Equity"),Table818[[#This Row],[Credit.]]&gt;Table818[[#This Row],[Debit\]]),Table818[[#This Row],[Credit.]]-Table818[[#This Row],[Debit\]],""),"")</f>
        <v/>
      </c>
    </row>
    <row r="144" spans="2:34" x14ac:dyDescent="0.25">
      <c r="B144" s="34"/>
      <c r="C144" s="45"/>
      <c r="D144" s="34"/>
      <c r="E144" s="34"/>
      <c r="G144" s="39"/>
      <c r="H144" s="40"/>
      <c r="I144" s="41"/>
      <c r="J144" s="41"/>
      <c r="L144" s="34">
        <v>137</v>
      </c>
      <c r="M144" s="35"/>
      <c r="N144" s="35"/>
      <c r="O144" s="34">
        <f>IFERROR(SUMIF(Table415[,],Table617[[#This Row],[Accounts Name]],Table415[,3]),"")</f>
        <v>0</v>
      </c>
      <c r="P144" s="34">
        <f>IFERROR(SUMIF(Table415[,],Table617[[#This Row],[Accounts Name]],Table415[,2]),"")</f>
        <v>0</v>
      </c>
      <c r="S144" s="36">
        <f t="shared" si="2"/>
        <v>137</v>
      </c>
      <c r="T144" s="34"/>
      <c r="U144" s="37"/>
      <c r="V144" s="34">
        <f>IFERROR(SUMIF(Table617[Sub-Accounts],Table818[[#This Row],[Update your chart of accounts here]],Table617[Debit]),"")</f>
        <v>0</v>
      </c>
      <c r="W144" s="34">
        <f>IFERROR(SUMIF(Table617[Sub-Accounts],Table818[[#This Row],[Update your chart of accounts here]],Table617[Credit]),"")</f>
        <v>0</v>
      </c>
      <c r="X144" s="34"/>
      <c r="Y144" s="34"/>
      <c r="Z144" s="34"/>
      <c r="AA144" s="34"/>
      <c r="AB144" s="34">
        <f>MAX(Table818[[#This Row],[Debit]]+Table818[[#This Row],[Debit -]]-Table818[[#This Row],[Credit]]-Table818[[#This Row],[Credit +]],0)</f>
        <v>0</v>
      </c>
      <c r="AC144" s="34">
        <f>MAX(Table818[[#This Row],[Credit]]-Table818[[#This Row],[Debit]]+Table818[[#This Row],[Credit +]]-Table818[[#This Row],[Debit -]],0)</f>
        <v>0</v>
      </c>
      <c r="AD144" s="34" t="str">
        <f>IFERROR(IF(AND(OR(Table818[[#This Row],[Classification]]="Expense",Table818[[#This Row],[Classification]]="Cost of Goods Sold"),Table818[[#This Row],[Debit\]]&gt;Table818[[#This Row],[Credit.]]),Table818[[#This Row],[Debit\]]-Table818[[#This Row],[Credit.]],""),"")</f>
        <v/>
      </c>
      <c r="AE144" s="34" t="str">
        <f>IFERROR(IF(AND(OR(Table818[[#This Row],[Classification]]="Income",Table818[[#This Row],[Classification]]="Cost of Goods Sold"),Table818[[#This Row],[Credit.]]&gt;Table818[[#This Row],[Debit\]]),Table818[[#This Row],[Credit.]]-Table818[[#This Row],[Debit\]],""),"")</f>
        <v/>
      </c>
      <c r="AF144" s="34"/>
      <c r="AG144" s="34" t="str">
        <f>IFERROR(IF(AND(Table818[[#This Row],[Classification]]="Assets",Table818[[#This Row],[Debit\]]-Table818[[#This Row],[Credit.]]),Table818[[#This Row],[Debit\]]-Table818[[#This Row],[Credit.]],""),"")</f>
        <v/>
      </c>
      <c r="AH144" s="34" t="str">
        <f>IFERROR(IF(AND(OR(Table818[[#This Row],[Classification]]="Liabilities",Table818[[#This Row],[Classification]]="Owner´s Equity"),Table818[[#This Row],[Credit.]]&gt;Table818[[#This Row],[Debit\]]),Table818[[#This Row],[Credit.]]-Table818[[#This Row],[Debit\]],""),"")</f>
        <v/>
      </c>
    </row>
    <row r="145" spans="2:34" x14ac:dyDescent="0.25">
      <c r="B145" s="34"/>
      <c r="C145" s="45"/>
      <c r="D145" s="34"/>
      <c r="E145" s="34"/>
      <c r="G145" s="39"/>
      <c r="H145" s="40"/>
      <c r="I145" s="41"/>
      <c r="J145" s="41"/>
      <c r="L145" s="34">
        <v>138</v>
      </c>
      <c r="M145" s="35"/>
      <c r="N145" s="35"/>
      <c r="O145" s="34">
        <f>IFERROR(SUMIF(Table415[,],Table617[[#This Row],[Accounts Name]],Table415[,3]),"")</f>
        <v>0</v>
      </c>
      <c r="P145" s="34">
        <f>IFERROR(SUMIF(Table415[,],Table617[[#This Row],[Accounts Name]],Table415[,2]),"")</f>
        <v>0</v>
      </c>
      <c r="S145" s="36">
        <f t="shared" si="2"/>
        <v>138</v>
      </c>
      <c r="T145" s="34"/>
      <c r="U145" s="37"/>
      <c r="V145" s="34">
        <f>IFERROR(SUMIF(Table617[Sub-Accounts],Table818[[#This Row],[Update your chart of accounts here]],Table617[Debit]),"")</f>
        <v>0</v>
      </c>
      <c r="W145" s="34">
        <f>IFERROR(SUMIF(Table617[Sub-Accounts],Table818[[#This Row],[Update your chart of accounts here]],Table617[Credit]),"")</f>
        <v>0</v>
      </c>
      <c r="X145" s="34"/>
      <c r="Y145" s="34"/>
      <c r="Z145" s="34"/>
      <c r="AA145" s="34"/>
      <c r="AB145" s="34">
        <f>MAX(Table818[[#This Row],[Debit]]+Table818[[#This Row],[Debit -]]-Table818[[#This Row],[Credit]]-Table818[[#This Row],[Credit +]],0)</f>
        <v>0</v>
      </c>
      <c r="AC145" s="34">
        <f>MAX(Table818[[#This Row],[Credit]]-Table818[[#This Row],[Debit]]+Table818[[#This Row],[Credit +]]-Table818[[#This Row],[Debit -]],0)</f>
        <v>0</v>
      </c>
      <c r="AD145" s="34" t="str">
        <f>IFERROR(IF(AND(OR(Table818[[#This Row],[Classification]]="Expense",Table818[[#This Row],[Classification]]="Cost of Goods Sold"),Table818[[#This Row],[Debit\]]&gt;Table818[[#This Row],[Credit.]]),Table818[[#This Row],[Debit\]]-Table818[[#This Row],[Credit.]],""),"")</f>
        <v/>
      </c>
      <c r="AE145" s="34" t="str">
        <f>IFERROR(IF(AND(OR(Table818[[#This Row],[Classification]]="Income",Table818[[#This Row],[Classification]]="Cost of Goods Sold"),Table818[[#This Row],[Credit.]]&gt;Table818[[#This Row],[Debit\]]),Table818[[#This Row],[Credit.]]-Table818[[#This Row],[Debit\]],""),"")</f>
        <v/>
      </c>
      <c r="AF145" s="34"/>
      <c r="AG145" s="34" t="str">
        <f>IFERROR(IF(AND(Table818[[#This Row],[Classification]]="Assets",Table818[[#This Row],[Debit\]]-Table818[[#This Row],[Credit.]]),Table818[[#This Row],[Debit\]]-Table818[[#This Row],[Credit.]],""),"")</f>
        <v/>
      </c>
      <c r="AH145" s="34" t="str">
        <f>IFERROR(IF(AND(OR(Table818[[#This Row],[Classification]]="Liabilities",Table818[[#This Row],[Classification]]="Owner´s Equity"),Table818[[#This Row],[Credit.]]&gt;Table818[[#This Row],[Debit\]]),Table818[[#This Row],[Credit.]]-Table818[[#This Row],[Debit\]],""),"")</f>
        <v/>
      </c>
    </row>
    <row r="146" spans="2:34" x14ac:dyDescent="0.25">
      <c r="B146" s="34"/>
      <c r="C146" s="45"/>
      <c r="D146" s="34"/>
      <c r="E146" s="34"/>
      <c r="G146" s="39"/>
      <c r="H146" s="43"/>
      <c r="I146" s="41"/>
      <c r="J146" s="41"/>
      <c r="L146" s="34">
        <v>139</v>
      </c>
      <c r="M146" s="35"/>
      <c r="N146" s="35"/>
      <c r="O146" s="34">
        <f>IFERROR(SUMIF(Table415[,],Table617[[#This Row],[Accounts Name]],Table415[,3]),"")</f>
        <v>0</v>
      </c>
      <c r="P146" s="34">
        <f>IFERROR(SUMIF(Table415[,],Table617[[#This Row],[Accounts Name]],Table415[,2]),"")</f>
        <v>0</v>
      </c>
      <c r="S146" s="36">
        <f t="shared" si="2"/>
        <v>139</v>
      </c>
      <c r="T146" s="34"/>
      <c r="U146" s="37"/>
      <c r="V146" s="34">
        <f>IFERROR(SUMIF(Table617[Sub-Accounts],Table818[[#This Row],[Update your chart of accounts here]],Table617[Debit]),"")</f>
        <v>0</v>
      </c>
      <c r="W146" s="34">
        <f>IFERROR(SUMIF(Table617[Sub-Accounts],Table818[[#This Row],[Update your chart of accounts here]],Table617[Credit]),"")</f>
        <v>0</v>
      </c>
      <c r="X146" s="34"/>
      <c r="Y146" s="34"/>
      <c r="Z146" s="34"/>
      <c r="AA146" s="34"/>
      <c r="AB146" s="34">
        <f>MAX(Table818[[#This Row],[Debit]]+Table818[[#This Row],[Debit -]]-Table818[[#This Row],[Credit]]-Table818[[#This Row],[Credit +]],0)</f>
        <v>0</v>
      </c>
      <c r="AC146" s="34">
        <f>MAX(Table818[[#This Row],[Credit]]-Table818[[#This Row],[Debit]]+Table818[[#This Row],[Credit +]]-Table818[[#This Row],[Debit -]],0)</f>
        <v>0</v>
      </c>
      <c r="AD146" s="34" t="str">
        <f>IFERROR(IF(AND(OR(Table818[[#This Row],[Classification]]="Expense",Table818[[#This Row],[Classification]]="Cost of Goods Sold"),Table818[[#This Row],[Debit\]]&gt;Table818[[#This Row],[Credit.]]),Table818[[#This Row],[Debit\]]-Table818[[#This Row],[Credit.]],""),"")</f>
        <v/>
      </c>
      <c r="AE146" s="34" t="str">
        <f>IFERROR(IF(AND(OR(Table818[[#This Row],[Classification]]="Income",Table818[[#This Row],[Classification]]="Cost of Goods Sold"),Table818[[#This Row],[Credit.]]&gt;Table818[[#This Row],[Debit\]]),Table818[[#This Row],[Credit.]]-Table818[[#This Row],[Debit\]],""),"")</f>
        <v/>
      </c>
      <c r="AF146" s="34"/>
      <c r="AG146" s="34" t="str">
        <f>IFERROR(IF(AND(Table818[[#This Row],[Classification]]="Assets",Table818[[#This Row],[Debit\]]-Table818[[#This Row],[Credit.]]),Table818[[#This Row],[Debit\]]-Table818[[#This Row],[Credit.]],""),"")</f>
        <v/>
      </c>
      <c r="AH146" s="34" t="str">
        <f>IFERROR(IF(AND(OR(Table818[[#This Row],[Classification]]="Liabilities",Table818[[#This Row],[Classification]]="Owner´s Equity"),Table818[[#This Row],[Credit.]]&gt;Table818[[#This Row],[Debit\]]),Table818[[#This Row],[Credit.]]-Table818[[#This Row],[Debit\]],""),"")</f>
        <v/>
      </c>
    </row>
    <row r="147" spans="2:34" x14ac:dyDescent="0.25">
      <c r="B147" s="34"/>
      <c r="C147" s="45"/>
      <c r="D147" s="34"/>
      <c r="E147" s="34"/>
      <c r="G147" s="39"/>
      <c r="H147" s="40"/>
      <c r="I147" s="41"/>
      <c r="J147" s="41"/>
      <c r="L147" s="34">
        <v>140</v>
      </c>
      <c r="M147" s="35"/>
      <c r="N147" s="35"/>
      <c r="O147" s="34">
        <f>IFERROR(SUMIF(Table415[,],Table617[[#This Row],[Accounts Name]],Table415[,3]),"")</f>
        <v>0</v>
      </c>
      <c r="P147" s="34">
        <f>IFERROR(SUMIF(Table415[,],Table617[[#This Row],[Accounts Name]],Table415[,2]),"")</f>
        <v>0</v>
      </c>
      <c r="S147" s="36">
        <f t="shared" si="2"/>
        <v>140</v>
      </c>
      <c r="T147" s="34"/>
      <c r="U147" s="37"/>
      <c r="V147" s="34">
        <f>IFERROR(SUMIF(Table617[Sub-Accounts],Table818[[#This Row],[Update your chart of accounts here]],Table617[Debit]),"")</f>
        <v>0</v>
      </c>
      <c r="W147" s="34">
        <f>IFERROR(SUMIF(Table617[Sub-Accounts],Table818[[#This Row],[Update your chart of accounts here]],Table617[Credit]),"")</f>
        <v>0</v>
      </c>
      <c r="X147" s="34"/>
      <c r="Y147" s="34"/>
      <c r="Z147" s="34"/>
      <c r="AA147" s="34"/>
      <c r="AB147" s="34">
        <f>MAX(Table818[[#This Row],[Debit]]+Table818[[#This Row],[Debit -]]-Table818[[#This Row],[Credit]]-Table818[[#This Row],[Credit +]],0)</f>
        <v>0</v>
      </c>
      <c r="AC147" s="34">
        <f>MAX(Table818[[#This Row],[Credit]]-Table818[[#This Row],[Debit]]+Table818[[#This Row],[Credit +]]-Table818[[#This Row],[Debit -]],0)</f>
        <v>0</v>
      </c>
      <c r="AD147" s="34" t="str">
        <f>IFERROR(IF(AND(OR(Table818[[#This Row],[Classification]]="Expense",Table818[[#This Row],[Classification]]="Cost of Goods Sold"),Table818[[#This Row],[Debit\]]&gt;Table818[[#This Row],[Credit.]]),Table818[[#This Row],[Debit\]]-Table818[[#This Row],[Credit.]],""),"")</f>
        <v/>
      </c>
      <c r="AE147" s="34" t="str">
        <f>IFERROR(IF(AND(OR(Table818[[#This Row],[Classification]]="Income",Table818[[#This Row],[Classification]]="Cost of Goods Sold"),Table818[[#This Row],[Credit.]]&gt;Table818[[#This Row],[Debit\]]),Table818[[#This Row],[Credit.]]-Table818[[#This Row],[Debit\]],""),"")</f>
        <v/>
      </c>
      <c r="AF147" s="34"/>
      <c r="AG147" s="34" t="str">
        <f>IFERROR(IF(AND(Table818[[#This Row],[Classification]]="Assets",Table818[[#This Row],[Debit\]]-Table818[[#This Row],[Credit.]]),Table818[[#This Row],[Debit\]]-Table818[[#This Row],[Credit.]],""),"")</f>
        <v/>
      </c>
      <c r="AH147" s="34" t="str">
        <f>IFERROR(IF(AND(OR(Table818[[#This Row],[Classification]]="Liabilities",Table818[[#This Row],[Classification]]="Owner´s Equity"),Table818[[#This Row],[Credit.]]&gt;Table818[[#This Row],[Debit\]]),Table818[[#This Row],[Credit.]]-Table818[[#This Row],[Debit\]],""),"")</f>
        <v/>
      </c>
    </row>
    <row r="148" spans="2:34" x14ac:dyDescent="0.25">
      <c r="B148" s="34"/>
      <c r="C148" s="45"/>
      <c r="D148" s="34"/>
      <c r="E148" s="34"/>
      <c r="G148" s="39"/>
      <c r="H148" s="40"/>
      <c r="I148" s="41"/>
      <c r="J148" s="41"/>
      <c r="L148" s="34">
        <v>141</v>
      </c>
      <c r="M148" s="35"/>
      <c r="N148" s="35"/>
      <c r="O148" s="34">
        <f>IFERROR(SUMIF(Table415[,],Table617[[#This Row],[Accounts Name]],Table415[,3]),"")</f>
        <v>0</v>
      </c>
      <c r="P148" s="34">
        <f>IFERROR(SUMIF(Table415[,],Table617[[#This Row],[Accounts Name]],Table415[,2]),"")</f>
        <v>0</v>
      </c>
      <c r="S148" s="36">
        <f t="shared" si="2"/>
        <v>141</v>
      </c>
      <c r="T148" s="34"/>
      <c r="U148" s="37"/>
      <c r="V148" s="34">
        <f>IFERROR(SUMIF(Table617[Sub-Accounts],Table818[[#This Row],[Update your chart of accounts here]],Table617[Debit]),"")</f>
        <v>0</v>
      </c>
      <c r="W148" s="34">
        <f>IFERROR(SUMIF(Table617[Sub-Accounts],Table818[[#This Row],[Update your chart of accounts here]],Table617[Credit]),"")</f>
        <v>0</v>
      </c>
      <c r="X148" s="34"/>
      <c r="Y148" s="34"/>
      <c r="Z148" s="34"/>
      <c r="AA148" s="34"/>
      <c r="AB148" s="34">
        <f>MAX(Table818[[#This Row],[Debit]]+Table818[[#This Row],[Debit -]]-Table818[[#This Row],[Credit]]-Table818[[#This Row],[Credit +]],0)</f>
        <v>0</v>
      </c>
      <c r="AC148" s="34">
        <f>MAX(Table818[[#This Row],[Credit]]-Table818[[#This Row],[Debit]]+Table818[[#This Row],[Credit +]]-Table818[[#This Row],[Debit -]],0)</f>
        <v>0</v>
      </c>
      <c r="AD148" s="34" t="str">
        <f>IFERROR(IF(AND(OR(Table818[[#This Row],[Classification]]="Expense",Table818[[#This Row],[Classification]]="Cost of Goods Sold"),Table818[[#This Row],[Debit\]]&gt;Table818[[#This Row],[Credit.]]),Table818[[#This Row],[Debit\]]-Table818[[#This Row],[Credit.]],""),"")</f>
        <v/>
      </c>
      <c r="AE148" s="34" t="str">
        <f>IFERROR(IF(AND(OR(Table818[[#This Row],[Classification]]="Income",Table818[[#This Row],[Classification]]="Cost of Goods Sold"),Table818[[#This Row],[Credit.]]&gt;Table818[[#This Row],[Debit\]]),Table818[[#This Row],[Credit.]]-Table818[[#This Row],[Debit\]],""),"")</f>
        <v/>
      </c>
      <c r="AF148" s="34"/>
      <c r="AG148" s="34" t="str">
        <f>IFERROR(IF(AND(Table818[[#This Row],[Classification]]="Assets",Table818[[#This Row],[Debit\]]-Table818[[#This Row],[Credit.]]),Table818[[#This Row],[Debit\]]-Table818[[#This Row],[Credit.]],""),"")</f>
        <v/>
      </c>
      <c r="AH148" s="34" t="str">
        <f>IFERROR(IF(AND(OR(Table818[[#This Row],[Classification]]="Liabilities",Table818[[#This Row],[Classification]]="Owner´s Equity"),Table818[[#This Row],[Credit.]]&gt;Table818[[#This Row],[Debit\]]),Table818[[#This Row],[Credit.]]-Table818[[#This Row],[Debit\]],""),"")</f>
        <v/>
      </c>
    </row>
    <row r="149" spans="2:34" x14ac:dyDescent="0.25">
      <c r="B149" s="34"/>
      <c r="C149" s="45"/>
      <c r="D149" s="34"/>
      <c r="E149" s="34"/>
      <c r="G149" s="39"/>
      <c r="H149" s="43"/>
      <c r="I149" s="41"/>
      <c r="J149" s="41"/>
      <c r="L149" s="34">
        <v>142</v>
      </c>
      <c r="M149" s="35"/>
      <c r="N149" s="35"/>
      <c r="O149" s="34">
        <f>IFERROR(SUMIF(Table415[,],Table617[[#This Row],[Accounts Name]],Table415[,3]),"")</f>
        <v>0</v>
      </c>
      <c r="P149" s="34">
        <f>IFERROR(SUMIF(Table415[,],Table617[[#This Row],[Accounts Name]],Table415[,2]),"")</f>
        <v>0</v>
      </c>
      <c r="S149" s="36">
        <f t="shared" si="2"/>
        <v>142</v>
      </c>
      <c r="T149" s="34"/>
      <c r="U149" s="37"/>
      <c r="V149" s="34">
        <f>IFERROR(SUMIF(Table617[Sub-Accounts],Table818[[#This Row],[Update your chart of accounts here]],Table617[Debit]),"")</f>
        <v>0</v>
      </c>
      <c r="W149" s="34">
        <f>IFERROR(SUMIF(Table617[Sub-Accounts],Table818[[#This Row],[Update your chart of accounts here]],Table617[Credit]),"")</f>
        <v>0</v>
      </c>
      <c r="X149" s="34"/>
      <c r="Y149" s="34"/>
      <c r="Z149" s="34"/>
      <c r="AA149" s="34"/>
      <c r="AB149" s="34">
        <f>MAX(Table818[[#This Row],[Debit]]+Table818[[#This Row],[Debit -]]-Table818[[#This Row],[Credit]]-Table818[[#This Row],[Credit +]],0)</f>
        <v>0</v>
      </c>
      <c r="AC149" s="34">
        <f>MAX(Table818[[#This Row],[Credit]]-Table818[[#This Row],[Debit]]+Table818[[#This Row],[Credit +]]-Table818[[#This Row],[Debit -]],0)</f>
        <v>0</v>
      </c>
      <c r="AD149" s="34" t="str">
        <f>IFERROR(IF(AND(OR(Table818[[#This Row],[Classification]]="Expense",Table818[[#This Row],[Classification]]="Cost of Goods Sold"),Table818[[#This Row],[Debit\]]&gt;Table818[[#This Row],[Credit.]]),Table818[[#This Row],[Debit\]]-Table818[[#This Row],[Credit.]],""),"")</f>
        <v/>
      </c>
      <c r="AE149" s="34" t="str">
        <f>IFERROR(IF(AND(OR(Table818[[#This Row],[Classification]]="Income",Table818[[#This Row],[Classification]]="Cost of Goods Sold"),Table818[[#This Row],[Credit.]]&gt;Table818[[#This Row],[Debit\]]),Table818[[#This Row],[Credit.]]-Table818[[#This Row],[Debit\]],""),"")</f>
        <v/>
      </c>
      <c r="AF149" s="34"/>
      <c r="AG149" s="34" t="str">
        <f>IFERROR(IF(AND(Table818[[#This Row],[Classification]]="Assets",Table818[[#This Row],[Debit\]]-Table818[[#This Row],[Credit.]]),Table818[[#This Row],[Debit\]]-Table818[[#This Row],[Credit.]],""),"")</f>
        <v/>
      </c>
      <c r="AH149" s="34" t="str">
        <f>IFERROR(IF(AND(OR(Table818[[#This Row],[Classification]]="Liabilities",Table818[[#This Row],[Classification]]="Owner´s Equity"),Table818[[#This Row],[Credit.]]&gt;Table818[[#This Row],[Debit\]]),Table818[[#This Row],[Credit.]]-Table818[[#This Row],[Debit\]],""),"")</f>
        <v/>
      </c>
    </row>
    <row r="150" spans="2:34" x14ac:dyDescent="0.25">
      <c r="B150" s="34"/>
      <c r="C150" s="45"/>
      <c r="D150" s="34"/>
      <c r="E150" s="34"/>
      <c r="G150" s="39"/>
      <c r="H150" s="40"/>
      <c r="I150" s="41"/>
      <c r="J150" s="41"/>
      <c r="L150" s="34">
        <v>143</v>
      </c>
      <c r="M150" s="35"/>
      <c r="N150" s="35"/>
      <c r="O150" s="34">
        <f>IFERROR(SUMIF(Table415[,],Table617[[#This Row],[Accounts Name]],Table415[,3]),"")</f>
        <v>0</v>
      </c>
      <c r="P150" s="34">
        <f>IFERROR(SUMIF(Table415[,],Table617[[#This Row],[Accounts Name]],Table415[,2]),"")</f>
        <v>0</v>
      </c>
      <c r="S150" s="36">
        <f t="shared" si="2"/>
        <v>143</v>
      </c>
      <c r="T150" s="34"/>
      <c r="U150" s="37"/>
      <c r="V150" s="34">
        <f>IFERROR(SUMIF(Table617[Sub-Accounts],Table818[[#This Row],[Update your chart of accounts here]],Table617[Debit]),"")</f>
        <v>0</v>
      </c>
      <c r="W150" s="34">
        <f>IFERROR(SUMIF(Table617[Sub-Accounts],Table818[[#This Row],[Update your chart of accounts here]],Table617[Credit]),"")</f>
        <v>0</v>
      </c>
      <c r="X150" s="34"/>
      <c r="Y150" s="34"/>
      <c r="Z150" s="34"/>
      <c r="AA150" s="34"/>
      <c r="AB150" s="34">
        <f>MAX(Table818[[#This Row],[Debit]]+Table818[[#This Row],[Debit -]]-Table818[[#This Row],[Credit]]-Table818[[#This Row],[Credit +]],0)</f>
        <v>0</v>
      </c>
      <c r="AC150" s="34">
        <f>MAX(Table818[[#This Row],[Credit]]-Table818[[#This Row],[Debit]]+Table818[[#This Row],[Credit +]]-Table818[[#This Row],[Debit -]],0)</f>
        <v>0</v>
      </c>
      <c r="AD150" s="34" t="str">
        <f>IFERROR(IF(AND(OR(Table818[[#This Row],[Classification]]="Expense",Table818[[#This Row],[Classification]]="Cost of Goods Sold"),Table818[[#This Row],[Debit\]]&gt;Table818[[#This Row],[Credit.]]),Table818[[#This Row],[Debit\]]-Table818[[#This Row],[Credit.]],""),"")</f>
        <v/>
      </c>
      <c r="AE150" s="34" t="str">
        <f>IFERROR(IF(AND(OR(Table818[[#This Row],[Classification]]="Income",Table818[[#This Row],[Classification]]="Cost of Goods Sold"),Table818[[#This Row],[Credit.]]&gt;Table818[[#This Row],[Debit\]]),Table818[[#This Row],[Credit.]]-Table818[[#This Row],[Debit\]],""),"")</f>
        <v/>
      </c>
      <c r="AF150" s="34"/>
      <c r="AG150" s="34" t="str">
        <f>IFERROR(IF(AND(Table818[[#This Row],[Classification]]="Assets",Table818[[#This Row],[Debit\]]-Table818[[#This Row],[Credit.]]),Table818[[#This Row],[Debit\]]-Table818[[#This Row],[Credit.]],""),"")</f>
        <v/>
      </c>
      <c r="AH150" s="34" t="str">
        <f>IFERROR(IF(AND(OR(Table818[[#This Row],[Classification]]="Liabilities",Table818[[#This Row],[Classification]]="Owner´s Equity"),Table818[[#This Row],[Credit.]]&gt;Table818[[#This Row],[Debit\]]),Table818[[#This Row],[Credit.]]-Table818[[#This Row],[Debit\]],""),"")</f>
        <v/>
      </c>
    </row>
    <row r="151" spans="2:34" x14ac:dyDescent="0.25">
      <c r="B151" s="34"/>
      <c r="C151" s="45"/>
      <c r="D151" s="34"/>
      <c r="E151" s="34"/>
      <c r="G151" s="39"/>
      <c r="H151" s="40"/>
      <c r="I151" s="41"/>
      <c r="J151" s="41"/>
      <c r="L151" s="34">
        <v>144</v>
      </c>
      <c r="M151" s="35"/>
      <c r="N151" s="35"/>
      <c r="O151" s="34">
        <f>IFERROR(SUMIF(Table415[,],Table617[[#This Row],[Accounts Name]],Table415[,3]),"")</f>
        <v>0</v>
      </c>
      <c r="P151" s="34">
        <f>IFERROR(SUMIF(Table415[,],Table617[[#This Row],[Accounts Name]],Table415[,2]),"")</f>
        <v>0</v>
      </c>
      <c r="S151" s="36">
        <f t="shared" si="2"/>
        <v>144</v>
      </c>
      <c r="T151" s="34"/>
      <c r="U151" s="37"/>
      <c r="V151" s="34">
        <f>IFERROR(SUMIF(Table617[Sub-Accounts],Table818[[#This Row],[Update your chart of accounts here]],Table617[Debit]),"")</f>
        <v>0</v>
      </c>
      <c r="W151" s="34">
        <f>IFERROR(SUMIF(Table617[Sub-Accounts],Table818[[#This Row],[Update your chart of accounts here]],Table617[Credit]),"")</f>
        <v>0</v>
      </c>
      <c r="X151" s="34"/>
      <c r="Y151" s="34"/>
      <c r="Z151" s="34"/>
      <c r="AA151" s="34"/>
      <c r="AB151" s="34">
        <f>MAX(Table818[[#This Row],[Debit]]+Table818[[#This Row],[Debit -]]-Table818[[#This Row],[Credit]]-Table818[[#This Row],[Credit +]],0)</f>
        <v>0</v>
      </c>
      <c r="AC151" s="34">
        <f>MAX(Table818[[#This Row],[Credit]]-Table818[[#This Row],[Debit]]+Table818[[#This Row],[Credit +]]-Table818[[#This Row],[Debit -]],0)</f>
        <v>0</v>
      </c>
      <c r="AD151" s="34" t="str">
        <f>IFERROR(IF(AND(OR(Table818[[#This Row],[Classification]]="Expense",Table818[[#This Row],[Classification]]="Cost of Goods Sold"),Table818[[#This Row],[Debit\]]&gt;Table818[[#This Row],[Credit.]]),Table818[[#This Row],[Debit\]]-Table818[[#This Row],[Credit.]],""),"")</f>
        <v/>
      </c>
      <c r="AE151" s="34" t="str">
        <f>IFERROR(IF(AND(OR(Table818[[#This Row],[Classification]]="Income",Table818[[#This Row],[Classification]]="Cost of Goods Sold"),Table818[[#This Row],[Credit.]]&gt;Table818[[#This Row],[Debit\]]),Table818[[#This Row],[Credit.]]-Table818[[#This Row],[Debit\]],""),"")</f>
        <v/>
      </c>
      <c r="AF151" s="34"/>
      <c r="AG151" s="34" t="str">
        <f>IFERROR(IF(AND(Table818[[#This Row],[Classification]]="Assets",Table818[[#This Row],[Debit\]]-Table818[[#This Row],[Credit.]]),Table818[[#This Row],[Debit\]]-Table818[[#This Row],[Credit.]],""),"")</f>
        <v/>
      </c>
      <c r="AH151" s="34" t="str">
        <f>IFERROR(IF(AND(OR(Table818[[#This Row],[Classification]]="Liabilities",Table818[[#This Row],[Classification]]="Owner´s Equity"),Table818[[#This Row],[Credit.]]&gt;Table818[[#This Row],[Debit\]]),Table818[[#This Row],[Credit.]]-Table818[[#This Row],[Debit\]],""),"")</f>
        <v/>
      </c>
    </row>
    <row r="152" spans="2:34" x14ac:dyDescent="0.25">
      <c r="B152" s="34"/>
      <c r="C152" s="45"/>
      <c r="D152" s="34"/>
      <c r="E152" s="34"/>
      <c r="G152" s="39"/>
      <c r="H152" s="43"/>
      <c r="I152" s="41"/>
      <c r="J152" s="41"/>
      <c r="L152" s="34">
        <v>145</v>
      </c>
      <c r="M152" s="35"/>
      <c r="N152" s="35"/>
      <c r="O152" s="34">
        <f>IFERROR(SUMIF(Table415[,],Table617[[#This Row],[Accounts Name]],Table415[,3]),"")</f>
        <v>0</v>
      </c>
      <c r="P152" s="34">
        <f>IFERROR(SUMIF(Table415[,],Table617[[#This Row],[Accounts Name]],Table415[,2]),"")</f>
        <v>0</v>
      </c>
      <c r="S152" s="36">
        <f t="shared" si="2"/>
        <v>145</v>
      </c>
      <c r="T152" s="34"/>
      <c r="U152" s="37"/>
      <c r="V152" s="34">
        <f>IFERROR(SUMIF(Table617[Sub-Accounts],Table818[[#This Row],[Update your chart of accounts here]],Table617[Debit]),"")</f>
        <v>0</v>
      </c>
      <c r="W152" s="34">
        <f>IFERROR(SUMIF(Table617[Sub-Accounts],Table818[[#This Row],[Update your chart of accounts here]],Table617[Credit]),"")</f>
        <v>0</v>
      </c>
      <c r="X152" s="34"/>
      <c r="Y152" s="34"/>
      <c r="Z152" s="34"/>
      <c r="AA152" s="34"/>
      <c r="AB152" s="34">
        <f>MAX(Table818[[#This Row],[Debit]]+Table818[[#This Row],[Debit -]]-Table818[[#This Row],[Credit]]-Table818[[#This Row],[Credit +]],0)</f>
        <v>0</v>
      </c>
      <c r="AC152" s="34">
        <f>MAX(Table818[[#This Row],[Credit]]-Table818[[#This Row],[Debit]]+Table818[[#This Row],[Credit +]]-Table818[[#This Row],[Debit -]],0)</f>
        <v>0</v>
      </c>
      <c r="AD152" s="34" t="str">
        <f>IFERROR(IF(AND(OR(Table818[[#This Row],[Classification]]="Expense",Table818[[#This Row],[Classification]]="Cost of Goods Sold"),Table818[[#This Row],[Debit\]]&gt;Table818[[#This Row],[Credit.]]),Table818[[#This Row],[Debit\]]-Table818[[#This Row],[Credit.]],""),"")</f>
        <v/>
      </c>
      <c r="AE152" s="34" t="str">
        <f>IFERROR(IF(AND(OR(Table818[[#This Row],[Classification]]="Income",Table818[[#This Row],[Classification]]="Cost of Goods Sold"),Table818[[#This Row],[Credit.]]&gt;Table818[[#This Row],[Debit\]]),Table818[[#This Row],[Credit.]]-Table818[[#This Row],[Debit\]],""),"")</f>
        <v/>
      </c>
      <c r="AF152" s="34"/>
      <c r="AG152" s="34" t="str">
        <f>IFERROR(IF(AND(Table818[[#This Row],[Classification]]="Assets",Table818[[#This Row],[Debit\]]-Table818[[#This Row],[Credit.]]),Table818[[#This Row],[Debit\]]-Table818[[#This Row],[Credit.]],""),"")</f>
        <v/>
      </c>
      <c r="AH152" s="34" t="str">
        <f>IFERROR(IF(AND(OR(Table818[[#This Row],[Classification]]="Liabilities",Table818[[#This Row],[Classification]]="Owner´s Equity"),Table818[[#This Row],[Credit.]]&gt;Table818[[#This Row],[Debit\]]),Table818[[#This Row],[Credit.]]-Table818[[#This Row],[Debit\]],""),"")</f>
        <v/>
      </c>
    </row>
    <row r="153" spans="2:34" x14ac:dyDescent="0.25">
      <c r="B153" s="34"/>
      <c r="C153" s="45"/>
      <c r="D153" s="34"/>
      <c r="E153" s="34"/>
      <c r="G153" s="39"/>
      <c r="H153" s="40"/>
      <c r="I153" s="41"/>
      <c r="J153" s="41"/>
      <c r="L153" s="34">
        <v>146</v>
      </c>
      <c r="M153" s="35"/>
      <c r="N153" s="35"/>
      <c r="O153" s="34">
        <f>IFERROR(SUMIF(Table415[,],Table617[[#This Row],[Accounts Name]],Table415[,3]),"")</f>
        <v>0</v>
      </c>
      <c r="P153" s="34">
        <f>IFERROR(SUMIF(Table415[,],Table617[[#This Row],[Accounts Name]],Table415[,2]),"")</f>
        <v>0</v>
      </c>
      <c r="S153" s="36">
        <f t="shared" si="2"/>
        <v>146</v>
      </c>
      <c r="T153" s="34"/>
      <c r="U153" s="37"/>
      <c r="V153" s="34">
        <f>IFERROR(SUMIF(Table617[Sub-Accounts],Table818[[#This Row],[Update your chart of accounts here]],Table617[Debit]),"")</f>
        <v>0</v>
      </c>
      <c r="W153" s="34">
        <f>IFERROR(SUMIF(Table617[Sub-Accounts],Table818[[#This Row],[Update your chart of accounts here]],Table617[Credit]),"")</f>
        <v>0</v>
      </c>
      <c r="X153" s="34"/>
      <c r="Y153" s="34"/>
      <c r="Z153" s="34"/>
      <c r="AA153" s="34"/>
      <c r="AB153" s="34">
        <f>MAX(Table818[[#This Row],[Debit]]+Table818[[#This Row],[Debit -]]-Table818[[#This Row],[Credit]]-Table818[[#This Row],[Credit +]],0)</f>
        <v>0</v>
      </c>
      <c r="AC153" s="34">
        <f>MAX(Table818[[#This Row],[Credit]]-Table818[[#This Row],[Debit]]+Table818[[#This Row],[Credit +]]-Table818[[#This Row],[Debit -]],0)</f>
        <v>0</v>
      </c>
      <c r="AD153" s="34" t="str">
        <f>IFERROR(IF(AND(OR(Table818[[#This Row],[Classification]]="Expense",Table818[[#This Row],[Classification]]="Cost of Goods Sold"),Table818[[#This Row],[Debit\]]&gt;Table818[[#This Row],[Credit.]]),Table818[[#This Row],[Debit\]]-Table818[[#This Row],[Credit.]],""),"")</f>
        <v/>
      </c>
      <c r="AE153" s="34" t="str">
        <f>IFERROR(IF(AND(OR(Table818[[#This Row],[Classification]]="Income",Table818[[#This Row],[Classification]]="Cost of Goods Sold"),Table818[[#This Row],[Credit.]]&gt;Table818[[#This Row],[Debit\]]),Table818[[#This Row],[Credit.]]-Table818[[#This Row],[Debit\]],""),"")</f>
        <v/>
      </c>
      <c r="AF153" s="34"/>
      <c r="AG153" s="34" t="str">
        <f>IFERROR(IF(AND(Table818[[#This Row],[Classification]]="Assets",Table818[[#This Row],[Debit\]]-Table818[[#This Row],[Credit.]]),Table818[[#This Row],[Debit\]]-Table818[[#This Row],[Credit.]],""),"")</f>
        <v/>
      </c>
      <c r="AH153" s="34" t="str">
        <f>IFERROR(IF(AND(OR(Table818[[#This Row],[Classification]]="Liabilities",Table818[[#This Row],[Classification]]="Owner´s Equity"),Table818[[#This Row],[Credit.]]&gt;Table818[[#This Row],[Debit\]]),Table818[[#This Row],[Credit.]]-Table818[[#This Row],[Debit\]],""),"")</f>
        <v/>
      </c>
    </row>
    <row r="154" spans="2:34" x14ac:dyDescent="0.25">
      <c r="B154" s="34"/>
      <c r="C154" s="45"/>
      <c r="D154" s="34"/>
      <c r="E154" s="34"/>
      <c r="G154" s="39"/>
      <c r="H154" s="40"/>
      <c r="I154" s="41"/>
      <c r="J154" s="41"/>
      <c r="L154" s="34">
        <v>147</v>
      </c>
      <c r="M154" s="35"/>
      <c r="N154" s="35"/>
      <c r="O154" s="34">
        <f>IFERROR(SUMIF(Table415[,],Table617[[#This Row],[Accounts Name]],Table415[,3]),"")</f>
        <v>0</v>
      </c>
      <c r="P154" s="34">
        <f>IFERROR(SUMIF(Table415[,],Table617[[#This Row],[Accounts Name]],Table415[,2]),"")</f>
        <v>0</v>
      </c>
      <c r="S154" s="36">
        <f t="shared" si="2"/>
        <v>147</v>
      </c>
      <c r="T154" s="34"/>
      <c r="U154" s="37"/>
      <c r="V154" s="34">
        <f>IFERROR(SUMIF(Table617[Sub-Accounts],Table818[[#This Row],[Update your chart of accounts here]],Table617[Debit]),"")</f>
        <v>0</v>
      </c>
      <c r="W154" s="34">
        <f>IFERROR(SUMIF(Table617[Sub-Accounts],Table818[[#This Row],[Update your chart of accounts here]],Table617[Credit]),"")</f>
        <v>0</v>
      </c>
      <c r="X154" s="34"/>
      <c r="Y154" s="34"/>
      <c r="Z154" s="34"/>
      <c r="AA154" s="34"/>
      <c r="AB154" s="34">
        <f>MAX(Table818[[#This Row],[Debit]]+Table818[[#This Row],[Debit -]]-Table818[[#This Row],[Credit]]-Table818[[#This Row],[Credit +]],0)</f>
        <v>0</v>
      </c>
      <c r="AC154" s="34">
        <f>MAX(Table818[[#This Row],[Credit]]-Table818[[#This Row],[Debit]]+Table818[[#This Row],[Credit +]]-Table818[[#This Row],[Debit -]],0)</f>
        <v>0</v>
      </c>
      <c r="AD154" s="34" t="str">
        <f>IFERROR(IF(AND(OR(Table818[[#This Row],[Classification]]="Expense",Table818[[#This Row],[Classification]]="Cost of Goods Sold"),Table818[[#This Row],[Debit\]]&gt;Table818[[#This Row],[Credit.]]),Table818[[#This Row],[Debit\]]-Table818[[#This Row],[Credit.]],""),"")</f>
        <v/>
      </c>
      <c r="AE154" s="34" t="str">
        <f>IFERROR(IF(AND(OR(Table818[[#This Row],[Classification]]="Income",Table818[[#This Row],[Classification]]="Cost of Goods Sold"),Table818[[#This Row],[Credit.]]&gt;Table818[[#This Row],[Debit\]]),Table818[[#This Row],[Credit.]]-Table818[[#This Row],[Debit\]],""),"")</f>
        <v/>
      </c>
      <c r="AF154" s="34"/>
      <c r="AG154" s="34" t="str">
        <f>IFERROR(IF(AND(Table818[[#This Row],[Classification]]="Assets",Table818[[#This Row],[Debit\]]-Table818[[#This Row],[Credit.]]),Table818[[#This Row],[Debit\]]-Table818[[#This Row],[Credit.]],""),"")</f>
        <v/>
      </c>
      <c r="AH154" s="34" t="str">
        <f>IFERROR(IF(AND(OR(Table818[[#This Row],[Classification]]="Liabilities",Table818[[#This Row],[Classification]]="Owner´s Equity"),Table818[[#This Row],[Credit.]]&gt;Table818[[#This Row],[Debit\]]),Table818[[#This Row],[Credit.]]-Table818[[#This Row],[Debit\]],""),"")</f>
        <v/>
      </c>
    </row>
    <row r="155" spans="2:34" x14ac:dyDescent="0.25">
      <c r="B155" s="34"/>
      <c r="C155" s="45"/>
      <c r="D155" s="34"/>
      <c r="E155" s="34"/>
      <c r="G155" s="39"/>
      <c r="H155" s="43"/>
      <c r="I155" s="41"/>
      <c r="J155" s="41"/>
      <c r="L155" s="34">
        <v>148</v>
      </c>
      <c r="M155" s="35"/>
      <c r="N155" s="35"/>
      <c r="O155" s="34">
        <f>IFERROR(SUMIF(Table415[,],Table617[[#This Row],[Accounts Name]],Table415[,3]),"")</f>
        <v>0</v>
      </c>
      <c r="P155" s="34">
        <f>IFERROR(SUMIF(Table415[,],Table617[[#This Row],[Accounts Name]],Table415[,2]),"")</f>
        <v>0</v>
      </c>
      <c r="S155" s="36">
        <f t="shared" si="2"/>
        <v>148</v>
      </c>
      <c r="T155" s="34"/>
      <c r="U155" s="37"/>
      <c r="V155" s="34">
        <f>IFERROR(SUMIF(Table617[Sub-Accounts],Table818[[#This Row],[Update your chart of accounts here]],Table617[Debit]),"")</f>
        <v>0</v>
      </c>
      <c r="W155" s="34">
        <f>IFERROR(SUMIF(Table617[Sub-Accounts],Table818[[#This Row],[Update your chart of accounts here]],Table617[Credit]),"")</f>
        <v>0</v>
      </c>
      <c r="X155" s="34"/>
      <c r="Y155" s="34"/>
      <c r="Z155" s="34"/>
      <c r="AA155" s="34"/>
      <c r="AB155" s="34">
        <f>MAX(Table818[[#This Row],[Debit]]+Table818[[#This Row],[Debit -]]-Table818[[#This Row],[Credit]]-Table818[[#This Row],[Credit +]],0)</f>
        <v>0</v>
      </c>
      <c r="AC155" s="34">
        <f>MAX(Table818[[#This Row],[Credit]]-Table818[[#This Row],[Debit]]+Table818[[#This Row],[Credit +]]-Table818[[#This Row],[Debit -]],0)</f>
        <v>0</v>
      </c>
      <c r="AD155" s="34" t="str">
        <f>IFERROR(IF(AND(OR(Table818[[#This Row],[Classification]]="Expense",Table818[[#This Row],[Classification]]="Cost of Goods Sold"),Table818[[#This Row],[Debit\]]&gt;Table818[[#This Row],[Credit.]]),Table818[[#This Row],[Debit\]]-Table818[[#This Row],[Credit.]],""),"")</f>
        <v/>
      </c>
      <c r="AE155" s="34" t="str">
        <f>IFERROR(IF(AND(OR(Table818[[#This Row],[Classification]]="Income",Table818[[#This Row],[Classification]]="Cost of Goods Sold"),Table818[[#This Row],[Credit.]]&gt;Table818[[#This Row],[Debit\]]),Table818[[#This Row],[Credit.]]-Table818[[#This Row],[Debit\]],""),"")</f>
        <v/>
      </c>
      <c r="AF155" s="34"/>
      <c r="AG155" s="34" t="str">
        <f>IFERROR(IF(AND(Table818[[#This Row],[Classification]]="Assets",Table818[[#This Row],[Debit\]]-Table818[[#This Row],[Credit.]]),Table818[[#This Row],[Debit\]]-Table818[[#This Row],[Credit.]],""),"")</f>
        <v/>
      </c>
      <c r="AH155" s="34" t="str">
        <f>IFERROR(IF(AND(OR(Table818[[#This Row],[Classification]]="Liabilities",Table818[[#This Row],[Classification]]="Owner´s Equity"),Table818[[#This Row],[Credit.]]&gt;Table818[[#This Row],[Debit\]]),Table818[[#This Row],[Credit.]]-Table818[[#This Row],[Debit\]],""),"")</f>
        <v/>
      </c>
    </row>
    <row r="156" spans="2:34" x14ac:dyDescent="0.25">
      <c r="B156" s="34"/>
      <c r="C156" s="45"/>
      <c r="D156" s="34"/>
      <c r="E156" s="34"/>
      <c r="G156" s="39"/>
      <c r="H156" s="40"/>
      <c r="I156" s="41"/>
      <c r="J156" s="41"/>
      <c r="L156" s="34">
        <v>149</v>
      </c>
      <c r="M156" s="35"/>
      <c r="N156" s="35"/>
      <c r="O156" s="34">
        <f>IFERROR(SUMIF(Table415[,],Table617[[#This Row],[Accounts Name]],Table415[,3]),"")</f>
        <v>0</v>
      </c>
      <c r="P156" s="34">
        <f>IFERROR(SUMIF(Table415[,],Table617[[#This Row],[Accounts Name]],Table415[,2]),"")</f>
        <v>0</v>
      </c>
      <c r="S156" s="36">
        <f t="shared" si="2"/>
        <v>149</v>
      </c>
      <c r="T156" s="34"/>
      <c r="U156" s="37"/>
      <c r="V156" s="34">
        <f>IFERROR(SUMIF(Table617[Sub-Accounts],Table818[[#This Row],[Update your chart of accounts here]],Table617[Debit]),"")</f>
        <v>0</v>
      </c>
      <c r="W156" s="34">
        <f>IFERROR(SUMIF(Table617[Sub-Accounts],Table818[[#This Row],[Update your chart of accounts here]],Table617[Credit]),"")</f>
        <v>0</v>
      </c>
      <c r="X156" s="34"/>
      <c r="Y156" s="34"/>
      <c r="Z156" s="34"/>
      <c r="AA156" s="34"/>
      <c r="AB156" s="34">
        <f>MAX(Table818[[#This Row],[Debit]]+Table818[[#This Row],[Debit -]]-Table818[[#This Row],[Credit]]-Table818[[#This Row],[Credit +]],0)</f>
        <v>0</v>
      </c>
      <c r="AC156" s="34">
        <f>MAX(Table818[[#This Row],[Credit]]-Table818[[#This Row],[Debit]]+Table818[[#This Row],[Credit +]]-Table818[[#This Row],[Debit -]],0)</f>
        <v>0</v>
      </c>
      <c r="AD156" s="34" t="str">
        <f>IFERROR(IF(AND(OR(Table818[[#This Row],[Classification]]="Expense",Table818[[#This Row],[Classification]]="Cost of Goods Sold"),Table818[[#This Row],[Debit\]]&gt;Table818[[#This Row],[Credit.]]),Table818[[#This Row],[Debit\]]-Table818[[#This Row],[Credit.]],""),"")</f>
        <v/>
      </c>
      <c r="AE156" s="34" t="str">
        <f>IFERROR(IF(AND(OR(Table818[[#This Row],[Classification]]="Income",Table818[[#This Row],[Classification]]="Cost of Goods Sold"),Table818[[#This Row],[Credit.]]&gt;Table818[[#This Row],[Debit\]]),Table818[[#This Row],[Credit.]]-Table818[[#This Row],[Debit\]],""),"")</f>
        <v/>
      </c>
      <c r="AF156" s="34"/>
      <c r="AG156" s="34" t="str">
        <f>IFERROR(IF(AND(Table818[[#This Row],[Classification]]="Assets",Table818[[#This Row],[Debit\]]-Table818[[#This Row],[Credit.]]),Table818[[#This Row],[Debit\]]-Table818[[#This Row],[Credit.]],""),"")</f>
        <v/>
      </c>
      <c r="AH156" s="34" t="str">
        <f>IFERROR(IF(AND(OR(Table818[[#This Row],[Classification]]="Liabilities",Table818[[#This Row],[Classification]]="Owner´s Equity"),Table818[[#This Row],[Credit.]]&gt;Table818[[#This Row],[Debit\]]),Table818[[#This Row],[Credit.]]-Table818[[#This Row],[Debit\]],""),"")</f>
        <v/>
      </c>
    </row>
    <row r="157" spans="2:34" x14ac:dyDescent="0.25">
      <c r="B157" s="34"/>
      <c r="C157" s="45"/>
      <c r="D157" s="34"/>
      <c r="E157" s="34"/>
      <c r="G157" s="39"/>
      <c r="H157" s="40"/>
      <c r="I157" s="41"/>
      <c r="J157" s="41"/>
      <c r="L157" s="34">
        <v>150</v>
      </c>
      <c r="M157" s="35"/>
      <c r="N157" s="35"/>
      <c r="O157" s="34">
        <f>IFERROR(SUMIF(Table415[,],Table617[[#This Row],[Accounts Name]],Table415[,3]),"")</f>
        <v>0</v>
      </c>
      <c r="P157" s="34">
        <f>IFERROR(SUMIF(Table415[,],Table617[[#This Row],[Accounts Name]],Table415[,2]),"")</f>
        <v>0</v>
      </c>
      <c r="S157" s="36">
        <f t="shared" si="2"/>
        <v>150</v>
      </c>
      <c r="T157" s="34"/>
      <c r="U157" s="37"/>
      <c r="V157" s="34">
        <f>IFERROR(SUMIF(Table617[Sub-Accounts],Table818[[#This Row],[Update your chart of accounts here]],Table617[Debit]),"")</f>
        <v>0</v>
      </c>
      <c r="W157" s="34">
        <f>IFERROR(SUMIF(Table617[Sub-Accounts],Table818[[#This Row],[Update your chart of accounts here]],Table617[Credit]),"")</f>
        <v>0</v>
      </c>
      <c r="X157" s="34"/>
      <c r="Y157" s="34"/>
      <c r="Z157" s="34"/>
      <c r="AA157" s="34"/>
      <c r="AB157" s="34">
        <f>MAX(Table818[[#This Row],[Debit]]+Table818[[#This Row],[Debit -]]-Table818[[#This Row],[Credit]]-Table818[[#This Row],[Credit +]],0)</f>
        <v>0</v>
      </c>
      <c r="AC157" s="34">
        <f>MAX(Table818[[#This Row],[Credit]]-Table818[[#This Row],[Debit]]+Table818[[#This Row],[Credit +]]-Table818[[#This Row],[Debit -]],0)</f>
        <v>0</v>
      </c>
      <c r="AD157" s="34" t="str">
        <f>IFERROR(IF(AND(OR(Table818[[#This Row],[Classification]]="Expense",Table818[[#This Row],[Classification]]="Cost of Goods Sold"),Table818[[#This Row],[Debit\]]&gt;Table818[[#This Row],[Credit.]]),Table818[[#This Row],[Debit\]]-Table818[[#This Row],[Credit.]],""),"")</f>
        <v/>
      </c>
      <c r="AE157" s="34" t="str">
        <f>IFERROR(IF(AND(OR(Table818[[#This Row],[Classification]]="Income",Table818[[#This Row],[Classification]]="Cost of Goods Sold"),Table818[[#This Row],[Credit.]]&gt;Table818[[#This Row],[Debit\]]),Table818[[#This Row],[Credit.]]-Table818[[#This Row],[Debit\]],""),"")</f>
        <v/>
      </c>
      <c r="AF157" s="34"/>
      <c r="AG157" s="34" t="str">
        <f>IFERROR(IF(AND(Table818[[#This Row],[Classification]]="Assets",Table818[[#This Row],[Debit\]]-Table818[[#This Row],[Credit.]]),Table818[[#This Row],[Debit\]]-Table818[[#This Row],[Credit.]],""),"")</f>
        <v/>
      </c>
      <c r="AH157" s="34" t="str">
        <f>IFERROR(IF(AND(OR(Table818[[#This Row],[Classification]]="Liabilities",Table818[[#This Row],[Classification]]="Owner´s Equity"),Table818[[#This Row],[Credit.]]&gt;Table818[[#This Row],[Debit\]]),Table818[[#This Row],[Credit.]]-Table818[[#This Row],[Debit\]],""),"")</f>
        <v/>
      </c>
    </row>
    <row r="158" spans="2:34" x14ac:dyDescent="0.25">
      <c r="B158" s="34"/>
      <c r="C158" s="45"/>
      <c r="D158" s="34"/>
      <c r="E158" s="34"/>
      <c r="G158" s="39"/>
      <c r="H158" s="43"/>
      <c r="I158" s="41"/>
      <c r="J158" s="41"/>
      <c r="L158" s="34">
        <v>151</v>
      </c>
      <c r="M158" s="35"/>
      <c r="N158" s="35"/>
      <c r="O158" s="34">
        <f>IFERROR(SUMIF(Table415[,],Table617[[#This Row],[Accounts Name]],Table415[,3]),"")</f>
        <v>0</v>
      </c>
      <c r="P158" s="34">
        <f>IFERROR(SUMIF(Table415[,],Table617[[#This Row],[Accounts Name]],Table415[,2]),"")</f>
        <v>0</v>
      </c>
      <c r="S158" s="36">
        <f t="shared" si="2"/>
        <v>151</v>
      </c>
      <c r="T158" s="34"/>
      <c r="U158" s="37"/>
      <c r="V158" s="34">
        <f>IFERROR(SUMIF(Table617[Sub-Accounts],Table818[[#This Row],[Update your chart of accounts here]],Table617[Debit]),"")</f>
        <v>0</v>
      </c>
      <c r="W158" s="34">
        <f>IFERROR(SUMIF(Table617[Sub-Accounts],Table818[[#This Row],[Update your chart of accounts here]],Table617[Credit]),"")</f>
        <v>0</v>
      </c>
      <c r="X158" s="34"/>
      <c r="Y158" s="34"/>
      <c r="Z158" s="34"/>
      <c r="AA158" s="34"/>
      <c r="AB158" s="34">
        <f>MAX(Table818[[#This Row],[Debit]]+Table818[[#This Row],[Debit -]]-Table818[[#This Row],[Credit]]-Table818[[#This Row],[Credit +]],0)</f>
        <v>0</v>
      </c>
      <c r="AC158" s="34">
        <f>MAX(Table818[[#This Row],[Credit]]-Table818[[#This Row],[Debit]]+Table818[[#This Row],[Credit +]]-Table818[[#This Row],[Debit -]],0)</f>
        <v>0</v>
      </c>
      <c r="AD158" s="34" t="str">
        <f>IFERROR(IF(AND(OR(Table818[[#This Row],[Classification]]="Expense",Table818[[#This Row],[Classification]]="Cost of Goods Sold"),Table818[[#This Row],[Debit\]]&gt;Table818[[#This Row],[Credit.]]),Table818[[#This Row],[Debit\]]-Table818[[#This Row],[Credit.]],""),"")</f>
        <v/>
      </c>
      <c r="AE158" s="34" t="str">
        <f>IFERROR(IF(AND(OR(Table818[[#This Row],[Classification]]="Income",Table818[[#This Row],[Classification]]="Cost of Goods Sold"),Table818[[#This Row],[Credit.]]&gt;Table818[[#This Row],[Debit\]]),Table818[[#This Row],[Credit.]]-Table818[[#This Row],[Debit\]],""),"")</f>
        <v/>
      </c>
      <c r="AF158" s="34"/>
      <c r="AG158" s="34" t="str">
        <f>IFERROR(IF(AND(Table818[[#This Row],[Classification]]="Assets",Table818[[#This Row],[Debit\]]-Table818[[#This Row],[Credit.]]),Table818[[#This Row],[Debit\]]-Table818[[#This Row],[Credit.]],""),"")</f>
        <v/>
      </c>
      <c r="AH158" s="34" t="str">
        <f>IFERROR(IF(AND(OR(Table818[[#This Row],[Classification]]="Liabilities",Table818[[#This Row],[Classification]]="Owner´s Equity"),Table818[[#This Row],[Credit.]]&gt;Table818[[#This Row],[Debit\]]),Table818[[#This Row],[Credit.]]-Table818[[#This Row],[Debit\]],""),"")</f>
        <v/>
      </c>
    </row>
    <row r="159" spans="2:34" x14ac:dyDescent="0.25">
      <c r="B159" s="34"/>
      <c r="C159" s="45"/>
      <c r="D159" s="34"/>
      <c r="E159" s="34"/>
      <c r="G159" s="39"/>
      <c r="H159" s="40"/>
      <c r="I159" s="41"/>
      <c r="J159" s="41"/>
      <c r="L159" s="34">
        <v>152</v>
      </c>
      <c r="M159" s="35"/>
      <c r="N159" s="35"/>
      <c r="O159" s="34">
        <f>IFERROR(SUMIF(Table415[,],Table617[[#This Row],[Accounts Name]],Table415[,3]),"")</f>
        <v>0</v>
      </c>
      <c r="P159" s="34">
        <f>IFERROR(SUMIF(Table415[,],Table617[[#This Row],[Accounts Name]],Table415[,2]),"")</f>
        <v>0</v>
      </c>
      <c r="S159" s="36">
        <f t="shared" si="2"/>
        <v>152</v>
      </c>
      <c r="T159" s="34"/>
      <c r="U159" s="37"/>
      <c r="V159" s="34">
        <f>IFERROR(SUMIF(Table617[Sub-Accounts],Table818[[#This Row],[Update your chart of accounts here]],Table617[Debit]),"")</f>
        <v>0</v>
      </c>
      <c r="W159" s="34">
        <f>IFERROR(SUMIF(Table617[Sub-Accounts],Table818[[#This Row],[Update your chart of accounts here]],Table617[Credit]),"")</f>
        <v>0</v>
      </c>
      <c r="X159" s="34"/>
      <c r="Y159" s="34"/>
      <c r="Z159" s="34"/>
      <c r="AA159" s="34"/>
      <c r="AB159" s="34">
        <f>MAX(Table818[[#This Row],[Debit]]+Table818[[#This Row],[Debit -]]-Table818[[#This Row],[Credit]]-Table818[[#This Row],[Credit +]],0)</f>
        <v>0</v>
      </c>
      <c r="AC159" s="34">
        <f>MAX(Table818[[#This Row],[Credit]]-Table818[[#This Row],[Debit]]+Table818[[#This Row],[Credit +]]-Table818[[#This Row],[Debit -]],0)</f>
        <v>0</v>
      </c>
      <c r="AD159" s="34" t="str">
        <f>IFERROR(IF(AND(OR(Table818[[#This Row],[Classification]]="Expense",Table818[[#This Row],[Classification]]="Cost of Goods Sold"),Table818[[#This Row],[Debit\]]&gt;Table818[[#This Row],[Credit.]]),Table818[[#This Row],[Debit\]]-Table818[[#This Row],[Credit.]],""),"")</f>
        <v/>
      </c>
      <c r="AE159" s="34" t="str">
        <f>IFERROR(IF(AND(OR(Table818[[#This Row],[Classification]]="Income",Table818[[#This Row],[Classification]]="Cost of Goods Sold"),Table818[[#This Row],[Credit.]]&gt;Table818[[#This Row],[Debit\]]),Table818[[#This Row],[Credit.]]-Table818[[#This Row],[Debit\]],""),"")</f>
        <v/>
      </c>
      <c r="AF159" s="34"/>
      <c r="AG159" s="34" t="str">
        <f>IFERROR(IF(AND(Table818[[#This Row],[Classification]]="Assets",Table818[[#This Row],[Debit\]]-Table818[[#This Row],[Credit.]]),Table818[[#This Row],[Debit\]]-Table818[[#This Row],[Credit.]],""),"")</f>
        <v/>
      </c>
      <c r="AH159" s="34" t="str">
        <f>IFERROR(IF(AND(OR(Table818[[#This Row],[Classification]]="Liabilities",Table818[[#This Row],[Classification]]="Owner´s Equity"),Table818[[#This Row],[Credit.]]&gt;Table818[[#This Row],[Debit\]]),Table818[[#This Row],[Credit.]]-Table818[[#This Row],[Debit\]],""),"")</f>
        <v/>
      </c>
    </row>
    <row r="160" spans="2:34" x14ac:dyDescent="0.25">
      <c r="B160" s="34"/>
      <c r="C160" s="45"/>
      <c r="D160" s="34"/>
      <c r="E160" s="34"/>
      <c r="G160" s="39"/>
      <c r="H160" s="40"/>
      <c r="I160" s="41"/>
      <c r="J160" s="41"/>
      <c r="L160" s="34">
        <v>153</v>
      </c>
      <c r="M160" s="35"/>
      <c r="N160" s="35"/>
      <c r="O160" s="34">
        <f>IFERROR(SUMIF(Table415[,],Table617[[#This Row],[Accounts Name]],Table415[,3]),"")</f>
        <v>0</v>
      </c>
      <c r="P160" s="34">
        <f>IFERROR(SUMIF(Table415[,],Table617[[#This Row],[Accounts Name]],Table415[,2]),"")</f>
        <v>0</v>
      </c>
      <c r="S160" s="36">
        <f t="shared" si="2"/>
        <v>153</v>
      </c>
      <c r="T160" s="34"/>
      <c r="U160" s="37"/>
      <c r="V160" s="34">
        <f>IFERROR(SUMIF(Table617[Sub-Accounts],Table818[[#This Row],[Update your chart of accounts here]],Table617[Debit]),"")</f>
        <v>0</v>
      </c>
      <c r="W160" s="34">
        <f>IFERROR(SUMIF(Table617[Sub-Accounts],Table818[[#This Row],[Update your chart of accounts here]],Table617[Credit]),"")</f>
        <v>0</v>
      </c>
      <c r="X160" s="34"/>
      <c r="Y160" s="34"/>
      <c r="Z160" s="34"/>
      <c r="AA160" s="34"/>
      <c r="AB160" s="34">
        <f>MAX(Table818[[#This Row],[Debit]]+Table818[[#This Row],[Debit -]]-Table818[[#This Row],[Credit]]-Table818[[#This Row],[Credit +]],0)</f>
        <v>0</v>
      </c>
      <c r="AC160" s="34">
        <f>MAX(Table818[[#This Row],[Credit]]-Table818[[#This Row],[Debit]]+Table818[[#This Row],[Credit +]]-Table818[[#This Row],[Debit -]],0)</f>
        <v>0</v>
      </c>
      <c r="AD160" s="34" t="str">
        <f>IFERROR(IF(AND(OR(Table818[[#This Row],[Classification]]="Expense",Table818[[#This Row],[Classification]]="Cost of Goods Sold"),Table818[[#This Row],[Debit\]]&gt;Table818[[#This Row],[Credit.]]),Table818[[#This Row],[Debit\]]-Table818[[#This Row],[Credit.]],""),"")</f>
        <v/>
      </c>
      <c r="AE160" s="34" t="str">
        <f>IFERROR(IF(AND(OR(Table818[[#This Row],[Classification]]="Income",Table818[[#This Row],[Classification]]="Cost of Goods Sold"),Table818[[#This Row],[Credit.]]&gt;Table818[[#This Row],[Debit\]]),Table818[[#This Row],[Credit.]]-Table818[[#This Row],[Debit\]],""),"")</f>
        <v/>
      </c>
      <c r="AF160" s="34"/>
      <c r="AG160" s="34" t="str">
        <f>IFERROR(IF(AND(Table818[[#This Row],[Classification]]="Assets",Table818[[#This Row],[Debit\]]-Table818[[#This Row],[Credit.]]),Table818[[#This Row],[Debit\]]-Table818[[#This Row],[Credit.]],""),"")</f>
        <v/>
      </c>
      <c r="AH160" s="34" t="str">
        <f>IFERROR(IF(AND(OR(Table818[[#This Row],[Classification]]="Liabilities",Table818[[#This Row],[Classification]]="Owner´s Equity"),Table818[[#This Row],[Credit.]]&gt;Table818[[#This Row],[Debit\]]),Table818[[#This Row],[Credit.]]-Table818[[#This Row],[Debit\]],""),"")</f>
        <v/>
      </c>
    </row>
    <row r="161" spans="2:34" x14ac:dyDescent="0.25">
      <c r="B161" s="34"/>
      <c r="C161" s="45"/>
      <c r="D161" s="34"/>
      <c r="E161" s="34"/>
      <c r="G161" s="39"/>
      <c r="H161" s="43"/>
      <c r="I161" s="41"/>
      <c r="J161" s="41"/>
      <c r="L161" s="34">
        <v>154</v>
      </c>
      <c r="M161" s="35"/>
      <c r="N161" s="35"/>
      <c r="O161" s="34">
        <f>IFERROR(SUMIF(Table415[,],Table617[[#This Row],[Accounts Name]],Table415[,3]),"")</f>
        <v>0</v>
      </c>
      <c r="P161" s="34">
        <f>IFERROR(SUMIF(Table415[,],Table617[[#This Row],[Accounts Name]],Table415[,2]),"")</f>
        <v>0</v>
      </c>
      <c r="S161" s="36">
        <f t="shared" si="2"/>
        <v>154</v>
      </c>
      <c r="T161" s="34"/>
      <c r="U161" s="37"/>
      <c r="V161" s="34">
        <f>IFERROR(SUMIF(Table617[Sub-Accounts],Table818[[#This Row],[Update your chart of accounts here]],Table617[Debit]),"")</f>
        <v>0</v>
      </c>
      <c r="W161" s="34">
        <f>IFERROR(SUMIF(Table617[Sub-Accounts],Table818[[#This Row],[Update your chart of accounts here]],Table617[Credit]),"")</f>
        <v>0</v>
      </c>
      <c r="X161" s="34"/>
      <c r="Y161" s="34"/>
      <c r="Z161" s="34"/>
      <c r="AA161" s="34"/>
      <c r="AB161" s="34">
        <f>MAX(Table818[[#This Row],[Debit]]+Table818[[#This Row],[Debit -]]-Table818[[#This Row],[Credit]]-Table818[[#This Row],[Credit +]],0)</f>
        <v>0</v>
      </c>
      <c r="AC161" s="34">
        <f>MAX(Table818[[#This Row],[Credit]]-Table818[[#This Row],[Debit]]+Table818[[#This Row],[Credit +]]-Table818[[#This Row],[Debit -]],0)</f>
        <v>0</v>
      </c>
      <c r="AD161" s="34" t="str">
        <f>IFERROR(IF(AND(OR(Table818[[#This Row],[Classification]]="Expense",Table818[[#This Row],[Classification]]="Cost of Goods Sold"),Table818[[#This Row],[Debit\]]&gt;Table818[[#This Row],[Credit.]]),Table818[[#This Row],[Debit\]]-Table818[[#This Row],[Credit.]],""),"")</f>
        <v/>
      </c>
      <c r="AE161" s="34" t="str">
        <f>IFERROR(IF(AND(OR(Table818[[#This Row],[Classification]]="Income",Table818[[#This Row],[Classification]]="Cost of Goods Sold"),Table818[[#This Row],[Credit.]]&gt;Table818[[#This Row],[Debit\]]),Table818[[#This Row],[Credit.]]-Table818[[#This Row],[Debit\]],""),"")</f>
        <v/>
      </c>
      <c r="AF161" s="34"/>
      <c r="AG161" s="34" t="str">
        <f>IFERROR(IF(AND(Table818[[#This Row],[Classification]]="Assets",Table818[[#This Row],[Debit\]]-Table818[[#This Row],[Credit.]]),Table818[[#This Row],[Debit\]]-Table818[[#This Row],[Credit.]],""),"")</f>
        <v/>
      </c>
      <c r="AH161" s="34" t="str">
        <f>IFERROR(IF(AND(OR(Table818[[#This Row],[Classification]]="Liabilities",Table818[[#This Row],[Classification]]="Owner´s Equity"),Table818[[#This Row],[Credit.]]&gt;Table818[[#This Row],[Debit\]]),Table818[[#This Row],[Credit.]]-Table818[[#This Row],[Debit\]],""),"")</f>
        <v/>
      </c>
    </row>
    <row r="162" spans="2:34" x14ac:dyDescent="0.25">
      <c r="B162" s="34"/>
      <c r="C162" s="45"/>
      <c r="D162" s="34"/>
      <c r="E162" s="34"/>
      <c r="G162" s="39"/>
      <c r="H162" s="40"/>
      <c r="I162" s="41"/>
      <c r="J162" s="41"/>
      <c r="L162" s="34">
        <v>155</v>
      </c>
      <c r="M162" s="35"/>
      <c r="N162" s="35"/>
      <c r="O162" s="34">
        <f>IFERROR(SUMIF(Table415[,],Table617[[#This Row],[Accounts Name]],Table415[,3]),"")</f>
        <v>0</v>
      </c>
      <c r="P162" s="34">
        <f>IFERROR(SUMIF(Table415[,],Table617[[#This Row],[Accounts Name]],Table415[,2]),"")</f>
        <v>0</v>
      </c>
      <c r="S162" s="36">
        <f t="shared" si="2"/>
        <v>155</v>
      </c>
      <c r="T162" s="34"/>
      <c r="U162" s="37"/>
      <c r="V162" s="34">
        <f>IFERROR(SUMIF(Table617[Sub-Accounts],Table818[[#This Row],[Update your chart of accounts here]],Table617[Debit]),"")</f>
        <v>0</v>
      </c>
      <c r="W162" s="34">
        <f>IFERROR(SUMIF(Table617[Sub-Accounts],Table818[[#This Row],[Update your chart of accounts here]],Table617[Credit]),"")</f>
        <v>0</v>
      </c>
      <c r="X162" s="34"/>
      <c r="Y162" s="34"/>
      <c r="Z162" s="34"/>
      <c r="AA162" s="34"/>
      <c r="AB162" s="34">
        <f>MAX(Table818[[#This Row],[Debit]]+Table818[[#This Row],[Debit -]]-Table818[[#This Row],[Credit]]-Table818[[#This Row],[Credit +]],0)</f>
        <v>0</v>
      </c>
      <c r="AC162" s="34">
        <f>MAX(Table818[[#This Row],[Credit]]-Table818[[#This Row],[Debit]]+Table818[[#This Row],[Credit +]]-Table818[[#This Row],[Debit -]],0)</f>
        <v>0</v>
      </c>
      <c r="AD162" s="34" t="str">
        <f>IFERROR(IF(AND(OR(Table818[[#This Row],[Classification]]="Expense",Table818[[#This Row],[Classification]]="Cost of Goods Sold"),Table818[[#This Row],[Debit\]]&gt;Table818[[#This Row],[Credit.]]),Table818[[#This Row],[Debit\]]-Table818[[#This Row],[Credit.]],""),"")</f>
        <v/>
      </c>
      <c r="AE162" s="34" t="str">
        <f>IFERROR(IF(AND(OR(Table818[[#This Row],[Classification]]="Income",Table818[[#This Row],[Classification]]="Cost of Goods Sold"),Table818[[#This Row],[Credit.]]&gt;Table818[[#This Row],[Debit\]]),Table818[[#This Row],[Credit.]]-Table818[[#This Row],[Debit\]],""),"")</f>
        <v/>
      </c>
      <c r="AF162" s="34"/>
      <c r="AG162" s="34" t="str">
        <f>IFERROR(IF(AND(Table818[[#This Row],[Classification]]="Assets",Table818[[#This Row],[Debit\]]-Table818[[#This Row],[Credit.]]),Table818[[#This Row],[Debit\]]-Table818[[#This Row],[Credit.]],""),"")</f>
        <v/>
      </c>
      <c r="AH162" s="34" t="str">
        <f>IFERROR(IF(AND(OR(Table818[[#This Row],[Classification]]="Liabilities",Table818[[#This Row],[Classification]]="Owner´s Equity"),Table818[[#This Row],[Credit.]]&gt;Table818[[#This Row],[Debit\]]),Table818[[#This Row],[Credit.]]-Table818[[#This Row],[Debit\]],""),"")</f>
        <v/>
      </c>
    </row>
    <row r="163" spans="2:34" x14ac:dyDescent="0.25">
      <c r="B163" s="34"/>
      <c r="C163" s="45"/>
      <c r="D163" s="34"/>
      <c r="E163" s="34"/>
      <c r="G163" s="39"/>
      <c r="H163" s="40"/>
      <c r="I163" s="41"/>
      <c r="J163" s="41"/>
      <c r="L163" s="34">
        <v>156</v>
      </c>
      <c r="M163" s="35"/>
      <c r="N163" s="35"/>
      <c r="O163" s="34">
        <f>IFERROR(SUMIF(Table415[,],Table617[[#This Row],[Accounts Name]],Table415[,3]),"")</f>
        <v>0</v>
      </c>
      <c r="P163" s="34">
        <f>IFERROR(SUMIF(Table415[,],Table617[[#This Row],[Accounts Name]],Table415[,2]),"")</f>
        <v>0</v>
      </c>
      <c r="S163" s="36">
        <f t="shared" si="2"/>
        <v>156</v>
      </c>
      <c r="T163" s="34"/>
      <c r="U163" s="37"/>
      <c r="V163" s="34">
        <f>IFERROR(SUMIF(Table617[Sub-Accounts],Table818[[#This Row],[Update your chart of accounts here]],Table617[Debit]),"")</f>
        <v>0</v>
      </c>
      <c r="W163" s="34">
        <f>IFERROR(SUMIF(Table617[Sub-Accounts],Table818[[#This Row],[Update your chart of accounts here]],Table617[Credit]),"")</f>
        <v>0</v>
      </c>
      <c r="X163" s="34"/>
      <c r="Y163" s="34"/>
      <c r="Z163" s="34"/>
      <c r="AA163" s="34"/>
      <c r="AB163" s="34">
        <f>MAX(Table818[[#This Row],[Debit]]+Table818[[#This Row],[Debit -]]-Table818[[#This Row],[Credit]]-Table818[[#This Row],[Credit +]],0)</f>
        <v>0</v>
      </c>
      <c r="AC163" s="34">
        <f>MAX(Table818[[#This Row],[Credit]]-Table818[[#This Row],[Debit]]+Table818[[#This Row],[Credit +]]-Table818[[#This Row],[Debit -]],0)</f>
        <v>0</v>
      </c>
      <c r="AD163" s="34" t="str">
        <f>IFERROR(IF(AND(OR(Table818[[#This Row],[Classification]]="Expense",Table818[[#This Row],[Classification]]="Cost of Goods Sold"),Table818[[#This Row],[Debit\]]&gt;Table818[[#This Row],[Credit.]]),Table818[[#This Row],[Debit\]]-Table818[[#This Row],[Credit.]],""),"")</f>
        <v/>
      </c>
      <c r="AE163" s="34" t="str">
        <f>IFERROR(IF(AND(OR(Table818[[#This Row],[Classification]]="Income",Table818[[#This Row],[Classification]]="Cost of Goods Sold"),Table818[[#This Row],[Credit.]]&gt;Table818[[#This Row],[Debit\]]),Table818[[#This Row],[Credit.]]-Table818[[#This Row],[Debit\]],""),"")</f>
        <v/>
      </c>
      <c r="AF163" s="34"/>
      <c r="AG163" s="34" t="str">
        <f>IFERROR(IF(AND(Table818[[#This Row],[Classification]]="Assets",Table818[[#This Row],[Debit\]]-Table818[[#This Row],[Credit.]]),Table818[[#This Row],[Debit\]]-Table818[[#This Row],[Credit.]],""),"")</f>
        <v/>
      </c>
      <c r="AH163" s="34" t="str">
        <f>IFERROR(IF(AND(OR(Table818[[#This Row],[Classification]]="Liabilities",Table818[[#This Row],[Classification]]="Owner´s Equity"),Table818[[#This Row],[Credit.]]&gt;Table818[[#This Row],[Debit\]]),Table818[[#This Row],[Credit.]]-Table818[[#This Row],[Debit\]],""),"")</f>
        <v/>
      </c>
    </row>
    <row r="164" spans="2:34" x14ac:dyDescent="0.25">
      <c r="B164" s="34"/>
      <c r="C164" s="45"/>
      <c r="D164" s="34"/>
      <c r="E164" s="34"/>
      <c r="G164" s="39"/>
      <c r="H164" s="43"/>
      <c r="I164" s="41"/>
      <c r="J164" s="41"/>
      <c r="L164" s="34">
        <v>157</v>
      </c>
      <c r="M164" s="35"/>
      <c r="N164" s="35"/>
      <c r="O164" s="34">
        <f>IFERROR(SUMIF(Table415[,],Table617[[#This Row],[Accounts Name]],Table415[,3]),"")</f>
        <v>0</v>
      </c>
      <c r="P164" s="34">
        <f>IFERROR(SUMIF(Table415[,],Table617[[#This Row],[Accounts Name]],Table415[,2]),"")</f>
        <v>0</v>
      </c>
      <c r="S164" s="36">
        <f t="shared" si="2"/>
        <v>157</v>
      </c>
      <c r="T164" s="34"/>
      <c r="U164" s="37"/>
      <c r="V164" s="34">
        <f>IFERROR(SUMIF(Table617[Sub-Accounts],Table818[[#This Row],[Update your chart of accounts here]],Table617[Debit]),"")</f>
        <v>0</v>
      </c>
      <c r="W164" s="34">
        <f>IFERROR(SUMIF(Table617[Sub-Accounts],Table818[[#This Row],[Update your chart of accounts here]],Table617[Credit]),"")</f>
        <v>0</v>
      </c>
      <c r="X164" s="34"/>
      <c r="Y164" s="34"/>
      <c r="Z164" s="34"/>
      <c r="AA164" s="34"/>
      <c r="AB164" s="34">
        <f>MAX(Table818[[#This Row],[Debit]]+Table818[[#This Row],[Debit -]]-Table818[[#This Row],[Credit]]-Table818[[#This Row],[Credit +]],0)</f>
        <v>0</v>
      </c>
      <c r="AC164" s="34">
        <f>MAX(Table818[[#This Row],[Credit]]-Table818[[#This Row],[Debit]]+Table818[[#This Row],[Credit +]]-Table818[[#This Row],[Debit -]],0)</f>
        <v>0</v>
      </c>
      <c r="AD164" s="34" t="str">
        <f>IFERROR(IF(AND(OR(Table818[[#This Row],[Classification]]="Expense",Table818[[#This Row],[Classification]]="Cost of Goods Sold"),Table818[[#This Row],[Debit\]]&gt;Table818[[#This Row],[Credit.]]),Table818[[#This Row],[Debit\]]-Table818[[#This Row],[Credit.]],""),"")</f>
        <v/>
      </c>
      <c r="AE164" s="34" t="str">
        <f>IFERROR(IF(AND(OR(Table818[[#This Row],[Classification]]="Income",Table818[[#This Row],[Classification]]="Cost of Goods Sold"),Table818[[#This Row],[Credit.]]&gt;Table818[[#This Row],[Debit\]]),Table818[[#This Row],[Credit.]]-Table818[[#This Row],[Debit\]],""),"")</f>
        <v/>
      </c>
      <c r="AF164" s="34"/>
      <c r="AG164" s="34" t="str">
        <f>IFERROR(IF(AND(Table818[[#This Row],[Classification]]="Assets",Table818[[#This Row],[Debit\]]-Table818[[#This Row],[Credit.]]),Table818[[#This Row],[Debit\]]-Table818[[#This Row],[Credit.]],""),"")</f>
        <v/>
      </c>
      <c r="AH164" s="34" t="str">
        <f>IFERROR(IF(AND(OR(Table818[[#This Row],[Classification]]="Liabilities",Table818[[#This Row],[Classification]]="Owner´s Equity"),Table818[[#This Row],[Credit.]]&gt;Table818[[#This Row],[Debit\]]),Table818[[#This Row],[Credit.]]-Table818[[#This Row],[Debit\]],""),"")</f>
        <v/>
      </c>
    </row>
    <row r="165" spans="2:34" x14ac:dyDescent="0.25">
      <c r="B165" s="34"/>
      <c r="C165" s="45"/>
      <c r="D165" s="34"/>
      <c r="E165" s="34"/>
      <c r="G165" s="39"/>
      <c r="H165" s="40"/>
      <c r="I165" s="41"/>
      <c r="J165" s="41"/>
      <c r="L165" s="34">
        <v>158</v>
      </c>
      <c r="M165" s="35"/>
      <c r="N165" s="35"/>
      <c r="O165" s="34">
        <f>IFERROR(SUMIF(Table415[,],Table617[[#This Row],[Accounts Name]],Table415[,3]),"")</f>
        <v>0</v>
      </c>
      <c r="P165" s="34">
        <f>IFERROR(SUMIF(Table415[,],Table617[[#This Row],[Accounts Name]],Table415[,2]),"")</f>
        <v>0</v>
      </c>
      <c r="S165" s="36">
        <f t="shared" si="2"/>
        <v>158</v>
      </c>
      <c r="T165" s="34"/>
      <c r="U165" s="37"/>
      <c r="V165" s="34">
        <f>IFERROR(SUMIF(Table617[Sub-Accounts],Table818[[#This Row],[Update your chart of accounts here]],Table617[Debit]),"")</f>
        <v>0</v>
      </c>
      <c r="W165" s="34">
        <f>IFERROR(SUMIF(Table617[Sub-Accounts],Table818[[#This Row],[Update your chart of accounts here]],Table617[Credit]),"")</f>
        <v>0</v>
      </c>
      <c r="X165" s="34"/>
      <c r="Y165" s="34"/>
      <c r="Z165" s="34"/>
      <c r="AA165" s="34"/>
      <c r="AB165" s="34">
        <f>MAX(Table818[[#This Row],[Debit]]+Table818[[#This Row],[Debit -]]-Table818[[#This Row],[Credit]]-Table818[[#This Row],[Credit +]],0)</f>
        <v>0</v>
      </c>
      <c r="AC165" s="34">
        <f>MAX(Table818[[#This Row],[Credit]]-Table818[[#This Row],[Debit]]+Table818[[#This Row],[Credit +]]-Table818[[#This Row],[Debit -]],0)</f>
        <v>0</v>
      </c>
      <c r="AD165" s="34" t="str">
        <f>IFERROR(IF(AND(OR(Table818[[#This Row],[Classification]]="Expense",Table818[[#This Row],[Classification]]="Cost of Goods Sold"),Table818[[#This Row],[Debit\]]&gt;Table818[[#This Row],[Credit.]]),Table818[[#This Row],[Debit\]]-Table818[[#This Row],[Credit.]],""),"")</f>
        <v/>
      </c>
      <c r="AE165" s="34" t="str">
        <f>IFERROR(IF(AND(OR(Table818[[#This Row],[Classification]]="Income",Table818[[#This Row],[Classification]]="Cost of Goods Sold"),Table818[[#This Row],[Credit.]]&gt;Table818[[#This Row],[Debit\]]),Table818[[#This Row],[Credit.]]-Table818[[#This Row],[Debit\]],""),"")</f>
        <v/>
      </c>
      <c r="AF165" s="34"/>
      <c r="AG165" s="34" t="str">
        <f>IFERROR(IF(AND(Table818[[#This Row],[Classification]]="Assets",Table818[[#This Row],[Debit\]]-Table818[[#This Row],[Credit.]]),Table818[[#This Row],[Debit\]]-Table818[[#This Row],[Credit.]],""),"")</f>
        <v/>
      </c>
      <c r="AH165" s="34" t="str">
        <f>IFERROR(IF(AND(OR(Table818[[#This Row],[Classification]]="Liabilities",Table818[[#This Row],[Classification]]="Owner´s Equity"),Table818[[#This Row],[Credit.]]&gt;Table818[[#This Row],[Debit\]]),Table818[[#This Row],[Credit.]]-Table818[[#This Row],[Debit\]],""),"")</f>
        <v/>
      </c>
    </row>
    <row r="166" spans="2:34" x14ac:dyDescent="0.25">
      <c r="B166" s="34"/>
      <c r="C166" s="45"/>
      <c r="D166" s="34"/>
      <c r="E166" s="34"/>
      <c r="G166" s="39"/>
      <c r="H166" s="40"/>
      <c r="I166" s="41"/>
      <c r="J166" s="41"/>
      <c r="L166" s="34">
        <v>159</v>
      </c>
      <c r="M166" s="35"/>
      <c r="N166" s="35"/>
      <c r="O166" s="34">
        <f>IFERROR(SUMIF(Table415[,],Table617[[#This Row],[Accounts Name]],Table415[,3]),"")</f>
        <v>0</v>
      </c>
      <c r="P166" s="34">
        <f>IFERROR(SUMIF(Table415[,],Table617[[#This Row],[Accounts Name]],Table415[,2]),"")</f>
        <v>0</v>
      </c>
      <c r="S166" s="36">
        <f t="shared" si="2"/>
        <v>159</v>
      </c>
      <c r="T166" s="34"/>
      <c r="U166" s="37"/>
      <c r="V166" s="34">
        <f>IFERROR(SUMIF(Table617[Sub-Accounts],Table818[[#This Row],[Update your chart of accounts here]],Table617[Debit]),"")</f>
        <v>0</v>
      </c>
      <c r="W166" s="34">
        <f>IFERROR(SUMIF(Table617[Sub-Accounts],Table818[[#This Row],[Update your chart of accounts here]],Table617[Credit]),"")</f>
        <v>0</v>
      </c>
      <c r="X166" s="34"/>
      <c r="Y166" s="34"/>
      <c r="Z166" s="34"/>
      <c r="AA166" s="34"/>
      <c r="AB166" s="34">
        <f>MAX(Table818[[#This Row],[Debit]]+Table818[[#This Row],[Debit -]]-Table818[[#This Row],[Credit]]-Table818[[#This Row],[Credit +]],0)</f>
        <v>0</v>
      </c>
      <c r="AC166" s="34">
        <f>MAX(Table818[[#This Row],[Credit]]-Table818[[#This Row],[Debit]]+Table818[[#This Row],[Credit +]]-Table818[[#This Row],[Debit -]],0)</f>
        <v>0</v>
      </c>
      <c r="AD166" s="34" t="str">
        <f>IFERROR(IF(AND(OR(Table818[[#This Row],[Classification]]="Expense",Table818[[#This Row],[Classification]]="Cost of Goods Sold"),Table818[[#This Row],[Debit\]]&gt;Table818[[#This Row],[Credit.]]),Table818[[#This Row],[Debit\]]-Table818[[#This Row],[Credit.]],""),"")</f>
        <v/>
      </c>
      <c r="AE166" s="34" t="str">
        <f>IFERROR(IF(AND(OR(Table818[[#This Row],[Classification]]="Income",Table818[[#This Row],[Classification]]="Cost of Goods Sold"),Table818[[#This Row],[Credit.]]&gt;Table818[[#This Row],[Debit\]]),Table818[[#This Row],[Credit.]]-Table818[[#This Row],[Debit\]],""),"")</f>
        <v/>
      </c>
      <c r="AF166" s="34"/>
      <c r="AG166" s="34" t="str">
        <f>IFERROR(IF(AND(Table818[[#This Row],[Classification]]="Assets",Table818[[#This Row],[Debit\]]-Table818[[#This Row],[Credit.]]),Table818[[#This Row],[Debit\]]-Table818[[#This Row],[Credit.]],""),"")</f>
        <v/>
      </c>
      <c r="AH166" s="34" t="str">
        <f>IFERROR(IF(AND(OR(Table818[[#This Row],[Classification]]="Liabilities",Table818[[#This Row],[Classification]]="Owner´s Equity"),Table818[[#This Row],[Credit.]]&gt;Table818[[#This Row],[Debit\]]),Table818[[#This Row],[Credit.]]-Table818[[#This Row],[Debit\]],""),"")</f>
        <v/>
      </c>
    </row>
    <row r="167" spans="2:34" x14ac:dyDescent="0.25">
      <c r="B167" s="34"/>
      <c r="C167" s="45"/>
      <c r="D167" s="34"/>
      <c r="E167" s="34"/>
      <c r="G167" s="39"/>
      <c r="H167" s="43"/>
      <c r="I167" s="41"/>
      <c r="J167" s="41"/>
      <c r="L167" s="34">
        <v>160</v>
      </c>
      <c r="M167" s="35"/>
      <c r="N167" s="35"/>
      <c r="O167" s="34">
        <f>IFERROR(SUMIF(Table415[,],Table617[[#This Row],[Accounts Name]],Table415[,3]),"")</f>
        <v>0</v>
      </c>
      <c r="P167" s="34">
        <f>IFERROR(SUMIF(Table415[,],Table617[[#This Row],[Accounts Name]],Table415[,2]),"")</f>
        <v>0</v>
      </c>
      <c r="S167" s="36">
        <f t="shared" si="2"/>
        <v>160</v>
      </c>
      <c r="T167" s="34"/>
      <c r="U167" s="37"/>
      <c r="V167" s="34">
        <f>IFERROR(SUMIF(Table617[Sub-Accounts],Table818[[#This Row],[Update your chart of accounts here]],Table617[Debit]),"")</f>
        <v>0</v>
      </c>
      <c r="W167" s="34">
        <f>IFERROR(SUMIF(Table617[Sub-Accounts],Table818[[#This Row],[Update your chart of accounts here]],Table617[Credit]),"")</f>
        <v>0</v>
      </c>
      <c r="X167" s="34"/>
      <c r="Y167" s="34"/>
      <c r="Z167" s="34"/>
      <c r="AA167" s="34"/>
      <c r="AB167" s="34">
        <f>MAX(Table818[[#This Row],[Debit]]+Table818[[#This Row],[Debit -]]-Table818[[#This Row],[Credit]]-Table818[[#This Row],[Credit +]],0)</f>
        <v>0</v>
      </c>
      <c r="AC167" s="34">
        <f>MAX(Table818[[#This Row],[Credit]]-Table818[[#This Row],[Debit]]+Table818[[#This Row],[Credit +]]-Table818[[#This Row],[Debit -]],0)</f>
        <v>0</v>
      </c>
      <c r="AD167" s="34" t="str">
        <f>IFERROR(IF(AND(OR(Table818[[#This Row],[Classification]]="Expense",Table818[[#This Row],[Classification]]="Cost of Goods Sold"),Table818[[#This Row],[Debit\]]&gt;Table818[[#This Row],[Credit.]]),Table818[[#This Row],[Debit\]]-Table818[[#This Row],[Credit.]],""),"")</f>
        <v/>
      </c>
      <c r="AE167" s="34" t="str">
        <f>IFERROR(IF(AND(OR(Table818[[#This Row],[Classification]]="Income",Table818[[#This Row],[Classification]]="Cost of Goods Sold"),Table818[[#This Row],[Credit.]]&gt;Table818[[#This Row],[Debit\]]),Table818[[#This Row],[Credit.]]-Table818[[#This Row],[Debit\]],""),"")</f>
        <v/>
      </c>
      <c r="AF167" s="34"/>
      <c r="AG167" s="34" t="str">
        <f>IFERROR(IF(AND(Table818[[#This Row],[Classification]]="Assets",Table818[[#This Row],[Debit\]]-Table818[[#This Row],[Credit.]]),Table818[[#This Row],[Debit\]]-Table818[[#This Row],[Credit.]],""),"")</f>
        <v/>
      </c>
      <c r="AH167" s="34" t="str">
        <f>IFERROR(IF(AND(OR(Table818[[#This Row],[Classification]]="Liabilities",Table818[[#This Row],[Classification]]="Owner´s Equity"),Table818[[#This Row],[Credit.]]&gt;Table818[[#This Row],[Debit\]]),Table818[[#This Row],[Credit.]]-Table818[[#This Row],[Debit\]],""),"")</f>
        <v/>
      </c>
    </row>
    <row r="168" spans="2:34" x14ac:dyDescent="0.25">
      <c r="B168" s="34"/>
      <c r="C168" s="45"/>
      <c r="D168" s="34"/>
      <c r="E168" s="34"/>
      <c r="G168" s="39"/>
      <c r="H168" s="40"/>
      <c r="I168" s="41"/>
      <c r="J168" s="41"/>
      <c r="L168" s="34">
        <v>161</v>
      </c>
      <c r="M168" s="35"/>
      <c r="N168" s="35"/>
      <c r="O168" s="34">
        <f>IFERROR(SUMIF(Table415[,],Table617[[#This Row],[Accounts Name]],Table415[,3]),"")</f>
        <v>0</v>
      </c>
      <c r="P168" s="34">
        <f>IFERROR(SUMIF(Table415[,],Table617[[#This Row],[Accounts Name]],Table415[,2]),"")</f>
        <v>0</v>
      </c>
      <c r="S168" s="36">
        <f t="shared" si="2"/>
        <v>161</v>
      </c>
      <c r="T168" s="34"/>
      <c r="U168" s="37"/>
      <c r="V168" s="34">
        <f>IFERROR(SUMIF(Table617[Sub-Accounts],Table818[[#This Row],[Update your chart of accounts here]],Table617[Debit]),"")</f>
        <v>0</v>
      </c>
      <c r="W168" s="34">
        <f>IFERROR(SUMIF(Table617[Sub-Accounts],Table818[[#This Row],[Update your chart of accounts here]],Table617[Credit]),"")</f>
        <v>0</v>
      </c>
      <c r="X168" s="34"/>
      <c r="Y168" s="34"/>
      <c r="Z168" s="34"/>
      <c r="AA168" s="34"/>
      <c r="AB168" s="34">
        <f>MAX(Table818[[#This Row],[Debit]]+Table818[[#This Row],[Debit -]]-Table818[[#This Row],[Credit]]-Table818[[#This Row],[Credit +]],0)</f>
        <v>0</v>
      </c>
      <c r="AC168" s="34">
        <f>MAX(Table818[[#This Row],[Credit]]-Table818[[#This Row],[Debit]]+Table818[[#This Row],[Credit +]]-Table818[[#This Row],[Debit -]],0)</f>
        <v>0</v>
      </c>
      <c r="AD168" s="34" t="str">
        <f>IFERROR(IF(AND(OR(Table818[[#This Row],[Classification]]="Expense",Table818[[#This Row],[Classification]]="Cost of Goods Sold"),Table818[[#This Row],[Debit\]]&gt;Table818[[#This Row],[Credit.]]),Table818[[#This Row],[Debit\]]-Table818[[#This Row],[Credit.]],""),"")</f>
        <v/>
      </c>
      <c r="AE168" s="34" t="str">
        <f>IFERROR(IF(AND(OR(Table818[[#This Row],[Classification]]="Income",Table818[[#This Row],[Classification]]="Cost of Goods Sold"),Table818[[#This Row],[Credit.]]&gt;Table818[[#This Row],[Debit\]]),Table818[[#This Row],[Credit.]]-Table818[[#This Row],[Debit\]],""),"")</f>
        <v/>
      </c>
      <c r="AF168" s="34"/>
      <c r="AG168" s="34" t="str">
        <f>IFERROR(IF(AND(Table818[[#This Row],[Classification]]="Assets",Table818[[#This Row],[Debit\]]-Table818[[#This Row],[Credit.]]),Table818[[#This Row],[Debit\]]-Table818[[#This Row],[Credit.]],""),"")</f>
        <v/>
      </c>
      <c r="AH168" s="34" t="str">
        <f>IFERROR(IF(AND(OR(Table818[[#This Row],[Classification]]="Liabilities",Table818[[#This Row],[Classification]]="Owner´s Equity"),Table818[[#This Row],[Credit.]]&gt;Table818[[#This Row],[Debit\]]),Table818[[#This Row],[Credit.]]-Table818[[#This Row],[Debit\]],""),"")</f>
        <v/>
      </c>
    </row>
    <row r="169" spans="2:34" x14ac:dyDescent="0.25">
      <c r="B169" s="34"/>
      <c r="C169" s="45"/>
      <c r="D169" s="34"/>
      <c r="E169" s="34"/>
      <c r="G169" s="39"/>
      <c r="H169" s="40"/>
      <c r="I169" s="41"/>
      <c r="J169" s="41"/>
      <c r="L169" s="34">
        <v>162</v>
      </c>
      <c r="M169" s="35"/>
      <c r="N169" s="35"/>
      <c r="O169" s="34">
        <f>IFERROR(SUMIF(Table415[,],Table617[[#This Row],[Accounts Name]],Table415[,3]),"")</f>
        <v>0</v>
      </c>
      <c r="P169" s="34">
        <f>IFERROR(SUMIF(Table415[,],Table617[[#This Row],[Accounts Name]],Table415[,2]),"")</f>
        <v>0</v>
      </c>
      <c r="S169" s="36">
        <f t="shared" si="2"/>
        <v>162</v>
      </c>
      <c r="T169" s="34"/>
      <c r="U169" s="37"/>
      <c r="V169" s="34">
        <f>IFERROR(SUMIF(Table617[Sub-Accounts],Table818[[#This Row],[Update your chart of accounts here]],Table617[Debit]),"")</f>
        <v>0</v>
      </c>
      <c r="W169" s="34">
        <f>IFERROR(SUMIF(Table617[Sub-Accounts],Table818[[#This Row],[Update your chart of accounts here]],Table617[Credit]),"")</f>
        <v>0</v>
      </c>
      <c r="X169" s="34"/>
      <c r="Y169" s="34"/>
      <c r="Z169" s="34"/>
      <c r="AA169" s="34"/>
      <c r="AB169" s="34">
        <f>MAX(Table818[[#This Row],[Debit]]+Table818[[#This Row],[Debit -]]-Table818[[#This Row],[Credit]]-Table818[[#This Row],[Credit +]],0)</f>
        <v>0</v>
      </c>
      <c r="AC169" s="34">
        <f>MAX(Table818[[#This Row],[Credit]]-Table818[[#This Row],[Debit]]+Table818[[#This Row],[Credit +]]-Table818[[#This Row],[Debit -]],0)</f>
        <v>0</v>
      </c>
      <c r="AD169" s="34" t="str">
        <f>IFERROR(IF(AND(OR(Table818[[#This Row],[Classification]]="Expense",Table818[[#This Row],[Classification]]="Cost of Goods Sold"),Table818[[#This Row],[Debit\]]&gt;Table818[[#This Row],[Credit.]]),Table818[[#This Row],[Debit\]]-Table818[[#This Row],[Credit.]],""),"")</f>
        <v/>
      </c>
      <c r="AE169" s="34" t="str">
        <f>IFERROR(IF(AND(OR(Table818[[#This Row],[Classification]]="Income",Table818[[#This Row],[Classification]]="Cost of Goods Sold"),Table818[[#This Row],[Credit.]]&gt;Table818[[#This Row],[Debit\]]),Table818[[#This Row],[Credit.]]-Table818[[#This Row],[Debit\]],""),"")</f>
        <v/>
      </c>
      <c r="AF169" s="34"/>
      <c r="AG169" s="34" t="str">
        <f>IFERROR(IF(AND(Table818[[#This Row],[Classification]]="Assets",Table818[[#This Row],[Debit\]]-Table818[[#This Row],[Credit.]]),Table818[[#This Row],[Debit\]]-Table818[[#This Row],[Credit.]],""),"")</f>
        <v/>
      </c>
      <c r="AH169" s="34" t="str">
        <f>IFERROR(IF(AND(OR(Table818[[#This Row],[Classification]]="Liabilities",Table818[[#This Row],[Classification]]="Owner´s Equity"),Table818[[#This Row],[Credit.]]&gt;Table818[[#This Row],[Debit\]]),Table818[[#This Row],[Credit.]]-Table818[[#This Row],[Debit\]],""),"")</f>
        <v/>
      </c>
    </row>
    <row r="170" spans="2:34" x14ac:dyDescent="0.25">
      <c r="B170" s="34"/>
      <c r="C170" s="45"/>
      <c r="D170" s="34"/>
      <c r="E170" s="34"/>
      <c r="G170" s="39"/>
      <c r="H170" s="43"/>
      <c r="I170" s="41"/>
      <c r="J170" s="41"/>
      <c r="L170" s="34">
        <v>163</v>
      </c>
      <c r="M170" s="35"/>
      <c r="N170" s="35"/>
      <c r="O170" s="34">
        <f>IFERROR(SUMIF(Table415[,],Table617[[#This Row],[Accounts Name]],Table415[,3]),"")</f>
        <v>0</v>
      </c>
      <c r="P170" s="34">
        <f>IFERROR(SUMIF(Table415[,],Table617[[#This Row],[Accounts Name]],Table415[,2]),"")</f>
        <v>0</v>
      </c>
      <c r="S170" s="36">
        <f t="shared" si="2"/>
        <v>163</v>
      </c>
      <c r="T170" s="34"/>
      <c r="U170" s="37"/>
      <c r="V170" s="34">
        <f>IFERROR(SUMIF(Table617[Sub-Accounts],Table818[[#This Row],[Update your chart of accounts here]],Table617[Debit]),"")</f>
        <v>0</v>
      </c>
      <c r="W170" s="34">
        <f>IFERROR(SUMIF(Table617[Sub-Accounts],Table818[[#This Row],[Update your chart of accounts here]],Table617[Credit]),"")</f>
        <v>0</v>
      </c>
      <c r="X170" s="34"/>
      <c r="Y170" s="34"/>
      <c r="Z170" s="34"/>
      <c r="AA170" s="34"/>
      <c r="AB170" s="34">
        <f>MAX(Table818[[#This Row],[Debit]]+Table818[[#This Row],[Debit -]]-Table818[[#This Row],[Credit]]-Table818[[#This Row],[Credit +]],0)</f>
        <v>0</v>
      </c>
      <c r="AC170" s="34">
        <f>MAX(Table818[[#This Row],[Credit]]-Table818[[#This Row],[Debit]]+Table818[[#This Row],[Credit +]]-Table818[[#This Row],[Debit -]],0)</f>
        <v>0</v>
      </c>
      <c r="AD170" s="34" t="str">
        <f>IFERROR(IF(AND(OR(Table818[[#This Row],[Classification]]="Expense",Table818[[#This Row],[Classification]]="Cost of Goods Sold"),Table818[[#This Row],[Debit\]]&gt;Table818[[#This Row],[Credit.]]),Table818[[#This Row],[Debit\]]-Table818[[#This Row],[Credit.]],""),"")</f>
        <v/>
      </c>
      <c r="AE170" s="34" t="str">
        <f>IFERROR(IF(AND(OR(Table818[[#This Row],[Classification]]="Income",Table818[[#This Row],[Classification]]="Cost of Goods Sold"),Table818[[#This Row],[Credit.]]&gt;Table818[[#This Row],[Debit\]]),Table818[[#This Row],[Credit.]]-Table818[[#This Row],[Debit\]],""),"")</f>
        <v/>
      </c>
      <c r="AF170" s="34"/>
      <c r="AG170" s="34" t="str">
        <f>IFERROR(IF(AND(Table818[[#This Row],[Classification]]="Assets",Table818[[#This Row],[Debit\]]-Table818[[#This Row],[Credit.]]),Table818[[#This Row],[Debit\]]-Table818[[#This Row],[Credit.]],""),"")</f>
        <v/>
      </c>
      <c r="AH170" s="34" t="str">
        <f>IFERROR(IF(AND(OR(Table818[[#This Row],[Classification]]="Liabilities",Table818[[#This Row],[Classification]]="Owner´s Equity"),Table818[[#This Row],[Credit.]]&gt;Table818[[#This Row],[Debit\]]),Table818[[#This Row],[Credit.]]-Table818[[#This Row],[Debit\]],""),"")</f>
        <v/>
      </c>
    </row>
    <row r="171" spans="2:34" x14ac:dyDescent="0.25">
      <c r="B171" s="34"/>
      <c r="C171" s="45"/>
      <c r="D171" s="34"/>
      <c r="E171" s="34"/>
      <c r="G171" s="39"/>
      <c r="H171" s="40"/>
      <c r="I171" s="41"/>
      <c r="J171" s="41"/>
      <c r="L171" s="34">
        <v>164</v>
      </c>
      <c r="M171" s="35"/>
      <c r="N171" s="35"/>
      <c r="O171" s="34">
        <f>IFERROR(SUMIF(Table415[,],Table617[[#This Row],[Accounts Name]],Table415[,3]),"")</f>
        <v>0</v>
      </c>
      <c r="P171" s="34">
        <f>IFERROR(SUMIF(Table415[,],Table617[[#This Row],[Accounts Name]],Table415[,2]),"")</f>
        <v>0</v>
      </c>
      <c r="S171" s="36">
        <f t="shared" si="2"/>
        <v>164</v>
      </c>
      <c r="T171" s="34"/>
      <c r="U171" s="37"/>
      <c r="V171" s="34">
        <f>IFERROR(SUMIF(Table617[Sub-Accounts],Table818[[#This Row],[Update your chart of accounts here]],Table617[Debit]),"")</f>
        <v>0</v>
      </c>
      <c r="W171" s="34">
        <f>IFERROR(SUMIF(Table617[Sub-Accounts],Table818[[#This Row],[Update your chart of accounts here]],Table617[Credit]),"")</f>
        <v>0</v>
      </c>
      <c r="X171" s="34"/>
      <c r="Y171" s="34"/>
      <c r="Z171" s="34"/>
      <c r="AA171" s="34"/>
      <c r="AB171" s="34">
        <f>MAX(Table818[[#This Row],[Debit]]+Table818[[#This Row],[Debit -]]-Table818[[#This Row],[Credit]]-Table818[[#This Row],[Credit +]],0)</f>
        <v>0</v>
      </c>
      <c r="AC171" s="34">
        <f>MAX(Table818[[#This Row],[Credit]]-Table818[[#This Row],[Debit]]+Table818[[#This Row],[Credit +]]-Table818[[#This Row],[Debit -]],0)</f>
        <v>0</v>
      </c>
      <c r="AD171" s="34" t="str">
        <f>IFERROR(IF(AND(OR(Table818[[#This Row],[Classification]]="Expense",Table818[[#This Row],[Classification]]="Cost of Goods Sold"),Table818[[#This Row],[Debit\]]&gt;Table818[[#This Row],[Credit.]]),Table818[[#This Row],[Debit\]]-Table818[[#This Row],[Credit.]],""),"")</f>
        <v/>
      </c>
      <c r="AE171" s="34" t="str">
        <f>IFERROR(IF(AND(OR(Table818[[#This Row],[Classification]]="Income",Table818[[#This Row],[Classification]]="Cost of Goods Sold"),Table818[[#This Row],[Credit.]]&gt;Table818[[#This Row],[Debit\]]),Table818[[#This Row],[Credit.]]-Table818[[#This Row],[Debit\]],""),"")</f>
        <v/>
      </c>
      <c r="AF171" s="34"/>
      <c r="AG171" s="34" t="str">
        <f>IFERROR(IF(AND(Table818[[#This Row],[Classification]]="Assets",Table818[[#This Row],[Debit\]]-Table818[[#This Row],[Credit.]]),Table818[[#This Row],[Debit\]]-Table818[[#This Row],[Credit.]],""),"")</f>
        <v/>
      </c>
      <c r="AH171" s="34" t="str">
        <f>IFERROR(IF(AND(OR(Table818[[#This Row],[Classification]]="Liabilities",Table818[[#This Row],[Classification]]="Owner´s Equity"),Table818[[#This Row],[Credit.]]&gt;Table818[[#This Row],[Debit\]]),Table818[[#This Row],[Credit.]]-Table818[[#This Row],[Debit\]],""),"")</f>
        <v/>
      </c>
    </row>
    <row r="172" spans="2:34" x14ac:dyDescent="0.25">
      <c r="B172" s="34"/>
      <c r="C172" s="45"/>
      <c r="D172" s="34"/>
      <c r="E172" s="34"/>
      <c r="G172" s="39"/>
      <c r="H172" s="40"/>
      <c r="I172" s="41"/>
      <c r="J172" s="41"/>
      <c r="L172" s="34">
        <v>165</v>
      </c>
      <c r="M172" s="35"/>
      <c r="N172" s="35"/>
      <c r="O172" s="34">
        <f>IFERROR(SUMIF(Table415[,],Table617[[#This Row],[Accounts Name]],Table415[,3]),"")</f>
        <v>0</v>
      </c>
      <c r="P172" s="34">
        <f>IFERROR(SUMIF(Table415[,],Table617[[#This Row],[Accounts Name]],Table415[,2]),"")</f>
        <v>0</v>
      </c>
      <c r="S172" s="36">
        <f t="shared" si="2"/>
        <v>165</v>
      </c>
      <c r="T172" s="34"/>
      <c r="U172" s="37"/>
      <c r="V172" s="34">
        <f>IFERROR(SUMIF(Table617[Sub-Accounts],Table818[[#This Row],[Update your chart of accounts here]],Table617[Debit]),"")</f>
        <v>0</v>
      </c>
      <c r="W172" s="34">
        <f>IFERROR(SUMIF(Table617[Sub-Accounts],Table818[[#This Row],[Update your chart of accounts here]],Table617[Credit]),"")</f>
        <v>0</v>
      </c>
      <c r="X172" s="34"/>
      <c r="Y172" s="34"/>
      <c r="Z172" s="34"/>
      <c r="AA172" s="34"/>
      <c r="AB172" s="34">
        <f>MAX(Table818[[#This Row],[Debit]]+Table818[[#This Row],[Debit -]]-Table818[[#This Row],[Credit]]-Table818[[#This Row],[Credit +]],0)</f>
        <v>0</v>
      </c>
      <c r="AC172" s="34">
        <f>MAX(Table818[[#This Row],[Credit]]-Table818[[#This Row],[Debit]]+Table818[[#This Row],[Credit +]]-Table818[[#This Row],[Debit -]],0)</f>
        <v>0</v>
      </c>
      <c r="AD172" s="34" t="str">
        <f>IFERROR(IF(AND(OR(Table818[[#This Row],[Classification]]="Expense",Table818[[#This Row],[Classification]]="Cost of Goods Sold"),Table818[[#This Row],[Debit\]]&gt;Table818[[#This Row],[Credit.]]),Table818[[#This Row],[Debit\]]-Table818[[#This Row],[Credit.]],""),"")</f>
        <v/>
      </c>
      <c r="AE172" s="34" t="str">
        <f>IFERROR(IF(AND(OR(Table818[[#This Row],[Classification]]="Income",Table818[[#This Row],[Classification]]="Cost of Goods Sold"),Table818[[#This Row],[Credit.]]&gt;Table818[[#This Row],[Debit\]]),Table818[[#This Row],[Credit.]]-Table818[[#This Row],[Debit\]],""),"")</f>
        <v/>
      </c>
      <c r="AF172" s="34"/>
      <c r="AG172" s="34" t="str">
        <f>IFERROR(IF(AND(Table818[[#This Row],[Classification]]="Assets",Table818[[#This Row],[Debit\]]-Table818[[#This Row],[Credit.]]),Table818[[#This Row],[Debit\]]-Table818[[#This Row],[Credit.]],""),"")</f>
        <v/>
      </c>
      <c r="AH172" s="34" t="str">
        <f>IFERROR(IF(AND(OR(Table818[[#This Row],[Classification]]="Liabilities",Table818[[#This Row],[Classification]]="Owner´s Equity"),Table818[[#This Row],[Credit.]]&gt;Table818[[#This Row],[Debit\]]),Table818[[#This Row],[Credit.]]-Table818[[#This Row],[Debit\]],""),"")</f>
        <v/>
      </c>
    </row>
    <row r="173" spans="2:34" x14ac:dyDescent="0.25">
      <c r="B173" s="34"/>
      <c r="C173" s="45"/>
      <c r="D173" s="34"/>
      <c r="E173" s="34"/>
      <c r="G173" s="39"/>
      <c r="H173" s="43"/>
      <c r="I173" s="41"/>
      <c r="J173" s="41"/>
      <c r="L173" s="34">
        <v>166</v>
      </c>
      <c r="M173" s="35"/>
      <c r="N173" s="35"/>
      <c r="O173" s="34">
        <f>IFERROR(SUMIF(Table415[,],Table617[[#This Row],[Accounts Name]],Table415[,3]),"")</f>
        <v>0</v>
      </c>
      <c r="P173" s="34">
        <f>IFERROR(SUMIF(Table415[,],Table617[[#This Row],[Accounts Name]],Table415[,2]),"")</f>
        <v>0</v>
      </c>
      <c r="S173" s="36">
        <f t="shared" si="2"/>
        <v>166</v>
      </c>
      <c r="T173" s="34"/>
      <c r="U173" s="37"/>
      <c r="V173" s="34">
        <f>IFERROR(SUMIF(Table617[Sub-Accounts],Table818[[#This Row],[Update your chart of accounts here]],Table617[Debit]),"")</f>
        <v>0</v>
      </c>
      <c r="W173" s="34">
        <f>IFERROR(SUMIF(Table617[Sub-Accounts],Table818[[#This Row],[Update your chart of accounts here]],Table617[Credit]),"")</f>
        <v>0</v>
      </c>
      <c r="X173" s="34"/>
      <c r="Y173" s="34"/>
      <c r="Z173" s="34"/>
      <c r="AA173" s="34"/>
      <c r="AB173" s="34">
        <f>MAX(Table818[[#This Row],[Debit]]+Table818[[#This Row],[Debit -]]-Table818[[#This Row],[Credit]]-Table818[[#This Row],[Credit +]],0)</f>
        <v>0</v>
      </c>
      <c r="AC173" s="34">
        <f>MAX(Table818[[#This Row],[Credit]]-Table818[[#This Row],[Debit]]+Table818[[#This Row],[Credit +]]-Table818[[#This Row],[Debit -]],0)</f>
        <v>0</v>
      </c>
      <c r="AD173" s="34" t="str">
        <f>IFERROR(IF(AND(OR(Table818[[#This Row],[Classification]]="Expense",Table818[[#This Row],[Classification]]="Cost of Goods Sold"),Table818[[#This Row],[Debit\]]&gt;Table818[[#This Row],[Credit.]]),Table818[[#This Row],[Debit\]]-Table818[[#This Row],[Credit.]],""),"")</f>
        <v/>
      </c>
      <c r="AE173" s="34" t="str">
        <f>IFERROR(IF(AND(OR(Table818[[#This Row],[Classification]]="Income",Table818[[#This Row],[Classification]]="Cost of Goods Sold"),Table818[[#This Row],[Credit.]]&gt;Table818[[#This Row],[Debit\]]),Table818[[#This Row],[Credit.]]-Table818[[#This Row],[Debit\]],""),"")</f>
        <v/>
      </c>
      <c r="AF173" s="34"/>
      <c r="AG173" s="34" t="str">
        <f>IFERROR(IF(AND(Table818[[#This Row],[Classification]]="Assets",Table818[[#This Row],[Debit\]]-Table818[[#This Row],[Credit.]]),Table818[[#This Row],[Debit\]]-Table818[[#This Row],[Credit.]],""),"")</f>
        <v/>
      </c>
      <c r="AH173" s="34" t="str">
        <f>IFERROR(IF(AND(OR(Table818[[#This Row],[Classification]]="Liabilities",Table818[[#This Row],[Classification]]="Owner´s Equity"),Table818[[#This Row],[Credit.]]&gt;Table818[[#This Row],[Debit\]]),Table818[[#This Row],[Credit.]]-Table818[[#This Row],[Debit\]],""),"")</f>
        <v/>
      </c>
    </row>
    <row r="174" spans="2:34" x14ac:dyDescent="0.25">
      <c r="B174" s="34"/>
      <c r="C174" s="45"/>
      <c r="D174" s="34"/>
      <c r="E174" s="34"/>
      <c r="G174" s="39"/>
      <c r="H174" s="40"/>
      <c r="I174" s="41"/>
      <c r="J174" s="41"/>
      <c r="L174" s="34">
        <v>167</v>
      </c>
      <c r="M174" s="35"/>
      <c r="N174" s="35"/>
      <c r="O174" s="34">
        <f>IFERROR(SUMIF(Table415[,],Table617[[#This Row],[Accounts Name]],Table415[,3]),"")</f>
        <v>0</v>
      </c>
      <c r="P174" s="34">
        <f>IFERROR(SUMIF(Table415[,],Table617[[#This Row],[Accounts Name]],Table415[,2]),"")</f>
        <v>0</v>
      </c>
      <c r="S174" s="36">
        <f t="shared" si="2"/>
        <v>167</v>
      </c>
      <c r="T174" s="34"/>
      <c r="U174" s="37"/>
      <c r="V174" s="34">
        <f>IFERROR(SUMIF(Table617[Sub-Accounts],Table818[[#This Row],[Update your chart of accounts here]],Table617[Debit]),"")</f>
        <v>0</v>
      </c>
      <c r="W174" s="34">
        <f>IFERROR(SUMIF(Table617[Sub-Accounts],Table818[[#This Row],[Update your chart of accounts here]],Table617[Credit]),"")</f>
        <v>0</v>
      </c>
      <c r="X174" s="34"/>
      <c r="Y174" s="34"/>
      <c r="Z174" s="34"/>
      <c r="AA174" s="34"/>
      <c r="AB174" s="34">
        <f>MAX(Table818[[#This Row],[Debit]]+Table818[[#This Row],[Debit -]]-Table818[[#This Row],[Credit]]-Table818[[#This Row],[Credit +]],0)</f>
        <v>0</v>
      </c>
      <c r="AC174" s="34">
        <f>MAX(Table818[[#This Row],[Credit]]-Table818[[#This Row],[Debit]]+Table818[[#This Row],[Credit +]]-Table818[[#This Row],[Debit -]],0)</f>
        <v>0</v>
      </c>
      <c r="AD174" s="34" t="str">
        <f>IFERROR(IF(AND(OR(Table818[[#This Row],[Classification]]="Expense",Table818[[#This Row],[Classification]]="Cost of Goods Sold"),Table818[[#This Row],[Debit\]]&gt;Table818[[#This Row],[Credit.]]),Table818[[#This Row],[Debit\]]-Table818[[#This Row],[Credit.]],""),"")</f>
        <v/>
      </c>
      <c r="AE174" s="34" t="str">
        <f>IFERROR(IF(AND(OR(Table818[[#This Row],[Classification]]="Income",Table818[[#This Row],[Classification]]="Cost of Goods Sold"),Table818[[#This Row],[Credit.]]&gt;Table818[[#This Row],[Debit\]]),Table818[[#This Row],[Credit.]]-Table818[[#This Row],[Debit\]],""),"")</f>
        <v/>
      </c>
      <c r="AF174" s="34"/>
      <c r="AG174" s="34" t="str">
        <f>IFERROR(IF(AND(Table818[[#This Row],[Classification]]="Assets",Table818[[#This Row],[Debit\]]-Table818[[#This Row],[Credit.]]),Table818[[#This Row],[Debit\]]-Table818[[#This Row],[Credit.]],""),"")</f>
        <v/>
      </c>
      <c r="AH174" s="34" t="str">
        <f>IFERROR(IF(AND(OR(Table818[[#This Row],[Classification]]="Liabilities",Table818[[#This Row],[Classification]]="Owner´s Equity"),Table818[[#This Row],[Credit.]]&gt;Table818[[#This Row],[Debit\]]),Table818[[#This Row],[Credit.]]-Table818[[#This Row],[Debit\]],""),"")</f>
        <v/>
      </c>
    </row>
    <row r="175" spans="2:34" x14ac:dyDescent="0.25">
      <c r="B175" s="34"/>
      <c r="C175" s="45"/>
      <c r="D175" s="34"/>
      <c r="E175" s="34"/>
      <c r="G175" s="39"/>
      <c r="H175" s="40"/>
      <c r="I175" s="41"/>
      <c r="J175" s="41"/>
      <c r="L175" s="34">
        <v>168</v>
      </c>
      <c r="M175" s="35"/>
      <c r="N175" s="35"/>
      <c r="O175" s="34">
        <f>IFERROR(SUMIF(Table415[,],Table617[[#This Row],[Accounts Name]],Table415[,3]),"")</f>
        <v>0</v>
      </c>
      <c r="P175" s="34">
        <f>IFERROR(SUMIF(Table415[,],Table617[[#This Row],[Accounts Name]],Table415[,2]),"")</f>
        <v>0</v>
      </c>
      <c r="S175" s="36">
        <f t="shared" si="2"/>
        <v>168</v>
      </c>
      <c r="T175" s="34"/>
      <c r="U175" s="37"/>
      <c r="V175" s="34">
        <f>IFERROR(SUMIF(Table617[Sub-Accounts],Table818[[#This Row],[Update your chart of accounts here]],Table617[Debit]),"")</f>
        <v>0</v>
      </c>
      <c r="W175" s="34">
        <f>IFERROR(SUMIF(Table617[Sub-Accounts],Table818[[#This Row],[Update your chart of accounts here]],Table617[Credit]),"")</f>
        <v>0</v>
      </c>
      <c r="X175" s="34"/>
      <c r="Y175" s="34"/>
      <c r="Z175" s="34"/>
      <c r="AA175" s="34"/>
      <c r="AB175" s="34">
        <f>MAX(Table818[[#This Row],[Debit]]+Table818[[#This Row],[Debit -]]-Table818[[#This Row],[Credit]]-Table818[[#This Row],[Credit +]],0)</f>
        <v>0</v>
      </c>
      <c r="AC175" s="34">
        <f>MAX(Table818[[#This Row],[Credit]]-Table818[[#This Row],[Debit]]+Table818[[#This Row],[Credit +]]-Table818[[#This Row],[Debit -]],0)</f>
        <v>0</v>
      </c>
      <c r="AD175" s="34" t="str">
        <f>IFERROR(IF(AND(OR(Table818[[#This Row],[Classification]]="Expense",Table818[[#This Row],[Classification]]="Cost of Goods Sold"),Table818[[#This Row],[Debit\]]&gt;Table818[[#This Row],[Credit.]]),Table818[[#This Row],[Debit\]]-Table818[[#This Row],[Credit.]],""),"")</f>
        <v/>
      </c>
      <c r="AE175" s="34" t="str">
        <f>IFERROR(IF(AND(OR(Table818[[#This Row],[Classification]]="Income",Table818[[#This Row],[Classification]]="Cost of Goods Sold"),Table818[[#This Row],[Credit.]]&gt;Table818[[#This Row],[Debit\]]),Table818[[#This Row],[Credit.]]-Table818[[#This Row],[Debit\]],""),"")</f>
        <v/>
      </c>
      <c r="AF175" s="34"/>
      <c r="AG175" s="34" t="str">
        <f>IFERROR(IF(AND(Table818[[#This Row],[Classification]]="Assets",Table818[[#This Row],[Debit\]]-Table818[[#This Row],[Credit.]]),Table818[[#This Row],[Debit\]]-Table818[[#This Row],[Credit.]],""),"")</f>
        <v/>
      </c>
      <c r="AH175" s="34" t="str">
        <f>IFERROR(IF(AND(OR(Table818[[#This Row],[Classification]]="Liabilities",Table818[[#This Row],[Classification]]="Owner´s Equity"),Table818[[#This Row],[Credit.]]&gt;Table818[[#This Row],[Debit\]]),Table818[[#This Row],[Credit.]]-Table818[[#This Row],[Debit\]],""),"")</f>
        <v/>
      </c>
    </row>
    <row r="176" spans="2:34" x14ac:dyDescent="0.25">
      <c r="B176" s="34"/>
      <c r="C176" s="45"/>
      <c r="D176" s="34"/>
      <c r="E176" s="34"/>
      <c r="G176" s="39"/>
      <c r="H176" s="43"/>
      <c r="I176" s="41"/>
      <c r="J176" s="41"/>
      <c r="L176" s="34">
        <v>169</v>
      </c>
      <c r="M176" s="35"/>
      <c r="N176" s="35"/>
      <c r="O176" s="34">
        <f>IFERROR(SUMIF(Table415[,],Table617[[#This Row],[Accounts Name]],Table415[,3]),"")</f>
        <v>0</v>
      </c>
      <c r="P176" s="34">
        <f>IFERROR(SUMIF(Table415[,],Table617[[#This Row],[Accounts Name]],Table415[,2]),"")</f>
        <v>0</v>
      </c>
      <c r="S176" s="36">
        <f t="shared" si="2"/>
        <v>169</v>
      </c>
      <c r="T176" s="34"/>
      <c r="U176" s="37"/>
      <c r="V176" s="34">
        <f>IFERROR(SUMIF(Table617[Sub-Accounts],Table818[[#This Row],[Update your chart of accounts here]],Table617[Debit]),"")</f>
        <v>0</v>
      </c>
      <c r="W176" s="34">
        <f>IFERROR(SUMIF(Table617[Sub-Accounts],Table818[[#This Row],[Update your chart of accounts here]],Table617[Credit]),"")</f>
        <v>0</v>
      </c>
      <c r="X176" s="34"/>
      <c r="Y176" s="34"/>
      <c r="Z176" s="34"/>
      <c r="AA176" s="34"/>
      <c r="AB176" s="34">
        <f>MAX(Table818[[#This Row],[Debit]]+Table818[[#This Row],[Debit -]]-Table818[[#This Row],[Credit]]-Table818[[#This Row],[Credit +]],0)</f>
        <v>0</v>
      </c>
      <c r="AC176" s="34">
        <f>MAX(Table818[[#This Row],[Credit]]-Table818[[#This Row],[Debit]]+Table818[[#This Row],[Credit +]]-Table818[[#This Row],[Debit -]],0)</f>
        <v>0</v>
      </c>
      <c r="AD176" s="34" t="str">
        <f>IFERROR(IF(AND(OR(Table818[[#This Row],[Classification]]="Expense",Table818[[#This Row],[Classification]]="Cost of Goods Sold"),Table818[[#This Row],[Debit\]]&gt;Table818[[#This Row],[Credit.]]),Table818[[#This Row],[Debit\]]-Table818[[#This Row],[Credit.]],""),"")</f>
        <v/>
      </c>
      <c r="AE176" s="34" t="str">
        <f>IFERROR(IF(AND(OR(Table818[[#This Row],[Classification]]="Income",Table818[[#This Row],[Classification]]="Cost of Goods Sold"),Table818[[#This Row],[Credit.]]&gt;Table818[[#This Row],[Debit\]]),Table818[[#This Row],[Credit.]]-Table818[[#This Row],[Debit\]],""),"")</f>
        <v/>
      </c>
      <c r="AF176" s="34"/>
      <c r="AG176" s="34" t="str">
        <f>IFERROR(IF(AND(Table818[[#This Row],[Classification]]="Assets",Table818[[#This Row],[Debit\]]-Table818[[#This Row],[Credit.]]),Table818[[#This Row],[Debit\]]-Table818[[#This Row],[Credit.]],""),"")</f>
        <v/>
      </c>
      <c r="AH176" s="34" t="str">
        <f>IFERROR(IF(AND(OR(Table818[[#This Row],[Classification]]="Liabilities",Table818[[#This Row],[Classification]]="Owner´s Equity"),Table818[[#This Row],[Credit.]]&gt;Table818[[#This Row],[Debit\]]),Table818[[#This Row],[Credit.]]-Table818[[#This Row],[Debit\]],""),"")</f>
        <v/>
      </c>
    </row>
    <row r="177" spans="2:34" x14ac:dyDescent="0.25">
      <c r="B177" s="34"/>
      <c r="C177" s="45"/>
      <c r="D177" s="34"/>
      <c r="E177" s="34"/>
      <c r="G177" s="39"/>
      <c r="H177" s="40"/>
      <c r="I177" s="41"/>
      <c r="J177" s="41"/>
      <c r="L177" s="34">
        <v>170</v>
      </c>
      <c r="M177" s="35"/>
      <c r="N177" s="35"/>
      <c r="O177" s="34">
        <f>IFERROR(SUMIF(Table415[,],Table617[[#This Row],[Accounts Name]],Table415[,3]),"")</f>
        <v>0</v>
      </c>
      <c r="P177" s="34">
        <f>IFERROR(SUMIF(Table415[,],Table617[[#This Row],[Accounts Name]],Table415[,2]),"")</f>
        <v>0</v>
      </c>
      <c r="S177" s="36">
        <f t="shared" si="2"/>
        <v>170</v>
      </c>
      <c r="T177" s="34"/>
      <c r="U177" s="37"/>
      <c r="V177" s="34">
        <f>IFERROR(SUMIF(Table617[Sub-Accounts],Table818[[#This Row],[Update your chart of accounts here]],Table617[Debit]),"")</f>
        <v>0</v>
      </c>
      <c r="W177" s="34">
        <f>IFERROR(SUMIF(Table617[Sub-Accounts],Table818[[#This Row],[Update your chart of accounts here]],Table617[Credit]),"")</f>
        <v>0</v>
      </c>
      <c r="X177" s="34"/>
      <c r="Y177" s="34"/>
      <c r="Z177" s="34"/>
      <c r="AA177" s="34"/>
      <c r="AB177" s="34">
        <f>MAX(Table818[[#This Row],[Debit]]+Table818[[#This Row],[Debit -]]-Table818[[#This Row],[Credit]]-Table818[[#This Row],[Credit +]],0)</f>
        <v>0</v>
      </c>
      <c r="AC177" s="34">
        <f>MAX(Table818[[#This Row],[Credit]]-Table818[[#This Row],[Debit]]+Table818[[#This Row],[Credit +]]-Table818[[#This Row],[Debit -]],0)</f>
        <v>0</v>
      </c>
      <c r="AD177" s="34" t="str">
        <f>IFERROR(IF(AND(OR(Table818[[#This Row],[Classification]]="Expense",Table818[[#This Row],[Classification]]="Cost of Goods Sold"),Table818[[#This Row],[Debit\]]&gt;Table818[[#This Row],[Credit.]]),Table818[[#This Row],[Debit\]]-Table818[[#This Row],[Credit.]],""),"")</f>
        <v/>
      </c>
      <c r="AE177" s="34" t="str">
        <f>IFERROR(IF(AND(OR(Table818[[#This Row],[Classification]]="Income",Table818[[#This Row],[Classification]]="Cost of Goods Sold"),Table818[[#This Row],[Credit.]]&gt;Table818[[#This Row],[Debit\]]),Table818[[#This Row],[Credit.]]-Table818[[#This Row],[Debit\]],""),"")</f>
        <v/>
      </c>
      <c r="AF177" s="34"/>
      <c r="AG177" s="34" t="str">
        <f>IFERROR(IF(AND(Table818[[#This Row],[Classification]]="Assets",Table818[[#This Row],[Debit\]]-Table818[[#This Row],[Credit.]]),Table818[[#This Row],[Debit\]]-Table818[[#This Row],[Credit.]],""),"")</f>
        <v/>
      </c>
      <c r="AH177" s="34" t="str">
        <f>IFERROR(IF(AND(OR(Table818[[#This Row],[Classification]]="Liabilities",Table818[[#This Row],[Classification]]="Owner´s Equity"),Table818[[#This Row],[Credit.]]&gt;Table818[[#This Row],[Debit\]]),Table818[[#This Row],[Credit.]]-Table818[[#This Row],[Debit\]],""),"")</f>
        <v/>
      </c>
    </row>
    <row r="178" spans="2:34" x14ac:dyDescent="0.25">
      <c r="B178" s="34"/>
      <c r="C178" s="45"/>
      <c r="D178" s="34"/>
      <c r="E178" s="34"/>
      <c r="G178" s="39"/>
      <c r="H178" s="40"/>
      <c r="I178" s="41"/>
      <c r="J178" s="41"/>
      <c r="L178" s="34">
        <v>171</v>
      </c>
      <c r="M178" s="35"/>
      <c r="N178" s="35"/>
      <c r="O178" s="34">
        <f>IFERROR(SUMIF(Table415[,],Table617[[#This Row],[Accounts Name]],Table415[,3]),"")</f>
        <v>0</v>
      </c>
      <c r="P178" s="34">
        <f>IFERROR(SUMIF(Table415[,],Table617[[#This Row],[Accounts Name]],Table415[,2]),"")</f>
        <v>0</v>
      </c>
      <c r="S178" s="36">
        <f t="shared" si="2"/>
        <v>171</v>
      </c>
      <c r="T178" s="34"/>
      <c r="U178" s="37"/>
      <c r="V178" s="34">
        <f>IFERROR(SUMIF(Table617[Sub-Accounts],Table818[[#This Row],[Update your chart of accounts here]],Table617[Debit]),"")</f>
        <v>0</v>
      </c>
      <c r="W178" s="34">
        <f>IFERROR(SUMIF(Table617[Sub-Accounts],Table818[[#This Row],[Update your chart of accounts here]],Table617[Credit]),"")</f>
        <v>0</v>
      </c>
      <c r="X178" s="34"/>
      <c r="Y178" s="34"/>
      <c r="Z178" s="34"/>
      <c r="AA178" s="34"/>
      <c r="AB178" s="34">
        <f>MAX(Table818[[#This Row],[Debit]]+Table818[[#This Row],[Debit -]]-Table818[[#This Row],[Credit]]-Table818[[#This Row],[Credit +]],0)</f>
        <v>0</v>
      </c>
      <c r="AC178" s="34">
        <f>MAX(Table818[[#This Row],[Credit]]-Table818[[#This Row],[Debit]]+Table818[[#This Row],[Credit +]]-Table818[[#This Row],[Debit -]],0)</f>
        <v>0</v>
      </c>
      <c r="AD178" s="34" t="str">
        <f>IFERROR(IF(AND(OR(Table818[[#This Row],[Classification]]="Expense",Table818[[#This Row],[Classification]]="Cost of Goods Sold"),Table818[[#This Row],[Debit\]]&gt;Table818[[#This Row],[Credit.]]),Table818[[#This Row],[Debit\]]-Table818[[#This Row],[Credit.]],""),"")</f>
        <v/>
      </c>
      <c r="AE178" s="34" t="str">
        <f>IFERROR(IF(AND(OR(Table818[[#This Row],[Classification]]="Income",Table818[[#This Row],[Classification]]="Cost of Goods Sold"),Table818[[#This Row],[Credit.]]&gt;Table818[[#This Row],[Debit\]]),Table818[[#This Row],[Credit.]]-Table818[[#This Row],[Debit\]],""),"")</f>
        <v/>
      </c>
      <c r="AF178" s="34"/>
      <c r="AG178" s="34" t="str">
        <f>IFERROR(IF(AND(Table818[[#This Row],[Classification]]="Assets",Table818[[#This Row],[Debit\]]-Table818[[#This Row],[Credit.]]),Table818[[#This Row],[Debit\]]-Table818[[#This Row],[Credit.]],""),"")</f>
        <v/>
      </c>
      <c r="AH178" s="34" t="str">
        <f>IFERROR(IF(AND(OR(Table818[[#This Row],[Classification]]="Liabilities",Table818[[#This Row],[Classification]]="Owner´s Equity"),Table818[[#This Row],[Credit.]]&gt;Table818[[#This Row],[Debit\]]),Table818[[#This Row],[Credit.]]-Table818[[#This Row],[Debit\]],""),"")</f>
        <v/>
      </c>
    </row>
    <row r="179" spans="2:34" x14ac:dyDescent="0.25">
      <c r="B179" s="34"/>
      <c r="C179" s="45"/>
      <c r="D179" s="34"/>
      <c r="E179" s="34"/>
      <c r="G179" s="39"/>
      <c r="H179" s="43"/>
      <c r="I179" s="41"/>
      <c r="J179" s="41"/>
      <c r="L179" s="34">
        <v>172</v>
      </c>
      <c r="M179" s="35"/>
      <c r="N179" s="35"/>
      <c r="O179" s="34">
        <f>IFERROR(SUMIF(Table415[,],Table617[[#This Row],[Accounts Name]],Table415[,3]),"")</f>
        <v>0</v>
      </c>
      <c r="P179" s="34">
        <f>IFERROR(SUMIF(Table415[,],Table617[[#This Row],[Accounts Name]],Table415[,2]),"")</f>
        <v>0</v>
      </c>
      <c r="S179" s="36">
        <f t="shared" si="2"/>
        <v>172</v>
      </c>
      <c r="T179" s="34"/>
      <c r="U179" s="37"/>
      <c r="V179" s="34">
        <f>IFERROR(SUMIF(Table617[Sub-Accounts],Table818[[#This Row],[Update your chart of accounts here]],Table617[Debit]),"")</f>
        <v>0</v>
      </c>
      <c r="W179" s="34">
        <f>IFERROR(SUMIF(Table617[Sub-Accounts],Table818[[#This Row],[Update your chart of accounts here]],Table617[Credit]),"")</f>
        <v>0</v>
      </c>
      <c r="X179" s="34"/>
      <c r="Y179" s="34"/>
      <c r="Z179" s="34"/>
      <c r="AA179" s="34"/>
      <c r="AB179" s="34">
        <f>MAX(Table818[[#This Row],[Debit]]+Table818[[#This Row],[Debit -]]-Table818[[#This Row],[Credit]]-Table818[[#This Row],[Credit +]],0)</f>
        <v>0</v>
      </c>
      <c r="AC179" s="34">
        <f>MAX(Table818[[#This Row],[Credit]]-Table818[[#This Row],[Debit]]+Table818[[#This Row],[Credit +]]-Table818[[#This Row],[Debit -]],0)</f>
        <v>0</v>
      </c>
      <c r="AD179" s="34" t="str">
        <f>IFERROR(IF(AND(OR(Table818[[#This Row],[Classification]]="Expense",Table818[[#This Row],[Classification]]="Cost of Goods Sold"),Table818[[#This Row],[Debit\]]&gt;Table818[[#This Row],[Credit.]]),Table818[[#This Row],[Debit\]]-Table818[[#This Row],[Credit.]],""),"")</f>
        <v/>
      </c>
      <c r="AE179" s="34" t="str">
        <f>IFERROR(IF(AND(OR(Table818[[#This Row],[Classification]]="Income",Table818[[#This Row],[Classification]]="Cost of Goods Sold"),Table818[[#This Row],[Credit.]]&gt;Table818[[#This Row],[Debit\]]),Table818[[#This Row],[Credit.]]-Table818[[#This Row],[Debit\]],""),"")</f>
        <v/>
      </c>
      <c r="AF179" s="34"/>
      <c r="AG179" s="34" t="str">
        <f>IFERROR(IF(AND(Table818[[#This Row],[Classification]]="Assets",Table818[[#This Row],[Debit\]]-Table818[[#This Row],[Credit.]]),Table818[[#This Row],[Debit\]]-Table818[[#This Row],[Credit.]],""),"")</f>
        <v/>
      </c>
      <c r="AH179" s="34" t="str">
        <f>IFERROR(IF(AND(OR(Table818[[#This Row],[Classification]]="Liabilities",Table818[[#This Row],[Classification]]="Owner´s Equity"),Table818[[#This Row],[Credit.]]&gt;Table818[[#This Row],[Debit\]]),Table818[[#This Row],[Credit.]]-Table818[[#This Row],[Debit\]],""),"")</f>
        <v/>
      </c>
    </row>
    <row r="180" spans="2:34" x14ac:dyDescent="0.25">
      <c r="B180" s="34"/>
      <c r="C180" s="45"/>
      <c r="D180" s="34"/>
      <c r="E180" s="34"/>
      <c r="G180" s="39"/>
      <c r="H180" s="40"/>
      <c r="I180" s="41"/>
      <c r="J180" s="41"/>
      <c r="L180" s="34">
        <v>173</v>
      </c>
      <c r="M180" s="35"/>
      <c r="N180" s="35"/>
      <c r="O180" s="34">
        <f>IFERROR(SUMIF(Table415[,],Table617[[#This Row],[Accounts Name]],Table415[,3]),"")</f>
        <v>0</v>
      </c>
      <c r="P180" s="34">
        <f>IFERROR(SUMIF(Table415[,],Table617[[#This Row],[Accounts Name]],Table415[,2]),"")</f>
        <v>0</v>
      </c>
      <c r="S180" s="36">
        <f t="shared" si="2"/>
        <v>173</v>
      </c>
      <c r="T180" s="34"/>
      <c r="U180" s="37"/>
      <c r="V180" s="34">
        <f>IFERROR(SUMIF(Table617[Sub-Accounts],Table818[[#This Row],[Update your chart of accounts here]],Table617[Debit]),"")</f>
        <v>0</v>
      </c>
      <c r="W180" s="34">
        <f>IFERROR(SUMIF(Table617[Sub-Accounts],Table818[[#This Row],[Update your chart of accounts here]],Table617[Credit]),"")</f>
        <v>0</v>
      </c>
      <c r="X180" s="34"/>
      <c r="Y180" s="34"/>
      <c r="Z180" s="34"/>
      <c r="AA180" s="34"/>
      <c r="AB180" s="34">
        <f>MAX(Table818[[#This Row],[Debit]]+Table818[[#This Row],[Debit -]]-Table818[[#This Row],[Credit]]-Table818[[#This Row],[Credit +]],0)</f>
        <v>0</v>
      </c>
      <c r="AC180" s="34">
        <f>MAX(Table818[[#This Row],[Credit]]-Table818[[#This Row],[Debit]]+Table818[[#This Row],[Credit +]]-Table818[[#This Row],[Debit -]],0)</f>
        <v>0</v>
      </c>
      <c r="AD180" s="34" t="str">
        <f>IFERROR(IF(AND(OR(Table818[[#This Row],[Classification]]="Expense",Table818[[#This Row],[Classification]]="Cost of Goods Sold"),Table818[[#This Row],[Debit\]]&gt;Table818[[#This Row],[Credit.]]),Table818[[#This Row],[Debit\]]-Table818[[#This Row],[Credit.]],""),"")</f>
        <v/>
      </c>
      <c r="AE180" s="34" t="str">
        <f>IFERROR(IF(AND(OR(Table818[[#This Row],[Classification]]="Income",Table818[[#This Row],[Classification]]="Cost of Goods Sold"),Table818[[#This Row],[Credit.]]&gt;Table818[[#This Row],[Debit\]]),Table818[[#This Row],[Credit.]]-Table818[[#This Row],[Debit\]],""),"")</f>
        <v/>
      </c>
      <c r="AF180" s="34"/>
      <c r="AG180" s="34" t="str">
        <f>IFERROR(IF(AND(Table818[[#This Row],[Classification]]="Assets",Table818[[#This Row],[Debit\]]-Table818[[#This Row],[Credit.]]),Table818[[#This Row],[Debit\]]-Table818[[#This Row],[Credit.]],""),"")</f>
        <v/>
      </c>
      <c r="AH180" s="34" t="str">
        <f>IFERROR(IF(AND(OR(Table818[[#This Row],[Classification]]="Liabilities",Table818[[#This Row],[Classification]]="Owner´s Equity"),Table818[[#This Row],[Credit.]]&gt;Table818[[#This Row],[Debit\]]),Table818[[#This Row],[Credit.]]-Table818[[#This Row],[Debit\]],""),"")</f>
        <v/>
      </c>
    </row>
    <row r="181" spans="2:34" x14ac:dyDescent="0.25">
      <c r="B181" s="34"/>
      <c r="C181" s="45"/>
      <c r="D181" s="34"/>
      <c r="E181" s="34"/>
      <c r="G181" s="39"/>
      <c r="H181" s="40"/>
      <c r="I181" s="41"/>
      <c r="J181" s="41"/>
      <c r="L181" s="34">
        <v>174</v>
      </c>
      <c r="M181" s="35"/>
      <c r="N181" s="35"/>
      <c r="O181" s="34">
        <f>IFERROR(SUMIF(Table415[,],Table617[[#This Row],[Accounts Name]],Table415[,3]),"")</f>
        <v>0</v>
      </c>
      <c r="P181" s="34">
        <f>IFERROR(SUMIF(Table415[,],Table617[[#This Row],[Accounts Name]],Table415[,2]),"")</f>
        <v>0</v>
      </c>
      <c r="S181" s="36">
        <f t="shared" si="2"/>
        <v>174</v>
      </c>
      <c r="T181" s="34"/>
      <c r="U181" s="37"/>
      <c r="V181" s="34">
        <f>IFERROR(SUMIF(Table617[Sub-Accounts],Table818[[#This Row],[Update your chart of accounts here]],Table617[Debit]),"")</f>
        <v>0</v>
      </c>
      <c r="W181" s="34">
        <f>IFERROR(SUMIF(Table617[Sub-Accounts],Table818[[#This Row],[Update your chart of accounts here]],Table617[Credit]),"")</f>
        <v>0</v>
      </c>
      <c r="X181" s="34"/>
      <c r="Y181" s="34"/>
      <c r="Z181" s="34"/>
      <c r="AA181" s="34"/>
      <c r="AB181" s="34">
        <f>MAX(Table818[[#This Row],[Debit]]+Table818[[#This Row],[Debit -]]-Table818[[#This Row],[Credit]]-Table818[[#This Row],[Credit +]],0)</f>
        <v>0</v>
      </c>
      <c r="AC181" s="34">
        <f>MAX(Table818[[#This Row],[Credit]]-Table818[[#This Row],[Debit]]+Table818[[#This Row],[Credit +]]-Table818[[#This Row],[Debit -]],0)</f>
        <v>0</v>
      </c>
      <c r="AD181" s="34" t="str">
        <f>IFERROR(IF(AND(OR(Table818[[#This Row],[Classification]]="Expense",Table818[[#This Row],[Classification]]="Cost of Goods Sold"),Table818[[#This Row],[Debit\]]&gt;Table818[[#This Row],[Credit.]]),Table818[[#This Row],[Debit\]]-Table818[[#This Row],[Credit.]],""),"")</f>
        <v/>
      </c>
      <c r="AE181" s="34" t="str">
        <f>IFERROR(IF(AND(OR(Table818[[#This Row],[Classification]]="Income",Table818[[#This Row],[Classification]]="Cost of Goods Sold"),Table818[[#This Row],[Credit.]]&gt;Table818[[#This Row],[Debit\]]),Table818[[#This Row],[Credit.]]-Table818[[#This Row],[Debit\]],""),"")</f>
        <v/>
      </c>
      <c r="AF181" s="34"/>
      <c r="AG181" s="34" t="str">
        <f>IFERROR(IF(AND(Table818[[#This Row],[Classification]]="Assets",Table818[[#This Row],[Debit\]]-Table818[[#This Row],[Credit.]]),Table818[[#This Row],[Debit\]]-Table818[[#This Row],[Credit.]],""),"")</f>
        <v/>
      </c>
      <c r="AH181" s="34" t="str">
        <f>IFERROR(IF(AND(OR(Table818[[#This Row],[Classification]]="Liabilities",Table818[[#This Row],[Classification]]="Owner´s Equity"),Table818[[#This Row],[Credit.]]&gt;Table818[[#This Row],[Debit\]]),Table818[[#This Row],[Credit.]]-Table818[[#This Row],[Debit\]],""),"")</f>
        <v/>
      </c>
    </row>
    <row r="182" spans="2:34" x14ac:dyDescent="0.25">
      <c r="B182" s="34"/>
      <c r="C182" s="45"/>
      <c r="D182" s="34"/>
      <c r="E182" s="34"/>
      <c r="G182" s="39"/>
      <c r="H182" s="43"/>
      <c r="I182" s="41"/>
      <c r="J182" s="41"/>
      <c r="L182" s="34">
        <v>175</v>
      </c>
      <c r="M182" s="35"/>
      <c r="N182" s="35"/>
      <c r="O182" s="34">
        <f>IFERROR(SUMIF(Table415[,],Table617[[#This Row],[Accounts Name]],Table415[,3]),"")</f>
        <v>0</v>
      </c>
      <c r="P182" s="34">
        <f>IFERROR(SUMIF(Table415[,],Table617[[#This Row],[Accounts Name]],Table415[,2]),"")</f>
        <v>0</v>
      </c>
      <c r="S182" s="36">
        <f t="shared" si="2"/>
        <v>175</v>
      </c>
      <c r="T182" s="34"/>
      <c r="U182" s="37"/>
      <c r="V182" s="34">
        <f>IFERROR(SUMIF(Table617[Sub-Accounts],Table818[[#This Row],[Update your chart of accounts here]],Table617[Debit]),"")</f>
        <v>0</v>
      </c>
      <c r="W182" s="34">
        <f>IFERROR(SUMIF(Table617[Sub-Accounts],Table818[[#This Row],[Update your chart of accounts here]],Table617[Credit]),"")</f>
        <v>0</v>
      </c>
      <c r="X182" s="34"/>
      <c r="Y182" s="34"/>
      <c r="Z182" s="34"/>
      <c r="AA182" s="34"/>
      <c r="AB182" s="34">
        <f>MAX(Table818[[#This Row],[Debit]]+Table818[[#This Row],[Debit -]]-Table818[[#This Row],[Credit]]-Table818[[#This Row],[Credit +]],0)</f>
        <v>0</v>
      </c>
      <c r="AC182" s="34">
        <f>MAX(Table818[[#This Row],[Credit]]-Table818[[#This Row],[Debit]]+Table818[[#This Row],[Credit +]]-Table818[[#This Row],[Debit -]],0)</f>
        <v>0</v>
      </c>
      <c r="AD182" s="34" t="str">
        <f>IFERROR(IF(AND(OR(Table818[[#This Row],[Classification]]="Expense",Table818[[#This Row],[Classification]]="Cost of Goods Sold"),Table818[[#This Row],[Debit\]]&gt;Table818[[#This Row],[Credit.]]),Table818[[#This Row],[Debit\]]-Table818[[#This Row],[Credit.]],""),"")</f>
        <v/>
      </c>
      <c r="AE182" s="34" t="str">
        <f>IFERROR(IF(AND(OR(Table818[[#This Row],[Classification]]="Income",Table818[[#This Row],[Classification]]="Cost of Goods Sold"),Table818[[#This Row],[Credit.]]&gt;Table818[[#This Row],[Debit\]]),Table818[[#This Row],[Credit.]]-Table818[[#This Row],[Debit\]],""),"")</f>
        <v/>
      </c>
      <c r="AF182" s="34"/>
      <c r="AG182" s="34" t="str">
        <f>IFERROR(IF(AND(Table818[[#This Row],[Classification]]="Assets",Table818[[#This Row],[Debit\]]-Table818[[#This Row],[Credit.]]),Table818[[#This Row],[Debit\]]-Table818[[#This Row],[Credit.]],""),"")</f>
        <v/>
      </c>
      <c r="AH182" s="34" t="str">
        <f>IFERROR(IF(AND(OR(Table818[[#This Row],[Classification]]="Liabilities",Table818[[#This Row],[Classification]]="Owner´s Equity"),Table818[[#This Row],[Credit.]]&gt;Table818[[#This Row],[Debit\]]),Table818[[#This Row],[Credit.]]-Table818[[#This Row],[Debit\]],""),"")</f>
        <v/>
      </c>
    </row>
    <row r="183" spans="2:34" x14ac:dyDescent="0.25">
      <c r="B183" s="34"/>
      <c r="C183" s="45"/>
      <c r="D183" s="34"/>
      <c r="E183" s="34"/>
      <c r="G183" s="39"/>
      <c r="H183" s="40"/>
      <c r="I183" s="41"/>
      <c r="J183" s="41"/>
      <c r="L183" s="34">
        <v>176</v>
      </c>
      <c r="M183" s="35"/>
      <c r="N183" s="35"/>
      <c r="O183" s="34">
        <f>IFERROR(SUMIF(Table415[,],Table617[[#This Row],[Accounts Name]],Table415[,3]),"")</f>
        <v>0</v>
      </c>
      <c r="P183" s="34">
        <f>IFERROR(SUMIF(Table415[,],Table617[[#This Row],[Accounts Name]],Table415[,2]),"")</f>
        <v>0</v>
      </c>
      <c r="S183" s="36">
        <f t="shared" si="2"/>
        <v>176</v>
      </c>
      <c r="T183" s="34"/>
      <c r="U183" s="37"/>
      <c r="V183" s="34">
        <f>IFERROR(SUMIF(Table617[Sub-Accounts],Table818[[#This Row],[Update your chart of accounts here]],Table617[Debit]),"")</f>
        <v>0</v>
      </c>
      <c r="W183" s="34">
        <f>IFERROR(SUMIF(Table617[Sub-Accounts],Table818[[#This Row],[Update your chart of accounts here]],Table617[Credit]),"")</f>
        <v>0</v>
      </c>
      <c r="X183" s="34"/>
      <c r="Y183" s="34"/>
      <c r="Z183" s="34"/>
      <c r="AA183" s="34"/>
      <c r="AB183" s="34">
        <f>MAX(Table818[[#This Row],[Debit]]+Table818[[#This Row],[Debit -]]-Table818[[#This Row],[Credit]]-Table818[[#This Row],[Credit +]],0)</f>
        <v>0</v>
      </c>
      <c r="AC183" s="34">
        <f>MAX(Table818[[#This Row],[Credit]]-Table818[[#This Row],[Debit]]+Table818[[#This Row],[Credit +]]-Table818[[#This Row],[Debit -]],0)</f>
        <v>0</v>
      </c>
      <c r="AD183" s="34" t="str">
        <f>IFERROR(IF(AND(OR(Table818[[#This Row],[Classification]]="Expense",Table818[[#This Row],[Classification]]="Cost of Goods Sold"),Table818[[#This Row],[Debit\]]&gt;Table818[[#This Row],[Credit.]]),Table818[[#This Row],[Debit\]]-Table818[[#This Row],[Credit.]],""),"")</f>
        <v/>
      </c>
      <c r="AE183" s="34" t="str">
        <f>IFERROR(IF(AND(OR(Table818[[#This Row],[Classification]]="Income",Table818[[#This Row],[Classification]]="Cost of Goods Sold"),Table818[[#This Row],[Credit.]]&gt;Table818[[#This Row],[Debit\]]),Table818[[#This Row],[Credit.]]-Table818[[#This Row],[Debit\]],""),"")</f>
        <v/>
      </c>
      <c r="AF183" s="34"/>
      <c r="AG183" s="34" t="str">
        <f>IFERROR(IF(AND(Table818[[#This Row],[Classification]]="Assets",Table818[[#This Row],[Debit\]]-Table818[[#This Row],[Credit.]]),Table818[[#This Row],[Debit\]]-Table818[[#This Row],[Credit.]],""),"")</f>
        <v/>
      </c>
      <c r="AH183" s="34" t="str">
        <f>IFERROR(IF(AND(OR(Table818[[#This Row],[Classification]]="Liabilities",Table818[[#This Row],[Classification]]="Owner´s Equity"),Table818[[#This Row],[Credit.]]&gt;Table818[[#This Row],[Debit\]]),Table818[[#This Row],[Credit.]]-Table818[[#This Row],[Debit\]],""),"")</f>
        <v/>
      </c>
    </row>
    <row r="184" spans="2:34" x14ac:dyDescent="0.25">
      <c r="B184" s="34"/>
      <c r="C184" s="45"/>
      <c r="D184" s="34"/>
      <c r="E184" s="34"/>
      <c r="G184" s="39"/>
      <c r="H184" s="40"/>
      <c r="I184" s="41"/>
      <c r="J184" s="41"/>
      <c r="L184" s="34">
        <v>177</v>
      </c>
      <c r="M184" s="35"/>
      <c r="N184" s="35"/>
      <c r="O184" s="34">
        <f>IFERROR(SUMIF(Table415[,],Table617[[#This Row],[Accounts Name]],Table415[,3]),"")</f>
        <v>0</v>
      </c>
      <c r="P184" s="34">
        <f>IFERROR(SUMIF(Table415[,],Table617[[#This Row],[Accounts Name]],Table415[,2]),"")</f>
        <v>0</v>
      </c>
      <c r="S184" s="36">
        <f t="shared" si="2"/>
        <v>177</v>
      </c>
      <c r="T184" s="34"/>
      <c r="U184" s="37"/>
      <c r="V184" s="34">
        <f>IFERROR(SUMIF(Table617[Sub-Accounts],Table818[[#This Row],[Update your chart of accounts here]],Table617[Debit]),"")</f>
        <v>0</v>
      </c>
      <c r="W184" s="34">
        <f>IFERROR(SUMIF(Table617[Sub-Accounts],Table818[[#This Row],[Update your chart of accounts here]],Table617[Credit]),"")</f>
        <v>0</v>
      </c>
      <c r="X184" s="34"/>
      <c r="Y184" s="34"/>
      <c r="Z184" s="34"/>
      <c r="AA184" s="34"/>
      <c r="AB184" s="34">
        <f>MAX(Table818[[#This Row],[Debit]]+Table818[[#This Row],[Debit -]]-Table818[[#This Row],[Credit]]-Table818[[#This Row],[Credit +]],0)</f>
        <v>0</v>
      </c>
      <c r="AC184" s="34">
        <f>MAX(Table818[[#This Row],[Credit]]-Table818[[#This Row],[Debit]]+Table818[[#This Row],[Credit +]]-Table818[[#This Row],[Debit -]],0)</f>
        <v>0</v>
      </c>
      <c r="AD184" s="34" t="str">
        <f>IFERROR(IF(AND(OR(Table818[[#This Row],[Classification]]="Expense",Table818[[#This Row],[Classification]]="Cost of Goods Sold"),Table818[[#This Row],[Debit\]]&gt;Table818[[#This Row],[Credit.]]),Table818[[#This Row],[Debit\]]-Table818[[#This Row],[Credit.]],""),"")</f>
        <v/>
      </c>
      <c r="AE184" s="34" t="str">
        <f>IFERROR(IF(AND(OR(Table818[[#This Row],[Classification]]="Income",Table818[[#This Row],[Classification]]="Cost of Goods Sold"),Table818[[#This Row],[Credit.]]&gt;Table818[[#This Row],[Debit\]]),Table818[[#This Row],[Credit.]]-Table818[[#This Row],[Debit\]],""),"")</f>
        <v/>
      </c>
      <c r="AF184" s="34"/>
      <c r="AG184" s="34" t="str">
        <f>IFERROR(IF(AND(Table818[[#This Row],[Classification]]="Assets",Table818[[#This Row],[Debit\]]-Table818[[#This Row],[Credit.]]),Table818[[#This Row],[Debit\]]-Table818[[#This Row],[Credit.]],""),"")</f>
        <v/>
      </c>
      <c r="AH184" s="34" t="str">
        <f>IFERROR(IF(AND(OR(Table818[[#This Row],[Classification]]="Liabilities",Table818[[#This Row],[Classification]]="Owner´s Equity"),Table818[[#This Row],[Credit.]]&gt;Table818[[#This Row],[Debit\]]),Table818[[#This Row],[Credit.]]-Table818[[#This Row],[Debit\]],""),"")</f>
        <v/>
      </c>
    </row>
    <row r="185" spans="2:34" x14ac:dyDescent="0.25">
      <c r="B185" s="34"/>
      <c r="C185" s="45"/>
      <c r="D185" s="34"/>
      <c r="E185" s="34"/>
      <c r="G185" s="39"/>
      <c r="H185" s="43"/>
      <c r="I185" s="41"/>
      <c r="J185" s="41"/>
      <c r="L185" s="34">
        <v>178</v>
      </c>
      <c r="M185" s="35"/>
      <c r="N185" s="35"/>
      <c r="O185" s="34">
        <f>IFERROR(SUMIF(Table415[,],Table617[[#This Row],[Accounts Name]],Table415[,3]),"")</f>
        <v>0</v>
      </c>
      <c r="P185" s="34">
        <f>IFERROR(SUMIF(Table415[,],Table617[[#This Row],[Accounts Name]],Table415[,2]),"")</f>
        <v>0</v>
      </c>
      <c r="S185" s="36">
        <f t="shared" si="2"/>
        <v>178</v>
      </c>
      <c r="T185" s="34"/>
      <c r="U185" s="37"/>
      <c r="V185" s="34">
        <f>IFERROR(SUMIF(Table617[Sub-Accounts],Table818[[#This Row],[Update your chart of accounts here]],Table617[Debit]),"")</f>
        <v>0</v>
      </c>
      <c r="W185" s="34">
        <f>IFERROR(SUMIF(Table617[Sub-Accounts],Table818[[#This Row],[Update your chart of accounts here]],Table617[Credit]),"")</f>
        <v>0</v>
      </c>
      <c r="X185" s="34"/>
      <c r="Y185" s="34"/>
      <c r="Z185" s="34"/>
      <c r="AA185" s="34"/>
      <c r="AB185" s="34">
        <f>MAX(Table818[[#This Row],[Debit]]+Table818[[#This Row],[Debit -]]-Table818[[#This Row],[Credit]]-Table818[[#This Row],[Credit +]],0)</f>
        <v>0</v>
      </c>
      <c r="AC185" s="34">
        <f>MAX(Table818[[#This Row],[Credit]]-Table818[[#This Row],[Debit]]+Table818[[#This Row],[Credit +]]-Table818[[#This Row],[Debit -]],0)</f>
        <v>0</v>
      </c>
      <c r="AD185" s="34" t="str">
        <f>IFERROR(IF(AND(OR(Table818[[#This Row],[Classification]]="Expense",Table818[[#This Row],[Classification]]="Cost of Goods Sold"),Table818[[#This Row],[Debit\]]&gt;Table818[[#This Row],[Credit.]]),Table818[[#This Row],[Debit\]]-Table818[[#This Row],[Credit.]],""),"")</f>
        <v/>
      </c>
      <c r="AE185" s="34" t="str">
        <f>IFERROR(IF(AND(OR(Table818[[#This Row],[Classification]]="Income",Table818[[#This Row],[Classification]]="Cost of Goods Sold"),Table818[[#This Row],[Credit.]]&gt;Table818[[#This Row],[Debit\]]),Table818[[#This Row],[Credit.]]-Table818[[#This Row],[Debit\]],""),"")</f>
        <v/>
      </c>
      <c r="AF185" s="34"/>
      <c r="AG185" s="34" t="str">
        <f>IFERROR(IF(AND(Table818[[#This Row],[Classification]]="Assets",Table818[[#This Row],[Debit\]]-Table818[[#This Row],[Credit.]]),Table818[[#This Row],[Debit\]]-Table818[[#This Row],[Credit.]],""),"")</f>
        <v/>
      </c>
      <c r="AH185" s="34" t="str">
        <f>IFERROR(IF(AND(OR(Table818[[#This Row],[Classification]]="Liabilities",Table818[[#This Row],[Classification]]="Owner´s Equity"),Table818[[#This Row],[Credit.]]&gt;Table818[[#This Row],[Debit\]]),Table818[[#This Row],[Credit.]]-Table818[[#This Row],[Debit\]],""),"")</f>
        <v/>
      </c>
    </row>
    <row r="186" spans="2:34" x14ac:dyDescent="0.25">
      <c r="B186" s="34"/>
      <c r="C186" s="45"/>
      <c r="D186" s="34"/>
      <c r="E186" s="34"/>
      <c r="G186" s="39"/>
      <c r="H186" s="40"/>
      <c r="I186" s="41"/>
      <c r="J186" s="41"/>
      <c r="L186" s="34">
        <v>179</v>
      </c>
      <c r="M186" s="35"/>
      <c r="N186" s="35"/>
      <c r="O186" s="34">
        <f>IFERROR(SUMIF(Table415[,],Table617[[#This Row],[Accounts Name]],Table415[,3]),"")</f>
        <v>0</v>
      </c>
      <c r="P186" s="34">
        <f>IFERROR(SUMIF(Table415[,],Table617[[#This Row],[Accounts Name]],Table415[,2]),"")</f>
        <v>0</v>
      </c>
      <c r="S186" s="36">
        <f t="shared" si="2"/>
        <v>179</v>
      </c>
      <c r="T186" s="34"/>
      <c r="U186" s="37"/>
      <c r="V186" s="34">
        <f>IFERROR(SUMIF(Table617[Sub-Accounts],Table818[[#This Row],[Update your chart of accounts here]],Table617[Debit]),"")</f>
        <v>0</v>
      </c>
      <c r="W186" s="34">
        <f>IFERROR(SUMIF(Table617[Sub-Accounts],Table818[[#This Row],[Update your chart of accounts here]],Table617[Credit]),"")</f>
        <v>0</v>
      </c>
      <c r="X186" s="34"/>
      <c r="Y186" s="34"/>
      <c r="Z186" s="34"/>
      <c r="AA186" s="34"/>
      <c r="AB186" s="34">
        <f>MAX(Table818[[#This Row],[Debit]]+Table818[[#This Row],[Debit -]]-Table818[[#This Row],[Credit]]-Table818[[#This Row],[Credit +]],0)</f>
        <v>0</v>
      </c>
      <c r="AC186" s="34">
        <f>MAX(Table818[[#This Row],[Credit]]-Table818[[#This Row],[Debit]]+Table818[[#This Row],[Credit +]]-Table818[[#This Row],[Debit -]],0)</f>
        <v>0</v>
      </c>
      <c r="AD186" s="34" t="str">
        <f>IFERROR(IF(AND(OR(Table818[[#This Row],[Classification]]="Expense",Table818[[#This Row],[Classification]]="Cost of Goods Sold"),Table818[[#This Row],[Debit\]]&gt;Table818[[#This Row],[Credit.]]),Table818[[#This Row],[Debit\]]-Table818[[#This Row],[Credit.]],""),"")</f>
        <v/>
      </c>
      <c r="AE186" s="34" t="str">
        <f>IFERROR(IF(AND(OR(Table818[[#This Row],[Classification]]="Income",Table818[[#This Row],[Classification]]="Cost of Goods Sold"),Table818[[#This Row],[Credit.]]&gt;Table818[[#This Row],[Debit\]]),Table818[[#This Row],[Credit.]]-Table818[[#This Row],[Debit\]],""),"")</f>
        <v/>
      </c>
      <c r="AF186" s="34"/>
      <c r="AG186" s="34" t="str">
        <f>IFERROR(IF(AND(Table818[[#This Row],[Classification]]="Assets",Table818[[#This Row],[Debit\]]-Table818[[#This Row],[Credit.]]),Table818[[#This Row],[Debit\]]-Table818[[#This Row],[Credit.]],""),"")</f>
        <v/>
      </c>
      <c r="AH186" s="34" t="str">
        <f>IFERROR(IF(AND(OR(Table818[[#This Row],[Classification]]="Liabilities",Table818[[#This Row],[Classification]]="Owner´s Equity"),Table818[[#This Row],[Credit.]]&gt;Table818[[#This Row],[Debit\]]),Table818[[#This Row],[Credit.]]-Table818[[#This Row],[Debit\]],""),"")</f>
        <v/>
      </c>
    </row>
    <row r="187" spans="2:34" x14ac:dyDescent="0.25">
      <c r="B187" s="34"/>
      <c r="C187" s="45"/>
      <c r="D187" s="34"/>
      <c r="E187" s="34"/>
      <c r="G187" s="39"/>
      <c r="H187" s="40"/>
      <c r="I187" s="41"/>
      <c r="J187" s="41"/>
      <c r="L187" s="34">
        <v>180</v>
      </c>
      <c r="M187" s="35"/>
      <c r="N187" s="35"/>
      <c r="O187" s="34">
        <f>IFERROR(SUMIF(Table415[,],Table617[[#This Row],[Accounts Name]],Table415[,3]),"")</f>
        <v>0</v>
      </c>
      <c r="P187" s="34">
        <f>IFERROR(SUMIF(Table415[,],Table617[[#This Row],[Accounts Name]],Table415[,2]),"")</f>
        <v>0</v>
      </c>
      <c r="S187" s="36">
        <f t="shared" si="2"/>
        <v>180</v>
      </c>
      <c r="T187" s="34"/>
      <c r="U187" s="37"/>
      <c r="V187" s="34">
        <f>IFERROR(SUMIF(Table617[Sub-Accounts],Table818[[#This Row],[Update your chart of accounts here]],Table617[Debit]),"")</f>
        <v>0</v>
      </c>
      <c r="W187" s="34">
        <f>IFERROR(SUMIF(Table617[Sub-Accounts],Table818[[#This Row],[Update your chart of accounts here]],Table617[Credit]),"")</f>
        <v>0</v>
      </c>
      <c r="X187" s="34"/>
      <c r="Y187" s="34"/>
      <c r="Z187" s="34"/>
      <c r="AA187" s="34"/>
      <c r="AB187" s="34">
        <f>MAX(Table818[[#This Row],[Debit]]+Table818[[#This Row],[Debit -]]-Table818[[#This Row],[Credit]]-Table818[[#This Row],[Credit +]],0)</f>
        <v>0</v>
      </c>
      <c r="AC187" s="34">
        <f>MAX(Table818[[#This Row],[Credit]]-Table818[[#This Row],[Debit]]+Table818[[#This Row],[Credit +]]-Table818[[#This Row],[Debit -]],0)</f>
        <v>0</v>
      </c>
      <c r="AD187" s="34" t="str">
        <f>IFERROR(IF(AND(OR(Table818[[#This Row],[Classification]]="Expense",Table818[[#This Row],[Classification]]="Cost of Goods Sold"),Table818[[#This Row],[Debit\]]&gt;Table818[[#This Row],[Credit.]]),Table818[[#This Row],[Debit\]]-Table818[[#This Row],[Credit.]],""),"")</f>
        <v/>
      </c>
      <c r="AE187" s="34" t="str">
        <f>IFERROR(IF(AND(OR(Table818[[#This Row],[Classification]]="Income",Table818[[#This Row],[Classification]]="Cost of Goods Sold"),Table818[[#This Row],[Credit.]]&gt;Table818[[#This Row],[Debit\]]),Table818[[#This Row],[Credit.]]-Table818[[#This Row],[Debit\]],""),"")</f>
        <v/>
      </c>
      <c r="AF187" s="34"/>
      <c r="AG187" s="34" t="str">
        <f>IFERROR(IF(AND(Table818[[#This Row],[Classification]]="Assets",Table818[[#This Row],[Debit\]]-Table818[[#This Row],[Credit.]]),Table818[[#This Row],[Debit\]]-Table818[[#This Row],[Credit.]],""),"")</f>
        <v/>
      </c>
      <c r="AH187" s="34" t="str">
        <f>IFERROR(IF(AND(OR(Table818[[#This Row],[Classification]]="Liabilities",Table818[[#This Row],[Classification]]="Owner´s Equity"),Table818[[#This Row],[Credit.]]&gt;Table818[[#This Row],[Debit\]]),Table818[[#This Row],[Credit.]]-Table818[[#This Row],[Debit\]],""),"")</f>
        <v/>
      </c>
    </row>
    <row r="188" spans="2:34" x14ac:dyDescent="0.25">
      <c r="B188" s="34"/>
      <c r="C188" s="45"/>
      <c r="D188" s="34"/>
      <c r="E188" s="34"/>
      <c r="G188" s="39"/>
      <c r="H188" s="43"/>
      <c r="I188" s="41"/>
      <c r="J188" s="41"/>
      <c r="L188" s="34">
        <v>181</v>
      </c>
      <c r="M188" s="35"/>
      <c r="N188" s="35"/>
      <c r="O188" s="34">
        <f>IFERROR(SUMIF(Table415[,],Table617[[#This Row],[Accounts Name]],Table415[,3]),"")</f>
        <v>0</v>
      </c>
      <c r="P188" s="34">
        <f>IFERROR(SUMIF(Table415[,],Table617[[#This Row],[Accounts Name]],Table415[,2]),"")</f>
        <v>0</v>
      </c>
      <c r="S188" s="36">
        <f t="shared" si="2"/>
        <v>181</v>
      </c>
      <c r="T188" s="34"/>
      <c r="U188" s="37"/>
      <c r="V188" s="34">
        <f>IFERROR(SUMIF(Table617[Sub-Accounts],Table818[[#This Row],[Update your chart of accounts here]],Table617[Debit]),"")</f>
        <v>0</v>
      </c>
      <c r="W188" s="34">
        <f>IFERROR(SUMIF(Table617[Sub-Accounts],Table818[[#This Row],[Update your chart of accounts here]],Table617[Credit]),"")</f>
        <v>0</v>
      </c>
      <c r="X188" s="34"/>
      <c r="Y188" s="34"/>
      <c r="Z188" s="34"/>
      <c r="AA188" s="34"/>
      <c r="AB188" s="34">
        <f>MAX(Table818[[#This Row],[Debit]]+Table818[[#This Row],[Debit -]]-Table818[[#This Row],[Credit]]-Table818[[#This Row],[Credit +]],0)</f>
        <v>0</v>
      </c>
      <c r="AC188" s="34">
        <f>MAX(Table818[[#This Row],[Credit]]-Table818[[#This Row],[Debit]]+Table818[[#This Row],[Credit +]]-Table818[[#This Row],[Debit -]],0)</f>
        <v>0</v>
      </c>
      <c r="AD188" s="34" t="str">
        <f>IFERROR(IF(AND(OR(Table818[[#This Row],[Classification]]="Expense",Table818[[#This Row],[Classification]]="Cost of Goods Sold"),Table818[[#This Row],[Debit\]]&gt;Table818[[#This Row],[Credit.]]),Table818[[#This Row],[Debit\]]-Table818[[#This Row],[Credit.]],""),"")</f>
        <v/>
      </c>
      <c r="AE188" s="34" t="str">
        <f>IFERROR(IF(AND(OR(Table818[[#This Row],[Classification]]="Income",Table818[[#This Row],[Classification]]="Cost of Goods Sold"),Table818[[#This Row],[Credit.]]&gt;Table818[[#This Row],[Debit\]]),Table818[[#This Row],[Credit.]]-Table818[[#This Row],[Debit\]],""),"")</f>
        <v/>
      </c>
      <c r="AF188" s="34"/>
      <c r="AG188" s="34" t="str">
        <f>IFERROR(IF(AND(Table818[[#This Row],[Classification]]="Assets",Table818[[#This Row],[Debit\]]-Table818[[#This Row],[Credit.]]),Table818[[#This Row],[Debit\]]-Table818[[#This Row],[Credit.]],""),"")</f>
        <v/>
      </c>
      <c r="AH188" s="34" t="str">
        <f>IFERROR(IF(AND(OR(Table818[[#This Row],[Classification]]="Liabilities",Table818[[#This Row],[Classification]]="Owner´s Equity"),Table818[[#This Row],[Credit.]]&gt;Table818[[#This Row],[Debit\]]),Table818[[#This Row],[Credit.]]-Table818[[#This Row],[Debit\]],""),"")</f>
        <v/>
      </c>
    </row>
    <row r="189" spans="2:34" x14ac:dyDescent="0.25">
      <c r="B189" s="34"/>
      <c r="C189" s="45"/>
      <c r="D189" s="34"/>
      <c r="E189" s="34"/>
      <c r="G189" s="39"/>
      <c r="H189" s="40"/>
      <c r="I189" s="41"/>
      <c r="J189" s="41"/>
      <c r="L189" s="34">
        <v>182</v>
      </c>
      <c r="M189" s="35"/>
      <c r="N189" s="35"/>
      <c r="O189" s="34">
        <f>IFERROR(SUMIF(Table415[,],Table617[[#This Row],[Accounts Name]],Table415[,3]),"")</f>
        <v>0</v>
      </c>
      <c r="P189" s="34">
        <f>IFERROR(SUMIF(Table415[,],Table617[[#This Row],[Accounts Name]],Table415[,2]),"")</f>
        <v>0</v>
      </c>
      <c r="S189" s="36">
        <f t="shared" si="2"/>
        <v>182</v>
      </c>
      <c r="T189" s="34"/>
      <c r="U189" s="37"/>
      <c r="V189" s="34">
        <f>IFERROR(SUMIF(Table617[Sub-Accounts],Table818[[#This Row],[Update your chart of accounts here]],Table617[Debit]),"")</f>
        <v>0</v>
      </c>
      <c r="W189" s="34">
        <f>IFERROR(SUMIF(Table617[Sub-Accounts],Table818[[#This Row],[Update your chart of accounts here]],Table617[Credit]),"")</f>
        <v>0</v>
      </c>
      <c r="X189" s="34"/>
      <c r="Y189" s="34"/>
      <c r="Z189" s="34"/>
      <c r="AA189" s="34"/>
      <c r="AB189" s="34">
        <f>MAX(Table818[[#This Row],[Debit]]+Table818[[#This Row],[Debit -]]-Table818[[#This Row],[Credit]]-Table818[[#This Row],[Credit +]],0)</f>
        <v>0</v>
      </c>
      <c r="AC189" s="34">
        <f>MAX(Table818[[#This Row],[Credit]]-Table818[[#This Row],[Debit]]+Table818[[#This Row],[Credit +]]-Table818[[#This Row],[Debit -]],0)</f>
        <v>0</v>
      </c>
      <c r="AD189" s="34" t="str">
        <f>IFERROR(IF(AND(OR(Table818[[#This Row],[Classification]]="Expense",Table818[[#This Row],[Classification]]="Cost of Goods Sold"),Table818[[#This Row],[Debit\]]&gt;Table818[[#This Row],[Credit.]]),Table818[[#This Row],[Debit\]]-Table818[[#This Row],[Credit.]],""),"")</f>
        <v/>
      </c>
      <c r="AE189" s="34" t="str">
        <f>IFERROR(IF(AND(OR(Table818[[#This Row],[Classification]]="Income",Table818[[#This Row],[Classification]]="Cost of Goods Sold"),Table818[[#This Row],[Credit.]]&gt;Table818[[#This Row],[Debit\]]),Table818[[#This Row],[Credit.]]-Table818[[#This Row],[Debit\]],""),"")</f>
        <v/>
      </c>
      <c r="AF189" s="34"/>
      <c r="AG189" s="34" t="str">
        <f>IFERROR(IF(AND(Table818[[#This Row],[Classification]]="Assets",Table818[[#This Row],[Debit\]]-Table818[[#This Row],[Credit.]]),Table818[[#This Row],[Debit\]]-Table818[[#This Row],[Credit.]],""),"")</f>
        <v/>
      </c>
      <c r="AH189" s="34" t="str">
        <f>IFERROR(IF(AND(OR(Table818[[#This Row],[Classification]]="Liabilities",Table818[[#This Row],[Classification]]="Owner´s Equity"),Table818[[#This Row],[Credit.]]&gt;Table818[[#This Row],[Debit\]]),Table818[[#This Row],[Credit.]]-Table818[[#This Row],[Debit\]],""),"")</f>
        <v/>
      </c>
    </row>
    <row r="190" spans="2:34" x14ac:dyDescent="0.25">
      <c r="B190" s="34"/>
      <c r="C190" s="45"/>
      <c r="D190" s="34"/>
      <c r="E190" s="34"/>
      <c r="G190" s="39"/>
      <c r="H190" s="40"/>
      <c r="I190" s="41"/>
      <c r="J190" s="41"/>
      <c r="L190" s="34">
        <v>183</v>
      </c>
      <c r="M190" s="35"/>
      <c r="N190" s="35"/>
      <c r="O190" s="34">
        <f>IFERROR(SUMIF(Table415[,],Table617[[#This Row],[Accounts Name]],Table415[,3]),"")</f>
        <v>0</v>
      </c>
      <c r="P190" s="34">
        <f>IFERROR(SUMIF(Table415[,],Table617[[#This Row],[Accounts Name]],Table415[,2]),"")</f>
        <v>0</v>
      </c>
      <c r="S190" s="36">
        <f t="shared" si="2"/>
        <v>183</v>
      </c>
      <c r="T190" s="34"/>
      <c r="U190" s="37"/>
      <c r="V190" s="34">
        <f>IFERROR(SUMIF(Table617[Sub-Accounts],Table818[[#This Row],[Update your chart of accounts here]],Table617[Debit]),"")</f>
        <v>0</v>
      </c>
      <c r="W190" s="34">
        <f>IFERROR(SUMIF(Table617[Sub-Accounts],Table818[[#This Row],[Update your chart of accounts here]],Table617[Credit]),"")</f>
        <v>0</v>
      </c>
      <c r="X190" s="34"/>
      <c r="Y190" s="34"/>
      <c r="Z190" s="34"/>
      <c r="AA190" s="34"/>
      <c r="AB190" s="34">
        <f>MAX(Table818[[#This Row],[Debit]]+Table818[[#This Row],[Debit -]]-Table818[[#This Row],[Credit]]-Table818[[#This Row],[Credit +]],0)</f>
        <v>0</v>
      </c>
      <c r="AC190" s="34">
        <f>MAX(Table818[[#This Row],[Credit]]-Table818[[#This Row],[Debit]]+Table818[[#This Row],[Credit +]]-Table818[[#This Row],[Debit -]],0)</f>
        <v>0</v>
      </c>
      <c r="AD190" s="34" t="str">
        <f>IFERROR(IF(AND(OR(Table818[[#This Row],[Classification]]="Expense",Table818[[#This Row],[Classification]]="Cost of Goods Sold"),Table818[[#This Row],[Debit\]]&gt;Table818[[#This Row],[Credit.]]),Table818[[#This Row],[Debit\]]-Table818[[#This Row],[Credit.]],""),"")</f>
        <v/>
      </c>
      <c r="AE190" s="34" t="str">
        <f>IFERROR(IF(AND(OR(Table818[[#This Row],[Classification]]="Income",Table818[[#This Row],[Classification]]="Cost of Goods Sold"),Table818[[#This Row],[Credit.]]&gt;Table818[[#This Row],[Debit\]]),Table818[[#This Row],[Credit.]]-Table818[[#This Row],[Debit\]],""),"")</f>
        <v/>
      </c>
      <c r="AF190" s="34"/>
      <c r="AG190" s="34" t="str">
        <f>IFERROR(IF(AND(Table818[[#This Row],[Classification]]="Assets",Table818[[#This Row],[Debit\]]-Table818[[#This Row],[Credit.]]),Table818[[#This Row],[Debit\]]-Table818[[#This Row],[Credit.]],""),"")</f>
        <v/>
      </c>
      <c r="AH190" s="34" t="str">
        <f>IFERROR(IF(AND(OR(Table818[[#This Row],[Classification]]="Liabilities",Table818[[#This Row],[Classification]]="Owner´s Equity"),Table818[[#This Row],[Credit.]]&gt;Table818[[#This Row],[Debit\]]),Table818[[#This Row],[Credit.]]-Table818[[#This Row],[Debit\]],""),"")</f>
        <v/>
      </c>
    </row>
    <row r="191" spans="2:34" x14ac:dyDescent="0.25">
      <c r="B191" s="34"/>
      <c r="C191" s="45"/>
      <c r="D191" s="34"/>
      <c r="E191" s="34"/>
      <c r="G191" s="39"/>
      <c r="H191" s="43"/>
      <c r="I191" s="41"/>
      <c r="J191" s="41"/>
      <c r="L191" s="34">
        <v>184</v>
      </c>
      <c r="M191" s="35"/>
      <c r="N191" s="35"/>
      <c r="O191" s="34">
        <f>IFERROR(SUMIF(Table415[,],Table617[[#This Row],[Accounts Name]],Table415[,3]),"")</f>
        <v>0</v>
      </c>
      <c r="P191" s="34">
        <f>IFERROR(SUMIF(Table415[,],Table617[[#This Row],[Accounts Name]],Table415[,2]),"")</f>
        <v>0</v>
      </c>
      <c r="S191" s="36">
        <f t="shared" si="2"/>
        <v>184</v>
      </c>
      <c r="T191" s="34"/>
      <c r="U191" s="37"/>
      <c r="V191" s="34">
        <f>IFERROR(SUMIF(Table617[Sub-Accounts],Table818[[#This Row],[Update your chart of accounts here]],Table617[Debit]),"")</f>
        <v>0</v>
      </c>
      <c r="W191" s="34">
        <f>IFERROR(SUMIF(Table617[Sub-Accounts],Table818[[#This Row],[Update your chart of accounts here]],Table617[Credit]),"")</f>
        <v>0</v>
      </c>
      <c r="X191" s="34"/>
      <c r="Y191" s="34"/>
      <c r="Z191" s="34"/>
      <c r="AA191" s="34"/>
      <c r="AB191" s="34">
        <f>MAX(Table818[[#This Row],[Debit]]+Table818[[#This Row],[Debit -]]-Table818[[#This Row],[Credit]]-Table818[[#This Row],[Credit +]],0)</f>
        <v>0</v>
      </c>
      <c r="AC191" s="34">
        <f>MAX(Table818[[#This Row],[Credit]]-Table818[[#This Row],[Debit]]+Table818[[#This Row],[Credit +]]-Table818[[#This Row],[Debit -]],0)</f>
        <v>0</v>
      </c>
      <c r="AD191" s="34" t="str">
        <f>IFERROR(IF(AND(OR(Table818[[#This Row],[Classification]]="Expense",Table818[[#This Row],[Classification]]="Cost of Goods Sold"),Table818[[#This Row],[Debit\]]&gt;Table818[[#This Row],[Credit.]]),Table818[[#This Row],[Debit\]]-Table818[[#This Row],[Credit.]],""),"")</f>
        <v/>
      </c>
      <c r="AE191" s="34" t="str">
        <f>IFERROR(IF(AND(OR(Table818[[#This Row],[Classification]]="Income",Table818[[#This Row],[Classification]]="Cost of Goods Sold"),Table818[[#This Row],[Credit.]]&gt;Table818[[#This Row],[Debit\]]),Table818[[#This Row],[Credit.]]-Table818[[#This Row],[Debit\]],""),"")</f>
        <v/>
      </c>
      <c r="AF191" s="34"/>
      <c r="AG191" s="34" t="str">
        <f>IFERROR(IF(AND(Table818[[#This Row],[Classification]]="Assets",Table818[[#This Row],[Debit\]]-Table818[[#This Row],[Credit.]]),Table818[[#This Row],[Debit\]]-Table818[[#This Row],[Credit.]],""),"")</f>
        <v/>
      </c>
      <c r="AH191" s="34" t="str">
        <f>IFERROR(IF(AND(OR(Table818[[#This Row],[Classification]]="Liabilities",Table818[[#This Row],[Classification]]="Owner´s Equity"),Table818[[#This Row],[Credit.]]&gt;Table818[[#This Row],[Debit\]]),Table818[[#This Row],[Credit.]]-Table818[[#This Row],[Debit\]],""),"")</f>
        <v/>
      </c>
    </row>
    <row r="192" spans="2:34" x14ac:dyDescent="0.25">
      <c r="B192" s="34"/>
      <c r="C192" s="45"/>
      <c r="D192" s="34"/>
      <c r="E192" s="34"/>
      <c r="G192" s="39"/>
      <c r="H192" s="40"/>
      <c r="I192" s="41"/>
      <c r="J192" s="41"/>
      <c r="L192" s="34">
        <v>185</v>
      </c>
      <c r="M192" s="35"/>
      <c r="N192" s="35"/>
      <c r="O192" s="34">
        <f>IFERROR(SUMIF(Table415[,],Table617[[#This Row],[Accounts Name]],Table415[,3]),"")</f>
        <v>0</v>
      </c>
      <c r="P192" s="34">
        <f>IFERROR(SUMIF(Table415[,],Table617[[#This Row],[Accounts Name]],Table415[,2]),"")</f>
        <v>0</v>
      </c>
      <c r="S192" s="36">
        <f t="shared" si="2"/>
        <v>185</v>
      </c>
      <c r="T192" s="34"/>
      <c r="U192" s="37"/>
      <c r="V192" s="34">
        <f>IFERROR(SUMIF(Table617[Sub-Accounts],Table818[[#This Row],[Update your chart of accounts here]],Table617[Debit]),"")</f>
        <v>0</v>
      </c>
      <c r="W192" s="34">
        <f>IFERROR(SUMIF(Table617[Sub-Accounts],Table818[[#This Row],[Update your chart of accounts here]],Table617[Credit]),"")</f>
        <v>0</v>
      </c>
      <c r="X192" s="34"/>
      <c r="Y192" s="34"/>
      <c r="Z192" s="34"/>
      <c r="AA192" s="34"/>
      <c r="AB192" s="34">
        <f>MAX(Table818[[#This Row],[Debit]]+Table818[[#This Row],[Debit -]]-Table818[[#This Row],[Credit]]-Table818[[#This Row],[Credit +]],0)</f>
        <v>0</v>
      </c>
      <c r="AC192" s="34">
        <f>MAX(Table818[[#This Row],[Credit]]-Table818[[#This Row],[Debit]]+Table818[[#This Row],[Credit +]]-Table818[[#This Row],[Debit -]],0)</f>
        <v>0</v>
      </c>
      <c r="AD192" s="34" t="str">
        <f>IFERROR(IF(AND(OR(Table818[[#This Row],[Classification]]="Expense",Table818[[#This Row],[Classification]]="Cost of Goods Sold"),Table818[[#This Row],[Debit\]]&gt;Table818[[#This Row],[Credit.]]),Table818[[#This Row],[Debit\]]-Table818[[#This Row],[Credit.]],""),"")</f>
        <v/>
      </c>
      <c r="AE192" s="34" t="str">
        <f>IFERROR(IF(AND(OR(Table818[[#This Row],[Classification]]="Income",Table818[[#This Row],[Classification]]="Cost of Goods Sold"),Table818[[#This Row],[Credit.]]&gt;Table818[[#This Row],[Debit\]]),Table818[[#This Row],[Credit.]]-Table818[[#This Row],[Debit\]],""),"")</f>
        <v/>
      </c>
      <c r="AF192" s="34"/>
      <c r="AG192" s="34" t="str">
        <f>IFERROR(IF(AND(Table818[[#This Row],[Classification]]="Assets",Table818[[#This Row],[Debit\]]-Table818[[#This Row],[Credit.]]),Table818[[#This Row],[Debit\]]-Table818[[#This Row],[Credit.]],""),"")</f>
        <v/>
      </c>
      <c r="AH192" s="34" t="str">
        <f>IFERROR(IF(AND(OR(Table818[[#This Row],[Classification]]="Liabilities",Table818[[#This Row],[Classification]]="Owner´s Equity"),Table818[[#This Row],[Credit.]]&gt;Table818[[#This Row],[Debit\]]),Table818[[#This Row],[Credit.]]-Table818[[#This Row],[Debit\]],""),"")</f>
        <v/>
      </c>
    </row>
    <row r="193" spans="2:38" x14ac:dyDescent="0.25">
      <c r="B193" s="34"/>
      <c r="C193" s="45"/>
      <c r="D193" s="34"/>
      <c r="E193" s="34"/>
      <c r="G193" s="39"/>
      <c r="H193" s="40"/>
      <c r="I193" s="41"/>
      <c r="J193" s="41"/>
      <c r="L193" s="34">
        <v>186</v>
      </c>
      <c r="M193" s="35"/>
      <c r="N193" s="35"/>
      <c r="O193" s="34">
        <f>IFERROR(SUMIF(Table415[,],Table617[[#This Row],[Accounts Name]],Table415[,3]),"")</f>
        <v>0</v>
      </c>
      <c r="P193" s="34">
        <f>IFERROR(SUMIF(Table415[,],Table617[[#This Row],[Accounts Name]],Table415[,2]),"")</f>
        <v>0</v>
      </c>
      <c r="S193" s="36">
        <f t="shared" si="2"/>
        <v>186</v>
      </c>
      <c r="T193" s="34"/>
      <c r="U193" s="37"/>
      <c r="V193" s="34">
        <f>IFERROR(SUMIF(Table617[Sub-Accounts],Table818[[#This Row],[Update your chart of accounts here]],Table617[Debit]),"")</f>
        <v>0</v>
      </c>
      <c r="W193" s="34">
        <f>IFERROR(SUMIF(Table617[Sub-Accounts],Table818[[#This Row],[Update your chart of accounts here]],Table617[Credit]),"")</f>
        <v>0</v>
      </c>
      <c r="X193" s="34"/>
      <c r="Y193" s="34"/>
      <c r="Z193" s="34"/>
      <c r="AA193" s="34"/>
      <c r="AB193" s="34">
        <f>MAX(Table818[[#This Row],[Debit]]+Table818[[#This Row],[Debit -]]-Table818[[#This Row],[Credit]]-Table818[[#This Row],[Credit +]],0)</f>
        <v>0</v>
      </c>
      <c r="AC193" s="34">
        <f>MAX(Table818[[#This Row],[Credit]]-Table818[[#This Row],[Debit]]+Table818[[#This Row],[Credit +]]-Table818[[#This Row],[Debit -]],0)</f>
        <v>0</v>
      </c>
      <c r="AD193" s="34" t="str">
        <f>IFERROR(IF(AND(OR(Table818[[#This Row],[Classification]]="Expense",Table818[[#This Row],[Classification]]="Cost of Goods Sold"),Table818[[#This Row],[Debit\]]&gt;Table818[[#This Row],[Credit.]]),Table818[[#This Row],[Debit\]]-Table818[[#This Row],[Credit.]],""),"")</f>
        <v/>
      </c>
      <c r="AE193" s="34" t="str">
        <f>IFERROR(IF(AND(OR(Table818[[#This Row],[Classification]]="Income",Table818[[#This Row],[Classification]]="Cost of Goods Sold"),Table818[[#This Row],[Credit.]]&gt;Table818[[#This Row],[Debit\]]),Table818[[#This Row],[Credit.]]-Table818[[#This Row],[Debit\]],""),"")</f>
        <v/>
      </c>
      <c r="AF193" s="34"/>
      <c r="AG193" s="34" t="str">
        <f>IFERROR(IF(AND(Table818[[#This Row],[Classification]]="Assets",Table818[[#This Row],[Debit\]]-Table818[[#This Row],[Credit.]]),Table818[[#This Row],[Debit\]]-Table818[[#This Row],[Credit.]],""),"")</f>
        <v/>
      </c>
      <c r="AH193" s="34" t="str">
        <f>IFERROR(IF(AND(OR(Table818[[#This Row],[Classification]]="Liabilities",Table818[[#This Row],[Classification]]="Owner´s Equity"),Table818[[#This Row],[Credit.]]&gt;Table818[[#This Row],[Debit\]]),Table818[[#This Row],[Credit.]]-Table818[[#This Row],[Debit\]],""),"")</f>
        <v/>
      </c>
    </row>
    <row r="194" spans="2:38" x14ac:dyDescent="0.25">
      <c r="B194" s="34"/>
      <c r="C194" s="45"/>
      <c r="D194" s="34"/>
      <c r="E194" s="34"/>
      <c r="G194" s="39"/>
      <c r="H194" s="43"/>
      <c r="I194" s="41"/>
      <c r="J194" s="41"/>
      <c r="L194" s="34">
        <v>187</v>
      </c>
      <c r="M194" s="35"/>
      <c r="N194" s="35"/>
      <c r="O194" s="34">
        <f>IFERROR(SUMIF(Table415[,],Table617[[#This Row],[Accounts Name]],Table415[,3]),"")</f>
        <v>0</v>
      </c>
      <c r="P194" s="34">
        <f>IFERROR(SUMIF(Table415[,],Table617[[#This Row],[Accounts Name]],Table415[,2]),"")</f>
        <v>0</v>
      </c>
      <c r="S194" s="36">
        <f t="shared" si="2"/>
        <v>187</v>
      </c>
      <c r="T194" s="34"/>
      <c r="U194" s="37"/>
      <c r="V194" s="34">
        <f>IFERROR(SUMIF(Table617[Sub-Accounts],Table818[[#This Row],[Update your chart of accounts here]],Table617[Debit]),"")</f>
        <v>0</v>
      </c>
      <c r="W194" s="34">
        <f>IFERROR(SUMIF(Table617[Sub-Accounts],Table818[[#This Row],[Update your chart of accounts here]],Table617[Credit]),"")</f>
        <v>0</v>
      </c>
      <c r="X194" s="34"/>
      <c r="Y194" s="34"/>
      <c r="Z194" s="34"/>
      <c r="AA194" s="34"/>
      <c r="AB194" s="34">
        <f>MAX(Table818[[#This Row],[Debit]]+Table818[[#This Row],[Debit -]]-Table818[[#This Row],[Credit]]-Table818[[#This Row],[Credit +]],0)</f>
        <v>0</v>
      </c>
      <c r="AC194" s="34">
        <f>MAX(Table818[[#This Row],[Credit]]-Table818[[#This Row],[Debit]]+Table818[[#This Row],[Credit +]]-Table818[[#This Row],[Debit -]],0)</f>
        <v>0</v>
      </c>
      <c r="AD194" s="34" t="str">
        <f>IFERROR(IF(AND(OR(Table818[[#This Row],[Classification]]="Expense",Table818[[#This Row],[Classification]]="Cost of Goods Sold"),Table818[[#This Row],[Debit\]]&gt;Table818[[#This Row],[Credit.]]),Table818[[#This Row],[Debit\]]-Table818[[#This Row],[Credit.]],""),"")</f>
        <v/>
      </c>
      <c r="AE194" s="34" t="str">
        <f>IFERROR(IF(AND(OR(Table818[[#This Row],[Classification]]="Income",Table818[[#This Row],[Classification]]="Cost of Goods Sold"),Table818[[#This Row],[Credit.]]&gt;Table818[[#This Row],[Debit\]]),Table818[[#This Row],[Credit.]]-Table818[[#This Row],[Debit\]],""),"")</f>
        <v/>
      </c>
      <c r="AF194" s="34"/>
      <c r="AG194" s="34" t="str">
        <f>IFERROR(IF(AND(Table818[[#This Row],[Classification]]="Assets",Table818[[#This Row],[Debit\]]-Table818[[#This Row],[Credit.]]),Table818[[#This Row],[Debit\]]-Table818[[#This Row],[Credit.]],""),"")</f>
        <v/>
      </c>
      <c r="AH194" s="34" t="str">
        <f>IFERROR(IF(AND(OR(Table818[[#This Row],[Classification]]="Liabilities",Table818[[#This Row],[Classification]]="Owner´s Equity"),Table818[[#This Row],[Credit.]]&gt;Table818[[#This Row],[Debit\]]),Table818[[#This Row],[Credit.]]-Table818[[#This Row],[Debit\]],""),"")</f>
        <v/>
      </c>
    </row>
    <row r="195" spans="2:38" x14ac:dyDescent="0.25">
      <c r="B195" s="34"/>
      <c r="C195" s="45"/>
      <c r="D195" s="34"/>
      <c r="E195" s="34"/>
      <c r="G195" s="39"/>
      <c r="H195" s="40"/>
      <c r="I195" s="41"/>
      <c r="J195" s="41"/>
      <c r="L195" s="34">
        <v>188</v>
      </c>
      <c r="M195" s="35"/>
      <c r="N195" s="35"/>
      <c r="O195" s="34">
        <f>IFERROR(SUMIF(Table415[,],Table617[[#This Row],[Accounts Name]],Table415[,3]),"")</f>
        <v>0</v>
      </c>
      <c r="P195" s="34">
        <f>IFERROR(SUMIF(Table415[,],Table617[[#This Row],[Accounts Name]],Table415[,2]),"")</f>
        <v>0</v>
      </c>
      <c r="S195" s="36">
        <f t="shared" si="2"/>
        <v>188</v>
      </c>
      <c r="T195" s="34"/>
      <c r="U195" s="37"/>
      <c r="V195" s="34">
        <f>IFERROR(SUMIF(Table617[Sub-Accounts],Table818[[#This Row],[Update your chart of accounts here]],Table617[Debit]),"")</f>
        <v>0</v>
      </c>
      <c r="W195" s="34">
        <f>IFERROR(SUMIF(Table617[Sub-Accounts],Table818[[#This Row],[Update your chart of accounts here]],Table617[Credit]),"")</f>
        <v>0</v>
      </c>
      <c r="X195" s="34"/>
      <c r="Y195" s="34"/>
      <c r="Z195" s="34"/>
      <c r="AA195" s="34"/>
      <c r="AB195" s="34">
        <f>MAX(Table818[[#This Row],[Debit]]+Table818[[#This Row],[Debit -]]-Table818[[#This Row],[Credit]]-Table818[[#This Row],[Credit +]],0)</f>
        <v>0</v>
      </c>
      <c r="AC195" s="34">
        <f>MAX(Table818[[#This Row],[Credit]]-Table818[[#This Row],[Debit]]+Table818[[#This Row],[Credit +]]-Table818[[#This Row],[Debit -]],0)</f>
        <v>0</v>
      </c>
      <c r="AD195" s="34" t="str">
        <f>IFERROR(IF(AND(OR(Table818[[#This Row],[Classification]]="Expense",Table818[[#This Row],[Classification]]="Cost of Goods Sold"),Table818[[#This Row],[Debit\]]&gt;Table818[[#This Row],[Credit.]]),Table818[[#This Row],[Debit\]]-Table818[[#This Row],[Credit.]],""),"")</f>
        <v/>
      </c>
      <c r="AE195" s="34" t="str">
        <f>IFERROR(IF(AND(OR(Table818[[#This Row],[Classification]]="Income",Table818[[#This Row],[Classification]]="Cost of Goods Sold"),Table818[[#This Row],[Credit.]]&gt;Table818[[#This Row],[Debit\]]),Table818[[#This Row],[Credit.]]-Table818[[#This Row],[Debit\]],""),"")</f>
        <v/>
      </c>
      <c r="AF195" s="34"/>
      <c r="AG195" s="34" t="str">
        <f>IFERROR(IF(AND(Table818[[#This Row],[Classification]]="Assets",Table818[[#This Row],[Debit\]]-Table818[[#This Row],[Credit.]]),Table818[[#This Row],[Debit\]]-Table818[[#This Row],[Credit.]],""),"")</f>
        <v/>
      </c>
      <c r="AH195" s="34" t="str">
        <f>IFERROR(IF(AND(OR(Table818[[#This Row],[Classification]]="Liabilities",Table818[[#This Row],[Classification]]="Owner´s Equity"),Table818[[#This Row],[Credit.]]&gt;Table818[[#This Row],[Debit\]]),Table818[[#This Row],[Credit.]]-Table818[[#This Row],[Debit\]],""),"")</f>
        <v/>
      </c>
    </row>
    <row r="196" spans="2:38" x14ac:dyDescent="0.25">
      <c r="B196" s="34"/>
      <c r="C196" s="45"/>
      <c r="D196" s="34"/>
      <c r="E196" s="34"/>
      <c r="G196" s="39"/>
      <c r="H196" s="40"/>
      <c r="I196" s="41"/>
      <c r="J196" s="41"/>
      <c r="L196" s="34">
        <v>189</v>
      </c>
      <c r="M196" s="35"/>
      <c r="N196" s="35"/>
      <c r="O196" s="34">
        <f>IFERROR(SUMIF(Table415[,],Table617[[#This Row],[Accounts Name]],Table415[,3]),"")</f>
        <v>0</v>
      </c>
      <c r="P196" s="34">
        <f>IFERROR(SUMIF(Table415[,],Table617[[#This Row],[Accounts Name]],Table415[,2]),"")</f>
        <v>0</v>
      </c>
      <c r="S196" s="36">
        <f t="shared" si="2"/>
        <v>189</v>
      </c>
      <c r="T196" s="34"/>
      <c r="U196" s="37"/>
      <c r="V196" s="34">
        <f>IFERROR(SUMIF(Table617[Sub-Accounts],Table818[[#This Row],[Update your chart of accounts here]],Table617[Debit]),"")</f>
        <v>0</v>
      </c>
      <c r="W196" s="34">
        <f>IFERROR(SUMIF(Table617[Sub-Accounts],Table818[[#This Row],[Update your chart of accounts here]],Table617[Credit]),"")</f>
        <v>0</v>
      </c>
      <c r="X196" s="34"/>
      <c r="Y196" s="34"/>
      <c r="Z196" s="34"/>
      <c r="AA196" s="34"/>
      <c r="AB196" s="34">
        <f>MAX(Table818[[#This Row],[Debit]]+Table818[[#This Row],[Debit -]]-Table818[[#This Row],[Credit]]-Table818[[#This Row],[Credit +]],0)</f>
        <v>0</v>
      </c>
      <c r="AC196" s="34">
        <f>MAX(Table818[[#This Row],[Credit]]-Table818[[#This Row],[Debit]]+Table818[[#This Row],[Credit +]]-Table818[[#This Row],[Debit -]],0)</f>
        <v>0</v>
      </c>
      <c r="AD196" s="34" t="str">
        <f>IFERROR(IF(AND(OR(Table818[[#This Row],[Classification]]="Expense",Table818[[#This Row],[Classification]]="Cost of Goods Sold"),Table818[[#This Row],[Debit\]]&gt;Table818[[#This Row],[Credit.]]),Table818[[#This Row],[Debit\]]-Table818[[#This Row],[Credit.]],""),"")</f>
        <v/>
      </c>
      <c r="AE196" s="34" t="str">
        <f>IFERROR(IF(AND(OR(Table818[[#This Row],[Classification]]="Income",Table818[[#This Row],[Classification]]="Cost of Goods Sold"),Table818[[#This Row],[Credit.]]&gt;Table818[[#This Row],[Debit\]]),Table818[[#This Row],[Credit.]]-Table818[[#This Row],[Debit\]],""),"")</f>
        <v/>
      </c>
      <c r="AF196" s="34"/>
      <c r="AG196" s="34" t="str">
        <f>IFERROR(IF(AND(Table818[[#This Row],[Classification]]="Assets",Table818[[#This Row],[Debit\]]-Table818[[#This Row],[Credit.]]),Table818[[#This Row],[Debit\]]-Table818[[#This Row],[Credit.]],""),"")</f>
        <v/>
      </c>
      <c r="AH196" s="34" t="str">
        <f>IFERROR(IF(AND(OR(Table818[[#This Row],[Classification]]="Liabilities",Table818[[#This Row],[Classification]]="Owner´s Equity"),Table818[[#This Row],[Credit.]]&gt;Table818[[#This Row],[Debit\]]),Table818[[#This Row],[Credit.]]-Table818[[#This Row],[Debit\]],""),"")</f>
        <v/>
      </c>
    </row>
    <row r="197" spans="2:38" x14ac:dyDescent="0.25">
      <c r="B197" s="34"/>
      <c r="C197" s="45"/>
      <c r="D197" s="34"/>
      <c r="E197" s="34"/>
      <c r="G197" s="39"/>
      <c r="H197" s="43"/>
      <c r="I197" s="41"/>
      <c r="J197" s="41"/>
      <c r="L197" s="34">
        <v>190</v>
      </c>
      <c r="M197" s="35"/>
      <c r="N197" s="35"/>
      <c r="O197" s="34">
        <f>IFERROR(SUMIF(Table415[,],Table617[[#This Row],[Accounts Name]],Table415[,3]),"")</f>
        <v>0</v>
      </c>
      <c r="P197" s="34">
        <f>IFERROR(SUMIF(Table415[,],Table617[[#This Row],[Accounts Name]],Table415[,2]),"")</f>
        <v>0</v>
      </c>
      <c r="S197" s="36">
        <f t="shared" si="2"/>
        <v>190</v>
      </c>
      <c r="T197" s="34"/>
      <c r="U197" s="37"/>
      <c r="V197" s="34">
        <f>IFERROR(SUMIF(Table617[Sub-Accounts],Table818[[#This Row],[Update your chart of accounts here]],Table617[Debit]),"")</f>
        <v>0</v>
      </c>
      <c r="W197" s="34">
        <f>IFERROR(SUMIF(Table617[Sub-Accounts],Table818[[#This Row],[Update your chart of accounts here]],Table617[Credit]),"")</f>
        <v>0</v>
      </c>
      <c r="X197" s="34"/>
      <c r="Y197" s="34"/>
      <c r="Z197" s="34"/>
      <c r="AA197" s="34"/>
      <c r="AB197" s="34">
        <f>MAX(Table818[[#This Row],[Debit]]+Table818[[#This Row],[Debit -]]-Table818[[#This Row],[Credit]]-Table818[[#This Row],[Credit +]],0)</f>
        <v>0</v>
      </c>
      <c r="AC197" s="34">
        <f>MAX(Table818[[#This Row],[Credit]]-Table818[[#This Row],[Debit]]+Table818[[#This Row],[Credit +]]-Table818[[#This Row],[Debit -]],0)</f>
        <v>0</v>
      </c>
      <c r="AD197" s="34" t="str">
        <f>IFERROR(IF(AND(OR(Table818[[#This Row],[Classification]]="Expense",Table818[[#This Row],[Classification]]="Cost of Goods Sold"),Table818[[#This Row],[Debit\]]&gt;Table818[[#This Row],[Credit.]]),Table818[[#This Row],[Debit\]]-Table818[[#This Row],[Credit.]],""),"")</f>
        <v/>
      </c>
      <c r="AE197" s="34" t="str">
        <f>IFERROR(IF(AND(OR(Table818[[#This Row],[Classification]]="Income",Table818[[#This Row],[Classification]]="Cost of Goods Sold"),Table818[[#This Row],[Credit.]]&gt;Table818[[#This Row],[Debit\]]),Table818[[#This Row],[Credit.]]-Table818[[#This Row],[Debit\]],""),"")</f>
        <v/>
      </c>
      <c r="AF197" s="34"/>
      <c r="AG197" s="34" t="str">
        <f>IFERROR(IF(AND(Table818[[#This Row],[Classification]]="Assets",Table818[[#This Row],[Debit\]]-Table818[[#This Row],[Credit.]]),Table818[[#This Row],[Debit\]]-Table818[[#This Row],[Credit.]],""),"")</f>
        <v/>
      </c>
      <c r="AH197" s="34" t="str">
        <f>IFERROR(IF(AND(OR(Table818[[#This Row],[Classification]]="Liabilities",Table818[[#This Row],[Classification]]="Owner´s Equity"),Table818[[#This Row],[Credit.]]&gt;Table818[[#This Row],[Debit\]]),Table818[[#This Row],[Credit.]]-Table818[[#This Row],[Debit\]],""),"")</f>
        <v/>
      </c>
    </row>
    <row r="198" spans="2:38" x14ac:dyDescent="0.25">
      <c r="B198" s="34"/>
      <c r="C198" s="45"/>
      <c r="D198" s="34"/>
      <c r="E198" s="34"/>
      <c r="G198" s="39"/>
      <c r="H198" s="40"/>
      <c r="I198" s="41"/>
      <c r="J198" s="41"/>
      <c r="L198" s="34">
        <v>191</v>
      </c>
      <c r="M198" s="35"/>
      <c r="N198" s="35"/>
      <c r="O198" s="34">
        <f>IFERROR(SUMIF(Table415[,],Table617[[#This Row],[Accounts Name]],Table415[,3]),"")</f>
        <v>0</v>
      </c>
      <c r="P198" s="34">
        <f>IFERROR(SUMIF(Table415[,],Table617[[#This Row],[Accounts Name]],Table415[,2]),"")</f>
        <v>0</v>
      </c>
      <c r="S198" s="36">
        <f t="shared" si="2"/>
        <v>191</v>
      </c>
      <c r="T198" s="34"/>
      <c r="U198" s="37"/>
      <c r="V198" s="34">
        <f>IFERROR(SUMIF(Table617[Sub-Accounts],Table818[[#This Row],[Update your chart of accounts here]],Table617[Debit]),"")</f>
        <v>0</v>
      </c>
      <c r="W198" s="34">
        <f>IFERROR(SUMIF(Table617[Sub-Accounts],Table818[[#This Row],[Update your chart of accounts here]],Table617[Credit]),"")</f>
        <v>0</v>
      </c>
      <c r="X198" s="34"/>
      <c r="Y198" s="34"/>
      <c r="Z198" s="34"/>
      <c r="AA198" s="34"/>
      <c r="AB198" s="34">
        <f>MAX(Table818[[#This Row],[Debit]]+Table818[[#This Row],[Debit -]]-Table818[[#This Row],[Credit]]-Table818[[#This Row],[Credit +]],0)</f>
        <v>0</v>
      </c>
      <c r="AC198" s="34">
        <f>MAX(Table818[[#This Row],[Credit]]-Table818[[#This Row],[Debit]]+Table818[[#This Row],[Credit +]]-Table818[[#This Row],[Debit -]],0)</f>
        <v>0</v>
      </c>
      <c r="AD198" s="34" t="str">
        <f>IFERROR(IF(AND(OR(Table818[[#This Row],[Classification]]="Expense",Table818[[#This Row],[Classification]]="Cost of Goods Sold"),Table818[[#This Row],[Debit\]]&gt;Table818[[#This Row],[Credit.]]),Table818[[#This Row],[Debit\]]-Table818[[#This Row],[Credit.]],""),"")</f>
        <v/>
      </c>
      <c r="AE198" s="34" t="str">
        <f>IFERROR(IF(AND(OR(Table818[[#This Row],[Classification]]="Income",Table818[[#This Row],[Classification]]="Cost of Goods Sold"),Table818[[#This Row],[Credit.]]&gt;Table818[[#This Row],[Debit\]]),Table818[[#This Row],[Credit.]]-Table818[[#This Row],[Debit\]],""),"")</f>
        <v/>
      </c>
      <c r="AF198" s="34"/>
      <c r="AG198" s="34" t="str">
        <f>IFERROR(IF(AND(Table818[[#This Row],[Classification]]="Assets",Table818[[#This Row],[Debit\]]-Table818[[#This Row],[Credit.]]),Table818[[#This Row],[Debit\]]-Table818[[#This Row],[Credit.]],""),"")</f>
        <v/>
      </c>
      <c r="AH198" s="34" t="str">
        <f>IFERROR(IF(AND(OR(Table818[[#This Row],[Classification]]="Liabilities",Table818[[#This Row],[Classification]]="Owner´s Equity"),Table818[[#This Row],[Credit.]]&gt;Table818[[#This Row],[Debit\]]),Table818[[#This Row],[Credit.]]-Table818[[#This Row],[Debit\]],""),"")</f>
        <v/>
      </c>
    </row>
    <row r="199" spans="2:38" x14ac:dyDescent="0.25">
      <c r="B199" s="34"/>
      <c r="C199" s="45"/>
      <c r="D199" s="34"/>
      <c r="E199" s="34"/>
      <c r="G199" s="39"/>
      <c r="H199" s="40"/>
      <c r="I199" s="41"/>
      <c r="J199" s="41"/>
      <c r="L199" s="34">
        <v>192</v>
      </c>
      <c r="M199" s="35"/>
      <c r="N199" s="35"/>
      <c r="O199" s="34">
        <f>IFERROR(SUMIF(Table415[,],Table617[[#This Row],[Accounts Name]],Table415[,3]),"")</f>
        <v>0</v>
      </c>
      <c r="P199" s="34">
        <f>IFERROR(SUMIF(Table415[,],Table617[[#This Row],[Accounts Name]],Table415[,2]),"")</f>
        <v>0</v>
      </c>
      <c r="S199" s="36">
        <f t="shared" si="2"/>
        <v>192</v>
      </c>
      <c r="T199" s="34"/>
      <c r="U199" s="46"/>
      <c r="V199" s="34">
        <f>IFERROR(SUMIF(Table617[Sub-Accounts],Table818[[#This Row],[Update your chart of accounts here]],Table617[Debit]),"")</f>
        <v>0</v>
      </c>
      <c r="W199" s="34">
        <f>IFERROR(SUMIF(Table617[Sub-Accounts],Table818[[#This Row],[Update your chart of accounts here]],Table617[Credit]),"")</f>
        <v>0</v>
      </c>
      <c r="X199" s="34"/>
      <c r="Y199" s="34"/>
      <c r="Z199" s="34"/>
      <c r="AA199" s="34"/>
      <c r="AB199" s="34">
        <f>MAX(Table818[[#This Row],[Debit]]+Table818[[#This Row],[Debit -]]-Table818[[#This Row],[Credit]]-Table818[[#This Row],[Credit +]],0)</f>
        <v>0</v>
      </c>
      <c r="AC199" s="34">
        <f>MAX(Table818[[#This Row],[Credit]]-Table818[[#This Row],[Debit]]+Table818[[#This Row],[Credit +]]-Table818[[#This Row],[Debit -]],0)</f>
        <v>0</v>
      </c>
      <c r="AD199" s="34" t="str">
        <f>IFERROR(IF(AND(OR(Table818[[#This Row],[Classification]]="Expense",Table818[[#This Row],[Classification]]="Cost of Goods Sold"),Table818[[#This Row],[Debit\]]&gt;Table818[[#This Row],[Credit.]]),Table818[[#This Row],[Debit\]]-Table818[[#This Row],[Credit.]],""),"")</f>
        <v/>
      </c>
      <c r="AE199" s="34" t="str">
        <f>IFERROR(IF(AND(OR(Table818[[#This Row],[Classification]]="Income",Table818[[#This Row],[Classification]]="Cost of Goods Sold"),Table818[[#This Row],[Credit.]]&gt;Table818[[#This Row],[Debit\]]),Table818[[#This Row],[Credit.]]-Table818[[#This Row],[Debit\]],""),"")</f>
        <v/>
      </c>
      <c r="AF199" s="34"/>
      <c r="AG199" s="34" t="str">
        <f>IFERROR(IF(AND(Table818[[#This Row],[Classification]]="Assets",Table818[[#This Row],[Debit\]]-Table818[[#This Row],[Credit.]]),Table818[[#This Row],[Debit\]]-Table818[[#This Row],[Credit.]],""),"")</f>
        <v/>
      </c>
      <c r="AH199" s="34" t="str">
        <f>IFERROR(IF(AND(OR(Table818[[#This Row],[Classification]]="Liabilities",Table818[[#This Row],[Classification]]="Owner´s Equity"),Table818[[#This Row],[Credit.]]&gt;Table818[[#This Row],[Debit\]]),Table818[[#This Row],[Credit.]]-Table818[[#This Row],[Debit\]],""),"")</f>
        <v/>
      </c>
    </row>
    <row r="200" spans="2:38" x14ac:dyDescent="0.25">
      <c r="B200" s="34"/>
      <c r="C200" s="45"/>
      <c r="D200" s="34"/>
      <c r="E200" s="34"/>
      <c r="G200" s="39"/>
      <c r="H200" s="43"/>
      <c r="I200" s="41"/>
      <c r="J200" s="41"/>
      <c r="L200" s="34">
        <v>193</v>
      </c>
      <c r="M200" s="35"/>
      <c r="N200" s="35"/>
      <c r="O200" s="34">
        <f>IFERROR(SUMIF(Table415[,],Table617[[#This Row],[Accounts Name]],Table415[,3]),"")</f>
        <v>0</v>
      </c>
      <c r="P200" s="34">
        <f>IFERROR(SUMIF(Table415[,],Table617[[#This Row],[Accounts Name]],Table415[,2]),"")</f>
        <v>0</v>
      </c>
      <c r="S200" s="36">
        <f t="shared" si="2"/>
        <v>193</v>
      </c>
      <c r="T200" s="34"/>
      <c r="U200" s="47"/>
      <c r="V200" s="34">
        <f>IFERROR(SUMIF(Table617[Sub-Accounts],Table818[[#This Row],[Update your chart of accounts here]],Table617[Debit]),"")</f>
        <v>0</v>
      </c>
      <c r="W200" s="34">
        <f>IFERROR(SUMIF(Table617[Sub-Accounts],Table818[[#This Row],[Update your chart of accounts here]],Table617[Credit]),"")</f>
        <v>0</v>
      </c>
      <c r="X200" s="34"/>
      <c r="Y200" s="34"/>
      <c r="Z200" s="34"/>
      <c r="AA200" s="34"/>
      <c r="AB200" s="34">
        <f>MAX(Table818[[#This Row],[Debit]]+Table818[[#This Row],[Debit -]]-Table818[[#This Row],[Credit]]-Table818[[#This Row],[Credit +]],0)</f>
        <v>0</v>
      </c>
      <c r="AC200" s="34">
        <f>MAX(Table818[[#This Row],[Credit]]-Table818[[#This Row],[Debit]]+Table818[[#This Row],[Credit +]]-Table818[[#This Row],[Debit -]],0)</f>
        <v>0</v>
      </c>
      <c r="AD200" s="34" t="str">
        <f>IFERROR(IF(AND(OR(Table818[[#This Row],[Classification]]="Expense",Table818[[#This Row],[Classification]]="Cost of Goods Sold"),Table818[[#This Row],[Debit\]]&gt;Table818[[#This Row],[Credit.]]),Table818[[#This Row],[Debit\]]-Table818[[#This Row],[Credit.]],""),"")</f>
        <v/>
      </c>
      <c r="AE200" s="34" t="str">
        <f>IFERROR(IF(AND(OR(Table818[[#This Row],[Classification]]="Income",Table818[[#This Row],[Classification]]="Cost of Goods Sold"),Table818[[#This Row],[Credit.]]&gt;Table818[[#This Row],[Debit\]]),Table818[[#This Row],[Credit.]]-Table818[[#This Row],[Debit\]],""),"")</f>
        <v/>
      </c>
      <c r="AF200" s="34"/>
      <c r="AG200" s="34" t="str">
        <f>IFERROR(IF(AND(Table818[[#This Row],[Classification]]="Assets",Table818[[#This Row],[Debit\]]-Table818[[#This Row],[Credit.]]),Table818[[#This Row],[Debit\]]-Table818[[#This Row],[Credit.]],""),"")</f>
        <v/>
      </c>
      <c r="AH200" s="34" t="str">
        <f>IFERROR(IF(AND(OR(Table818[[#This Row],[Classification]]="Liabilities",Table818[[#This Row],[Classification]]="Owner´s Equity"),Table818[[#This Row],[Credit.]]&gt;Table818[[#This Row],[Debit\]]),Table818[[#This Row],[Credit.]]-Table818[[#This Row],[Debit\]],""),"")</f>
        <v/>
      </c>
      <c r="AI200" s="20" t="b">
        <f>Table818[[#Totals],[Debit .]]=Table818[[#Totals],[Credit'']]</f>
        <v>0</v>
      </c>
      <c r="AL200" s="20">
        <f>Table818[[#Totals],[Debit .]]-Table818[[#Totals],[Credit'']]</f>
        <v>0</v>
      </c>
    </row>
    <row r="201" spans="2:38" ht="15.75" thickBot="1" x14ac:dyDescent="0.3">
      <c r="B201" s="20" t="s">
        <v>60</v>
      </c>
      <c r="D201" s="57">
        <f>SUBTOTAL(109,Table415[,3])</f>
        <v>366476093.04999995</v>
      </c>
      <c r="E201" s="57">
        <f>SUBTOTAL(109,Table415[,2])</f>
        <v>366476093.05000001</v>
      </c>
      <c r="G201" s="39"/>
      <c r="H201" s="40"/>
      <c r="I201" s="41"/>
      <c r="J201" s="41"/>
      <c r="L201" s="49" t="s">
        <v>60</v>
      </c>
      <c r="M201" s="35"/>
      <c r="N201" s="35"/>
      <c r="O201" s="48">
        <f>SUBTOTAL(109,Table617[Debit])</f>
        <v>366476093.04999995</v>
      </c>
      <c r="P201" s="48">
        <f>SUBTOTAL(109,Table617[Credit])</f>
        <v>366476093.05000001</v>
      </c>
      <c r="S201" s="62" t="s">
        <v>60</v>
      </c>
      <c r="T201" s="63"/>
      <c r="U201" s="64"/>
      <c r="V201" s="63">
        <f>SUBTOTAL(109,Table818[Debit])</f>
        <v>366476093.04999995</v>
      </c>
      <c r="W201" s="63">
        <f>SUBTOTAL(109,Table818[Credit])</f>
        <v>366476093.05000001</v>
      </c>
      <c r="X201" s="63"/>
      <c r="Y201" s="63"/>
      <c r="Z201" s="63"/>
      <c r="AA201" s="63"/>
      <c r="AB201" s="63">
        <f>SUBTOTAL(109,Table818[Debit\])</f>
        <v>381619031.17322552</v>
      </c>
      <c r="AC201" s="63">
        <f>SUBTOTAL(109,Table818[Credit.])</f>
        <v>381619031.17322558</v>
      </c>
      <c r="AD201" s="63">
        <f>SUBTOTAL(109,Table818[[Debit ]])</f>
        <v>343142974.44999999</v>
      </c>
      <c r="AE201" s="63">
        <f>SUBTOTAL(109,Table818[Credit,])</f>
        <v>343142974.44999999</v>
      </c>
      <c r="AF201" s="63"/>
      <c r="AG201" s="63">
        <f>SUBTOTAL(109,Table818[Debit .])</f>
        <v>38476056.723225519</v>
      </c>
      <c r="AH201" s="63">
        <f>SUBTOTAL(109,Table818[Credit''])</f>
        <v>38476056.723225571</v>
      </c>
    </row>
    <row r="202" spans="2:38" ht="15.75" thickTop="1" x14ac:dyDescent="0.25">
      <c r="G202" s="39"/>
      <c r="H202" s="40"/>
      <c r="I202" s="41"/>
      <c r="J202" s="41"/>
    </row>
    <row r="203" spans="2:38" x14ac:dyDescent="0.25">
      <c r="G203" s="39"/>
      <c r="H203" s="43"/>
      <c r="I203" s="41"/>
      <c r="J203" s="41"/>
    </row>
    <row r="204" spans="2:38" x14ac:dyDescent="0.25">
      <c r="G204" s="39"/>
      <c r="H204" s="40"/>
      <c r="I204" s="41"/>
      <c r="J204" s="41"/>
    </row>
    <row r="205" spans="2:38" x14ac:dyDescent="0.25">
      <c r="G205" s="39"/>
      <c r="H205" s="40"/>
      <c r="I205" s="41"/>
      <c r="J205" s="41"/>
    </row>
    <row r="206" spans="2:38" x14ac:dyDescent="0.25">
      <c r="G206" s="39"/>
      <c r="H206" s="43"/>
      <c r="I206" s="41"/>
      <c r="J206" s="41"/>
    </row>
    <row r="402" spans="20:20" x14ac:dyDescent="0.25">
      <c r="T402" s="50" t="s">
        <v>11</v>
      </c>
    </row>
    <row r="403" spans="20:20" x14ac:dyDescent="0.25">
      <c r="T403" s="51" t="s">
        <v>12</v>
      </c>
    </row>
    <row r="404" spans="20:20" x14ac:dyDescent="0.25">
      <c r="T404" s="52" t="s">
        <v>48</v>
      </c>
    </row>
    <row r="405" spans="20:20" x14ac:dyDescent="0.25">
      <c r="T405" s="53" t="s">
        <v>62</v>
      </c>
    </row>
    <row r="406" spans="20:20" x14ac:dyDescent="0.25">
      <c r="T406" s="54" t="s">
        <v>6</v>
      </c>
    </row>
    <row r="407" spans="20:20" x14ac:dyDescent="0.25">
      <c r="T407" s="55" t="s">
        <v>61</v>
      </c>
    </row>
  </sheetData>
  <mergeCells count="11">
    <mergeCell ref="V6:W6"/>
    <mergeCell ref="Z6:AA6"/>
    <mergeCell ref="AB6:AC6"/>
    <mergeCell ref="AD6:AE6"/>
    <mergeCell ref="AG6:AH6"/>
    <mergeCell ref="S5:AH5"/>
    <mergeCell ref="B2:E2"/>
    <mergeCell ref="G2:J2"/>
    <mergeCell ref="L2:P2"/>
    <mergeCell ref="S2:AH2"/>
    <mergeCell ref="S4:AH4"/>
  </mergeCells>
  <conditionalFormatting sqref="S4:AH4">
    <cfRule type="expression" dxfId="591" priority="8">
      <formula>"Balanced"</formula>
    </cfRule>
  </conditionalFormatting>
  <dataValidations count="3">
    <dataValidation type="list" allowBlank="1" showInputMessage="1" showErrorMessage="1" sqref="T8:T200" xr:uid="{00000000-0002-0000-0800-000000000000}">
      <formula1>$T$402:$T$407</formula1>
    </dataValidation>
    <dataValidation type="list" allowBlank="1" showInputMessage="1" showErrorMessage="1" sqref="H27:H31 M8:M200 H9:H10 H12:H13 H15:H16 H18:H19 H21:H22 H24:H25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H186:H187 H189:H190 H192:H193 H195:H196 H198:H199 H201:H202 H204:H205 U8:U200" xr:uid="{00000000-0002-0000-0800-000001000000}">
      <formula1>P_LSub_Group</formula1>
    </dataValidation>
    <dataValidation type="list" allowBlank="1" showInputMessage="1" showErrorMessage="1" sqref="N8:N200" xr:uid="{00000000-0002-0000-0800-000002000000}">
      <formula1>P_LAccount_Name</formula1>
    </dataValidation>
  </dataValidations>
  <pageMargins left="0.7" right="0.7" top="0.75" bottom="0.75" header="0.3" footer="0.3"/>
  <legacyDrawing r:id="rId1"/>
  <picture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9" id="{43F502BB-5122-4D21-8C21-17631E76337A}">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H9:H206</xm:sqref>
        </x14:conditionalFormatting>
        <x14:conditionalFormatting xmlns:xm="http://schemas.microsoft.com/office/excel/2006/main">
          <x14:cfRule type="iconSet" priority="7" id="{4625FEFF-CD30-44EE-85A0-66E33E081B2B}">
            <x14:iconSet iconSet="3Symbols2" showValue="0" custom="1">
              <x14:cfvo type="percent">
                <xm:f>0</xm:f>
              </x14:cfvo>
              <x14:cfvo type="num" gte="0">
                <xm:f>0</xm:f>
              </x14:cfvo>
              <x14:cfvo type="num">
                <xm:f>0</xm:f>
              </x14:cfvo>
              <x14:cfIcon iconSet="NoIcons" iconId="0"/>
              <x14:cfIcon iconSet="NoIcons" iconId="0"/>
              <x14:cfIcon iconSet="3Symbols2" iconId="0"/>
            </x14:iconSet>
          </x14:cfRule>
          <xm:sqref>M8:N201</xm:sqref>
        </x14:conditionalFormatting>
        <x14:conditionalFormatting xmlns:xm="http://schemas.microsoft.com/office/excel/2006/main">
          <x14:cfRule type="containsText" priority="1" operator="containsText" id="{D1603FE1-24BC-4E43-84E2-3DCAFCA4F034}">
            <xm:f>NOT(ISERROR(SEARCH($T$407,T8)))</xm:f>
            <xm:f>$T$407</xm:f>
            <x14:dxf>
              <fill>
                <patternFill>
                  <bgColor rgb="FF7030A0"/>
                </patternFill>
              </fill>
            </x14:dxf>
          </x14:cfRule>
          <x14:cfRule type="containsText" priority="2" operator="containsText" id="{5A66BDD0-7E76-4251-BECE-CD1DC56824DE}">
            <xm:f>NOT(ISERROR(SEARCH($T$406,T8)))</xm:f>
            <xm:f>$T$406</xm:f>
            <x14:dxf>
              <fill>
                <patternFill>
                  <bgColor rgb="FFFFFF00"/>
                </patternFill>
              </fill>
            </x14:dxf>
          </x14:cfRule>
          <x14:cfRule type="containsText" priority="3" operator="containsText" id="{F1433BB4-5EFC-442C-99A7-9CD717F113BB}">
            <xm:f>NOT(ISERROR(SEARCH($T$405,T8)))</xm:f>
            <xm:f>$T$405</xm:f>
            <x14:dxf>
              <fill>
                <patternFill>
                  <bgColor rgb="FF00B050"/>
                </patternFill>
              </fill>
            </x14:dxf>
          </x14:cfRule>
          <x14:cfRule type="containsText" priority="4" operator="containsText" id="{A843696B-CC2D-403B-B956-B15E66CC74F0}">
            <xm:f>NOT(ISERROR(SEARCH($T$404,T8)))</xm:f>
            <xm:f>$T$404</xm:f>
            <x14:dxf>
              <fill>
                <patternFill>
                  <bgColor theme="0"/>
                </patternFill>
              </fill>
            </x14:dxf>
          </x14:cfRule>
          <x14:cfRule type="containsText" priority="5" operator="containsText" id="{75955D8E-B17A-4B5E-8331-FFC31063DA71}">
            <xm:f>NOT(ISERROR(SEARCH($T$403,T8)))</xm:f>
            <xm:f>$T$403</xm:f>
            <x14:dxf>
              <fill>
                <patternFill>
                  <bgColor rgb="FFFF0000"/>
                </patternFill>
              </fill>
            </x14:dxf>
          </x14:cfRule>
          <x14:cfRule type="containsText" priority="6" operator="containsText" id="{0F061830-3CFC-4771-A6E3-3DD37280A7F4}">
            <xm:f>NOT(ISERROR(SEARCH($T$402,T8)))</xm:f>
            <xm:f>$T$402</xm:f>
            <x14:dxf>
              <fill>
                <patternFill>
                  <bgColor theme="8" tint="-0.24994659260841701"/>
                </patternFill>
              </fill>
            </x14:dxf>
          </x14:cfRule>
          <xm:sqref>T8:T200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11</vt:i4>
      </vt:variant>
    </vt:vector>
  </HeadingPairs>
  <TitlesOfParts>
    <vt:vector size="40" baseType="lpstr">
      <vt:lpstr>Product Of</vt:lpstr>
      <vt:lpstr>P&amp;L COA</vt:lpstr>
      <vt:lpstr>BST COA</vt:lpstr>
      <vt:lpstr>CF COA</vt:lpstr>
      <vt:lpstr>CE COA</vt:lpstr>
      <vt:lpstr>PPE</vt:lpstr>
      <vt:lpstr>1</vt:lpstr>
      <vt:lpstr>2</vt:lpstr>
      <vt:lpstr>3</vt:lpstr>
      <vt:lpstr>4</vt:lpstr>
      <vt:lpstr>5</vt:lpstr>
      <vt:lpstr>6</vt:lpstr>
      <vt:lpstr>7</vt:lpstr>
      <vt:lpstr>8</vt:lpstr>
      <vt:lpstr>9</vt:lpstr>
      <vt:lpstr>10</vt:lpstr>
      <vt:lpstr>Cover Pages</vt:lpstr>
      <vt:lpstr>N1</vt:lpstr>
      <vt:lpstr>Statement Generator</vt:lpstr>
      <vt:lpstr>3 Financal Statement Forecast</vt:lpstr>
      <vt:lpstr>N2</vt:lpstr>
      <vt:lpstr>N3</vt:lpstr>
      <vt:lpstr>N4</vt:lpstr>
      <vt:lpstr>N5</vt:lpstr>
      <vt:lpstr>N6</vt:lpstr>
      <vt:lpstr>N7</vt:lpstr>
      <vt:lpstr>N8</vt:lpstr>
      <vt:lpstr>N9</vt:lpstr>
      <vt:lpstr>N10</vt:lpstr>
      <vt:lpstr>'Cover Pages'!Print_Area</vt:lpstr>
      <vt:lpstr>'N1'!Print_Area</vt:lpstr>
      <vt:lpstr>'N10'!Print_Area</vt:lpstr>
      <vt:lpstr>'N2'!Print_Area</vt:lpstr>
      <vt:lpstr>'N3'!Print_Area</vt:lpstr>
      <vt:lpstr>'N4'!Print_Area</vt:lpstr>
      <vt:lpstr>'N5'!Print_Area</vt:lpstr>
      <vt:lpstr>'N6'!Print_Area</vt:lpstr>
      <vt:lpstr>'N7'!Print_Area</vt:lpstr>
      <vt:lpstr>'Statement Generator'!Print_Area</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dc:creator>
  <cp:lastModifiedBy>JUMA ABDULRAHMAN BAKARI</cp:lastModifiedBy>
  <cp:lastPrinted>2022-11-04T04:05:54Z</cp:lastPrinted>
  <dcterms:created xsi:type="dcterms:W3CDTF">2022-10-24T08:13:09Z</dcterms:created>
  <dcterms:modified xsi:type="dcterms:W3CDTF">2023-11-22T09:55:38Z</dcterms:modified>
</cp:coreProperties>
</file>